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Ex1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3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4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5.xml" ContentType="application/vnd.openxmlformats-officedocument.drawing+xml"/>
  <Override PartName="/xl/charts/chart15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6.xml" ContentType="application/vnd.openxmlformats-officedocument.drawing+xml"/>
  <Override PartName="/xl/charts/chart16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7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8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19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0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1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2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3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7.xml" ContentType="application/vnd.openxmlformats-officedocument.drawing+xml"/>
  <Override PartName="/xl/charts/chart24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kob Urh\Desktop\Statistics\Country_happines\"/>
    </mc:Choice>
  </mc:AlternateContent>
  <xr:revisionPtr revIDLastSave="0" documentId="13_ncr:1_{456B7112-8CBB-4CCC-8FB8-90F3B35A944F}" xr6:coauthVersionLast="47" xr6:coauthVersionMax="47" xr10:uidLastSave="{00000000-0000-0000-0000-000000000000}"/>
  <bookViews>
    <workbookView xWindow="-108" yWindow="-108" windowWidth="23256" windowHeight="12456" xr2:uid="{08522F53-6779-44BD-A362-F228420B095F}"/>
  </bookViews>
  <sheets>
    <sheet name="podatki" sheetId="1" r:id="rId1"/>
    <sheet name="analiza" sheetId="2" r:id="rId2"/>
    <sheet name="Sheet1" sheetId="3" r:id="rId3"/>
    <sheet name="Sheet2" sheetId="4" r:id="rId4"/>
    <sheet name="Sheet3" sheetId="5" r:id="rId5"/>
    <sheet name="Sheet4" sheetId="6" r:id="rId6"/>
    <sheet name="Sheet7" sheetId="9" r:id="rId7"/>
    <sheet name="Sheet5" sheetId="7" r:id="rId8"/>
    <sheet name="Sheet6" sheetId="8" r:id="rId9"/>
  </sheets>
  <definedNames>
    <definedName name="_xlnm._FilterDatabase" localSheetId="1" hidden="1">analiza!$A$61:$E$210</definedName>
    <definedName name="_xlnm._FilterDatabase" localSheetId="4" hidden="1">Sheet3!$A$6:$F$155</definedName>
    <definedName name="_xlnm._FilterDatabase" localSheetId="5" hidden="1">Sheet4!$A$10:$D$159</definedName>
    <definedName name="_xlnm._FilterDatabase" localSheetId="6" hidden="1">Sheet7!$A$1:$D$150</definedName>
    <definedName name="_xlchart.v5.0" hidden="1">Sheet2!$H$113</definedName>
    <definedName name="_xlchart.v5.1" hidden="1">Sheet2!$H$114:$H$262</definedName>
    <definedName name="_xlchart.v5.2" hidden="1">Sheet2!$I$113</definedName>
    <definedName name="_xlchart.v5.3" hidden="1">Sheet2!$I$114:$I$262</definedName>
    <definedName name="_xlnm.Criteria" localSheetId="5">Sheet4!$B$10:$B$159</definedName>
  </definedNames>
  <calcPr calcId="191029"/>
  <pivotCaches>
    <pivotCache cacheId="0" r:id="rId10"/>
    <pivotCache cacheId="1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0" i="9" l="1"/>
  <c r="C149" i="9"/>
  <c r="C148" i="9"/>
  <c r="C147" i="9"/>
  <c r="C146" i="9"/>
  <c r="C145" i="9"/>
  <c r="C144" i="9"/>
  <c r="C143" i="9"/>
  <c r="C142" i="9"/>
  <c r="C141" i="9"/>
  <c r="C140" i="9"/>
  <c r="C139" i="9"/>
  <c r="C138" i="9"/>
  <c r="C137" i="9"/>
  <c r="C136" i="9"/>
  <c r="C135" i="9"/>
  <c r="C134" i="9"/>
  <c r="C133" i="9"/>
  <c r="C132" i="9"/>
  <c r="C131" i="9"/>
  <c r="C130" i="9"/>
  <c r="C129" i="9"/>
  <c r="C128" i="9"/>
  <c r="C127" i="9"/>
  <c r="C126" i="9"/>
  <c r="C125" i="9"/>
  <c r="C124" i="9"/>
  <c r="C123" i="9"/>
  <c r="C122" i="9"/>
  <c r="C121" i="9"/>
  <c r="C120" i="9"/>
  <c r="C119" i="9"/>
  <c r="C118" i="9"/>
  <c r="C117" i="9"/>
  <c r="C116" i="9"/>
  <c r="C115" i="9"/>
  <c r="C114" i="9"/>
  <c r="C113" i="9"/>
  <c r="C112" i="9"/>
  <c r="C111" i="9"/>
  <c r="C110" i="9"/>
  <c r="C109" i="9"/>
  <c r="C108" i="9"/>
  <c r="C107" i="9"/>
  <c r="C106" i="9"/>
  <c r="C105" i="9"/>
  <c r="C104" i="9"/>
  <c r="C103" i="9"/>
  <c r="C102" i="9"/>
  <c r="C101" i="9"/>
  <c r="C100" i="9"/>
  <c r="C99" i="9"/>
  <c r="C98" i="9"/>
  <c r="C97" i="9"/>
  <c r="C96" i="9"/>
  <c r="C95" i="9"/>
  <c r="C94" i="9"/>
  <c r="C93" i="9"/>
  <c r="C92" i="9"/>
  <c r="C91" i="9"/>
  <c r="C90" i="9"/>
  <c r="C89" i="9"/>
  <c r="C88" i="9"/>
  <c r="C87" i="9"/>
  <c r="C86" i="9"/>
  <c r="C85" i="9"/>
  <c r="C84" i="9"/>
  <c r="C83" i="9"/>
  <c r="C82" i="9"/>
  <c r="C81" i="9"/>
  <c r="C80" i="9"/>
  <c r="C79" i="9"/>
  <c r="C78" i="9"/>
  <c r="C77" i="9"/>
  <c r="C76" i="9"/>
  <c r="C75" i="9"/>
  <c r="C74" i="9"/>
  <c r="C73" i="9"/>
  <c r="C72" i="9"/>
  <c r="C71" i="9"/>
  <c r="C70" i="9"/>
  <c r="C69" i="9"/>
  <c r="C68" i="9"/>
  <c r="C67" i="9"/>
  <c r="C66" i="9"/>
  <c r="C65" i="9"/>
  <c r="C64" i="9"/>
  <c r="C63" i="9"/>
  <c r="C62" i="9"/>
  <c r="C61" i="9"/>
  <c r="C60" i="9"/>
  <c r="C59" i="9"/>
  <c r="C58" i="9"/>
  <c r="C57" i="9"/>
  <c r="C56" i="9"/>
  <c r="C55" i="9"/>
  <c r="C54" i="9"/>
  <c r="C53" i="9"/>
  <c r="C52" i="9"/>
  <c r="C51" i="9"/>
  <c r="C50" i="9"/>
  <c r="C49" i="9"/>
  <c r="C48" i="9"/>
  <c r="C47" i="9"/>
  <c r="C46" i="9"/>
  <c r="C45" i="9"/>
  <c r="C44" i="9"/>
  <c r="C43" i="9"/>
  <c r="C42" i="9"/>
  <c r="C41" i="9"/>
  <c r="C40" i="9"/>
  <c r="C39" i="9"/>
  <c r="C38" i="9"/>
  <c r="C37" i="9"/>
  <c r="C36" i="9"/>
  <c r="C35" i="9"/>
  <c r="C34" i="9"/>
  <c r="C33" i="9"/>
  <c r="C32" i="9"/>
  <c r="C31" i="9"/>
  <c r="C30" i="9"/>
  <c r="C29" i="9"/>
  <c r="C28" i="9"/>
  <c r="C27" i="9"/>
  <c r="C26" i="9"/>
  <c r="C25" i="9"/>
  <c r="C24" i="9"/>
  <c r="C23" i="9"/>
  <c r="C22" i="9"/>
  <c r="C21" i="9"/>
  <c r="C20" i="9"/>
  <c r="C19" i="9"/>
  <c r="C18" i="9"/>
  <c r="C17" i="9"/>
  <c r="C16" i="9"/>
  <c r="C15" i="9"/>
  <c r="C14" i="9"/>
  <c r="C13" i="9"/>
  <c r="C12" i="9"/>
  <c r="C11" i="9"/>
  <c r="C10" i="9"/>
  <c r="C9" i="9"/>
  <c r="C8" i="9"/>
  <c r="C7" i="9"/>
  <c r="C6" i="9"/>
  <c r="C5" i="9"/>
  <c r="C4" i="9"/>
  <c r="C3" i="9"/>
  <c r="C2" i="9"/>
  <c r="E3" i="9"/>
  <c r="E4" i="9"/>
  <c r="E5" i="9"/>
  <c r="E6" i="9"/>
  <c r="E7" i="9"/>
  <c r="E8" i="9"/>
  <c r="E9" i="9"/>
  <c r="E10" i="9"/>
  <c r="E11" i="9"/>
  <c r="E12" i="9"/>
  <c r="E14" i="9"/>
  <c r="E15" i="9"/>
  <c r="E16" i="9"/>
  <c r="E17" i="9"/>
  <c r="E18" i="9"/>
  <c r="E19" i="9"/>
  <c r="E20" i="9"/>
  <c r="E21" i="9"/>
  <c r="E22" i="9"/>
  <c r="E24" i="9"/>
  <c r="E25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9" i="9"/>
  <c r="E50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2" i="9"/>
  <c r="E83" i="9"/>
  <c r="E85" i="9"/>
  <c r="E87" i="9"/>
  <c r="E88" i="9"/>
  <c r="E89" i="9"/>
  <c r="E90" i="9"/>
  <c r="E91" i="9"/>
  <c r="E94" i="9"/>
  <c r="E95" i="9"/>
  <c r="E98" i="9"/>
  <c r="E101" i="9"/>
  <c r="E102" i="9"/>
  <c r="E106" i="9"/>
  <c r="E108" i="9"/>
  <c r="E109" i="9"/>
  <c r="E111" i="9"/>
  <c r="E115" i="9"/>
  <c r="E127" i="9"/>
  <c r="E130" i="9"/>
  <c r="E2" i="9"/>
  <c r="N2" i="7"/>
  <c r="O2" i="7"/>
  <c r="N150" i="7"/>
  <c r="N149" i="7"/>
  <c r="N148" i="7"/>
  <c r="N147" i="7"/>
  <c r="N146" i="7"/>
  <c r="N145" i="7"/>
  <c r="N144" i="7"/>
  <c r="N143" i="7"/>
  <c r="N142" i="7"/>
  <c r="N141" i="7"/>
  <c r="N140" i="7"/>
  <c r="N139" i="7"/>
  <c r="O139" i="7" s="1"/>
  <c r="N138" i="7"/>
  <c r="N137" i="7"/>
  <c r="N136" i="7"/>
  <c r="N135" i="7"/>
  <c r="N134" i="7"/>
  <c r="N133" i="7"/>
  <c r="N132" i="7"/>
  <c r="N131" i="7"/>
  <c r="N130" i="7"/>
  <c r="N129" i="7"/>
  <c r="N128" i="7"/>
  <c r="N127" i="7"/>
  <c r="O127" i="7" s="1"/>
  <c r="N126" i="7"/>
  <c r="N125" i="7"/>
  <c r="N124" i="7"/>
  <c r="N123" i="7"/>
  <c r="N122" i="7"/>
  <c r="N121" i="7"/>
  <c r="N120" i="7"/>
  <c r="N119" i="7"/>
  <c r="N118" i="7"/>
  <c r="N117" i="7"/>
  <c r="N116" i="7"/>
  <c r="N115" i="7"/>
  <c r="O115" i="7" s="1"/>
  <c r="N114" i="7"/>
  <c r="N113" i="7"/>
  <c r="N112" i="7"/>
  <c r="N111" i="7"/>
  <c r="N110" i="7"/>
  <c r="N109" i="7"/>
  <c r="N108" i="7"/>
  <c r="N107" i="7"/>
  <c r="N106" i="7"/>
  <c r="N105" i="7"/>
  <c r="N104" i="7"/>
  <c r="N103" i="7"/>
  <c r="O103" i="7" s="1"/>
  <c r="N102" i="7"/>
  <c r="N101" i="7"/>
  <c r="N100" i="7"/>
  <c r="N99" i="7"/>
  <c r="O99" i="7" s="1"/>
  <c r="N98" i="7"/>
  <c r="N97" i="7"/>
  <c r="N96" i="7"/>
  <c r="O96" i="7" s="1"/>
  <c r="N95" i="7"/>
  <c r="N94" i="7"/>
  <c r="N93" i="7"/>
  <c r="N92" i="7"/>
  <c r="N91" i="7"/>
  <c r="O91" i="7" s="1"/>
  <c r="N90" i="7"/>
  <c r="N89" i="7"/>
  <c r="N88" i="7"/>
  <c r="N87" i="7"/>
  <c r="N86" i="7"/>
  <c r="N85" i="7"/>
  <c r="N84" i="7"/>
  <c r="N83" i="7"/>
  <c r="N82" i="7"/>
  <c r="N81" i="7"/>
  <c r="N80" i="7"/>
  <c r="N79" i="7"/>
  <c r="O79" i="7" s="1"/>
  <c r="N78" i="7"/>
  <c r="N77" i="7"/>
  <c r="N76" i="7"/>
  <c r="N75" i="7"/>
  <c r="O75" i="7" s="1"/>
  <c r="N74" i="7"/>
  <c r="N73" i="7"/>
  <c r="N72" i="7"/>
  <c r="O72" i="7" s="1"/>
  <c r="N71" i="7"/>
  <c r="N70" i="7"/>
  <c r="N69" i="7"/>
  <c r="N68" i="7"/>
  <c r="N67" i="7"/>
  <c r="O67" i="7" s="1"/>
  <c r="N66" i="7"/>
  <c r="N65" i="7"/>
  <c r="N64" i="7"/>
  <c r="N63" i="7"/>
  <c r="O63" i="7" s="1"/>
  <c r="N62" i="7"/>
  <c r="N61" i="7"/>
  <c r="N60" i="7"/>
  <c r="O60" i="7" s="1"/>
  <c r="N59" i="7"/>
  <c r="N58" i="7"/>
  <c r="N57" i="7"/>
  <c r="N56" i="7"/>
  <c r="N55" i="7"/>
  <c r="O55" i="7" s="1"/>
  <c r="N54" i="7"/>
  <c r="N53" i="7"/>
  <c r="N52" i="7"/>
  <c r="N51" i="7"/>
  <c r="O51" i="7" s="1"/>
  <c r="N50" i="7"/>
  <c r="N49" i="7"/>
  <c r="N48" i="7"/>
  <c r="O48" i="7" s="1"/>
  <c r="N47" i="7"/>
  <c r="N46" i="7"/>
  <c r="N45" i="7"/>
  <c r="N44" i="7"/>
  <c r="N43" i="7"/>
  <c r="O43" i="7" s="1"/>
  <c r="N42" i="7"/>
  <c r="N41" i="7"/>
  <c r="N40" i="7"/>
  <c r="N39" i="7"/>
  <c r="O39" i="7" s="1"/>
  <c r="N38" i="7"/>
  <c r="N37" i="7"/>
  <c r="N36" i="7"/>
  <c r="O36" i="7" s="1"/>
  <c r="N35" i="7"/>
  <c r="N34" i="7"/>
  <c r="N33" i="7"/>
  <c r="N32" i="7"/>
  <c r="N31" i="7"/>
  <c r="O31" i="7" s="1"/>
  <c r="N30" i="7"/>
  <c r="N29" i="7"/>
  <c r="N28" i="7"/>
  <c r="N27" i="7"/>
  <c r="O27" i="7" s="1"/>
  <c r="N26" i="7"/>
  <c r="N25" i="7"/>
  <c r="N24" i="7"/>
  <c r="O24" i="7" s="1"/>
  <c r="N23" i="7"/>
  <c r="N22" i="7"/>
  <c r="N21" i="7"/>
  <c r="N20" i="7"/>
  <c r="N19" i="7"/>
  <c r="O19" i="7" s="1"/>
  <c r="N18" i="7"/>
  <c r="N17" i="7"/>
  <c r="N16" i="7"/>
  <c r="N15" i="7"/>
  <c r="O15" i="7" s="1"/>
  <c r="N14" i="7"/>
  <c r="N13" i="7"/>
  <c r="N12" i="7"/>
  <c r="O12" i="7" s="1"/>
  <c r="N11" i="7"/>
  <c r="N10" i="7"/>
  <c r="N9" i="7"/>
  <c r="N8" i="7"/>
  <c r="N7" i="7"/>
  <c r="O7" i="7" s="1"/>
  <c r="N6" i="7"/>
  <c r="N5" i="7"/>
  <c r="N4" i="7"/>
  <c r="N3" i="7"/>
  <c r="O3" i="7" s="1"/>
  <c r="M2" i="7"/>
  <c r="O150" i="7"/>
  <c r="O149" i="7"/>
  <c r="O148" i="7"/>
  <c r="O147" i="7"/>
  <c r="O146" i="7"/>
  <c r="O145" i="7"/>
  <c r="O144" i="7"/>
  <c r="O143" i="7"/>
  <c r="O142" i="7"/>
  <c r="O141" i="7"/>
  <c r="O140" i="7"/>
  <c r="O138" i="7"/>
  <c r="O137" i="7"/>
  <c r="O136" i="7"/>
  <c r="O135" i="7"/>
  <c r="O134" i="7"/>
  <c r="O133" i="7"/>
  <c r="O132" i="7"/>
  <c r="O131" i="7"/>
  <c r="O130" i="7"/>
  <c r="O129" i="7"/>
  <c r="O128" i="7"/>
  <c r="O126" i="7"/>
  <c r="O125" i="7"/>
  <c r="O124" i="7"/>
  <c r="O123" i="7"/>
  <c r="O122" i="7"/>
  <c r="O121" i="7"/>
  <c r="O120" i="7"/>
  <c r="O119" i="7"/>
  <c r="O118" i="7"/>
  <c r="O117" i="7"/>
  <c r="O116" i="7"/>
  <c r="O114" i="7"/>
  <c r="O113" i="7"/>
  <c r="O112" i="7"/>
  <c r="O111" i="7"/>
  <c r="O110" i="7"/>
  <c r="O109" i="7"/>
  <c r="O108" i="7"/>
  <c r="O107" i="7"/>
  <c r="O106" i="7"/>
  <c r="O105" i="7"/>
  <c r="O104" i="7"/>
  <c r="O102" i="7"/>
  <c r="O101" i="7"/>
  <c r="O100" i="7"/>
  <c r="O98" i="7"/>
  <c r="O97" i="7"/>
  <c r="O95" i="7"/>
  <c r="O94" i="7"/>
  <c r="O93" i="7"/>
  <c r="O92" i="7"/>
  <c r="O90" i="7"/>
  <c r="O89" i="7"/>
  <c r="O88" i="7"/>
  <c r="O87" i="7"/>
  <c r="O86" i="7"/>
  <c r="O85" i="7"/>
  <c r="O84" i="7"/>
  <c r="O83" i="7"/>
  <c r="O82" i="7"/>
  <c r="O81" i="7"/>
  <c r="O80" i="7"/>
  <c r="O78" i="7"/>
  <c r="O77" i="7"/>
  <c r="O76" i="7"/>
  <c r="O74" i="7"/>
  <c r="O73" i="7"/>
  <c r="O71" i="7"/>
  <c r="O70" i="7"/>
  <c r="O69" i="7"/>
  <c r="O68" i="7"/>
  <c r="O66" i="7"/>
  <c r="O65" i="7"/>
  <c r="O64" i="7"/>
  <c r="O62" i="7"/>
  <c r="O61" i="7"/>
  <c r="O59" i="7"/>
  <c r="O58" i="7"/>
  <c r="O57" i="7"/>
  <c r="O56" i="7"/>
  <c r="O54" i="7"/>
  <c r="O53" i="7"/>
  <c r="O52" i="7"/>
  <c r="O50" i="7"/>
  <c r="O49" i="7"/>
  <c r="O47" i="7"/>
  <c r="O46" i="7"/>
  <c r="O45" i="7"/>
  <c r="O44" i="7"/>
  <c r="O42" i="7"/>
  <c r="O41" i="7"/>
  <c r="O40" i="7"/>
  <c r="O38" i="7"/>
  <c r="O37" i="7"/>
  <c r="O35" i="7"/>
  <c r="O34" i="7"/>
  <c r="O33" i="7"/>
  <c r="O32" i="7"/>
  <c r="O30" i="7"/>
  <c r="O29" i="7"/>
  <c r="O28" i="7"/>
  <c r="O26" i="7"/>
  <c r="O25" i="7"/>
  <c r="O23" i="7"/>
  <c r="O22" i="7"/>
  <c r="O21" i="7"/>
  <c r="O20" i="7"/>
  <c r="O18" i="7"/>
  <c r="O17" i="7"/>
  <c r="O16" i="7"/>
  <c r="O14" i="7"/>
  <c r="O13" i="7"/>
  <c r="O11" i="7"/>
  <c r="O10" i="7"/>
  <c r="O9" i="7"/>
  <c r="O8" i="7"/>
  <c r="O6" i="7"/>
  <c r="O5" i="7"/>
  <c r="O4" i="7"/>
  <c r="C32" i="6"/>
  <c r="D32" i="6"/>
  <c r="E32" i="6"/>
  <c r="C33" i="6"/>
  <c r="D33" i="6"/>
  <c r="C34" i="6"/>
  <c r="D34" i="6"/>
  <c r="C35" i="6"/>
  <c r="E35" i="6" s="1"/>
  <c r="D35" i="6"/>
  <c r="C36" i="6"/>
  <c r="E36" i="6" s="1"/>
  <c r="D36" i="6"/>
  <c r="D146" i="6" s="1"/>
  <c r="C37" i="6"/>
  <c r="D37" i="6"/>
  <c r="C38" i="6"/>
  <c r="D38" i="6"/>
  <c r="C39" i="6"/>
  <c r="D39" i="6"/>
  <c r="C40" i="6"/>
  <c r="D40" i="6"/>
  <c r="C41" i="6"/>
  <c r="D41" i="6"/>
  <c r="C42" i="6"/>
  <c r="D42" i="6"/>
  <c r="C43" i="6"/>
  <c r="D43" i="6"/>
  <c r="C44" i="6"/>
  <c r="D44" i="6"/>
  <c r="C45" i="6"/>
  <c r="D45" i="6"/>
  <c r="C46" i="6"/>
  <c r="D46" i="6"/>
  <c r="C47" i="6"/>
  <c r="D47" i="6"/>
  <c r="C48" i="6"/>
  <c r="D48" i="6"/>
  <c r="C49" i="6"/>
  <c r="D49" i="6"/>
  <c r="C50" i="6"/>
  <c r="D50" i="6"/>
  <c r="C51" i="6"/>
  <c r="D51" i="6"/>
  <c r="C52" i="6"/>
  <c r="D52" i="6"/>
  <c r="C53" i="6"/>
  <c r="D53" i="6"/>
  <c r="C54" i="6"/>
  <c r="D54" i="6"/>
  <c r="C55" i="6"/>
  <c r="D55" i="6"/>
  <c r="C56" i="6"/>
  <c r="D56" i="6"/>
  <c r="C57" i="6"/>
  <c r="D57" i="6"/>
  <c r="E57" i="6"/>
  <c r="C58" i="6"/>
  <c r="D58" i="6"/>
  <c r="C59" i="6"/>
  <c r="D59" i="6"/>
  <c r="C60" i="6"/>
  <c r="D60" i="6"/>
  <c r="E60" i="6"/>
  <c r="C61" i="6"/>
  <c r="D61" i="6"/>
  <c r="C62" i="6"/>
  <c r="D62" i="6"/>
  <c r="C63" i="6"/>
  <c r="D63" i="6"/>
  <c r="C64" i="6"/>
  <c r="D64" i="6"/>
  <c r="C65" i="6"/>
  <c r="D65" i="6"/>
  <c r="C66" i="6"/>
  <c r="D66" i="6"/>
  <c r="C67" i="6"/>
  <c r="D67" i="6"/>
  <c r="C68" i="6"/>
  <c r="D68" i="6"/>
  <c r="C69" i="6"/>
  <c r="D69" i="6"/>
  <c r="C70" i="6"/>
  <c r="D70" i="6"/>
  <c r="C71" i="6"/>
  <c r="D71" i="6"/>
  <c r="C72" i="6"/>
  <c r="D72" i="6"/>
  <c r="C73" i="6"/>
  <c r="D73" i="6"/>
  <c r="C74" i="6"/>
  <c r="D74" i="6"/>
  <c r="C75" i="6"/>
  <c r="D75" i="6"/>
  <c r="C76" i="6"/>
  <c r="D76" i="6"/>
  <c r="C77" i="6"/>
  <c r="D77" i="6"/>
  <c r="C78" i="6"/>
  <c r="D78" i="6"/>
  <c r="C79" i="6"/>
  <c r="D79" i="6"/>
  <c r="C80" i="6"/>
  <c r="D80" i="6"/>
  <c r="C81" i="6"/>
  <c r="D81" i="6"/>
  <c r="C82" i="6"/>
  <c r="D82" i="6"/>
  <c r="C83" i="6"/>
  <c r="D83" i="6"/>
  <c r="C84" i="6"/>
  <c r="D84" i="6"/>
  <c r="C85" i="6"/>
  <c r="D85" i="6"/>
  <c r="C86" i="6"/>
  <c r="D86" i="6"/>
  <c r="C87" i="6"/>
  <c r="D87" i="6"/>
  <c r="C88" i="6"/>
  <c r="D88" i="6"/>
  <c r="C89" i="6"/>
  <c r="D89" i="6"/>
  <c r="C90" i="6"/>
  <c r="E90" i="6" s="1"/>
  <c r="D90" i="6"/>
  <c r="C91" i="6"/>
  <c r="D91" i="6"/>
  <c r="C92" i="6"/>
  <c r="D92" i="6"/>
  <c r="C93" i="6"/>
  <c r="E93" i="6" s="1"/>
  <c r="D93" i="6"/>
  <c r="C94" i="6"/>
  <c r="D94" i="6"/>
  <c r="C95" i="6"/>
  <c r="E95" i="6" s="1"/>
  <c r="D95" i="6"/>
  <c r="C96" i="6"/>
  <c r="D96" i="6"/>
  <c r="C97" i="6"/>
  <c r="D97" i="6"/>
  <c r="C98" i="6"/>
  <c r="D98" i="6"/>
  <c r="C99" i="6"/>
  <c r="D99" i="6"/>
  <c r="C100" i="6"/>
  <c r="D100" i="6"/>
  <c r="C101" i="6"/>
  <c r="E101" i="6" s="1"/>
  <c r="D101" i="6"/>
  <c r="C102" i="6"/>
  <c r="D102" i="6"/>
  <c r="E102" i="6"/>
  <c r="C103" i="6"/>
  <c r="D103" i="6"/>
  <c r="C104" i="6"/>
  <c r="D104" i="6"/>
  <c r="C105" i="6"/>
  <c r="D105" i="6"/>
  <c r="E105" i="6"/>
  <c r="C106" i="6"/>
  <c r="E106" i="6" s="1"/>
  <c r="D106" i="6"/>
  <c r="C107" i="6"/>
  <c r="D107" i="6"/>
  <c r="C108" i="6"/>
  <c r="E108" i="6" s="1"/>
  <c r="D108" i="6"/>
  <c r="C109" i="6"/>
  <c r="E109" i="6" s="1"/>
  <c r="D109" i="6"/>
  <c r="C110" i="6"/>
  <c r="D110" i="6"/>
  <c r="C111" i="6"/>
  <c r="D111" i="6"/>
  <c r="C112" i="6"/>
  <c r="D112" i="6"/>
  <c r="E112" i="6"/>
  <c r="C113" i="6"/>
  <c r="D113" i="6"/>
  <c r="E113" i="6"/>
  <c r="C114" i="6"/>
  <c r="D114" i="6"/>
  <c r="E114" i="6"/>
  <c r="C115" i="6"/>
  <c r="D115" i="6"/>
  <c r="C116" i="6"/>
  <c r="D116" i="6"/>
  <c r="E116" i="6"/>
  <c r="C117" i="6"/>
  <c r="D117" i="6"/>
  <c r="C118" i="6"/>
  <c r="D118" i="6"/>
  <c r="C119" i="6"/>
  <c r="D119" i="6"/>
  <c r="E119" i="6"/>
  <c r="C120" i="6"/>
  <c r="D120" i="6"/>
  <c r="C121" i="6"/>
  <c r="D121" i="6"/>
  <c r="E121" i="6"/>
  <c r="C122" i="6"/>
  <c r="E122" i="6" s="1"/>
  <c r="D122" i="6"/>
  <c r="C123" i="6"/>
  <c r="E123" i="6" s="1"/>
  <c r="D123" i="6"/>
  <c r="C124" i="6"/>
  <c r="D124" i="6"/>
  <c r="C125" i="6"/>
  <c r="D125" i="6"/>
  <c r="E125" i="6"/>
  <c r="C126" i="6"/>
  <c r="E126" i="6" s="1"/>
  <c r="D126" i="6"/>
  <c r="C127" i="6"/>
  <c r="E127" i="6" s="1"/>
  <c r="D127" i="6"/>
  <c r="C128" i="6"/>
  <c r="E128" i="6" s="1"/>
  <c r="D128" i="6"/>
  <c r="C129" i="6"/>
  <c r="D129" i="6"/>
  <c r="E129" i="6"/>
  <c r="C130" i="6"/>
  <c r="E130" i="6" s="1"/>
  <c r="D130" i="6"/>
  <c r="C131" i="6"/>
  <c r="E131" i="6" s="1"/>
  <c r="D131" i="6"/>
  <c r="C132" i="6"/>
  <c r="E132" i="6" s="1"/>
  <c r="D132" i="6"/>
  <c r="C133" i="6"/>
  <c r="D133" i="6"/>
  <c r="E133" i="6"/>
  <c r="C134" i="6"/>
  <c r="E134" i="6" s="1"/>
  <c r="D134" i="6"/>
  <c r="C135" i="6"/>
  <c r="E135" i="6" s="1"/>
  <c r="D135" i="6"/>
  <c r="C136" i="6"/>
  <c r="D136" i="6"/>
  <c r="C137" i="6"/>
  <c r="D137" i="6"/>
  <c r="E137" i="6"/>
  <c r="C138" i="6"/>
  <c r="D138" i="6"/>
  <c r="E138" i="6"/>
  <c r="C139" i="6"/>
  <c r="D139" i="6"/>
  <c r="C140" i="6"/>
  <c r="E140" i="6" s="1"/>
  <c r="D140" i="6"/>
  <c r="C141" i="6"/>
  <c r="E141" i="6" s="1"/>
  <c r="D141" i="6"/>
  <c r="C142" i="6"/>
  <c r="D142" i="6"/>
  <c r="E142" i="6"/>
  <c r="C143" i="6"/>
  <c r="E143" i="6" s="1"/>
  <c r="D143" i="6"/>
  <c r="C144" i="6"/>
  <c r="E144" i="6" s="1"/>
  <c r="D144" i="6"/>
  <c r="C145" i="6"/>
  <c r="E145" i="6" s="1"/>
  <c r="D145" i="6"/>
  <c r="D151" i="6"/>
  <c r="E169" i="6"/>
  <c r="L139" i="7"/>
  <c r="M139" i="7" s="1"/>
  <c r="L127" i="7"/>
  <c r="M127" i="7" s="1"/>
  <c r="L115" i="7"/>
  <c r="M115" i="7" s="1"/>
  <c r="L103" i="7"/>
  <c r="M103" i="7" s="1"/>
  <c r="L91" i="7"/>
  <c r="M91" i="7" s="1"/>
  <c r="L79" i="7"/>
  <c r="M79" i="7" s="1"/>
  <c r="L67" i="7"/>
  <c r="M67" i="7" s="1"/>
  <c r="L55" i="7"/>
  <c r="M55" i="7" s="1"/>
  <c r="L43" i="7"/>
  <c r="M43" i="7" s="1"/>
  <c r="L31" i="7"/>
  <c r="M31" i="7" s="1"/>
  <c r="L19" i="7"/>
  <c r="M19" i="7" s="1"/>
  <c r="L7" i="7"/>
  <c r="M7" i="7" s="1"/>
  <c r="J141" i="7"/>
  <c r="J129" i="7"/>
  <c r="J117" i="7"/>
  <c r="J105" i="7"/>
  <c r="J93" i="7"/>
  <c r="J81" i="7"/>
  <c r="J69" i="7"/>
  <c r="J57" i="7"/>
  <c r="J50" i="7"/>
  <c r="J45" i="7"/>
  <c r="J43" i="7"/>
  <c r="J38" i="7"/>
  <c r="J33" i="7"/>
  <c r="J31" i="7"/>
  <c r="J30" i="7"/>
  <c r="K30" i="7" s="1"/>
  <c r="J26" i="7"/>
  <c r="J21" i="7"/>
  <c r="K21" i="7" s="1"/>
  <c r="J19" i="7"/>
  <c r="J18" i="7"/>
  <c r="K18" i="7" s="1"/>
  <c r="J14" i="7"/>
  <c r="K14" i="7" s="1"/>
  <c r="J9" i="7"/>
  <c r="J7" i="7"/>
  <c r="J6" i="7"/>
  <c r="K6" i="7" s="1"/>
  <c r="J2" i="7"/>
  <c r="K2" i="7" s="1"/>
  <c r="C2" i="7"/>
  <c r="C3" i="7"/>
  <c r="C4" i="7"/>
  <c r="C5" i="7"/>
  <c r="C6" i="7"/>
  <c r="C7" i="7"/>
  <c r="K7" i="7" s="1"/>
  <c r="C8" i="7"/>
  <c r="C9" i="7"/>
  <c r="K9" i="7" s="1"/>
  <c r="C10" i="7"/>
  <c r="C11" i="7"/>
  <c r="C12" i="7"/>
  <c r="C13" i="7"/>
  <c r="C14" i="7"/>
  <c r="C15" i="7"/>
  <c r="C16" i="7"/>
  <c r="C17" i="7"/>
  <c r="C18" i="7"/>
  <c r="C19" i="7"/>
  <c r="K19" i="7" s="1"/>
  <c r="C20" i="7"/>
  <c r="C21" i="7"/>
  <c r="C22" i="7"/>
  <c r="C23" i="7"/>
  <c r="C24" i="7"/>
  <c r="C25" i="7"/>
  <c r="C26" i="7"/>
  <c r="C27" i="7"/>
  <c r="C28" i="7"/>
  <c r="C29" i="7"/>
  <c r="C30" i="7"/>
  <c r="C31" i="7"/>
  <c r="K31" i="7" s="1"/>
  <c r="C32" i="7"/>
  <c r="C33" i="7"/>
  <c r="K33" i="7" s="1"/>
  <c r="C34" i="7"/>
  <c r="C35" i="7"/>
  <c r="C36" i="7"/>
  <c r="C37" i="7"/>
  <c r="C38" i="7"/>
  <c r="C39" i="7"/>
  <c r="C40" i="7"/>
  <c r="C41" i="7"/>
  <c r="C42" i="7"/>
  <c r="C43" i="7"/>
  <c r="K43" i="7" s="1"/>
  <c r="C44" i="7"/>
  <c r="C45" i="7"/>
  <c r="K45" i="7" s="1"/>
  <c r="C46" i="7"/>
  <c r="C47" i="7"/>
  <c r="C48" i="7"/>
  <c r="C49" i="7"/>
  <c r="C50" i="7"/>
  <c r="C51" i="7"/>
  <c r="C52" i="7"/>
  <c r="C53" i="7"/>
  <c r="C54" i="7"/>
  <c r="C55" i="7"/>
  <c r="C56" i="7"/>
  <c r="C57" i="7"/>
  <c r="K57" i="7" s="1"/>
  <c r="C59" i="7"/>
  <c r="C58" i="7"/>
  <c r="C60" i="7"/>
  <c r="C61" i="7"/>
  <c r="C62" i="7"/>
  <c r="C63" i="7"/>
  <c r="C64" i="7"/>
  <c r="C65" i="7"/>
  <c r="C66" i="7"/>
  <c r="C67" i="7"/>
  <c r="C68" i="7"/>
  <c r="C69" i="7"/>
  <c r="K69" i="7" s="1"/>
  <c r="C70" i="7"/>
  <c r="C71" i="7"/>
  <c r="C72" i="7"/>
  <c r="C73" i="7"/>
  <c r="C74" i="7"/>
  <c r="C75" i="7"/>
  <c r="C76" i="7"/>
  <c r="C78" i="7"/>
  <c r="C77" i="7"/>
  <c r="C79" i="7"/>
  <c r="C80" i="7"/>
  <c r="C81" i="7"/>
  <c r="K81" i="7" s="1"/>
  <c r="C82" i="7"/>
  <c r="C83" i="7"/>
  <c r="C84" i="7"/>
  <c r="C85" i="7"/>
  <c r="C86" i="7"/>
  <c r="C87" i="7"/>
  <c r="C88" i="7"/>
  <c r="C89" i="7"/>
  <c r="C90" i="7"/>
  <c r="C91" i="7"/>
  <c r="C92" i="7"/>
  <c r="C93" i="7"/>
  <c r="K93" i="7" s="1"/>
  <c r="C94" i="7"/>
  <c r="C95" i="7"/>
  <c r="C96" i="7"/>
  <c r="C97" i="7"/>
  <c r="C98" i="7"/>
  <c r="C99" i="7"/>
  <c r="C100" i="7"/>
  <c r="C101" i="7"/>
  <c r="C102" i="7"/>
  <c r="C103" i="7"/>
  <c r="C104" i="7"/>
  <c r="C105" i="7"/>
  <c r="K105" i="7" s="1"/>
  <c r="C106" i="7"/>
  <c r="C107" i="7"/>
  <c r="C108" i="7"/>
  <c r="C109" i="7"/>
  <c r="C110" i="7"/>
  <c r="C111" i="7"/>
  <c r="C112" i="7"/>
  <c r="C113" i="7"/>
  <c r="C114" i="7"/>
  <c r="C115" i="7"/>
  <c r="C116" i="7"/>
  <c r="C117" i="7"/>
  <c r="K117" i="7" s="1"/>
  <c r="C118" i="7"/>
  <c r="C119" i="7"/>
  <c r="C120" i="7"/>
  <c r="C121" i="7"/>
  <c r="C122" i="7"/>
  <c r="C123" i="7"/>
  <c r="C124" i="7"/>
  <c r="C125" i="7"/>
  <c r="C126" i="7"/>
  <c r="C127" i="7"/>
  <c r="C128" i="7"/>
  <c r="C129" i="7"/>
  <c r="K129" i="7" s="1"/>
  <c r="C130" i="7"/>
  <c r="C131" i="7"/>
  <c r="C132" i="7"/>
  <c r="C133" i="7"/>
  <c r="C134" i="7"/>
  <c r="C135" i="7"/>
  <c r="C136" i="7"/>
  <c r="C137" i="7"/>
  <c r="C138" i="7"/>
  <c r="C139" i="7"/>
  <c r="C140" i="7"/>
  <c r="C141" i="7"/>
  <c r="K141" i="7" s="1"/>
  <c r="C142" i="7"/>
  <c r="C143" i="7"/>
  <c r="C144" i="7"/>
  <c r="C145" i="7"/>
  <c r="C146" i="7"/>
  <c r="C147" i="7"/>
  <c r="C148" i="7"/>
  <c r="C149" i="7"/>
  <c r="C150" i="7"/>
  <c r="B9" i="6"/>
  <c r="K81" i="4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J3" i="3" s="1"/>
  <c r="I6" i="1"/>
  <c r="I5" i="1"/>
  <c r="I4" i="1"/>
  <c r="I3" i="1"/>
  <c r="I2" i="1"/>
  <c r="G150" i="1"/>
  <c r="G149" i="1"/>
  <c r="G148" i="1"/>
  <c r="G147" i="1"/>
  <c r="G146" i="1"/>
  <c r="G145" i="1"/>
  <c r="G144" i="1"/>
  <c r="G143" i="1"/>
  <c r="C148" i="5" s="1"/>
  <c r="G142" i="1"/>
  <c r="C147" i="5" s="1"/>
  <c r="G141" i="1"/>
  <c r="G140" i="1"/>
  <c r="G139" i="1"/>
  <c r="C144" i="5" s="1"/>
  <c r="G138" i="1"/>
  <c r="G137" i="1"/>
  <c r="G136" i="1"/>
  <c r="G135" i="1"/>
  <c r="G134" i="1"/>
  <c r="G133" i="1"/>
  <c r="G132" i="1"/>
  <c r="G131" i="1"/>
  <c r="C136" i="5" s="1"/>
  <c r="G130" i="1"/>
  <c r="C135" i="5" s="1"/>
  <c r="G129" i="1"/>
  <c r="G128" i="1"/>
  <c r="G127" i="1"/>
  <c r="C132" i="5" s="1"/>
  <c r="G126" i="1"/>
  <c r="G125" i="1"/>
  <c r="G124" i="1"/>
  <c r="G123" i="1"/>
  <c r="G122" i="1"/>
  <c r="G121" i="1"/>
  <c r="G120" i="1"/>
  <c r="G119" i="1"/>
  <c r="C124" i="5" s="1"/>
  <c r="G118" i="1"/>
  <c r="C123" i="5" s="1"/>
  <c r="G117" i="1"/>
  <c r="G116" i="1"/>
  <c r="G115" i="1"/>
  <c r="C120" i="5" s="1"/>
  <c r="G114" i="1"/>
  <c r="G113" i="1"/>
  <c r="G112" i="1"/>
  <c r="G111" i="1"/>
  <c r="G110" i="1"/>
  <c r="G109" i="1"/>
  <c r="G108" i="1"/>
  <c r="G107" i="1"/>
  <c r="C112" i="5" s="1"/>
  <c r="G106" i="1"/>
  <c r="C111" i="5" s="1"/>
  <c r="G105" i="1"/>
  <c r="G104" i="1"/>
  <c r="G103" i="1"/>
  <c r="C108" i="5" s="1"/>
  <c r="G102" i="1"/>
  <c r="G101" i="1"/>
  <c r="G100" i="1"/>
  <c r="G99" i="1"/>
  <c r="G98" i="1"/>
  <c r="G97" i="1"/>
  <c r="G96" i="1"/>
  <c r="G95" i="1"/>
  <c r="C100" i="5" s="1"/>
  <c r="G94" i="1"/>
  <c r="C99" i="5" s="1"/>
  <c r="G93" i="1"/>
  <c r="G92" i="1"/>
  <c r="G91" i="1"/>
  <c r="C96" i="5" s="1"/>
  <c r="G90" i="1"/>
  <c r="G89" i="1"/>
  <c r="G88" i="1"/>
  <c r="G87" i="1"/>
  <c r="G86" i="1"/>
  <c r="G85" i="1"/>
  <c r="G84" i="1"/>
  <c r="G83" i="1"/>
  <c r="C88" i="5" s="1"/>
  <c r="G82" i="1"/>
  <c r="C87" i="5" s="1"/>
  <c r="G81" i="1"/>
  <c r="G80" i="1"/>
  <c r="G79" i="1"/>
  <c r="C84" i="5" s="1"/>
  <c r="G78" i="1"/>
  <c r="G77" i="1"/>
  <c r="G76" i="1"/>
  <c r="G75" i="1"/>
  <c r="G74" i="1"/>
  <c r="G73" i="1"/>
  <c r="G72" i="1"/>
  <c r="G71" i="1"/>
  <c r="C76" i="5" s="1"/>
  <c r="G70" i="1"/>
  <c r="C75" i="5" s="1"/>
  <c r="G69" i="1"/>
  <c r="G68" i="1"/>
  <c r="G67" i="1"/>
  <c r="C72" i="5" s="1"/>
  <c r="G66" i="1"/>
  <c r="G65" i="1"/>
  <c r="G64" i="1"/>
  <c r="G63" i="1"/>
  <c r="G62" i="1"/>
  <c r="G61" i="1"/>
  <c r="G60" i="1"/>
  <c r="G59" i="1"/>
  <c r="C64" i="5" s="1"/>
  <c r="G58" i="1"/>
  <c r="C63" i="5" s="1"/>
  <c r="G57" i="1"/>
  <c r="G56" i="1"/>
  <c r="G55" i="1"/>
  <c r="C60" i="5" s="1"/>
  <c r="G54" i="1"/>
  <c r="G53" i="1"/>
  <c r="G52" i="1"/>
  <c r="G51" i="1"/>
  <c r="G50" i="1"/>
  <c r="G49" i="1"/>
  <c r="G48" i="1"/>
  <c r="G47" i="1"/>
  <c r="C52" i="5" s="1"/>
  <c r="G46" i="1"/>
  <c r="C51" i="5" s="1"/>
  <c r="G45" i="1"/>
  <c r="G44" i="1"/>
  <c r="G43" i="1"/>
  <c r="C48" i="5" s="1"/>
  <c r="G42" i="1"/>
  <c r="G41" i="1"/>
  <c r="G40" i="1"/>
  <c r="G39" i="1"/>
  <c r="G38" i="1"/>
  <c r="G37" i="1"/>
  <c r="G36" i="1"/>
  <c r="G35" i="1"/>
  <c r="C40" i="5" s="1"/>
  <c r="G34" i="1"/>
  <c r="C39" i="5" s="1"/>
  <c r="G33" i="1"/>
  <c r="G32" i="1"/>
  <c r="G31" i="1"/>
  <c r="C36" i="5" s="1"/>
  <c r="G30" i="1"/>
  <c r="G29" i="1"/>
  <c r="G28" i="1"/>
  <c r="G27" i="1"/>
  <c r="G26" i="1"/>
  <c r="G25" i="1"/>
  <c r="G24" i="1"/>
  <c r="G23" i="1"/>
  <c r="C28" i="5" s="1"/>
  <c r="G22" i="1"/>
  <c r="C27" i="5" s="1"/>
  <c r="G21" i="1"/>
  <c r="G20" i="1"/>
  <c r="G19" i="1"/>
  <c r="C24" i="5" s="1"/>
  <c r="G18" i="1"/>
  <c r="G17" i="1"/>
  <c r="G16" i="1"/>
  <c r="G15" i="1"/>
  <c r="G14" i="1"/>
  <c r="G13" i="1"/>
  <c r="G12" i="1"/>
  <c r="G11" i="1"/>
  <c r="C16" i="5" s="1"/>
  <c r="G10" i="1"/>
  <c r="C15" i="5" s="1"/>
  <c r="G9" i="1"/>
  <c r="G8" i="1"/>
  <c r="G7" i="1"/>
  <c r="D26" i="4" s="1"/>
  <c r="G6" i="1"/>
  <c r="G5" i="1"/>
  <c r="G4" i="1"/>
  <c r="G3" i="1"/>
  <c r="G2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C156" i="1"/>
  <c r="D12" i="8" a="1"/>
  <c r="D12" i="8" s="1"/>
  <c r="E4" i="8"/>
  <c r="E3" i="8"/>
  <c r="J176" i="8"/>
  <c r="J175" i="8"/>
  <c r="I176" i="8"/>
  <c r="I175" i="8"/>
  <c r="H176" i="8"/>
  <c r="H175" i="8"/>
  <c r="G176" i="8"/>
  <c r="F176" i="8"/>
  <c r="F175" i="8"/>
  <c r="D176" i="8"/>
  <c r="D175" i="8"/>
  <c r="E173" i="8"/>
  <c r="E172" i="8"/>
  <c r="E171" i="8"/>
  <c r="E170" i="8"/>
  <c r="E169" i="8"/>
  <c r="E176" i="8" s="1"/>
  <c r="E168" i="8"/>
  <c r="E167" i="8"/>
  <c r="E166" i="8"/>
  <c r="E175" i="8" s="1"/>
  <c r="E165" i="8"/>
  <c r="E164" i="8"/>
  <c r="G173" i="8"/>
  <c r="G172" i="8"/>
  <c r="G171" i="8"/>
  <c r="G170" i="8"/>
  <c r="G169" i="8"/>
  <c r="G168" i="8"/>
  <c r="G167" i="8"/>
  <c r="G166" i="8"/>
  <c r="G165" i="8"/>
  <c r="G164" i="8"/>
  <c r="G175" i="8" s="1"/>
  <c r="C173" i="8"/>
  <c r="C172" i="8"/>
  <c r="C171" i="8"/>
  <c r="C170" i="8"/>
  <c r="C169" i="8"/>
  <c r="C176" i="8" s="1"/>
  <c r="C168" i="8"/>
  <c r="C167" i="8"/>
  <c r="C166" i="8"/>
  <c r="C165" i="8"/>
  <c r="C164" i="8"/>
  <c r="C175" i="8" s="1"/>
  <c r="G158" i="8"/>
  <c r="D13" i="8" a="1"/>
  <c r="D13" i="8" s="1"/>
  <c r="D14" i="8" a="1"/>
  <c r="D14" i="8" s="1"/>
  <c r="D15" i="8" a="1"/>
  <c r="D15" i="8"/>
  <c r="D16" i="8" a="1"/>
  <c r="D16" i="8" s="1"/>
  <c r="D17" i="8" a="1"/>
  <c r="D17" i="8"/>
  <c r="D18" i="8" a="1"/>
  <c r="D18" i="8"/>
  <c r="D19" i="8" a="1"/>
  <c r="D19" i="8" s="1"/>
  <c r="D20" i="8" a="1"/>
  <c r="D20" i="8" s="1"/>
  <c r="D21" i="8" a="1"/>
  <c r="D21" i="8" s="1"/>
  <c r="D22" i="8" a="1"/>
  <c r="D22" i="8" s="1"/>
  <c r="D23" i="8" a="1"/>
  <c r="D23" i="8" s="1"/>
  <c r="D24" i="8" a="1"/>
  <c r="D24" i="8" s="1"/>
  <c r="D25" i="8" a="1"/>
  <c r="D25" i="8" s="1"/>
  <c r="D26" i="8" a="1"/>
  <c r="D26" i="8" s="1"/>
  <c r="D27" i="8" a="1"/>
  <c r="D27" i="8"/>
  <c r="D28" i="8" a="1"/>
  <c r="D28" i="8" s="1"/>
  <c r="D29" i="8" a="1"/>
  <c r="D29" i="8"/>
  <c r="D30" i="8" a="1"/>
  <c r="D30" i="8" s="1"/>
  <c r="D31" i="8" a="1"/>
  <c r="D31" i="8" s="1"/>
  <c r="D32" i="8" a="1"/>
  <c r="D32" i="8" s="1"/>
  <c r="D33" i="8" a="1"/>
  <c r="D33" i="8" s="1"/>
  <c r="D34" i="8" a="1"/>
  <c r="D34" i="8"/>
  <c r="D35" i="8" a="1"/>
  <c r="D35" i="8" s="1"/>
  <c r="D36" i="8" a="1"/>
  <c r="D36" i="8"/>
  <c r="D37" i="8" a="1"/>
  <c r="D37" i="8" s="1"/>
  <c r="D38" i="8" a="1"/>
  <c r="D38" i="8" s="1"/>
  <c r="D39" i="8" a="1"/>
  <c r="D39" i="8" s="1"/>
  <c r="D40" i="8" a="1"/>
  <c r="D40" i="8"/>
  <c r="D41" i="8" a="1"/>
  <c r="D41" i="8"/>
  <c r="D42" i="8" a="1"/>
  <c r="D42" i="8" s="1"/>
  <c r="D43" i="8" a="1"/>
  <c r="D43" i="8" s="1"/>
  <c r="D44" i="8" a="1"/>
  <c r="D44" i="8" s="1"/>
  <c r="D45" i="8" a="1"/>
  <c r="D45" i="8" s="1"/>
  <c r="D46" i="8" a="1"/>
  <c r="D46" i="8"/>
  <c r="D47" i="8" a="1"/>
  <c r="D47" i="8" s="1"/>
  <c r="D48" i="8" a="1"/>
  <c r="D48" i="8"/>
  <c r="D49" i="8" a="1"/>
  <c r="D49" i="8" s="1"/>
  <c r="D50" i="8" a="1"/>
  <c r="D50" i="8" s="1"/>
  <c r="D51" i="8" a="1"/>
  <c r="D51" i="8"/>
  <c r="D52" i="8" a="1"/>
  <c r="D52" i="8" s="1"/>
  <c r="D53" i="8" a="1"/>
  <c r="D53" i="8"/>
  <c r="D54" i="8" a="1"/>
  <c r="D54" i="8"/>
  <c r="D55" i="8" a="1"/>
  <c r="D55" i="8" s="1"/>
  <c r="D56" i="8" a="1"/>
  <c r="D56" i="8" s="1"/>
  <c r="D57" i="8" a="1"/>
  <c r="D57" i="8" s="1"/>
  <c r="D58" i="8" a="1"/>
  <c r="D58" i="8"/>
  <c r="D59" i="8" a="1"/>
  <c r="D59" i="8" s="1"/>
  <c r="D60" i="8" a="1"/>
  <c r="D60" i="8"/>
  <c r="D61" i="8" a="1"/>
  <c r="D61" i="8" s="1"/>
  <c r="D62" i="8" a="1"/>
  <c r="D62" i="8" s="1"/>
  <c r="D63" i="8" a="1"/>
  <c r="D63" i="8"/>
  <c r="D64" i="8" a="1"/>
  <c r="D64" i="8" s="1"/>
  <c r="D65" i="8" a="1"/>
  <c r="D65" i="8"/>
  <c r="D66" i="8" a="1"/>
  <c r="D66" i="8" s="1"/>
  <c r="D67" i="8" a="1"/>
  <c r="D67" i="8" s="1"/>
  <c r="D68" i="8" a="1"/>
  <c r="D68" i="8" s="1"/>
  <c r="D69" i="8" a="1"/>
  <c r="D69" i="8"/>
  <c r="D70" i="8" a="1"/>
  <c r="D70" i="8"/>
  <c r="D71" i="8" a="1"/>
  <c r="D71" i="8" s="1"/>
  <c r="D72" i="8" a="1"/>
  <c r="D72" i="8" s="1"/>
  <c r="D73" i="8" a="1"/>
  <c r="D73" i="8" s="1"/>
  <c r="D74" i="8" a="1"/>
  <c r="D74" i="8" s="1"/>
  <c r="D75" i="8" a="1"/>
  <c r="D75" i="8"/>
  <c r="D76" i="8" a="1"/>
  <c r="D76" i="8"/>
  <c r="D77" i="8" a="1"/>
  <c r="D77" i="8"/>
  <c r="D78" i="8" a="1"/>
  <c r="D78" i="8" s="1"/>
  <c r="D79" i="8" a="1"/>
  <c r="D79" i="8" s="1"/>
  <c r="D80" i="8" a="1"/>
  <c r="D80" i="8" s="1"/>
  <c r="D81" i="8" a="1"/>
  <c r="D81" i="8" s="1"/>
  <c r="D82" i="8" a="1"/>
  <c r="D82" i="8"/>
  <c r="D83" i="8" a="1"/>
  <c r="D83" i="8"/>
  <c r="D84" i="8" a="1"/>
  <c r="D84" i="8"/>
  <c r="D85" i="8" a="1"/>
  <c r="D85" i="8" s="1"/>
  <c r="D86" i="8" a="1"/>
  <c r="D86" i="8" s="1"/>
  <c r="D87" i="8" a="1"/>
  <c r="D87" i="8"/>
  <c r="D88" i="8" a="1"/>
  <c r="D88" i="8" s="1"/>
  <c r="D89" i="8" a="1"/>
  <c r="D89" i="8" s="1"/>
  <c r="D90" i="8" a="1"/>
  <c r="D90" i="8" s="1"/>
  <c r="D91" i="8" a="1"/>
  <c r="D91" i="8" s="1"/>
  <c r="D92" i="8" a="1"/>
  <c r="D92" i="8" s="1"/>
  <c r="D93" i="8" a="1"/>
  <c r="D93" i="8" s="1"/>
  <c r="D94" i="8" a="1"/>
  <c r="D94" i="8"/>
  <c r="D95" i="8" a="1"/>
  <c r="D95" i="8" s="1"/>
  <c r="D96" i="8" a="1"/>
  <c r="D96" i="8"/>
  <c r="D97" i="8" a="1"/>
  <c r="D97" i="8" s="1"/>
  <c r="D98" i="8" a="1"/>
  <c r="D98" i="8" s="1"/>
  <c r="D99" i="8" a="1"/>
  <c r="D99" i="8" s="1"/>
  <c r="D100" i="8" a="1"/>
  <c r="D100" i="8" s="1"/>
  <c r="D101" i="8" a="1"/>
  <c r="D101" i="8"/>
  <c r="D102" i="8" a="1"/>
  <c r="D102" i="8" s="1"/>
  <c r="D103" i="8" a="1"/>
  <c r="D103" i="8" s="1"/>
  <c r="D104" i="8" a="1"/>
  <c r="D104" i="8" s="1"/>
  <c r="D105" i="8" a="1"/>
  <c r="D105" i="8"/>
  <c r="D106" i="8" a="1"/>
  <c r="D106" i="8" s="1"/>
  <c r="D107" i="8" a="1"/>
  <c r="D107" i="8" s="1"/>
  <c r="D108" i="8" a="1"/>
  <c r="D108" i="8"/>
  <c r="D109" i="8" a="1"/>
  <c r="D109" i="8" s="1"/>
  <c r="D110" i="8" a="1"/>
  <c r="D110" i="8" s="1"/>
  <c r="D111" i="8" a="1"/>
  <c r="D111" i="8"/>
  <c r="D112" i="8" a="1"/>
  <c r="D112" i="8"/>
  <c r="D113" i="8" a="1"/>
  <c r="D113" i="8" s="1"/>
  <c r="D114" i="8" a="1"/>
  <c r="D114" i="8" s="1"/>
  <c r="D115" i="8" a="1"/>
  <c r="D115" i="8" s="1"/>
  <c r="D116" i="8" a="1"/>
  <c r="D116" i="8" s="1"/>
  <c r="D117" i="8" a="1"/>
  <c r="D117" i="8" s="1"/>
  <c r="D118" i="8" a="1"/>
  <c r="D118" i="8"/>
  <c r="D119" i="8" a="1"/>
  <c r="D119" i="8"/>
  <c r="D120" i="8" a="1"/>
  <c r="D120" i="8"/>
  <c r="D121" i="8" a="1"/>
  <c r="D121" i="8" s="1"/>
  <c r="D122" i="8" a="1"/>
  <c r="D122" i="8" s="1"/>
  <c r="D123" i="8" a="1"/>
  <c r="D123" i="8"/>
  <c r="D124" i="8" a="1"/>
  <c r="D124" i="8" s="1"/>
  <c r="D125" i="8" a="1"/>
  <c r="D125" i="8"/>
  <c r="D126" i="8" a="1"/>
  <c r="D126" i="8"/>
  <c r="D127" i="8" a="1"/>
  <c r="D127" i="8" s="1"/>
  <c r="D128" i="8" a="1"/>
  <c r="D128" i="8" s="1"/>
  <c r="D129" i="8" a="1"/>
  <c r="D129" i="8" s="1"/>
  <c r="D130" i="8" a="1"/>
  <c r="D130" i="8" s="1"/>
  <c r="D131" i="8" a="1"/>
  <c r="D131" i="8" s="1"/>
  <c r="D132" i="8" a="1"/>
  <c r="D132" i="8"/>
  <c r="D133" i="8" a="1"/>
  <c r="D133" i="8" s="1"/>
  <c r="D134" i="8" a="1"/>
  <c r="D134" i="8" s="1"/>
  <c r="D135" i="8" a="1"/>
  <c r="D135" i="8"/>
  <c r="D136" i="8" a="1"/>
  <c r="D136" i="8" s="1"/>
  <c r="D137" i="8" a="1"/>
  <c r="D137" i="8" s="1"/>
  <c r="D138" i="8" a="1"/>
  <c r="D138" i="8" s="1"/>
  <c r="D139" i="8" a="1"/>
  <c r="D139" i="8" s="1"/>
  <c r="D140" i="8" a="1"/>
  <c r="D140" i="8" s="1"/>
  <c r="D141" i="8" a="1"/>
  <c r="D141" i="8" s="1"/>
  <c r="D142" i="8" a="1"/>
  <c r="D142" i="8" s="1"/>
  <c r="D143" i="8" a="1"/>
  <c r="D143" i="8" s="1"/>
  <c r="D144" i="8" a="1"/>
  <c r="D144" i="8" s="1"/>
  <c r="D145" i="8" a="1"/>
  <c r="D145" i="8" s="1"/>
  <c r="D146" i="8" a="1"/>
  <c r="D146" i="8" s="1"/>
  <c r="D147" i="8" a="1"/>
  <c r="D147" i="8"/>
  <c r="D148" i="8" a="1"/>
  <c r="D148" i="8" s="1"/>
  <c r="D149" i="8" a="1"/>
  <c r="D149" i="8" s="1"/>
  <c r="D150" i="8" a="1"/>
  <c r="D150" i="8"/>
  <c r="D151" i="8" a="1"/>
  <c r="D151" i="8" s="1"/>
  <c r="D152" i="8" a="1"/>
  <c r="D152" i="8" s="1"/>
  <c r="D153" i="8" a="1"/>
  <c r="D153" i="8" s="1"/>
  <c r="D154" i="8" a="1"/>
  <c r="D154" i="8"/>
  <c r="D155" i="8" a="1"/>
  <c r="D155" i="8"/>
  <c r="D156" i="8" a="1"/>
  <c r="D156" i="8"/>
  <c r="D157" i="8" a="1"/>
  <c r="D157" i="8" s="1"/>
  <c r="D158" i="8" a="1"/>
  <c r="D158" i="8" s="1"/>
  <c r="D159" i="8" a="1"/>
  <c r="D159" i="8" s="1"/>
  <c r="D160" i="8" a="1"/>
  <c r="D160" i="8" s="1"/>
  <c r="D2" i="7"/>
  <c r="L2" i="7" s="1"/>
  <c r="D3" i="7"/>
  <c r="L3" i="7" s="1"/>
  <c r="M3" i="7" s="1"/>
  <c r="D4" i="7"/>
  <c r="L4" i="7" s="1"/>
  <c r="M4" i="7" s="1"/>
  <c r="D5" i="7"/>
  <c r="L5" i="7" s="1"/>
  <c r="M5" i="7" s="1"/>
  <c r="D6" i="7"/>
  <c r="L6" i="7" s="1"/>
  <c r="M6" i="7" s="1"/>
  <c r="D7" i="7"/>
  <c r="D8" i="7"/>
  <c r="J8" i="7" s="1"/>
  <c r="K8" i="7" s="1"/>
  <c r="D9" i="7"/>
  <c r="L9" i="7" s="1"/>
  <c r="M9" i="7" s="1"/>
  <c r="D10" i="7"/>
  <c r="L10" i="7" s="1"/>
  <c r="M10" i="7" s="1"/>
  <c r="D11" i="7"/>
  <c r="L11" i="7" s="1"/>
  <c r="M11" i="7" s="1"/>
  <c r="D12" i="7"/>
  <c r="L12" i="7" s="1"/>
  <c r="M12" i="7" s="1"/>
  <c r="D13" i="7"/>
  <c r="L13" i="7" s="1"/>
  <c r="M13" i="7" s="1"/>
  <c r="D14" i="7"/>
  <c r="L14" i="7" s="1"/>
  <c r="M14" i="7" s="1"/>
  <c r="D15" i="7"/>
  <c r="L15" i="7" s="1"/>
  <c r="M15" i="7" s="1"/>
  <c r="D16" i="7"/>
  <c r="L16" i="7" s="1"/>
  <c r="M16" i="7" s="1"/>
  <c r="D17" i="7"/>
  <c r="L17" i="7" s="1"/>
  <c r="M17" i="7" s="1"/>
  <c r="D18" i="7"/>
  <c r="L18" i="7" s="1"/>
  <c r="M18" i="7" s="1"/>
  <c r="D19" i="7"/>
  <c r="D20" i="7"/>
  <c r="J20" i="7" s="1"/>
  <c r="K20" i="7" s="1"/>
  <c r="D21" i="7"/>
  <c r="L21" i="7" s="1"/>
  <c r="M21" i="7" s="1"/>
  <c r="D22" i="7"/>
  <c r="L22" i="7" s="1"/>
  <c r="M22" i="7" s="1"/>
  <c r="D23" i="7"/>
  <c r="L23" i="7" s="1"/>
  <c r="M23" i="7" s="1"/>
  <c r="D24" i="7"/>
  <c r="L24" i="7" s="1"/>
  <c r="M24" i="7" s="1"/>
  <c r="D25" i="7"/>
  <c r="L25" i="7" s="1"/>
  <c r="M25" i="7" s="1"/>
  <c r="D26" i="7"/>
  <c r="L26" i="7" s="1"/>
  <c r="M26" i="7" s="1"/>
  <c r="D27" i="7"/>
  <c r="L27" i="7" s="1"/>
  <c r="M27" i="7" s="1"/>
  <c r="D28" i="7"/>
  <c r="L28" i="7" s="1"/>
  <c r="M28" i="7" s="1"/>
  <c r="D29" i="7"/>
  <c r="L29" i="7" s="1"/>
  <c r="M29" i="7" s="1"/>
  <c r="D30" i="7"/>
  <c r="L30" i="7" s="1"/>
  <c r="M30" i="7" s="1"/>
  <c r="D31" i="7"/>
  <c r="D32" i="7"/>
  <c r="J32" i="7" s="1"/>
  <c r="K32" i="7" s="1"/>
  <c r="D33" i="7"/>
  <c r="L33" i="7" s="1"/>
  <c r="M33" i="7" s="1"/>
  <c r="D34" i="7"/>
  <c r="L34" i="7" s="1"/>
  <c r="M34" i="7" s="1"/>
  <c r="D35" i="7"/>
  <c r="L35" i="7" s="1"/>
  <c r="M35" i="7" s="1"/>
  <c r="D36" i="7"/>
  <c r="L36" i="7" s="1"/>
  <c r="M36" i="7" s="1"/>
  <c r="D37" i="7"/>
  <c r="L37" i="7" s="1"/>
  <c r="M37" i="7" s="1"/>
  <c r="D38" i="7"/>
  <c r="L38" i="7" s="1"/>
  <c r="M38" i="7" s="1"/>
  <c r="D39" i="7"/>
  <c r="L39" i="7" s="1"/>
  <c r="M39" i="7" s="1"/>
  <c r="D40" i="7"/>
  <c r="L40" i="7" s="1"/>
  <c r="M40" i="7" s="1"/>
  <c r="D41" i="7"/>
  <c r="L41" i="7" s="1"/>
  <c r="M41" i="7" s="1"/>
  <c r="D42" i="7"/>
  <c r="L42" i="7" s="1"/>
  <c r="M42" i="7" s="1"/>
  <c r="D43" i="7"/>
  <c r="D44" i="7"/>
  <c r="J44" i="7" s="1"/>
  <c r="K44" i="7" s="1"/>
  <c r="D45" i="7"/>
  <c r="L45" i="7" s="1"/>
  <c r="M45" i="7" s="1"/>
  <c r="D46" i="7"/>
  <c r="L46" i="7" s="1"/>
  <c r="M46" i="7" s="1"/>
  <c r="D47" i="7"/>
  <c r="L47" i="7" s="1"/>
  <c r="M47" i="7" s="1"/>
  <c r="D48" i="7"/>
  <c r="L48" i="7" s="1"/>
  <c r="M48" i="7" s="1"/>
  <c r="D49" i="7"/>
  <c r="L49" i="7" s="1"/>
  <c r="M49" i="7" s="1"/>
  <c r="D50" i="7"/>
  <c r="L50" i="7" s="1"/>
  <c r="M50" i="7" s="1"/>
  <c r="D51" i="7"/>
  <c r="L51" i="7" s="1"/>
  <c r="M51" i="7" s="1"/>
  <c r="D52" i="7"/>
  <c r="L52" i="7" s="1"/>
  <c r="M52" i="7" s="1"/>
  <c r="D53" i="7"/>
  <c r="L53" i="7" s="1"/>
  <c r="M53" i="7" s="1"/>
  <c r="D54" i="7"/>
  <c r="L54" i="7" s="1"/>
  <c r="M54" i="7" s="1"/>
  <c r="D55" i="7"/>
  <c r="D56" i="7"/>
  <c r="J56" i="7" s="1"/>
  <c r="K56" i="7" s="1"/>
  <c r="D57" i="7"/>
  <c r="L57" i="7" s="1"/>
  <c r="M57" i="7" s="1"/>
  <c r="D59" i="7"/>
  <c r="L59" i="7" s="1"/>
  <c r="M59" i="7" s="1"/>
  <c r="D58" i="7"/>
  <c r="L58" i="7" s="1"/>
  <c r="M58" i="7" s="1"/>
  <c r="D60" i="7"/>
  <c r="L60" i="7" s="1"/>
  <c r="M60" i="7" s="1"/>
  <c r="D61" i="7"/>
  <c r="L61" i="7" s="1"/>
  <c r="M61" i="7" s="1"/>
  <c r="D62" i="7"/>
  <c r="L62" i="7" s="1"/>
  <c r="M62" i="7" s="1"/>
  <c r="D63" i="7"/>
  <c r="L63" i="7" s="1"/>
  <c r="M63" i="7" s="1"/>
  <c r="D64" i="7"/>
  <c r="L64" i="7" s="1"/>
  <c r="M64" i="7" s="1"/>
  <c r="D65" i="7"/>
  <c r="L65" i="7" s="1"/>
  <c r="M65" i="7" s="1"/>
  <c r="D66" i="7"/>
  <c r="L66" i="7" s="1"/>
  <c r="M66" i="7" s="1"/>
  <c r="D67" i="7"/>
  <c r="D68" i="7"/>
  <c r="J68" i="7" s="1"/>
  <c r="K68" i="7" s="1"/>
  <c r="D69" i="7"/>
  <c r="L69" i="7" s="1"/>
  <c r="M69" i="7" s="1"/>
  <c r="D70" i="7"/>
  <c r="L70" i="7" s="1"/>
  <c r="M70" i="7" s="1"/>
  <c r="D71" i="7"/>
  <c r="L71" i="7" s="1"/>
  <c r="M71" i="7" s="1"/>
  <c r="D72" i="7"/>
  <c r="L72" i="7" s="1"/>
  <c r="M72" i="7" s="1"/>
  <c r="D73" i="7"/>
  <c r="L73" i="7" s="1"/>
  <c r="M73" i="7" s="1"/>
  <c r="D74" i="7"/>
  <c r="L74" i="7" s="1"/>
  <c r="M74" i="7" s="1"/>
  <c r="D75" i="7"/>
  <c r="L75" i="7" s="1"/>
  <c r="M75" i="7" s="1"/>
  <c r="D76" i="7"/>
  <c r="L76" i="7" s="1"/>
  <c r="M76" i="7" s="1"/>
  <c r="D78" i="7"/>
  <c r="L78" i="7" s="1"/>
  <c r="M78" i="7" s="1"/>
  <c r="D77" i="7"/>
  <c r="L77" i="7" s="1"/>
  <c r="M77" i="7" s="1"/>
  <c r="D79" i="7"/>
  <c r="D80" i="7"/>
  <c r="J80" i="7" s="1"/>
  <c r="K80" i="7" s="1"/>
  <c r="D81" i="7"/>
  <c r="L81" i="7" s="1"/>
  <c r="M81" i="7" s="1"/>
  <c r="D82" i="7"/>
  <c r="L82" i="7" s="1"/>
  <c r="M82" i="7" s="1"/>
  <c r="D83" i="7"/>
  <c r="L83" i="7" s="1"/>
  <c r="M83" i="7" s="1"/>
  <c r="D84" i="7"/>
  <c r="L84" i="7" s="1"/>
  <c r="M84" i="7" s="1"/>
  <c r="D85" i="7"/>
  <c r="L85" i="7" s="1"/>
  <c r="M85" i="7" s="1"/>
  <c r="D86" i="7"/>
  <c r="L86" i="7" s="1"/>
  <c r="M86" i="7" s="1"/>
  <c r="D87" i="7"/>
  <c r="L87" i="7" s="1"/>
  <c r="M87" i="7" s="1"/>
  <c r="D88" i="7"/>
  <c r="L88" i="7" s="1"/>
  <c r="M88" i="7" s="1"/>
  <c r="D89" i="7"/>
  <c r="L89" i="7" s="1"/>
  <c r="M89" i="7" s="1"/>
  <c r="D90" i="7"/>
  <c r="L90" i="7" s="1"/>
  <c r="M90" i="7" s="1"/>
  <c r="D91" i="7"/>
  <c r="J91" i="7" s="1"/>
  <c r="D92" i="7"/>
  <c r="J92" i="7" s="1"/>
  <c r="K92" i="7" s="1"/>
  <c r="D93" i="7"/>
  <c r="L93" i="7" s="1"/>
  <c r="M93" i="7" s="1"/>
  <c r="D94" i="7"/>
  <c r="L94" i="7" s="1"/>
  <c r="M94" i="7" s="1"/>
  <c r="D95" i="7"/>
  <c r="L95" i="7" s="1"/>
  <c r="M95" i="7" s="1"/>
  <c r="D96" i="7"/>
  <c r="L96" i="7" s="1"/>
  <c r="M96" i="7" s="1"/>
  <c r="D97" i="7"/>
  <c r="L97" i="7" s="1"/>
  <c r="M97" i="7" s="1"/>
  <c r="D98" i="7"/>
  <c r="L98" i="7" s="1"/>
  <c r="M98" i="7" s="1"/>
  <c r="D99" i="7"/>
  <c r="L99" i="7" s="1"/>
  <c r="M99" i="7" s="1"/>
  <c r="D100" i="7"/>
  <c r="L100" i="7" s="1"/>
  <c r="M100" i="7" s="1"/>
  <c r="D101" i="7"/>
  <c r="L101" i="7" s="1"/>
  <c r="M101" i="7" s="1"/>
  <c r="D102" i="7"/>
  <c r="L102" i="7" s="1"/>
  <c r="M102" i="7" s="1"/>
  <c r="D103" i="7"/>
  <c r="J103" i="7" s="1"/>
  <c r="D104" i="7"/>
  <c r="J104" i="7" s="1"/>
  <c r="K104" i="7" s="1"/>
  <c r="D105" i="7"/>
  <c r="L105" i="7" s="1"/>
  <c r="M105" i="7" s="1"/>
  <c r="D106" i="7"/>
  <c r="L106" i="7" s="1"/>
  <c r="M106" i="7" s="1"/>
  <c r="D107" i="7"/>
  <c r="L107" i="7" s="1"/>
  <c r="M107" i="7" s="1"/>
  <c r="D108" i="7"/>
  <c r="L108" i="7" s="1"/>
  <c r="M108" i="7" s="1"/>
  <c r="D109" i="7"/>
  <c r="L109" i="7" s="1"/>
  <c r="M109" i="7" s="1"/>
  <c r="D110" i="7"/>
  <c r="L110" i="7" s="1"/>
  <c r="M110" i="7" s="1"/>
  <c r="D111" i="7"/>
  <c r="L111" i="7" s="1"/>
  <c r="M111" i="7" s="1"/>
  <c r="D112" i="7"/>
  <c r="L112" i="7" s="1"/>
  <c r="M112" i="7" s="1"/>
  <c r="D113" i="7"/>
  <c r="L113" i="7" s="1"/>
  <c r="M113" i="7" s="1"/>
  <c r="D114" i="7"/>
  <c r="L114" i="7" s="1"/>
  <c r="M114" i="7" s="1"/>
  <c r="D115" i="7"/>
  <c r="J115" i="7" s="1"/>
  <c r="D116" i="7"/>
  <c r="J116" i="7" s="1"/>
  <c r="K116" i="7" s="1"/>
  <c r="D117" i="7"/>
  <c r="L117" i="7" s="1"/>
  <c r="M117" i="7" s="1"/>
  <c r="D118" i="7"/>
  <c r="L118" i="7" s="1"/>
  <c r="M118" i="7" s="1"/>
  <c r="D119" i="7"/>
  <c r="L119" i="7" s="1"/>
  <c r="M119" i="7" s="1"/>
  <c r="D120" i="7"/>
  <c r="L120" i="7" s="1"/>
  <c r="M120" i="7" s="1"/>
  <c r="D121" i="7"/>
  <c r="L121" i="7" s="1"/>
  <c r="M121" i="7" s="1"/>
  <c r="D122" i="7"/>
  <c r="L122" i="7" s="1"/>
  <c r="M122" i="7" s="1"/>
  <c r="D123" i="7"/>
  <c r="L123" i="7" s="1"/>
  <c r="M123" i="7" s="1"/>
  <c r="D124" i="7"/>
  <c r="L124" i="7" s="1"/>
  <c r="M124" i="7" s="1"/>
  <c r="D125" i="7"/>
  <c r="L125" i="7" s="1"/>
  <c r="M125" i="7" s="1"/>
  <c r="D126" i="7"/>
  <c r="L126" i="7" s="1"/>
  <c r="M126" i="7" s="1"/>
  <c r="D127" i="7"/>
  <c r="J127" i="7" s="1"/>
  <c r="D128" i="7"/>
  <c r="J128" i="7" s="1"/>
  <c r="K128" i="7" s="1"/>
  <c r="D129" i="7"/>
  <c r="L129" i="7" s="1"/>
  <c r="M129" i="7" s="1"/>
  <c r="D130" i="7"/>
  <c r="L130" i="7" s="1"/>
  <c r="M130" i="7" s="1"/>
  <c r="D131" i="7"/>
  <c r="L131" i="7" s="1"/>
  <c r="M131" i="7" s="1"/>
  <c r="D132" i="7"/>
  <c r="L132" i="7" s="1"/>
  <c r="M132" i="7" s="1"/>
  <c r="D133" i="7"/>
  <c r="L133" i="7" s="1"/>
  <c r="M133" i="7" s="1"/>
  <c r="D134" i="7"/>
  <c r="L134" i="7" s="1"/>
  <c r="M134" i="7" s="1"/>
  <c r="D135" i="7"/>
  <c r="L135" i="7" s="1"/>
  <c r="M135" i="7" s="1"/>
  <c r="D136" i="7"/>
  <c r="L136" i="7" s="1"/>
  <c r="M136" i="7" s="1"/>
  <c r="D137" i="7"/>
  <c r="L137" i="7" s="1"/>
  <c r="M137" i="7" s="1"/>
  <c r="D138" i="7"/>
  <c r="L138" i="7" s="1"/>
  <c r="M138" i="7" s="1"/>
  <c r="D139" i="7"/>
  <c r="J139" i="7" s="1"/>
  <c r="D140" i="7"/>
  <c r="J140" i="7" s="1"/>
  <c r="K140" i="7" s="1"/>
  <c r="D141" i="7"/>
  <c r="L141" i="7" s="1"/>
  <c r="M141" i="7" s="1"/>
  <c r="D142" i="7"/>
  <c r="L142" i="7" s="1"/>
  <c r="M142" i="7" s="1"/>
  <c r="D143" i="7"/>
  <c r="L143" i="7" s="1"/>
  <c r="M143" i="7" s="1"/>
  <c r="D144" i="7"/>
  <c r="L144" i="7" s="1"/>
  <c r="M144" i="7" s="1"/>
  <c r="D145" i="7"/>
  <c r="L145" i="7" s="1"/>
  <c r="M145" i="7" s="1"/>
  <c r="D146" i="7"/>
  <c r="L146" i="7" s="1"/>
  <c r="M146" i="7" s="1"/>
  <c r="D147" i="7"/>
  <c r="L147" i="7" s="1"/>
  <c r="M147" i="7" s="1"/>
  <c r="D148" i="7"/>
  <c r="L148" i="7" s="1"/>
  <c r="M148" i="7" s="1"/>
  <c r="D149" i="7"/>
  <c r="L149" i="7" s="1"/>
  <c r="M149" i="7" s="1"/>
  <c r="D150" i="7"/>
  <c r="L150" i="7" s="1"/>
  <c r="M150" i="7" s="1"/>
  <c r="F2" i="7"/>
  <c r="F3" i="7"/>
  <c r="F4" i="7"/>
  <c r="F5" i="7"/>
  <c r="F6" i="7"/>
  <c r="F7" i="7"/>
  <c r="F8" i="7"/>
  <c r="F9" i="7"/>
  <c r="F10" i="7"/>
  <c r="F11" i="7"/>
  <c r="F12" i="7"/>
  <c r="J12" i="7" s="1"/>
  <c r="K12" i="7" s="1"/>
  <c r="F13" i="7"/>
  <c r="F14" i="7"/>
  <c r="F15" i="7"/>
  <c r="F16" i="7"/>
  <c r="F17" i="7"/>
  <c r="F18" i="7"/>
  <c r="F19" i="7"/>
  <c r="F20" i="7"/>
  <c r="F21" i="7"/>
  <c r="F22" i="7"/>
  <c r="F23" i="7"/>
  <c r="F24" i="7"/>
  <c r="J24" i="7" s="1"/>
  <c r="K24" i="7" s="1"/>
  <c r="F25" i="7"/>
  <c r="F26" i="7"/>
  <c r="F27" i="7"/>
  <c r="F28" i="7"/>
  <c r="F29" i="7"/>
  <c r="F30" i="7"/>
  <c r="F31" i="7"/>
  <c r="F32" i="7"/>
  <c r="F33" i="7"/>
  <c r="F34" i="7"/>
  <c r="F35" i="7"/>
  <c r="F36" i="7"/>
  <c r="J36" i="7" s="1"/>
  <c r="K36" i="7" s="1"/>
  <c r="F37" i="7"/>
  <c r="F38" i="7"/>
  <c r="F39" i="7"/>
  <c r="F40" i="7"/>
  <c r="F41" i="7"/>
  <c r="F42" i="7"/>
  <c r="J42" i="7" s="1"/>
  <c r="K42" i="7" s="1"/>
  <c r="F43" i="7"/>
  <c r="F44" i="7"/>
  <c r="F45" i="7"/>
  <c r="F46" i="7"/>
  <c r="F47" i="7"/>
  <c r="F48" i="7"/>
  <c r="J48" i="7" s="1"/>
  <c r="K48" i="7" s="1"/>
  <c r="F49" i="7"/>
  <c r="F50" i="7"/>
  <c r="F51" i="7"/>
  <c r="F52" i="7"/>
  <c r="F53" i="7"/>
  <c r="F54" i="7"/>
  <c r="J54" i="7" s="1"/>
  <c r="F55" i="7"/>
  <c r="J55" i="7" s="1"/>
  <c r="F56" i="7"/>
  <c r="F57" i="7"/>
  <c r="F59" i="7"/>
  <c r="F58" i="7"/>
  <c r="F60" i="7"/>
  <c r="J60" i="7" s="1"/>
  <c r="K60" i="7" s="1"/>
  <c r="F61" i="7"/>
  <c r="F62" i="7"/>
  <c r="J62" i="7" s="1"/>
  <c r="K62" i="7" s="1"/>
  <c r="F63" i="7"/>
  <c r="F64" i="7"/>
  <c r="F65" i="7"/>
  <c r="F66" i="7"/>
  <c r="J66" i="7" s="1"/>
  <c r="K66" i="7" s="1"/>
  <c r="F67" i="7"/>
  <c r="J67" i="7" s="1"/>
  <c r="F68" i="7"/>
  <c r="F69" i="7"/>
  <c r="F70" i="7"/>
  <c r="F71" i="7"/>
  <c r="F72" i="7"/>
  <c r="J72" i="7" s="1"/>
  <c r="K72" i="7" s="1"/>
  <c r="F73" i="7"/>
  <c r="F74" i="7"/>
  <c r="J74" i="7" s="1"/>
  <c r="K74" i="7" s="1"/>
  <c r="F75" i="7"/>
  <c r="F76" i="7"/>
  <c r="F78" i="7"/>
  <c r="F77" i="7"/>
  <c r="J77" i="7" s="1"/>
  <c r="K77" i="7" s="1"/>
  <c r="F79" i="7"/>
  <c r="J79" i="7" s="1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J150" i="7" s="1"/>
  <c r="K150" i="7" s="1"/>
  <c r="C315" i="6"/>
  <c r="D314" i="6"/>
  <c r="D315" i="6"/>
  <c r="D316" i="6" s="1"/>
  <c r="C314" i="6"/>
  <c r="C316" i="6" s="1"/>
  <c r="E170" i="6" s="1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7" i="5"/>
  <c r="C7" i="5"/>
  <c r="C8" i="5"/>
  <c r="C9" i="5"/>
  <c r="C10" i="5"/>
  <c r="C11" i="5"/>
  <c r="C13" i="5"/>
  <c r="C14" i="5"/>
  <c r="C17" i="5"/>
  <c r="C18" i="5"/>
  <c r="C19" i="5"/>
  <c r="C20" i="5"/>
  <c r="C21" i="5"/>
  <c r="C22" i="5"/>
  <c r="C23" i="5"/>
  <c r="C25" i="5"/>
  <c r="C26" i="5"/>
  <c r="C29" i="5"/>
  <c r="C30" i="5"/>
  <c r="C31" i="5"/>
  <c r="C32" i="5"/>
  <c r="C33" i="5"/>
  <c r="C34" i="5"/>
  <c r="C35" i="5"/>
  <c r="C37" i="5"/>
  <c r="C38" i="5"/>
  <c r="C41" i="5"/>
  <c r="C42" i="5"/>
  <c r="C43" i="5"/>
  <c r="C44" i="5"/>
  <c r="C45" i="5"/>
  <c r="C46" i="5"/>
  <c r="C47" i="5"/>
  <c r="C49" i="5"/>
  <c r="C50" i="5"/>
  <c r="C53" i="5"/>
  <c r="C54" i="5"/>
  <c r="C55" i="5"/>
  <c r="C56" i="5"/>
  <c r="C57" i="5"/>
  <c r="C58" i="5"/>
  <c r="C59" i="5"/>
  <c r="C61" i="5"/>
  <c r="C62" i="5"/>
  <c r="C65" i="5"/>
  <c r="C66" i="5"/>
  <c r="C67" i="5"/>
  <c r="C68" i="5"/>
  <c r="C69" i="5"/>
  <c r="C70" i="5"/>
  <c r="C71" i="5"/>
  <c r="C73" i="5"/>
  <c r="C74" i="5"/>
  <c r="C77" i="5"/>
  <c r="C78" i="5"/>
  <c r="C79" i="5"/>
  <c r="C80" i="5"/>
  <c r="C81" i="5"/>
  <c r="C82" i="5"/>
  <c r="C83" i="5"/>
  <c r="C85" i="5"/>
  <c r="C86" i="5"/>
  <c r="C89" i="5"/>
  <c r="C90" i="5"/>
  <c r="C91" i="5"/>
  <c r="C92" i="5"/>
  <c r="C93" i="5"/>
  <c r="C94" i="5"/>
  <c r="C95" i="5"/>
  <c r="C97" i="5"/>
  <c r="C98" i="5"/>
  <c r="C101" i="5"/>
  <c r="C102" i="5"/>
  <c r="C103" i="5"/>
  <c r="C104" i="5"/>
  <c r="C105" i="5"/>
  <c r="C106" i="5"/>
  <c r="C107" i="5"/>
  <c r="C109" i="5"/>
  <c r="C110" i="5"/>
  <c r="C113" i="5"/>
  <c r="C114" i="5"/>
  <c r="C115" i="5"/>
  <c r="C116" i="5"/>
  <c r="C117" i="5"/>
  <c r="C118" i="5"/>
  <c r="C119" i="5"/>
  <c r="C121" i="5"/>
  <c r="C122" i="5"/>
  <c r="C125" i="5"/>
  <c r="C126" i="5"/>
  <c r="C127" i="5"/>
  <c r="C128" i="5"/>
  <c r="C129" i="5"/>
  <c r="C130" i="5"/>
  <c r="C131" i="5"/>
  <c r="C133" i="5"/>
  <c r="C134" i="5"/>
  <c r="C137" i="5"/>
  <c r="C138" i="5"/>
  <c r="C139" i="5"/>
  <c r="C140" i="5"/>
  <c r="C141" i="5"/>
  <c r="C142" i="5"/>
  <c r="C143" i="5"/>
  <c r="C145" i="5"/>
  <c r="C146" i="5"/>
  <c r="C149" i="5"/>
  <c r="C150" i="5"/>
  <c r="C151" i="5"/>
  <c r="C152" i="5"/>
  <c r="C153" i="5"/>
  <c r="C154" i="5"/>
  <c r="C155" i="5"/>
  <c r="K82" i="4"/>
  <c r="K83" i="4"/>
  <c r="K84" i="4"/>
  <c r="K85" i="4"/>
  <c r="K86" i="4"/>
  <c r="K87" i="4"/>
  <c r="K88" i="4"/>
  <c r="K89" i="4"/>
  <c r="K90" i="4"/>
  <c r="C26" i="4"/>
  <c r="C27" i="4" s="1"/>
  <c r="C25" i="4"/>
  <c r="B211" i="2"/>
  <c r="E63" i="2" s="1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62" i="2"/>
  <c r="A47" i="2"/>
  <c r="D59" i="2"/>
  <c r="D58" i="2"/>
  <c r="D57" i="2"/>
  <c r="D56" i="2"/>
  <c r="D55" i="2"/>
  <c r="D54" i="2"/>
  <c r="D53" i="2"/>
  <c r="D52" i="2"/>
  <c r="D51" i="2"/>
  <c r="D50" i="2"/>
  <c r="C59" i="2"/>
  <c r="C58" i="2"/>
  <c r="C57" i="2"/>
  <c r="C56" i="2"/>
  <c r="C55" i="2"/>
  <c r="C54" i="2"/>
  <c r="C53" i="2"/>
  <c r="C52" i="2"/>
  <c r="C51" i="2"/>
  <c r="C50" i="2"/>
  <c r="B59" i="2"/>
  <c r="B58" i="2"/>
  <c r="B57" i="2"/>
  <c r="B56" i="2"/>
  <c r="B55" i="2"/>
  <c r="B54" i="2"/>
  <c r="B53" i="2"/>
  <c r="B52" i="2"/>
  <c r="B51" i="2"/>
  <c r="B50" i="2"/>
  <c r="A50" i="2" a="1"/>
  <c r="A50" i="2" s="1"/>
  <c r="E168" i="6" l="1"/>
  <c r="E167" i="6"/>
  <c r="E166" i="6"/>
  <c r="E165" i="6"/>
  <c r="E171" i="6"/>
  <c r="K139" i="7"/>
  <c r="K127" i="7"/>
  <c r="K115" i="7"/>
  <c r="K103" i="7"/>
  <c r="K91" i="7"/>
  <c r="K79" i="7"/>
  <c r="K67" i="7"/>
  <c r="K55" i="7"/>
  <c r="K54" i="7"/>
  <c r="B151" i="7" a="1"/>
  <c r="B151" i="7" s="1"/>
  <c r="J10" i="7"/>
  <c r="K10" i="7" s="1"/>
  <c r="J151" i="7" s="1"/>
  <c r="J22" i="7"/>
  <c r="K22" i="7" s="1"/>
  <c r="J34" i="7"/>
  <c r="K34" i="7" s="1"/>
  <c r="J46" i="7"/>
  <c r="K46" i="7" s="1"/>
  <c r="J59" i="7"/>
  <c r="K59" i="7" s="1"/>
  <c r="J70" i="7"/>
  <c r="K70" i="7" s="1"/>
  <c r="J82" i="7"/>
  <c r="K82" i="7" s="1"/>
  <c r="J94" i="7"/>
  <c r="K94" i="7" s="1"/>
  <c r="J106" i="7"/>
  <c r="K106" i="7" s="1"/>
  <c r="J118" i="7"/>
  <c r="K118" i="7" s="1"/>
  <c r="J130" i="7"/>
  <c r="K130" i="7" s="1"/>
  <c r="J142" i="7"/>
  <c r="K142" i="7" s="1"/>
  <c r="L8" i="7"/>
  <c r="M8" i="7" s="1"/>
  <c r="L20" i="7"/>
  <c r="M20" i="7" s="1"/>
  <c r="L32" i="7"/>
  <c r="M32" i="7" s="1"/>
  <c r="L44" i="7"/>
  <c r="M44" i="7" s="1"/>
  <c r="L56" i="7"/>
  <c r="M56" i="7" s="1"/>
  <c r="L68" i="7"/>
  <c r="M68" i="7" s="1"/>
  <c r="L80" i="7"/>
  <c r="M80" i="7" s="1"/>
  <c r="L92" i="7"/>
  <c r="M92" i="7" s="1"/>
  <c r="L104" i="7"/>
  <c r="M104" i="7" s="1"/>
  <c r="L116" i="7"/>
  <c r="M116" i="7" s="1"/>
  <c r="L128" i="7"/>
  <c r="M128" i="7" s="1"/>
  <c r="L140" i="7"/>
  <c r="M140" i="7" s="1"/>
  <c r="J11" i="7"/>
  <c r="K11" i="7" s="1"/>
  <c r="J23" i="7"/>
  <c r="K23" i="7" s="1"/>
  <c r="J35" i="7"/>
  <c r="K35" i="7" s="1"/>
  <c r="J47" i="7"/>
  <c r="K47" i="7" s="1"/>
  <c r="J58" i="7"/>
  <c r="K58" i="7" s="1"/>
  <c r="J71" i="7"/>
  <c r="K71" i="7" s="1"/>
  <c r="J83" i="7"/>
  <c r="K83" i="7" s="1"/>
  <c r="J95" i="7"/>
  <c r="K95" i="7" s="1"/>
  <c r="J107" i="7"/>
  <c r="K107" i="7" s="1"/>
  <c r="J119" i="7"/>
  <c r="K119" i="7" s="1"/>
  <c r="J131" i="7"/>
  <c r="K131" i="7" s="1"/>
  <c r="J143" i="7"/>
  <c r="K143" i="7" s="1"/>
  <c r="J84" i="7"/>
  <c r="K84" i="7" s="1"/>
  <c r="J96" i="7"/>
  <c r="K96" i="7" s="1"/>
  <c r="J108" i="7"/>
  <c r="K108" i="7" s="1"/>
  <c r="J120" i="7"/>
  <c r="K120" i="7" s="1"/>
  <c r="J132" i="7"/>
  <c r="K132" i="7" s="1"/>
  <c r="J144" i="7"/>
  <c r="K144" i="7" s="1"/>
  <c r="J13" i="7"/>
  <c r="K13" i="7" s="1"/>
  <c r="J25" i="7"/>
  <c r="K25" i="7" s="1"/>
  <c r="J37" i="7"/>
  <c r="K37" i="7" s="1"/>
  <c r="J49" i="7"/>
  <c r="K49" i="7" s="1"/>
  <c r="J61" i="7"/>
  <c r="K61" i="7" s="1"/>
  <c r="J73" i="7"/>
  <c r="K73" i="7" s="1"/>
  <c r="J85" i="7"/>
  <c r="K85" i="7" s="1"/>
  <c r="J97" i="7"/>
  <c r="K97" i="7" s="1"/>
  <c r="J109" i="7"/>
  <c r="K109" i="7" s="1"/>
  <c r="J121" i="7"/>
  <c r="K121" i="7" s="1"/>
  <c r="J133" i="7"/>
  <c r="K133" i="7" s="1"/>
  <c r="J145" i="7"/>
  <c r="K145" i="7" s="1"/>
  <c r="K26" i="7"/>
  <c r="K38" i="7"/>
  <c r="K50" i="7"/>
  <c r="J86" i="7"/>
  <c r="K86" i="7" s="1"/>
  <c r="J98" i="7"/>
  <c r="K98" i="7" s="1"/>
  <c r="J110" i="7"/>
  <c r="K110" i="7" s="1"/>
  <c r="J122" i="7"/>
  <c r="K122" i="7" s="1"/>
  <c r="J134" i="7"/>
  <c r="K134" i="7" s="1"/>
  <c r="J146" i="7"/>
  <c r="K146" i="7" s="1"/>
  <c r="J3" i="7"/>
  <c r="K3" i="7" s="1"/>
  <c r="J15" i="7"/>
  <c r="K15" i="7" s="1"/>
  <c r="J27" i="7"/>
  <c r="K27" i="7" s="1"/>
  <c r="J39" i="7"/>
  <c r="K39" i="7" s="1"/>
  <c r="J51" i="7"/>
  <c r="K51" i="7" s="1"/>
  <c r="J63" i="7"/>
  <c r="K63" i="7" s="1"/>
  <c r="J75" i="7"/>
  <c r="K75" i="7" s="1"/>
  <c r="J87" i="7"/>
  <c r="K87" i="7" s="1"/>
  <c r="J99" i="7"/>
  <c r="K99" i="7" s="1"/>
  <c r="J111" i="7"/>
  <c r="K111" i="7" s="1"/>
  <c r="J123" i="7"/>
  <c r="K123" i="7" s="1"/>
  <c r="J135" i="7"/>
  <c r="K135" i="7" s="1"/>
  <c r="J147" i="7"/>
  <c r="K147" i="7" s="1"/>
  <c r="J4" i="7"/>
  <c r="K4" i="7" s="1"/>
  <c r="J16" i="7"/>
  <c r="K16" i="7" s="1"/>
  <c r="J28" i="7"/>
  <c r="K28" i="7" s="1"/>
  <c r="J40" i="7"/>
  <c r="K40" i="7" s="1"/>
  <c r="J52" i="7"/>
  <c r="K52" i="7" s="1"/>
  <c r="J64" i="7"/>
  <c r="K64" i="7" s="1"/>
  <c r="J76" i="7"/>
  <c r="K76" i="7" s="1"/>
  <c r="J88" i="7"/>
  <c r="K88" i="7" s="1"/>
  <c r="J100" i="7"/>
  <c r="K100" i="7" s="1"/>
  <c r="J153" i="7" s="1"/>
  <c r="J112" i="7"/>
  <c r="K112" i="7" s="1"/>
  <c r="J124" i="7"/>
  <c r="K124" i="7" s="1"/>
  <c r="J136" i="7"/>
  <c r="K136" i="7" s="1"/>
  <c r="J148" i="7"/>
  <c r="K148" i="7" s="1"/>
  <c r="J5" i="7"/>
  <c r="K5" i="7" s="1"/>
  <c r="J17" i="7"/>
  <c r="K17" i="7" s="1"/>
  <c r="J29" i="7"/>
  <c r="K29" i="7" s="1"/>
  <c r="J41" i="7"/>
  <c r="K41" i="7" s="1"/>
  <c r="J53" i="7"/>
  <c r="K53" i="7" s="1"/>
  <c r="J65" i="7"/>
  <c r="K65" i="7" s="1"/>
  <c r="J78" i="7"/>
  <c r="K78" i="7" s="1"/>
  <c r="J89" i="7"/>
  <c r="K89" i="7" s="1"/>
  <c r="J101" i="7"/>
  <c r="K101" i="7" s="1"/>
  <c r="J113" i="7"/>
  <c r="K113" i="7" s="1"/>
  <c r="J125" i="7"/>
  <c r="K125" i="7" s="1"/>
  <c r="J137" i="7"/>
  <c r="K137" i="7" s="1"/>
  <c r="J149" i="7"/>
  <c r="K149" i="7" s="1"/>
  <c r="J90" i="7"/>
  <c r="K90" i="7" s="1"/>
  <c r="J102" i="7"/>
  <c r="K102" i="7" s="1"/>
  <c r="J152" i="7" s="1"/>
  <c r="J114" i="7"/>
  <c r="K114" i="7" s="1"/>
  <c r="J126" i="7"/>
  <c r="K126" i="7" s="1"/>
  <c r="J138" i="7"/>
  <c r="K138" i="7" s="1"/>
  <c r="E183" i="6"/>
  <c r="E195" i="6"/>
  <c r="E207" i="6"/>
  <c r="E219" i="6"/>
  <c r="E231" i="6"/>
  <c r="E243" i="6"/>
  <c r="E255" i="6"/>
  <c r="E267" i="6"/>
  <c r="E279" i="6"/>
  <c r="E291" i="6"/>
  <c r="E303" i="6"/>
  <c r="E172" i="6"/>
  <c r="E184" i="6"/>
  <c r="E196" i="6"/>
  <c r="E208" i="6"/>
  <c r="E220" i="6"/>
  <c r="E232" i="6"/>
  <c r="E244" i="6"/>
  <c r="E256" i="6"/>
  <c r="E268" i="6"/>
  <c r="E280" i="6"/>
  <c r="E292" i="6"/>
  <c r="E304" i="6"/>
  <c r="E222" i="6"/>
  <c r="E282" i="6"/>
  <c r="E173" i="6"/>
  <c r="E185" i="6"/>
  <c r="E197" i="6"/>
  <c r="E209" i="6"/>
  <c r="E221" i="6"/>
  <c r="E233" i="6"/>
  <c r="E245" i="6"/>
  <c r="E257" i="6"/>
  <c r="E269" i="6"/>
  <c r="E281" i="6"/>
  <c r="E293" i="6"/>
  <c r="E305" i="6"/>
  <c r="E186" i="6"/>
  <c r="E175" i="6"/>
  <c r="E187" i="6"/>
  <c r="E199" i="6"/>
  <c r="E211" i="6"/>
  <c r="E223" i="6"/>
  <c r="E235" i="6"/>
  <c r="E247" i="6"/>
  <c r="E259" i="6"/>
  <c r="E271" i="6"/>
  <c r="E283" i="6"/>
  <c r="E295" i="6"/>
  <c r="E307" i="6"/>
  <c r="E190" i="6"/>
  <c r="E214" i="6"/>
  <c r="E238" i="6"/>
  <c r="E262" i="6"/>
  <c r="E286" i="6"/>
  <c r="E310" i="6"/>
  <c r="E176" i="6"/>
  <c r="E188" i="6"/>
  <c r="E200" i="6"/>
  <c r="E212" i="6"/>
  <c r="E224" i="6"/>
  <c r="E236" i="6"/>
  <c r="E248" i="6"/>
  <c r="E260" i="6"/>
  <c r="E272" i="6"/>
  <c r="E284" i="6"/>
  <c r="E296" i="6"/>
  <c r="E308" i="6"/>
  <c r="E178" i="6"/>
  <c r="E202" i="6"/>
  <c r="E226" i="6"/>
  <c r="E250" i="6"/>
  <c r="E274" i="6"/>
  <c r="E298" i="6"/>
  <c r="E177" i="6"/>
  <c r="E189" i="6"/>
  <c r="E201" i="6"/>
  <c r="E213" i="6"/>
  <c r="E225" i="6"/>
  <c r="E237" i="6"/>
  <c r="E249" i="6"/>
  <c r="E261" i="6"/>
  <c r="E273" i="6"/>
  <c r="E285" i="6"/>
  <c r="E297" i="6"/>
  <c r="E309" i="6"/>
  <c r="E179" i="6"/>
  <c r="E191" i="6"/>
  <c r="E203" i="6"/>
  <c r="E215" i="6"/>
  <c r="E227" i="6"/>
  <c r="E239" i="6"/>
  <c r="E251" i="6"/>
  <c r="E263" i="6"/>
  <c r="E275" i="6"/>
  <c r="E287" i="6"/>
  <c r="E299" i="6"/>
  <c r="E311" i="6"/>
  <c r="E210" i="6"/>
  <c r="E270" i="6"/>
  <c r="E180" i="6"/>
  <c r="E192" i="6"/>
  <c r="E204" i="6"/>
  <c r="E216" i="6"/>
  <c r="E228" i="6"/>
  <c r="E240" i="6"/>
  <c r="E252" i="6"/>
  <c r="E264" i="6"/>
  <c r="E276" i="6"/>
  <c r="E288" i="6"/>
  <c r="E300" i="6"/>
  <c r="E312" i="6"/>
  <c r="E174" i="6"/>
  <c r="E181" i="6"/>
  <c r="E193" i="6"/>
  <c r="E205" i="6"/>
  <c r="E217" i="6"/>
  <c r="E229" i="6"/>
  <c r="E241" i="6"/>
  <c r="E253" i="6"/>
  <c r="E265" i="6"/>
  <c r="E277" i="6"/>
  <c r="E289" i="6"/>
  <c r="E301" i="6"/>
  <c r="E313" i="6"/>
  <c r="E234" i="6"/>
  <c r="E258" i="6"/>
  <c r="E306" i="6"/>
  <c r="E182" i="6"/>
  <c r="E194" i="6"/>
  <c r="E206" i="6"/>
  <c r="E218" i="6"/>
  <c r="E230" i="6"/>
  <c r="E242" i="6"/>
  <c r="E254" i="6"/>
  <c r="E266" i="6"/>
  <c r="E278" i="6"/>
  <c r="E290" i="6"/>
  <c r="E302" i="6"/>
  <c r="E198" i="6"/>
  <c r="E246" i="6"/>
  <c r="E294" i="6"/>
  <c r="F176" i="6"/>
  <c r="F299" i="6"/>
  <c r="F251" i="6"/>
  <c r="F215" i="6"/>
  <c r="F179" i="6"/>
  <c r="F307" i="6"/>
  <c r="F295" i="6"/>
  <c r="F283" i="6"/>
  <c r="F271" i="6"/>
  <c r="F259" i="6"/>
  <c r="F247" i="6"/>
  <c r="F235" i="6"/>
  <c r="F223" i="6"/>
  <c r="F211" i="6"/>
  <c r="F199" i="6"/>
  <c r="F187" i="6"/>
  <c r="F175" i="6"/>
  <c r="F311" i="6"/>
  <c r="F263" i="6"/>
  <c r="F227" i="6"/>
  <c r="F167" i="6"/>
  <c r="F306" i="6"/>
  <c r="F294" i="6"/>
  <c r="F282" i="6"/>
  <c r="F270" i="6"/>
  <c r="F258" i="6"/>
  <c r="F246" i="6"/>
  <c r="F234" i="6"/>
  <c r="F222" i="6"/>
  <c r="F210" i="6"/>
  <c r="F198" i="6"/>
  <c r="F186" i="6"/>
  <c r="F174" i="6"/>
  <c r="F305" i="6"/>
  <c r="F293" i="6"/>
  <c r="F281" i="6"/>
  <c r="F269" i="6"/>
  <c r="F257" i="6"/>
  <c r="F245" i="6"/>
  <c r="F233" i="6"/>
  <c r="F221" i="6"/>
  <c r="F209" i="6"/>
  <c r="F197" i="6"/>
  <c r="F185" i="6"/>
  <c r="F173" i="6"/>
  <c r="F275" i="6"/>
  <c r="F191" i="6"/>
  <c r="F304" i="6"/>
  <c r="F292" i="6"/>
  <c r="F280" i="6"/>
  <c r="F268" i="6"/>
  <c r="F256" i="6"/>
  <c r="F244" i="6"/>
  <c r="F232" i="6"/>
  <c r="F220" i="6"/>
  <c r="F208" i="6"/>
  <c r="F196" i="6"/>
  <c r="F184" i="6"/>
  <c r="F172" i="6"/>
  <c r="F267" i="6"/>
  <c r="F165" i="6"/>
  <c r="F302" i="6"/>
  <c r="F290" i="6"/>
  <c r="F278" i="6"/>
  <c r="F266" i="6"/>
  <c r="F254" i="6"/>
  <c r="F242" i="6"/>
  <c r="F230" i="6"/>
  <c r="F218" i="6"/>
  <c r="F206" i="6"/>
  <c r="F194" i="6"/>
  <c r="F182" i="6"/>
  <c r="F170" i="6"/>
  <c r="F303" i="6"/>
  <c r="F279" i="6"/>
  <c r="F243" i="6"/>
  <c r="F219" i="6"/>
  <c r="F195" i="6"/>
  <c r="F183" i="6"/>
  <c r="F313" i="6"/>
  <c r="F301" i="6"/>
  <c r="F289" i="6"/>
  <c r="F277" i="6"/>
  <c r="F265" i="6"/>
  <c r="F253" i="6"/>
  <c r="F241" i="6"/>
  <c r="F229" i="6"/>
  <c r="F217" i="6"/>
  <c r="F205" i="6"/>
  <c r="F193" i="6"/>
  <c r="F181" i="6"/>
  <c r="F169" i="6"/>
  <c r="F291" i="6"/>
  <c r="F255" i="6"/>
  <c r="F231" i="6"/>
  <c r="F207" i="6"/>
  <c r="F171" i="6"/>
  <c r="F312" i="6"/>
  <c r="F300" i="6"/>
  <c r="F288" i="6"/>
  <c r="F276" i="6"/>
  <c r="F264" i="6"/>
  <c r="F252" i="6"/>
  <c r="F240" i="6"/>
  <c r="F228" i="6"/>
  <c r="F216" i="6"/>
  <c r="F204" i="6"/>
  <c r="F192" i="6"/>
  <c r="F180" i="6"/>
  <c r="F168" i="6"/>
  <c r="F310" i="6"/>
  <c r="F298" i="6"/>
  <c r="F286" i="6"/>
  <c r="F274" i="6"/>
  <c r="F262" i="6"/>
  <c r="F250" i="6"/>
  <c r="F238" i="6"/>
  <c r="F226" i="6"/>
  <c r="F214" i="6"/>
  <c r="F202" i="6"/>
  <c r="F190" i="6"/>
  <c r="F178" i="6"/>
  <c r="F166" i="6"/>
  <c r="F287" i="6"/>
  <c r="F203" i="6"/>
  <c r="F309" i="6"/>
  <c r="F297" i="6"/>
  <c r="F285" i="6"/>
  <c r="F273" i="6"/>
  <c r="F261" i="6"/>
  <c r="F249" i="6"/>
  <c r="F237" i="6"/>
  <c r="F225" i="6"/>
  <c r="F213" i="6"/>
  <c r="F201" i="6"/>
  <c r="F189" i="6"/>
  <c r="F177" i="6"/>
  <c r="F239" i="6"/>
  <c r="F308" i="6"/>
  <c r="F296" i="6"/>
  <c r="F284" i="6"/>
  <c r="F272" i="6"/>
  <c r="F260" i="6"/>
  <c r="F248" i="6"/>
  <c r="F236" i="6"/>
  <c r="F224" i="6"/>
  <c r="F212" i="6"/>
  <c r="F200" i="6"/>
  <c r="F188" i="6"/>
  <c r="E60" i="5"/>
  <c r="F60" i="5" s="1"/>
  <c r="E84" i="5"/>
  <c r="F84" i="5" s="1"/>
  <c r="E108" i="5"/>
  <c r="F108" i="5" s="1"/>
  <c r="E150" i="5"/>
  <c r="F150" i="5" s="1"/>
  <c r="E102" i="5"/>
  <c r="F102" i="5" s="1"/>
  <c r="E54" i="5"/>
  <c r="F54" i="5" s="1"/>
  <c r="E68" i="5"/>
  <c r="F68" i="5" s="1"/>
  <c r="E50" i="5"/>
  <c r="F50" i="5" s="1"/>
  <c r="E123" i="5"/>
  <c r="F123" i="5" s="1"/>
  <c r="E114" i="5"/>
  <c r="F114" i="5" s="1"/>
  <c r="E18" i="5"/>
  <c r="F18" i="5" s="1"/>
  <c r="E100" i="5"/>
  <c r="F100" i="5" s="1"/>
  <c r="E124" i="5"/>
  <c r="F124" i="5" s="1"/>
  <c r="E128" i="5"/>
  <c r="F128" i="5" s="1"/>
  <c r="E80" i="5"/>
  <c r="F80" i="5" s="1"/>
  <c r="E32" i="5"/>
  <c r="F32" i="5" s="1"/>
  <c r="E92" i="5"/>
  <c r="F92" i="5" s="1"/>
  <c r="E44" i="5"/>
  <c r="F44" i="5" s="1"/>
  <c r="E46" i="5"/>
  <c r="F46" i="5" s="1"/>
  <c r="E51" i="5"/>
  <c r="F51" i="5" s="1"/>
  <c r="E87" i="5"/>
  <c r="F87" i="5" s="1"/>
  <c r="E135" i="5"/>
  <c r="F135" i="5" s="1"/>
  <c r="E66" i="5"/>
  <c r="F66" i="5" s="1"/>
  <c r="E40" i="5"/>
  <c r="F40" i="5" s="1"/>
  <c r="E140" i="5"/>
  <c r="F140" i="5" s="1"/>
  <c r="E122" i="5"/>
  <c r="F122" i="5" s="1"/>
  <c r="E74" i="5"/>
  <c r="F74" i="5" s="1"/>
  <c r="E48" i="5"/>
  <c r="F48" i="5" s="1"/>
  <c r="E96" i="5"/>
  <c r="F96" i="5" s="1"/>
  <c r="E132" i="5"/>
  <c r="F132" i="5" s="1"/>
  <c r="E20" i="5"/>
  <c r="F20" i="5" s="1"/>
  <c r="E28" i="5"/>
  <c r="F28" i="5" s="1"/>
  <c r="E88" i="5"/>
  <c r="F88" i="5" s="1"/>
  <c r="E148" i="5"/>
  <c r="F148" i="5" s="1"/>
  <c r="E138" i="5"/>
  <c r="F138" i="5" s="1"/>
  <c r="E90" i="5"/>
  <c r="F90" i="5" s="1"/>
  <c r="E42" i="5"/>
  <c r="F42" i="5" s="1"/>
  <c r="E134" i="5"/>
  <c r="F134" i="5" s="1"/>
  <c r="E24" i="5"/>
  <c r="F24" i="5" s="1"/>
  <c r="E146" i="5"/>
  <c r="F146" i="5" s="1"/>
  <c r="E39" i="5"/>
  <c r="F39" i="5" s="1"/>
  <c r="E111" i="5"/>
  <c r="F111" i="5" s="1"/>
  <c r="E64" i="5"/>
  <c r="F64" i="5" s="1"/>
  <c r="E112" i="5"/>
  <c r="F112" i="5" s="1"/>
  <c r="E62" i="5"/>
  <c r="F62" i="5" s="1"/>
  <c r="E152" i="5"/>
  <c r="F152" i="5" s="1"/>
  <c r="E104" i="5"/>
  <c r="F104" i="5" s="1"/>
  <c r="C12" i="5"/>
  <c r="E144" i="5" s="1"/>
  <c r="F144" i="5" s="1"/>
  <c r="E154" i="5"/>
  <c r="F154" i="5" s="1"/>
  <c r="E106" i="5"/>
  <c r="F106" i="5" s="1"/>
  <c r="E34" i="5"/>
  <c r="F34" i="5" s="1"/>
  <c r="E141" i="5"/>
  <c r="F141" i="5" s="1"/>
  <c r="E129" i="5"/>
  <c r="F129" i="5" s="1"/>
  <c r="E117" i="5"/>
  <c r="F117" i="5" s="1"/>
  <c r="E105" i="5"/>
  <c r="F105" i="5" s="1"/>
  <c r="E93" i="5"/>
  <c r="F93" i="5" s="1"/>
  <c r="E57" i="5"/>
  <c r="F57" i="5" s="1"/>
  <c r="E45" i="5"/>
  <c r="E33" i="5"/>
  <c r="F33" i="5" s="1"/>
  <c r="E21" i="5"/>
  <c r="F21" i="5" s="1"/>
  <c r="E8" i="5"/>
  <c r="F8" i="5" s="1"/>
  <c r="E118" i="5"/>
  <c r="F118" i="5" s="1"/>
  <c r="E82" i="5"/>
  <c r="F82" i="5" s="1"/>
  <c r="E58" i="5"/>
  <c r="F58" i="5" s="1"/>
  <c r="E10" i="5"/>
  <c r="F10" i="5" s="1"/>
  <c r="E115" i="5"/>
  <c r="F115" i="5" s="1"/>
  <c r="E91" i="5"/>
  <c r="F91" i="5" s="1"/>
  <c r="E79" i="5"/>
  <c r="F79" i="5" s="1"/>
  <c r="E67" i="5"/>
  <c r="F67" i="5" s="1"/>
  <c r="E43" i="5"/>
  <c r="F43" i="5" s="1"/>
  <c r="E31" i="5"/>
  <c r="F31" i="5" s="1"/>
  <c r="E19" i="5"/>
  <c r="F19" i="5" s="1"/>
  <c r="D25" i="4"/>
  <c r="E130" i="5"/>
  <c r="F130" i="5" s="1"/>
  <c r="E22" i="5"/>
  <c r="F22" i="5" s="1"/>
  <c r="E103" i="5"/>
  <c r="F103" i="5" s="1"/>
  <c r="E137" i="5"/>
  <c r="F137" i="5" s="1"/>
  <c r="E113" i="5"/>
  <c r="F113" i="5" s="1"/>
  <c r="E65" i="5"/>
  <c r="F65" i="5" s="1"/>
  <c r="E41" i="5"/>
  <c r="F41" i="5" s="1"/>
  <c r="E29" i="5"/>
  <c r="F29" i="5" s="1"/>
  <c r="E142" i="5"/>
  <c r="F142" i="5" s="1"/>
  <c r="E127" i="5"/>
  <c r="F127" i="5" s="1"/>
  <c r="E101" i="5"/>
  <c r="F101" i="5" s="1"/>
  <c r="E77" i="5"/>
  <c r="F77" i="5" s="1"/>
  <c r="E53" i="5"/>
  <c r="F53" i="5" s="1"/>
  <c r="F45" i="5"/>
  <c r="D145" i="4"/>
  <c r="D109" i="4"/>
  <c r="D74" i="4"/>
  <c r="D41" i="4"/>
  <c r="D170" i="4"/>
  <c r="D64" i="4"/>
  <c r="D133" i="4"/>
  <c r="D37" i="4"/>
  <c r="D160" i="4"/>
  <c r="D62" i="4"/>
  <c r="D87" i="4"/>
  <c r="D158" i="4"/>
  <c r="D86" i="4"/>
  <c r="D75" i="4"/>
  <c r="D172" i="4"/>
  <c r="D136" i="4"/>
  <c r="D100" i="4"/>
  <c r="D73" i="4"/>
  <c r="D40" i="4"/>
  <c r="D65" i="4"/>
  <c r="D134" i="4"/>
  <c r="D38" i="4"/>
  <c r="D97" i="4"/>
  <c r="D88" i="4"/>
  <c r="D123" i="4"/>
  <c r="D51" i="4"/>
  <c r="D147" i="4"/>
  <c r="D76" i="4"/>
  <c r="D146" i="4"/>
  <c r="D49" i="4"/>
  <c r="D171" i="4"/>
  <c r="D135" i="4"/>
  <c r="D99" i="4"/>
  <c r="D39" i="4"/>
  <c r="D98" i="4"/>
  <c r="D169" i="4"/>
  <c r="D63" i="4"/>
  <c r="D124" i="4"/>
  <c r="D159" i="4"/>
  <c r="D61" i="4"/>
  <c r="D122" i="4"/>
  <c r="D53" i="4"/>
  <c r="D157" i="4"/>
  <c r="D121" i="4"/>
  <c r="D85" i="4"/>
  <c r="D52" i="4"/>
  <c r="D148" i="4"/>
  <c r="D112" i="4"/>
  <c r="D77" i="4"/>
  <c r="D111" i="4"/>
  <c r="D50" i="4"/>
  <c r="D110" i="4"/>
  <c r="D168" i="4"/>
  <c r="D101" i="4"/>
  <c r="D125" i="4"/>
  <c r="D149" i="4"/>
  <c r="D173" i="4"/>
  <c r="D42" i="4"/>
  <c r="D66" i="4"/>
  <c r="D90" i="4"/>
  <c r="D114" i="4"/>
  <c r="D138" i="4"/>
  <c r="D162" i="4"/>
  <c r="D31" i="4"/>
  <c r="D55" i="4"/>
  <c r="D79" i="4"/>
  <c r="D103" i="4"/>
  <c r="D139" i="4"/>
  <c r="D163" i="4"/>
  <c r="D32" i="4"/>
  <c r="D56" i="4"/>
  <c r="D80" i="4"/>
  <c r="D104" i="4"/>
  <c r="D128" i="4"/>
  <c r="D152" i="4"/>
  <c r="D176" i="4"/>
  <c r="D33" i="4"/>
  <c r="D57" i="4"/>
  <c r="D81" i="4"/>
  <c r="D105" i="4"/>
  <c r="D129" i="4"/>
  <c r="D153" i="4"/>
  <c r="D177" i="4"/>
  <c r="D34" i="4"/>
  <c r="D46" i="4"/>
  <c r="D58" i="4"/>
  <c r="D70" i="4"/>
  <c r="D82" i="4"/>
  <c r="D94" i="4"/>
  <c r="D106" i="4"/>
  <c r="D118" i="4"/>
  <c r="D130" i="4"/>
  <c r="D142" i="4"/>
  <c r="D154" i="4"/>
  <c r="D166" i="4"/>
  <c r="D178" i="4"/>
  <c r="D89" i="4"/>
  <c r="D113" i="4"/>
  <c r="D137" i="4"/>
  <c r="D161" i="4"/>
  <c r="D30" i="4"/>
  <c r="D54" i="4"/>
  <c r="D78" i="4"/>
  <c r="D102" i="4"/>
  <c r="D126" i="4"/>
  <c r="D150" i="4"/>
  <c r="D174" i="4"/>
  <c r="D43" i="4"/>
  <c r="D67" i="4"/>
  <c r="D91" i="4"/>
  <c r="D115" i="4"/>
  <c r="D127" i="4"/>
  <c r="D151" i="4"/>
  <c r="D175" i="4"/>
  <c r="D44" i="4"/>
  <c r="D68" i="4"/>
  <c r="D92" i="4"/>
  <c r="D116" i="4"/>
  <c r="D140" i="4"/>
  <c r="D164" i="4"/>
  <c r="D45" i="4"/>
  <c r="D69" i="4"/>
  <c r="D93" i="4"/>
  <c r="D117" i="4"/>
  <c r="D141" i="4"/>
  <c r="D165" i="4"/>
  <c r="D35" i="4"/>
  <c r="D47" i="4"/>
  <c r="D59" i="4"/>
  <c r="D71" i="4"/>
  <c r="D83" i="4"/>
  <c r="D95" i="4"/>
  <c r="D107" i="4"/>
  <c r="D119" i="4"/>
  <c r="D131" i="4"/>
  <c r="D143" i="4"/>
  <c r="D155" i="4"/>
  <c r="D167" i="4"/>
  <c r="D36" i="4"/>
  <c r="D48" i="4"/>
  <c r="D60" i="4"/>
  <c r="D72" i="4"/>
  <c r="D84" i="4"/>
  <c r="D96" i="4"/>
  <c r="D108" i="4"/>
  <c r="D120" i="4"/>
  <c r="D132" i="4"/>
  <c r="D144" i="4"/>
  <c r="D156" i="4"/>
  <c r="E134" i="2"/>
  <c r="E182" i="2"/>
  <c r="E107" i="2"/>
  <c r="E181" i="2"/>
  <c r="E153" i="2"/>
  <c r="E106" i="2"/>
  <c r="E180" i="2"/>
  <c r="E146" i="2"/>
  <c r="E105" i="2"/>
  <c r="E98" i="2"/>
  <c r="E86" i="2"/>
  <c r="E177" i="2"/>
  <c r="E170" i="2"/>
  <c r="E203" i="2"/>
  <c r="E157" i="2"/>
  <c r="E122" i="2"/>
  <c r="E82" i="2"/>
  <c r="E179" i="2"/>
  <c r="E132" i="2"/>
  <c r="E206" i="2"/>
  <c r="E131" i="2"/>
  <c r="E84" i="2"/>
  <c r="E158" i="2"/>
  <c r="E83" i="2"/>
  <c r="E202" i="2"/>
  <c r="E110" i="2"/>
  <c r="E201" i="2"/>
  <c r="E155" i="2"/>
  <c r="E109" i="2"/>
  <c r="E74" i="2"/>
  <c r="E133" i="2"/>
  <c r="E178" i="2"/>
  <c r="E85" i="2"/>
  <c r="E205" i="2"/>
  <c r="E130" i="2"/>
  <c r="E204" i="2"/>
  <c r="E129" i="2"/>
  <c r="E156" i="2"/>
  <c r="E81" i="2"/>
  <c r="E194" i="2"/>
  <c r="E154" i="2"/>
  <c r="E108" i="2"/>
  <c r="E193" i="2"/>
  <c r="E169" i="2"/>
  <c r="E145" i="2"/>
  <c r="E121" i="2"/>
  <c r="E97" i="2"/>
  <c r="E73" i="2"/>
  <c r="E192" i="2"/>
  <c r="E168" i="2"/>
  <c r="E144" i="2"/>
  <c r="E120" i="2"/>
  <c r="E96" i="2"/>
  <c r="E72" i="2"/>
  <c r="E191" i="2"/>
  <c r="E167" i="2"/>
  <c r="E143" i="2"/>
  <c r="E119" i="2"/>
  <c r="E95" i="2"/>
  <c r="E71" i="2"/>
  <c r="E190" i="2"/>
  <c r="E166" i="2"/>
  <c r="E142" i="2"/>
  <c r="E118" i="2"/>
  <c r="E94" i="2"/>
  <c r="E70" i="2"/>
  <c r="E189" i="2"/>
  <c r="E165" i="2"/>
  <c r="E141" i="2"/>
  <c r="E117" i="2"/>
  <c r="E93" i="2"/>
  <c r="E69" i="2"/>
  <c r="E200" i="2"/>
  <c r="E152" i="2"/>
  <c r="E116" i="2"/>
  <c r="E80" i="2"/>
  <c r="E187" i="2"/>
  <c r="E139" i="2"/>
  <c r="E115" i="2"/>
  <c r="E91" i="2"/>
  <c r="E210" i="2"/>
  <c r="E198" i="2"/>
  <c r="E186" i="2"/>
  <c r="E174" i="2"/>
  <c r="E162" i="2"/>
  <c r="E150" i="2"/>
  <c r="E138" i="2"/>
  <c r="E126" i="2"/>
  <c r="E114" i="2"/>
  <c r="E102" i="2"/>
  <c r="E90" i="2"/>
  <c r="E78" i="2"/>
  <c r="E66" i="2"/>
  <c r="E188" i="2"/>
  <c r="E140" i="2"/>
  <c r="E104" i="2"/>
  <c r="E151" i="2"/>
  <c r="E67" i="2"/>
  <c r="E209" i="2"/>
  <c r="E197" i="2"/>
  <c r="E185" i="2"/>
  <c r="E173" i="2"/>
  <c r="E161" i="2"/>
  <c r="E149" i="2"/>
  <c r="E137" i="2"/>
  <c r="E125" i="2"/>
  <c r="E113" i="2"/>
  <c r="E101" i="2"/>
  <c r="E89" i="2"/>
  <c r="E77" i="2"/>
  <c r="E65" i="2"/>
  <c r="E164" i="2"/>
  <c r="E128" i="2"/>
  <c r="E92" i="2"/>
  <c r="E199" i="2"/>
  <c r="E175" i="2"/>
  <c r="E127" i="2"/>
  <c r="E79" i="2"/>
  <c r="E208" i="2"/>
  <c r="E196" i="2"/>
  <c r="E184" i="2"/>
  <c r="E172" i="2"/>
  <c r="E160" i="2"/>
  <c r="E148" i="2"/>
  <c r="E136" i="2"/>
  <c r="E124" i="2"/>
  <c r="E112" i="2"/>
  <c r="E100" i="2"/>
  <c r="E88" i="2"/>
  <c r="E76" i="2"/>
  <c r="E64" i="2"/>
  <c r="E176" i="2"/>
  <c r="E68" i="2"/>
  <c r="E62" i="2"/>
  <c r="E163" i="2"/>
  <c r="E103" i="2"/>
  <c r="E207" i="2"/>
  <c r="E195" i="2"/>
  <c r="E183" i="2"/>
  <c r="E171" i="2"/>
  <c r="E159" i="2"/>
  <c r="E147" i="2"/>
  <c r="E135" i="2"/>
  <c r="E123" i="2"/>
  <c r="E111" i="2"/>
  <c r="E99" i="2"/>
  <c r="E87" i="2"/>
  <c r="E75" i="2"/>
  <c r="B24" i="2"/>
  <c r="B23" i="2"/>
  <c r="B22" i="2"/>
  <c r="B21" i="2"/>
  <c r="B20" i="2"/>
  <c r="B19" i="2"/>
  <c r="K151" i="7" l="1"/>
  <c r="C134" i="4"/>
  <c r="C99" i="4"/>
  <c r="C109" i="4"/>
  <c r="C83" i="4"/>
  <c r="C94" i="4"/>
  <c r="D27" i="4"/>
  <c r="C139" i="4" s="1"/>
  <c r="C55" i="4"/>
  <c r="C132" i="4"/>
  <c r="C101" i="4"/>
  <c r="C87" i="4"/>
  <c r="C85" i="4"/>
  <c r="C68" i="4"/>
  <c r="E89" i="5"/>
  <c r="F89" i="5" s="1"/>
  <c r="E55" i="5"/>
  <c r="F55" i="5" s="1"/>
  <c r="E9" i="5"/>
  <c r="F9" i="5" s="1"/>
  <c r="E153" i="5"/>
  <c r="F153" i="5" s="1"/>
  <c r="E16" i="5"/>
  <c r="F16" i="5" s="1"/>
  <c r="E78" i="5"/>
  <c r="F78" i="5" s="1"/>
  <c r="E26" i="5"/>
  <c r="F26" i="5" s="1"/>
  <c r="E15" i="5"/>
  <c r="F15" i="5" s="1"/>
  <c r="E52" i="5"/>
  <c r="F52" i="5" s="1"/>
  <c r="C168" i="4"/>
  <c r="C107" i="4"/>
  <c r="C121" i="4"/>
  <c r="C153" i="4"/>
  <c r="C52" i="4"/>
  <c r="C120" i="4"/>
  <c r="C108" i="4"/>
  <c r="C170" i="4"/>
  <c r="C146" i="4"/>
  <c r="C33" i="4"/>
  <c r="C157" i="4"/>
  <c r="C148" i="4"/>
  <c r="E47" i="5"/>
  <c r="F47" i="5" s="1"/>
  <c r="E83" i="5"/>
  <c r="F83" i="5" s="1"/>
  <c r="E131" i="5"/>
  <c r="F131" i="5" s="1"/>
  <c r="E7" i="5"/>
  <c r="F7" i="5" s="1"/>
  <c r="E25" i="5"/>
  <c r="F25" i="5" s="1"/>
  <c r="E35" i="5"/>
  <c r="F35" i="5" s="1"/>
  <c r="E59" i="5"/>
  <c r="F59" i="5" s="1"/>
  <c r="E95" i="5"/>
  <c r="F95" i="5" s="1"/>
  <c r="E143" i="5"/>
  <c r="F143" i="5" s="1"/>
  <c r="E37" i="5"/>
  <c r="F37" i="5" s="1"/>
  <c r="E73" i="5"/>
  <c r="F73" i="5" s="1"/>
  <c r="E97" i="5"/>
  <c r="F97" i="5" s="1"/>
  <c r="E133" i="5"/>
  <c r="F133" i="5" s="1"/>
  <c r="E23" i="5"/>
  <c r="F23" i="5" s="1"/>
  <c r="E71" i="5"/>
  <c r="F71" i="5" s="1"/>
  <c r="E107" i="5"/>
  <c r="F107" i="5" s="1"/>
  <c r="E155" i="5"/>
  <c r="F155" i="5" s="1"/>
  <c r="E12" i="5"/>
  <c r="F12" i="5" s="1"/>
  <c r="E13" i="5"/>
  <c r="F13" i="5" s="1"/>
  <c r="E61" i="5"/>
  <c r="F61" i="5" s="1"/>
  <c r="E109" i="5"/>
  <c r="F109" i="5" s="1"/>
  <c r="E11" i="5"/>
  <c r="F11" i="5" s="1"/>
  <c r="E119" i="5"/>
  <c r="F119" i="5" s="1"/>
  <c r="E49" i="5"/>
  <c r="F49" i="5" s="1"/>
  <c r="E85" i="5"/>
  <c r="F85" i="5" s="1"/>
  <c r="E121" i="5"/>
  <c r="F121" i="5" s="1"/>
  <c r="E145" i="5"/>
  <c r="F145" i="5" s="1"/>
  <c r="E116" i="5"/>
  <c r="F116" i="5" s="1"/>
  <c r="E147" i="5"/>
  <c r="F147" i="5" s="1"/>
  <c r="E110" i="5"/>
  <c r="F110" i="5" s="1"/>
  <c r="E30" i="5"/>
  <c r="F30" i="5" s="1"/>
  <c r="E99" i="5"/>
  <c r="F99" i="5" s="1"/>
  <c r="E36" i="5"/>
  <c r="F36" i="5" s="1"/>
  <c r="C173" i="4"/>
  <c r="C147" i="4"/>
  <c r="C67" i="4"/>
  <c r="C45" i="4"/>
  <c r="C156" i="4"/>
  <c r="C123" i="4"/>
  <c r="C106" i="4"/>
  <c r="C96" i="4"/>
  <c r="C41" i="4"/>
  <c r="C35" i="4"/>
  <c r="C46" i="4"/>
  <c r="C43" i="4"/>
  <c r="C57" i="4"/>
  <c r="C31" i="4"/>
  <c r="C178" i="4"/>
  <c r="C79" i="4"/>
  <c r="C113" i="4"/>
  <c r="C135" i="4"/>
  <c r="C133" i="4"/>
  <c r="C72" i="4"/>
  <c r="C124" i="4"/>
  <c r="C129" i="4"/>
  <c r="C66" i="4"/>
  <c r="E125" i="5"/>
  <c r="F125" i="5" s="1"/>
  <c r="E70" i="5"/>
  <c r="F70" i="5" s="1"/>
  <c r="E139" i="5"/>
  <c r="F139" i="5" s="1"/>
  <c r="E69" i="5"/>
  <c r="F69" i="5" s="1"/>
  <c r="E17" i="5"/>
  <c r="F17" i="5" s="1"/>
  <c r="E120" i="5"/>
  <c r="F120" i="5" s="1"/>
  <c r="E75" i="5"/>
  <c r="F75" i="5" s="1"/>
  <c r="E136" i="5"/>
  <c r="F136" i="5" s="1"/>
  <c r="E126" i="5"/>
  <c r="F126" i="5" s="1"/>
  <c r="E63" i="5"/>
  <c r="F63" i="5" s="1"/>
  <c r="E38" i="5"/>
  <c r="F38" i="5" s="1"/>
  <c r="C39" i="4"/>
  <c r="C80" i="4"/>
  <c r="C136" i="4"/>
  <c r="C149" i="4"/>
  <c r="C95" i="4"/>
  <c r="C81" i="4"/>
  <c r="C59" i="4"/>
  <c r="C127" i="4"/>
  <c r="C128" i="4"/>
  <c r="C62" i="4"/>
  <c r="C65" i="4"/>
  <c r="C37" i="4"/>
  <c r="C58" i="4"/>
  <c r="C111" i="4"/>
  <c r="C97" i="4"/>
  <c r="C112" i="4"/>
  <c r="C74" i="4"/>
  <c r="C143" i="4"/>
  <c r="C154" i="4"/>
  <c r="C78" i="4"/>
  <c r="E149" i="5"/>
  <c r="F149" i="5" s="1"/>
  <c r="E94" i="5"/>
  <c r="F94" i="5" s="1"/>
  <c r="E151" i="5"/>
  <c r="F151" i="5" s="1"/>
  <c r="E81" i="5"/>
  <c r="F81" i="5" s="1"/>
  <c r="E56" i="5"/>
  <c r="F56" i="5" s="1"/>
  <c r="E72" i="5"/>
  <c r="F72" i="5" s="1"/>
  <c r="E98" i="5"/>
  <c r="F98" i="5" s="1"/>
  <c r="E76" i="5"/>
  <c r="F76" i="5" s="1"/>
  <c r="E14" i="5"/>
  <c r="F14" i="5" s="1"/>
  <c r="E27" i="5"/>
  <c r="F27" i="5" s="1"/>
  <c r="E86" i="5"/>
  <c r="F86" i="5" s="1"/>
  <c r="A212" i="2" a="1"/>
  <c r="A212" i="2" s="1"/>
  <c r="C164" i="4" l="1"/>
  <c r="C158" i="4"/>
  <c r="C110" i="4"/>
  <c r="C125" i="4"/>
  <c r="C60" i="4"/>
  <c r="C175" i="4"/>
  <c r="C145" i="4"/>
  <c r="C69" i="4"/>
  <c r="C30" i="4"/>
  <c r="C118" i="4"/>
  <c r="C47" i="4"/>
  <c r="C117" i="4"/>
  <c r="C76" i="4"/>
  <c r="C144" i="4"/>
  <c r="C102" i="4"/>
  <c r="C116" i="4"/>
  <c r="C104" i="4"/>
  <c r="C140" i="4"/>
  <c r="C89" i="4"/>
  <c r="C166" i="4"/>
  <c r="C84" i="4"/>
  <c r="C171" i="4"/>
  <c r="C152" i="4"/>
  <c r="C93" i="4"/>
  <c r="C92" i="4"/>
  <c r="C42" i="4"/>
  <c r="C162" i="4"/>
  <c r="C176" i="4"/>
  <c r="C150" i="4"/>
  <c r="C36" i="4"/>
  <c r="C44" i="4"/>
  <c r="C131" i="4"/>
  <c r="C50" i="4"/>
  <c r="C75" i="4"/>
  <c r="C141" i="4"/>
  <c r="C169" i="4"/>
  <c r="C49" i="4"/>
  <c r="C177" i="4"/>
  <c r="C114" i="4"/>
  <c r="C73" i="4"/>
  <c r="C63" i="4"/>
  <c r="C32" i="4"/>
  <c r="C142" i="4"/>
  <c r="C88" i="4"/>
  <c r="C53" i="4"/>
  <c r="C64" i="4"/>
  <c r="C172" i="4"/>
  <c r="C48" i="4"/>
  <c r="C100" i="4"/>
  <c r="C77" i="4"/>
  <c r="C61" i="4"/>
  <c r="C115" i="4"/>
  <c r="C40" i="4"/>
  <c r="C91" i="4"/>
  <c r="C54" i="4"/>
  <c r="C105" i="4"/>
  <c r="C165" i="4"/>
  <c r="C103" i="4"/>
  <c r="C86" i="4"/>
  <c r="C155" i="4"/>
  <c r="C159" i="4"/>
  <c r="C161" i="4"/>
  <c r="C119" i="4"/>
  <c r="C34" i="4"/>
  <c r="C70" i="4"/>
  <c r="C82" i="4"/>
  <c r="C90" i="4"/>
  <c r="C130" i="4"/>
  <c r="C122" i="4"/>
  <c r="C38" i="4"/>
  <c r="C160" i="4"/>
  <c r="C151" i="4"/>
  <c r="C163" i="4"/>
  <c r="C56" i="4"/>
  <c r="C98" i="4"/>
  <c r="C137" i="4"/>
  <c r="C174" i="4"/>
  <c r="C167" i="4"/>
  <c r="C51" i="4"/>
  <c r="C71" i="4"/>
  <c r="C126" i="4"/>
  <c r="C138" i="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<sst xmlns="http://schemas.openxmlformats.org/spreadsheetml/2006/main" count="2493" uniqueCount="291">
  <si>
    <t>Country name</t>
  </si>
  <si>
    <t>Regional indicator</t>
  </si>
  <si>
    <t>Ladder score</t>
  </si>
  <si>
    <t>Standard error of ladder score</t>
  </si>
  <si>
    <t>upperwhisker</t>
  </si>
  <si>
    <t>lowerwhisker</t>
  </si>
  <si>
    <t>Logged GDP per capita</t>
  </si>
  <si>
    <t>Social support</t>
  </si>
  <si>
    <t>Healthy life expectancy</t>
  </si>
  <si>
    <t>Freedom to make life choices</t>
  </si>
  <si>
    <t>Generosity</t>
  </si>
  <si>
    <t>Perceptions of corruption</t>
  </si>
  <si>
    <t>Ladder score in Dystopia</t>
  </si>
  <si>
    <t>Explained by: Log GDP per capita</t>
  </si>
  <si>
    <t>Explained by: Social support</t>
  </si>
  <si>
    <t>Explained by: Healthy life expectancy</t>
  </si>
  <si>
    <t>Explained by: Freedom to make life choices</t>
  </si>
  <si>
    <t>Explained by: Generosity</t>
  </si>
  <si>
    <t>Explained by: Perceptions of corruption</t>
  </si>
  <si>
    <t>Dystopia + residual</t>
  </si>
  <si>
    <t>Finland</t>
  </si>
  <si>
    <t>Western Europe</t>
  </si>
  <si>
    <t>Denmark</t>
  </si>
  <si>
    <t>Switzerland</t>
  </si>
  <si>
    <t>Iceland</t>
  </si>
  <si>
    <t>Netherlands</t>
  </si>
  <si>
    <t>Norway</t>
  </si>
  <si>
    <t>Sweden</t>
  </si>
  <si>
    <t>Luxembourg</t>
  </si>
  <si>
    <t>New Zealand</t>
  </si>
  <si>
    <t>North America and ANZ</t>
  </si>
  <si>
    <t>Austria</t>
  </si>
  <si>
    <t>Australia</t>
  </si>
  <si>
    <t>Israel</t>
  </si>
  <si>
    <t>Middle East and North Africa</t>
  </si>
  <si>
    <t>Germany</t>
  </si>
  <si>
    <t>Canada</t>
  </si>
  <si>
    <t>Ireland</t>
  </si>
  <si>
    <t>Costa Rica</t>
  </si>
  <si>
    <t>Latin America and Caribbean</t>
  </si>
  <si>
    <t>United Kingdom</t>
  </si>
  <si>
    <t>Czech Republic</t>
  </si>
  <si>
    <t>Central and Eastern Europe</t>
  </si>
  <si>
    <t>United States</t>
  </si>
  <si>
    <t>Belgium</t>
  </si>
  <si>
    <t>France</t>
  </si>
  <si>
    <t>Bahrain</t>
  </si>
  <si>
    <t>Malta</t>
  </si>
  <si>
    <t>Taiwan Province of China</t>
  </si>
  <si>
    <t>East Asia</t>
  </si>
  <si>
    <t>United Arab Emirates</t>
  </si>
  <si>
    <t>Saudi Arabia</t>
  </si>
  <si>
    <t>Spain</t>
  </si>
  <si>
    <t>Italy</t>
  </si>
  <si>
    <t>Slovenia</t>
  </si>
  <si>
    <t>Guatemala</t>
  </si>
  <si>
    <t>Uruguay</t>
  </si>
  <si>
    <t>Singapore</t>
  </si>
  <si>
    <t>Southeast Asia</t>
  </si>
  <si>
    <t>Kosovo</t>
  </si>
  <si>
    <t>Slovakia</t>
  </si>
  <si>
    <t>Brazil</t>
  </si>
  <si>
    <t>Mexico</t>
  </si>
  <si>
    <t>Jamaica</t>
  </si>
  <si>
    <t>Lithuania</t>
  </si>
  <si>
    <t>Cyprus</t>
  </si>
  <si>
    <t>Estonia</t>
  </si>
  <si>
    <t>Panama</t>
  </si>
  <si>
    <t>Uzbekistan</t>
  </si>
  <si>
    <t>Commonwealth of Independent States</t>
  </si>
  <si>
    <t>Chile</t>
  </si>
  <si>
    <t>Poland</t>
  </si>
  <si>
    <t>Kazakhstan</t>
  </si>
  <si>
    <t>Romania</t>
  </si>
  <si>
    <t>Kuwait</t>
  </si>
  <si>
    <t>Serbia</t>
  </si>
  <si>
    <t>El Salvador</t>
  </si>
  <si>
    <t>Mauritius</t>
  </si>
  <si>
    <t>Sub-Saharan Africa</t>
  </si>
  <si>
    <t>Latvia</t>
  </si>
  <si>
    <t>Colombia</t>
  </si>
  <si>
    <t>Hungary</t>
  </si>
  <si>
    <t>Thailand</t>
  </si>
  <si>
    <t>Nicaragua</t>
  </si>
  <si>
    <t>Japan</t>
  </si>
  <si>
    <t>Argentina</t>
  </si>
  <si>
    <t>Portugal</t>
  </si>
  <si>
    <t>Honduras</t>
  </si>
  <si>
    <t>Croatia</t>
  </si>
  <si>
    <t>Philippines</t>
  </si>
  <si>
    <t>South Korea</t>
  </si>
  <si>
    <t>Peru</t>
  </si>
  <si>
    <t>Bosnia and Herzegovina</t>
  </si>
  <si>
    <t>Moldova</t>
  </si>
  <si>
    <t>Ecuador</t>
  </si>
  <si>
    <t>Kyrgyzstan</t>
  </si>
  <si>
    <t>Greece</t>
  </si>
  <si>
    <t>Bolivia</t>
  </si>
  <si>
    <t>Mongolia</t>
  </si>
  <si>
    <t>Paraguay</t>
  </si>
  <si>
    <t>Montenegro</t>
  </si>
  <si>
    <t>Dominican Republic</t>
  </si>
  <si>
    <t>North Cyprus</t>
  </si>
  <si>
    <t>Belarus</t>
  </si>
  <si>
    <t>Russia</t>
  </si>
  <si>
    <t>Hong Kong S.A.R. of China</t>
  </si>
  <si>
    <t>Tajikistan</t>
  </si>
  <si>
    <t>Vietnam</t>
  </si>
  <si>
    <t>Libya</t>
  </si>
  <si>
    <t>Malaysia</t>
  </si>
  <si>
    <t>Indonesia</t>
  </si>
  <si>
    <t>Congo (Brazzaville)</t>
  </si>
  <si>
    <t>China</t>
  </si>
  <si>
    <t>Ivory Coast</t>
  </si>
  <si>
    <t>Armenia</t>
  </si>
  <si>
    <t>Nepal</t>
  </si>
  <si>
    <t>South Asia</t>
  </si>
  <si>
    <t>Bulgaria</t>
  </si>
  <si>
    <t>Maldives</t>
  </si>
  <si>
    <t>Azerbaijan</t>
  </si>
  <si>
    <t>Cameroon</t>
  </si>
  <si>
    <t>Senegal</t>
  </si>
  <si>
    <t>Albania</t>
  </si>
  <si>
    <t>North Macedonia</t>
  </si>
  <si>
    <t>Ghana</t>
  </si>
  <si>
    <t>Niger</t>
  </si>
  <si>
    <t>Turkmenistan</t>
  </si>
  <si>
    <t>Gambia</t>
  </si>
  <si>
    <t>Benin</t>
  </si>
  <si>
    <t>Laos</t>
  </si>
  <si>
    <t>Bangladesh</t>
  </si>
  <si>
    <t>Guinea</t>
  </si>
  <si>
    <t>South Africa</t>
  </si>
  <si>
    <t>Turkey</t>
  </si>
  <si>
    <t>Pakistan</t>
  </si>
  <si>
    <t>Morocco</t>
  </si>
  <si>
    <t>Venezuela</t>
  </si>
  <si>
    <t>Georgia</t>
  </si>
  <si>
    <t>Algeria</t>
  </si>
  <si>
    <t>Ukraine</t>
  </si>
  <si>
    <t>Iraq</t>
  </si>
  <si>
    <t>Gabon</t>
  </si>
  <si>
    <t>Burkina Faso</t>
  </si>
  <si>
    <t>Cambodia</t>
  </si>
  <si>
    <t>Mozambique</t>
  </si>
  <si>
    <t>Nigeria</t>
  </si>
  <si>
    <t>Mali</t>
  </si>
  <si>
    <t>Iran</t>
  </si>
  <si>
    <t>Uganda</t>
  </si>
  <si>
    <t>Liberia</t>
  </si>
  <si>
    <t>Kenya</t>
  </si>
  <si>
    <t>Tunisia</t>
  </si>
  <si>
    <t>Lebanon</t>
  </si>
  <si>
    <t>Namibia</t>
  </si>
  <si>
    <t>Palestinian Territories</t>
  </si>
  <si>
    <t>Myanmar</t>
  </si>
  <si>
    <t>Jordan</t>
  </si>
  <si>
    <t>Chad</t>
  </si>
  <si>
    <t>Sri Lanka</t>
  </si>
  <si>
    <t>Swaziland</t>
  </si>
  <si>
    <t>Comoros</t>
  </si>
  <si>
    <t>Egypt</t>
  </si>
  <si>
    <t>Ethiopia</t>
  </si>
  <si>
    <t>Mauritania</t>
  </si>
  <si>
    <t>Madagascar</t>
  </si>
  <si>
    <t>Togo</t>
  </si>
  <si>
    <t>Zambia</t>
  </si>
  <si>
    <t>Sierra Leone</t>
  </si>
  <si>
    <t>India</t>
  </si>
  <si>
    <t>Burundi</t>
  </si>
  <si>
    <t>Yemen</t>
  </si>
  <si>
    <t>Tanzania</t>
  </si>
  <si>
    <t>Haiti</t>
  </si>
  <si>
    <t>Malawi</t>
  </si>
  <si>
    <t>Lesotho</t>
  </si>
  <si>
    <t>Botswana</t>
  </si>
  <si>
    <t>Rwanda</t>
  </si>
  <si>
    <t>Zimbabwe</t>
  </si>
  <si>
    <t>Afghanistan</t>
  </si>
  <si>
    <t>Row Labels</t>
  </si>
  <si>
    <t>Grand Total</t>
  </si>
  <si>
    <t>Count of Regional indicator</t>
  </si>
  <si>
    <t>Katera komponenta (GDP, zdravje, podpora …) ima najmočnejšo povezavo s srečo (Ladder score)?</t>
  </si>
  <si>
    <t>,=CORREL(X;X)</t>
  </si>
  <si>
    <t>Povezava med ladder score (vrednost sreče) in komponento</t>
  </si>
  <si>
    <t>GDP</t>
  </si>
  <si>
    <t>Vrednost r</t>
  </si>
  <si>
    <t>Pomen</t>
  </si>
  <si>
    <t>+1.00</t>
  </si>
  <si>
    <t>Popolna pozitivna korelacija (npr. več B = več A)</t>
  </si>
  <si>
    <t>+0.50 do +0.99</t>
  </si>
  <si>
    <t>Močna pozitivna korelacija</t>
  </si>
  <si>
    <t>+0.10 do +0.49</t>
  </si>
  <si>
    <t>Šibka pozitivna korelacija</t>
  </si>
  <si>
    <t>0.00</t>
  </si>
  <si>
    <t>Ni korelacije</t>
  </si>
  <si>
    <t>−0.10 do −0.49</t>
  </si>
  <si>
    <t>Šibka negativna korelacija</t>
  </si>
  <si>
    <t>−0.50 do −0.99</t>
  </si>
  <si>
    <t>Močna negativna korelacija</t>
  </si>
  <si>
    <t>Popolna negativna korelacija</t>
  </si>
  <si>
    <t>Uporaba Pearsonovega koeficienta korelacije (r), ki napove korelacijo:</t>
  </si>
  <si>
    <t>Močna pozitivna korelacija (najmočnejša)</t>
  </si>
  <si>
    <t>Average of Ladder score</t>
  </si>
  <si>
    <t>Average of Logged GDP per capita</t>
  </si>
  <si>
    <t>1. Ali večja svoboda izbire življenja vedno pomeni manjšo korupcijo?</t>
  </si>
  <si>
    <t>Number of countries</t>
  </si>
  <si>
    <t>Pearsonov koeficient ®:</t>
  </si>
  <si>
    <t>Med svobodo in korupcijo</t>
  </si>
  <si>
    <t>log(freedom)</t>
  </si>
  <si>
    <t>log(corruption)</t>
  </si>
  <si>
    <t>Zadrži</t>
  </si>
  <si>
    <t>(data&lt;sort)</t>
  </si>
  <si>
    <t>There is no obvious and significant correlation between freedom and corruption. Culture? History? Religion?</t>
  </si>
  <si>
    <t>1. Je bolj zdrava populacija tudi bolj velikodušna?</t>
  </si>
  <si>
    <t>šibka negativna korelacija</t>
  </si>
  <si>
    <t>r</t>
  </si>
  <si>
    <t>Po mojem mnenju korelacija ni signifikantna</t>
  </si>
  <si>
    <r>
      <t>🔹</t>
    </r>
    <r>
      <rPr>
        <b/>
        <sz val="12"/>
        <color theme="1"/>
        <rFont val="Calibri"/>
        <family val="2"/>
        <charset val="238"/>
      </rPr>
      <t xml:space="preserve"> 2. Regionalna porazdelitev</t>
    </r>
  </si>
  <si>
    <r>
      <t>✅</t>
    </r>
    <r>
      <rPr>
        <b/>
        <sz val="12"/>
        <color theme="1"/>
        <rFont val="Calibri"/>
        <family val="2"/>
        <charset val="238"/>
      </rPr>
      <t xml:space="preserve"> Cilj: Preveri razlike med regijami</t>
    </r>
  </si>
  <si>
    <t>1. Ugotovi regijo z največjim povprečjem Ladder score</t>
  </si>
  <si>
    <t>2. Primerjaj regije glede razkoraka med 'perceived corruption' in GDP</t>
  </si>
  <si>
    <t>3. Dodaj regijsko lestvico: uredi države znotraj regij po Ladder score</t>
  </si>
  <si>
    <t>North america and anz has the highest average Ladder score</t>
  </si>
  <si>
    <t>Normalizacija perceived corruption in GDP</t>
  </si>
  <si>
    <t>Corruption</t>
  </si>
  <si>
    <t>Ko so podatki na različnoih skalah-&gt; uporaba grafa</t>
  </si>
  <si>
    <t>Min</t>
  </si>
  <si>
    <t>Max</t>
  </si>
  <si>
    <t>Razlika</t>
  </si>
  <si>
    <t>normalizacija=(vrednost-min)/razlika</t>
  </si>
  <si>
    <t>Uporaba funkcije MIN in MAX</t>
  </si>
  <si>
    <t>Normalized GDP</t>
  </si>
  <si>
    <t>Normalized corruption</t>
  </si>
  <si>
    <t>Average of Normalized GDP</t>
  </si>
  <si>
    <t>Average of Normalized corruption</t>
  </si>
  <si>
    <t>Difference betweeen normalized GDP and normalized corruption</t>
  </si>
  <si>
    <r>
      <t>🔹</t>
    </r>
    <r>
      <rPr>
        <b/>
        <sz val="12"/>
        <color theme="1"/>
        <rFont val="Calibri"/>
        <family val="2"/>
        <charset val="238"/>
      </rPr>
      <t xml:space="preserve"> 3. Ustvarjanje kazalnikov</t>
    </r>
  </si>
  <si>
    <r>
      <t>✅</t>
    </r>
    <r>
      <rPr>
        <b/>
        <sz val="12"/>
        <color theme="1"/>
        <rFont val="Calibri"/>
        <family val="2"/>
        <charset val="238"/>
      </rPr>
      <t xml:space="preserve"> Cilj: Ustvari nov "index"</t>
    </r>
  </si>
  <si>
    <t>1. Izračunaj “Wellbeing index” kot povprečje: GDP + Social support + Freedom – Corruption</t>
  </si>
  <si>
    <t>2. Uvrsti države po tem novem kazalniku in primerjaj z uradno Ladder score</t>
  </si>
  <si>
    <t>Ranking by ladder score</t>
  </si>
  <si>
    <t>Wellbeing index</t>
  </si>
  <si>
    <t>Ranking by wellbeing index</t>
  </si>
  <si>
    <t>Different ranking (ws-ls)</t>
  </si>
  <si>
    <t>Rank</t>
  </si>
  <si>
    <t>Wellbeing score</t>
  </si>
  <si>
    <r>
      <t>🔹</t>
    </r>
    <r>
      <rPr>
        <b/>
        <sz val="12"/>
        <color theme="1"/>
        <rFont val="Calibri"/>
        <family val="2"/>
        <charset val="238"/>
      </rPr>
      <t xml:space="preserve"> 4. Scenariji in napovedi</t>
    </r>
  </si>
  <si>
    <r>
      <t>✅</t>
    </r>
    <r>
      <rPr>
        <b/>
        <sz val="12"/>
        <color theme="1"/>
        <rFont val="Calibri"/>
        <family val="2"/>
        <charset val="238"/>
      </rPr>
      <t xml:space="preserve"> Cilj: Predvidi spremembe in scenarije</t>
    </r>
  </si>
  <si>
    <t>1. Kaj se zgodi z Ladder score, če se GDP poveča za 20 % v Afriki?</t>
  </si>
  <si>
    <t>2. Ustvari hipotetično lestvico: Če bi v vsaki državi izboljšali “Freedom” na 0.95</t>
  </si>
  <si>
    <r>
      <t>🔧</t>
    </r>
    <r>
      <rPr>
        <sz val="12"/>
        <color theme="1"/>
        <rFont val="Calibri"/>
        <family val="2"/>
        <charset val="238"/>
      </rPr>
      <t xml:space="preserve"> Orodja:</t>
    </r>
  </si>
  <si>
    <t>FORECAST, IF, WHATIF analysis, GOAL SEEK</t>
  </si>
  <si>
    <t>Vzemi samo države določene regije z FILTER</t>
  </si>
  <si>
    <t>New GDP</t>
  </si>
  <si>
    <t>GDP per capita</t>
  </si>
  <si>
    <t>8⋅10 
−6
 x 
6
 8⋅10 
−6
 x =8*</t>
  </si>
  <si>
    <t>Normalized ladder score</t>
  </si>
  <si>
    <t>Normalized Freedom</t>
  </si>
  <si>
    <t>min</t>
  </si>
  <si>
    <t>max</t>
  </si>
  <si>
    <t>difference</t>
  </si>
  <si>
    <t>Linest</t>
  </si>
  <si>
    <t>Difference</t>
  </si>
  <si>
    <r>
      <t>🔹</t>
    </r>
    <r>
      <rPr>
        <b/>
        <sz val="12"/>
        <color theme="1"/>
        <rFont val="Calibri"/>
        <family val="2"/>
        <charset val="238"/>
      </rPr>
      <t xml:space="preserve"> 5. Prikazi in grafi</t>
    </r>
  </si>
  <si>
    <r>
      <t>✅</t>
    </r>
    <r>
      <rPr>
        <b/>
        <sz val="12"/>
        <color theme="1"/>
        <rFont val="Calibri"/>
        <family val="2"/>
        <charset val="238"/>
      </rPr>
      <t xml:space="preserve"> Cilj: Uporabi vizualizacijo kot profesionalec</t>
    </r>
  </si>
  <si>
    <t>1. Heatmap za percepcijo korupcije po regijah</t>
  </si>
  <si>
    <t>2. Bar chart: primerjava 5 najboljših in najslabših držav po vseh kategorijah</t>
  </si>
  <si>
    <t>Conditional formatting, Radar charts, Combo charts</t>
  </si>
  <si>
    <t>Uporabi Dynamic named ranges za grafične prikaze</t>
  </si>
  <si>
    <t>Custom legend</t>
  </si>
  <si>
    <t>High corruption</t>
  </si>
  <si>
    <t>Medium corruption</t>
  </si>
  <si>
    <t>0,501-0,700</t>
  </si>
  <si>
    <t>0,082-0,500</t>
  </si>
  <si>
    <t>Low corruption</t>
  </si>
  <si>
    <t>0,701-0,939</t>
  </si>
  <si>
    <t>Top 5</t>
  </si>
  <si>
    <t>Bottom 5</t>
  </si>
  <si>
    <t>3. Radar/spider chart za profile držav (npr. Švica vs. Slovenia)</t>
  </si>
  <si>
    <t>3. Radar/spider chart za profile držav (npr. Švica vs. slovenija)</t>
  </si>
  <si>
    <t>Paste special-&gt;transposone</t>
  </si>
  <si>
    <t>average difference</t>
  </si>
  <si>
    <t>max difference</t>
  </si>
  <si>
    <t>min difference</t>
  </si>
  <si>
    <t>New logged GDP</t>
  </si>
  <si>
    <t>Calculated happiness score</t>
  </si>
  <si>
    <t>New happiness score</t>
  </si>
  <si>
    <t>New freedom-happiness score</t>
  </si>
  <si>
    <t>Difference between normal and freedom happiness score</t>
  </si>
  <si>
    <t>Original happiness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</si>
</sst>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22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  <font>
      <b/>
      <sz val="12"/>
      <color theme="1"/>
      <name val="Calibri"/>
      <family val="2"/>
      <charset val="238"/>
    </font>
    <font>
      <b/>
      <sz val="12"/>
      <color theme="1"/>
      <name val="Segoe UI Emoji"/>
      <family val="2"/>
    </font>
    <font>
      <sz val="12"/>
      <color theme="1"/>
      <name val="Calibri"/>
      <family val="2"/>
      <charset val="238"/>
    </font>
    <font>
      <sz val="12"/>
      <color theme="1"/>
      <name val="Segoe UI Emoji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49998474074526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3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8" fillId="0" borderId="0" xfId="0" applyFont="1" applyAlignment="1">
      <alignment horizontal="left" vertical="center" indent="1"/>
    </xf>
    <xf numFmtId="0" fontId="19" fillId="0" borderId="0" xfId="0" applyFont="1" applyAlignment="1">
      <alignment vertical="center"/>
    </xf>
    <xf numFmtId="0" fontId="16" fillId="33" borderId="10" xfId="0" applyFont="1" applyFill="1" applyBorder="1"/>
    <xf numFmtId="0" fontId="16" fillId="33" borderId="0" xfId="0" applyFont="1" applyFill="1"/>
    <xf numFmtId="2" fontId="0" fillId="0" borderId="0" xfId="0" applyNumberFormat="1"/>
    <xf numFmtId="0" fontId="0" fillId="34" borderId="0" xfId="0" applyFill="1"/>
    <xf numFmtId="3" fontId="0" fillId="34" borderId="0" xfId="0" applyNumberFormat="1" applyFill="1"/>
    <xf numFmtId="0" fontId="0" fillId="35" borderId="0" xfId="0" applyFill="1"/>
    <xf numFmtId="3" fontId="0" fillId="35" borderId="0" xfId="0" applyNumberFormat="1" applyFill="1"/>
    <xf numFmtId="0" fontId="21" fillId="0" borderId="0" xfId="0" applyFont="1" applyAlignment="1">
      <alignment vertical="center"/>
    </xf>
    <xf numFmtId="0" fontId="20" fillId="0" borderId="0" xfId="0" applyFont="1" applyAlignment="1">
      <alignment horizontal="left" vertical="center" indent="1"/>
    </xf>
    <xf numFmtId="0" fontId="0" fillId="0" borderId="0" xfId="0" applyAlignment="1">
      <alignment wrapText="1"/>
    </xf>
    <xf numFmtId="0" fontId="0" fillId="36" borderId="0" xfId="0" applyFill="1"/>
    <xf numFmtId="0" fontId="0" fillId="37" borderId="0" xfId="0" applyFill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b val="0"/>
        <i val="0"/>
      </font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[world-happiness-report-2021_analysis.xlsx]analiza!PivotTable2</c:name>
    <c:fmtId val="1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cked"/>
        <c:varyColors val="0"/>
        <c:ser>
          <c:idx val="0"/>
          <c:order val="0"/>
          <c:tx>
            <c:strRef>
              <c:f>analiza!$B$26</c:f>
              <c:strCache>
                <c:ptCount val="1"/>
                <c:pt idx="0">
                  <c:v>Average of Ladder 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analiza!$A$27:$A$37</c:f>
              <c:strCache>
                <c:ptCount val="10"/>
                <c:pt idx="0">
                  <c:v>Central and Eastern Europe</c:v>
                </c:pt>
                <c:pt idx="1">
                  <c:v>Commonwealth of Independent States</c:v>
                </c:pt>
                <c:pt idx="2">
                  <c:v>East Asia</c:v>
                </c:pt>
                <c:pt idx="3">
                  <c:v>Latin America and Caribbean</c:v>
                </c:pt>
                <c:pt idx="4">
                  <c:v>Middle East and North Africa</c:v>
                </c:pt>
                <c:pt idx="5">
                  <c:v>North America and ANZ</c:v>
                </c:pt>
                <c:pt idx="6">
                  <c:v>South Asia</c:v>
                </c:pt>
                <c:pt idx="7">
                  <c:v>Southeast Asia</c:v>
                </c:pt>
                <c:pt idx="8">
                  <c:v>Sub-Saharan Africa</c:v>
                </c:pt>
                <c:pt idx="9">
                  <c:v>Western Europe</c:v>
                </c:pt>
              </c:strCache>
            </c:strRef>
          </c:cat>
          <c:val>
            <c:numRef>
              <c:f>analiza!$B$27:$B$37</c:f>
              <c:numCache>
                <c:formatCode>#,##0</c:formatCode>
                <c:ptCount val="10"/>
                <c:pt idx="0">
                  <c:v>5984.7647058823532</c:v>
                </c:pt>
                <c:pt idx="1">
                  <c:v>5467</c:v>
                </c:pt>
                <c:pt idx="2">
                  <c:v>5810.333333333333</c:v>
                </c:pt>
                <c:pt idx="3">
                  <c:v>5908.05</c:v>
                </c:pt>
                <c:pt idx="4">
                  <c:v>5219.7647058823532</c:v>
                </c:pt>
                <c:pt idx="5">
                  <c:v>7128.5</c:v>
                </c:pt>
                <c:pt idx="6">
                  <c:v>4441.8571428571431</c:v>
                </c:pt>
                <c:pt idx="7">
                  <c:v>5407.5555555555557</c:v>
                </c:pt>
                <c:pt idx="8">
                  <c:v>4494.4722222222226</c:v>
                </c:pt>
                <c:pt idx="9">
                  <c:v>6914.9047619047615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FE-4C23-802F-4726A0CCD237}"/>
            </c:ext>
          </c:extLst>
        </c:ser>
        <c:ser>
          <c:idx val="1"/>
          <c:order val="1"/>
          <c:tx>
            <c:strRef>
              <c:f>analiza!$C$26</c:f>
              <c:strCache>
                <c:ptCount val="1"/>
                <c:pt idx="0">
                  <c:v>Average of Logged GDP per capita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analiza!$A$27:$A$37</c:f>
              <c:strCache>
                <c:ptCount val="10"/>
                <c:pt idx="0">
                  <c:v>Central and Eastern Europe</c:v>
                </c:pt>
                <c:pt idx="1">
                  <c:v>Commonwealth of Independent States</c:v>
                </c:pt>
                <c:pt idx="2">
                  <c:v>East Asia</c:v>
                </c:pt>
                <c:pt idx="3">
                  <c:v>Latin America and Caribbean</c:v>
                </c:pt>
                <c:pt idx="4">
                  <c:v>Middle East and North Africa</c:v>
                </c:pt>
                <c:pt idx="5">
                  <c:v>North America and ANZ</c:v>
                </c:pt>
                <c:pt idx="6">
                  <c:v>South Asia</c:v>
                </c:pt>
                <c:pt idx="7">
                  <c:v>Southeast Asia</c:v>
                </c:pt>
                <c:pt idx="8">
                  <c:v>Sub-Saharan Africa</c:v>
                </c:pt>
                <c:pt idx="9">
                  <c:v>Western Europe</c:v>
                </c:pt>
              </c:strCache>
            </c:strRef>
          </c:cat>
          <c:val>
            <c:numRef>
              <c:f>analiza!$C$27:$C$37</c:f>
              <c:numCache>
                <c:formatCode>#,##0</c:formatCode>
                <c:ptCount val="10"/>
                <c:pt idx="0">
                  <c:v>10109.058823529413</c:v>
                </c:pt>
                <c:pt idx="1">
                  <c:v>9401.8333333333339</c:v>
                </c:pt>
                <c:pt idx="2">
                  <c:v>10367.666666666666</c:v>
                </c:pt>
                <c:pt idx="3">
                  <c:v>9370</c:v>
                </c:pt>
                <c:pt idx="4">
                  <c:v>9666.1176470588234</c:v>
                </c:pt>
                <c:pt idx="5">
                  <c:v>10809.5</c:v>
                </c:pt>
                <c:pt idx="6">
                  <c:v>8682.5714285714294</c:v>
                </c:pt>
                <c:pt idx="7">
                  <c:v>9421.4444444444453</c:v>
                </c:pt>
                <c:pt idx="8">
                  <c:v>8075.1944444444443</c:v>
                </c:pt>
                <c:pt idx="9">
                  <c:v>10822.714285714286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FE-4C23-802F-4726A0CCD237}"/>
            </c:ext>
          </c:extLst>
        </c:ser>
        <c:ser>
          <c:idx val="2"/>
          <c:order val="2"/>
          <c:tx>
            <c:strRef>
              <c:f>analiza!$D$26</c:f>
              <c:strCache>
                <c:ptCount val="1"/>
                <c:pt idx="0">
                  <c:v>Number of countries</c:v>
                </c:pt>
              </c:strCache>
            </c:strRef>
          </c:tx>
          <c:spPr>
            <a:solidFill>
              <a:schemeClr val="accent3"/>
            </a:solidFill>
            <a:ln w="25400">
              <a:noFill/>
            </a:ln>
            <a:effectLst/>
          </c:spPr>
          <c:cat>
            <c:strRef>
              <c:f>analiza!$A$27:$A$37</c:f>
              <c:strCache>
                <c:ptCount val="10"/>
                <c:pt idx="0">
                  <c:v>Central and Eastern Europe</c:v>
                </c:pt>
                <c:pt idx="1">
                  <c:v>Commonwealth of Independent States</c:v>
                </c:pt>
                <c:pt idx="2">
                  <c:v>East Asia</c:v>
                </c:pt>
                <c:pt idx="3">
                  <c:v>Latin America and Caribbean</c:v>
                </c:pt>
                <c:pt idx="4">
                  <c:v>Middle East and North Africa</c:v>
                </c:pt>
                <c:pt idx="5">
                  <c:v>North America and ANZ</c:v>
                </c:pt>
                <c:pt idx="6">
                  <c:v>South Asia</c:v>
                </c:pt>
                <c:pt idx="7">
                  <c:v>Southeast Asia</c:v>
                </c:pt>
                <c:pt idx="8">
                  <c:v>Sub-Saharan Africa</c:v>
                </c:pt>
                <c:pt idx="9">
                  <c:v>Western Europe</c:v>
                </c:pt>
              </c:strCache>
            </c:strRef>
          </c:cat>
          <c:val>
            <c:numRef>
              <c:f>analiza!$D$27:$D$37</c:f>
              <c:numCache>
                <c:formatCode>General</c:formatCode>
                <c:ptCount val="10"/>
                <c:pt idx="0">
                  <c:v>17</c:v>
                </c:pt>
                <c:pt idx="1">
                  <c:v>12</c:v>
                </c:pt>
                <c:pt idx="2">
                  <c:v>6</c:v>
                </c:pt>
                <c:pt idx="3">
                  <c:v>20</c:v>
                </c:pt>
                <c:pt idx="4">
                  <c:v>17</c:v>
                </c:pt>
                <c:pt idx="5">
                  <c:v>4</c:v>
                </c:pt>
                <c:pt idx="6">
                  <c:v>7</c:v>
                </c:pt>
                <c:pt idx="7">
                  <c:v>9</c:v>
                </c:pt>
                <c:pt idx="8">
                  <c:v>36</c:v>
                </c:pt>
                <c:pt idx="9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5FE-4C23-802F-4726A0CCD2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5608719"/>
        <c:axId val="1747314831"/>
      </c:areaChart>
      <c:catAx>
        <c:axId val="184560871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7314831"/>
        <c:crosses val="autoZero"/>
        <c:auto val="1"/>
        <c:lblAlgn val="ctr"/>
        <c:lblOffset val="100"/>
        <c:noMultiLvlLbl val="0"/>
      </c:catAx>
      <c:valAx>
        <c:axId val="1747314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56087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1"/>
          <c:order val="0"/>
          <c:tx>
            <c:strRef>
              <c:f>analiza!$C$49</c:f>
              <c:strCache>
                <c:ptCount val="1"/>
                <c:pt idx="0">
                  <c:v>Freedom to make life choices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analiza!$A$50:$A$59</c:f>
              <c:strCache>
                <c:ptCount val="10"/>
                <c:pt idx="0">
                  <c:v>Western Europe</c:v>
                </c:pt>
                <c:pt idx="1">
                  <c:v>North America and ANZ</c:v>
                </c:pt>
                <c:pt idx="2">
                  <c:v>Middle East and North Africa</c:v>
                </c:pt>
                <c:pt idx="3">
                  <c:v>Latin America and Caribbean</c:v>
                </c:pt>
                <c:pt idx="4">
                  <c:v>Central and Eastern Europe</c:v>
                </c:pt>
                <c:pt idx="5">
                  <c:v>East Asia</c:v>
                </c:pt>
                <c:pt idx="6">
                  <c:v>Southeast Asia</c:v>
                </c:pt>
                <c:pt idx="7">
                  <c:v>Commonwealth of Independent States</c:v>
                </c:pt>
                <c:pt idx="8">
                  <c:v>Sub-Saharan Africa</c:v>
                </c:pt>
                <c:pt idx="9">
                  <c:v>South Asia</c:v>
                </c:pt>
              </c:strCache>
            </c:strRef>
          </c:cat>
          <c:val>
            <c:numRef>
              <c:f>analiza!$C$50:$C$59</c:f>
              <c:numCache>
                <c:formatCode>General</c:formatCode>
                <c:ptCount val="10"/>
                <c:pt idx="0">
                  <c:v>0.85871428571428576</c:v>
                </c:pt>
                <c:pt idx="1">
                  <c:v>0.89874999999999994</c:v>
                </c:pt>
                <c:pt idx="2">
                  <c:v>0.71647058823529419</c:v>
                </c:pt>
                <c:pt idx="3">
                  <c:v>0.83174999999999988</c:v>
                </c:pt>
                <c:pt idx="4">
                  <c:v>0.79705882352941171</c:v>
                </c:pt>
                <c:pt idx="5">
                  <c:v>0.76350000000000007</c:v>
                </c:pt>
                <c:pt idx="6">
                  <c:v>0.90899999999999992</c:v>
                </c:pt>
                <c:pt idx="7">
                  <c:v>0.81691666666666674</c:v>
                </c:pt>
                <c:pt idx="8">
                  <c:v>0.72319444444444425</c:v>
                </c:pt>
                <c:pt idx="9">
                  <c:v>0.7649999999999999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A2-4C9D-8F92-181CD060031C}"/>
            </c:ext>
          </c:extLst>
        </c:ser>
        <c:ser>
          <c:idx val="2"/>
          <c:order val="1"/>
          <c:tx>
            <c:strRef>
              <c:f>analiza!$D$49</c:f>
              <c:strCache>
                <c:ptCount val="1"/>
                <c:pt idx="0">
                  <c:v>Perceptions of corruption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analiza!$A$50:$A$59</c:f>
              <c:strCache>
                <c:ptCount val="10"/>
                <c:pt idx="0">
                  <c:v>Western Europe</c:v>
                </c:pt>
                <c:pt idx="1">
                  <c:v>North America and ANZ</c:v>
                </c:pt>
                <c:pt idx="2">
                  <c:v>Middle East and North Africa</c:v>
                </c:pt>
                <c:pt idx="3">
                  <c:v>Latin America and Caribbean</c:v>
                </c:pt>
                <c:pt idx="4">
                  <c:v>Central and Eastern Europe</c:v>
                </c:pt>
                <c:pt idx="5">
                  <c:v>East Asia</c:v>
                </c:pt>
                <c:pt idx="6">
                  <c:v>Southeast Asia</c:v>
                </c:pt>
                <c:pt idx="7">
                  <c:v>Commonwealth of Independent States</c:v>
                </c:pt>
                <c:pt idx="8">
                  <c:v>Sub-Saharan Africa</c:v>
                </c:pt>
                <c:pt idx="9">
                  <c:v>South Asia</c:v>
                </c:pt>
              </c:strCache>
            </c:strRef>
          </c:cat>
          <c:val>
            <c:numRef>
              <c:f>analiza!$D$50:$D$59</c:f>
              <c:numCache>
                <c:formatCode>General</c:formatCode>
                <c:ptCount val="10"/>
                <c:pt idx="0">
                  <c:v>0.52309523809523806</c:v>
                </c:pt>
                <c:pt idx="1">
                  <c:v>0.44924999999999998</c:v>
                </c:pt>
                <c:pt idx="2">
                  <c:v>0.76223529411764701</c:v>
                </c:pt>
                <c:pt idx="3">
                  <c:v>0.79259999999999997</c:v>
                </c:pt>
                <c:pt idx="4">
                  <c:v>0.85052941176470576</c:v>
                </c:pt>
                <c:pt idx="5">
                  <c:v>0.68333333333333324</c:v>
                </c:pt>
                <c:pt idx="6">
                  <c:v>0.70911111111111114</c:v>
                </c:pt>
                <c:pt idx="7">
                  <c:v>0.72508333333333341</c:v>
                </c:pt>
                <c:pt idx="8">
                  <c:v>0.76594444444444421</c:v>
                </c:pt>
                <c:pt idx="9">
                  <c:v>0.79742857142857138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2A2-4C9D-8F92-181CD06003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53585999"/>
        <c:axId val="1853586479"/>
      </c:lineChart>
      <c:catAx>
        <c:axId val="1853585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3586479"/>
        <c:crosses val="autoZero"/>
        <c:auto val="1"/>
        <c:lblAlgn val="ctr"/>
        <c:lblOffset val="100"/>
        <c:noMultiLvlLbl val="0"/>
      </c:catAx>
      <c:valAx>
        <c:axId val="1853586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3585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663188976377953E-2"/>
          <c:y val="0.17634259259259263"/>
          <c:w val="0.90647922134733161"/>
          <c:h val="0.77736111111111106"/>
        </c:manualLayout>
      </c:layout>
      <c:scatterChart>
        <c:scatterStyle val="lineMarker"/>
        <c:varyColors val="0"/>
        <c:ser>
          <c:idx val="0"/>
          <c:order val="0"/>
          <c:tx>
            <c:strRef>
              <c:f>analiza!$D$61</c:f>
              <c:strCache>
                <c:ptCount val="1"/>
                <c:pt idx="0">
                  <c:v>log(corruption)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0"/>
            <c:trendlineLbl>
              <c:layout>
                <c:manualLayout>
                  <c:x val="-0.64472812773403321"/>
                  <c:y val="-3.209135316418781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analiza!$C$62:$C$210</c:f>
              <c:numCache>
                <c:formatCode>General</c:formatCode>
                <c:ptCount val="149"/>
                <c:pt idx="0">
                  <c:v>-0.41793663708829126</c:v>
                </c:pt>
                <c:pt idx="1">
                  <c:v>-0.31875876262441277</c:v>
                </c:pt>
                <c:pt idx="2">
                  <c:v>-0.27984069659404309</c:v>
                </c:pt>
                <c:pt idx="3">
                  <c:v>-0.26121944151563081</c:v>
                </c:pt>
                <c:pt idx="4">
                  <c:v>-0.25806092227080107</c:v>
                </c:pt>
                <c:pt idx="5">
                  <c:v>-0.25103713874383854</c:v>
                </c:pt>
                <c:pt idx="6">
                  <c:v>-0.239577516576788</c:v>
                </c:pt>
                <c:pt idx="7">
                  <c:v>-0.23732143627256383</c:v>
                </c:pt>
                <c:pt idx="8">
                  <c:v>-0.23507701535011155</c:v>
                </c:pt>
                <c:pt idx="9">
                  <c:v>-0.22694530663573742</c:v>
                </c:pt>
                <c:pt idx="10">
                  <c:v>-0.22040350874217546</c:v>
                </c:pt>
                <c:pt idx="11">
                  <c:v>-0.21609642072726507</c:v>
                </c:pt>
                <c:pt idx="12">
                  <c:v>-0.21112488422458328</c:v>
                </c:pt>
                <c:pt idx="13">
                  <c:v>-0.20830935097988201</c:v>
                </c:pt>
                <c:pt idx="14">
                  <c:v>-0.20342566678957033</c:v>
                </c:pt>
                <c:pt idx="15">
                  <c:v>-0.20065945054641829</c:v>
                </c:pt>
                <c:pt idx="16">
                  <c:v>-0.18909571933129959</c:v>
                </c:pt>
                <c:pt idx="17">
                  <c:v>-0.18708664335714442</c:v>
                </c:pt>
                <c:pt idx="18">
                  <c:v>-0.18508681872492605</c:v>
                </c:pt>
                <c:pt idx="19">
                  <c:v>-0.1830961606243397</c:v>
                </c:pt>
                <c:pt idx="20">
                  <c:v>-0.17263072694617473</c:v>
                </c:pt>
                <c:pt idx="21">
                  <c:v>-0.16941133131485567</c:v>
                </c:pt>
                <c:pt idx="22">
                  <c:v>-0.15926676538819329</c:v>
                </c:pt>
                <c:pt idx="23">
                  <c:v>-0.15801519540988615</c:v>
                </c:pt>
                <c:pt idx="24">
                  <c:v>-0.15801519540988615</c:v>
                </c:pt>
                <c:pt idx="25">
                  <c:v>-0.15801519540988615</c:v>
                </c:pt>
                <c:pt idx="26">
                  <c:v>-0.15676722190199061</c:v>
                </c:pt>
                <c:pt idx="27">
                  <c:v>-0.15676722190199061</c:v>
                </c:pt>
                <c:pt idx="28">
                  <c:v>-0.15676722190199061</c:v>
                </c:pt>
                <c:pt idx="29">
                  <c:v>-0.15119529894819625</c:v>
                </c:pt>
                <c:pt idx="30">
                  <c:v>-0.14996674231023099</c:v>
                </c:pt>
                <c:pt idx="31">
                  <c:v>-0.14996674231023099</c:v>
                </c:pt>
                <c:pt idx="32">
                  <c:v>-0.14935376481693349</c:v>
                </c:pt>
                <c:pt idx="33">
                  <c:v>-0.14569395819891939</c:v>
                </c:pt>
                <c:pt idx="34">
                  <c:v>-0.14569395819891939</c:v>
                </c:pt>
                <c:pt idx="35">
                  <c:v>-0.1444808443321999</c:v>
                </c:pt>
                <c:pt idx="36">
                  <c:v>-0.1444808443321999</c:v>
                </c:pt>
                <c:pt idx="37">
                  <c:v>-0.14387555575769967</c:v>
                </c:pt>
                <c:pt idx="38">
                  <c:v>-0.14327110961711742</c:v>
                </c:pt>
                <c:pt idx="39">
                  <c:v>-0.14026143380285311</c:v>
                </c:pt>
                <c:pt idx="40">
                  <c:v>-0.13906337929990631</c:v>
                </c:pt>
                <c:pt idx="41">
                  <c:v>-0.13608262304213956</c:v>
                </c:pt>
                <c:pt idx="42">
                  <c:v>-0.13608262304213956</c:v>
                </c:pt>
                <c:pt idx="43">
                  <c:v>-0.13371266091580511</c:v>
                </c:pt>
                <c:pt idx="44">
                  <c:v>-0.13253251214094852</c:v>
                </c:pt>
                <c:pt idx="45">
                  <c:v>-0.13018179202067184</c:v>
                </c:pt>
                <c:pt idx="46">
                  <c:v>-0.12959609472097294</c:v>
                </c:pt>
                <c:pt idx="47">
                  <c:v>-0.12551818230053352</c:v>
                </c:pt>
                <c:pt idx="48">
                  <c:v>-0.12551818230053352</c:v>
                </c:pt>
                <c:pt idx="49">
                  <c:v>-0.12436006299583161</c:v>
                </c:pt>
                <c:pt idx="50">
                  <c:v>-0.12378215940835775</c:v>
                </c:pt>
                <c:pt idx="51">
                  <c:v>-0.12262865413022594</c:v>
                </c:pt>
                <c:pt idx="52">
                  <c:v>-0.12205304837081175</c:v>
                </c:pt>
                <c:pt idx="53">
                  <c:v>-0.12205304837081175</c:v>
                </c:pt>
                <c:pt idx="54">
                  <c:v>-0.12090412049992724</c:v>
                </c:pt>
                <c:pt idx="55">
                  <c:v>-0.11861534322942717</c:v>
                </c:pt>
                <c:pt idx="56">
                  <c:v>-0.11747546204511952</c:v>
                </c:pt>
                <c:pt idx="57">
                  <c:v>-0.11577123036739606</c:v>
                </c:pt>
                <c:pt idx="58">
                  <c:v>-0.11294562194904302</c:v>
                </c:pt>
                <c:pt idx="59">
                  <c:v>-0.11182050608167508</c:v>
                </c:pt>
                <c:pt idx="60">
                  <c:v>-0.11125903931710739</c:v>
                </c:pt>
                <c:pt idx="61">
                  <c:v>-0.10902040301031106</c:v>
                </c:pt>
                <c:pt idx="62">
                  <c:v>-0.10846254232743553</c:v>
                </c:pt>
                <c:pt idx="63">
                  <c:v>-0.10790539730951958</c:v>
                </c:pt>
                <c:pt idx="64">
                  <c:v>-0.10679324694015198</c:v>
                </c:pt>
                <c:pt idx="65">
                  <c:v>-0.10679324694015198</c:v>
                </c:pt>
                <c:pt idx="66">
                  <c:v>-0.10623823794205658</c:v>
                </c:pt>
                <c:pt idx="67">
                  <c:v>-0.10623823794205658</c:v>
                </c:pt>
                <c:pt idx="68">
                  <c:v>-0.10568393731556154</c:v>
                </c:pt>
                <c:pt idx="69">
                  <c:v>-0.10513034325474745</c:v>
                </c:pt>
                <c:pt idx="70">
                  <c:v>-0.10347378251044466</c:v>
                </c:pt>
                <c:pt idx="71">
                  <c:v>-9.9632871343529689E-2</c:v>
                </c:pt>
                <c:pt idx="72">
                  <c:v>-9.9086932262330937E-2</c:v>
                </c:pt>
                <c:pt idx="73">
                  <c:v>-9.6910013008056392E-2</c:v>
                </c:pt>
                <c:pt idx="74">
                  <c:v>-9.4743951251548705E-2</c:v>
                </c:pt>
                <c:pt idx="75">
                  <c:v>-9.3664958194909331E-2</c:v>
                </c:pt>
                <c:pt idx="76">
                  <c:v>-9.312646527792956E-2</c:v>
                </c:pt>
                <c:pt idx="77">
                  <c:v>-8.9375595110798803E-2</c:v>
                </c:pt>
                <c:pt idx="78">
                  <c:v>-8.5128182459949631E-2</c:v>
                </c:pt>
                <c:pt idx="79">
                  <c:v>-8.5128182459949631E-2</c:v>
                </c:pt>
                <c:pt idx="80">
                  <c:v>-8.5128182459949631E-2</c:v>
                </c:pt>
                <c:pt idx="81">
                  <c:v>-8.4072788302884227E-2</c:v>
                </c:pt>
                <c:pt idx="82">
                  <c:v>-8.3546051450074932E-2</c:v>
                </c:pt>
                <c:pt idx="83">
                  <c:v>-8.1969663215119878E-2</c:v>
                </c:pt>
                <c:pt idx="84">
                  <c:v>-7.9876673709276078E-2</c:v>
                </c:pt>
                <c:pt idx="85">
                  <c:v>-7.9354998593212434E-2</c:v>
                </c:pt>
                <c:pt idx="86">
                  <c:v>-7.779372256098363E-2</c:v>
                </c:pt>
                <c:pt idx="87">
                  <c:v>-7.7274542006740027E-2</c:v>
                </c:pt>
                <c:pt idx="88">
                  <c:v>-7.7274542006740027E-2</c:v>
                </c:pt>
                <c:pt idx="89">
                  <c:v>-7.5204004202087837E-2</c:v>
                </c:pt>
                <c:pt idx="90">
                  <c:v>-7.5204004202087837E-2</c:v>
                </c:pt>
                <c:pt idx="91">
                  <c:v>-7.4687908500350508E-2</c:v>
                </c:pt>
                <c:pt idx="92">
                  <c:v>-7.3143291050307674E-2</c:v>
                </c:pt>
                <c:pt idx="93">
                  <c:v>-6.905096883247698E-2</c:v>
                </c:pt>
                <c:pt idx="94">
                  <c:v>-6.8542129310994945E-2</c:v>
                </c:pt>
                <c:pt idx="95">
                  <c:v>-6.7019178076801841E-2</c:v>
                </c:pt>
                <c:pt idx="96">
                  <c:v>-6.6512712151294562E-2</c:v>
                </c:pt>
                <c:pt idx="97">
                  <c:v>-6.6006836168757702E-2</c:v>
                </c:pt>
                <c:pt idx="98">
                  <c:v>-6.5501548756432285E-2</c:v>
                </c:pt>
                <c:pt idx="99">
                  <c:v>-6.4492734175287211E-2</c:v>
                </c:pt>
                <c:pt idx="100">
                  <c:v>-6.198090252378971E-2</c:v>
                </c:pt>
                <c:pt idx="101">
                  <c:v>-6.198090252378971E-2</c:v>
                </c:pt>
                <c:pt idx="102">
                  <c:v>-6.0980223551333534E-2</c:v>
                </c:pt>
                <c:pt idx="103">
                  <c:v>-5.9483515067432782E-2</c:v>
                </c:pt>
                <c:pt idx="104">
                  <c:v>-5.8985756294430272E-2</c:v>
                </c:pt>
                <c:pt idx="105">
                  <c:v>-5.7991946977686754E-2</c:v>
                </c:pt>
                <c:pt idx="106">
                  <c:v>-5.7991946977686754E-2</c:v>
                </c:pt>
                <c:pt idx="107">
                  <c:v>-5.7495893831919269E-2</c:v>
                </c:pt>
                <c:pt idx="108">
                  <c:v>-5.7495893831919269E-2</c:v>
                </c:pt>
                <c:pt idx="109">
                  <c:v>-5.7000406633959479E-2</c:v>
                </c:pt>
                <c:pt idx="110">
                  <c:v>-5.7000406633959479E-2</c:v>
                </c:pt>
                <c:pt idx="111">
                  <c:v>-5.7000406633959479E-2</c:v>
                </c:pt>
                <c:pt idx="112">
                  <c:v>-5.6011124926228104E-2</c:v>
                </c:pt>
                <c:pt idx="113">
                  <c:v>-5.4531414868180264E-2</c:v>
                </c:pt>
                <c:pt idx="114">
                  <c:v>-5.3547734986926908E-2</c:v>
                </c:pt>
                <c:pt idx="115">
                  <c:v>-5.1587034221398972E-2</c:v>
                </c:pt>
                <c:pt idx="116">
                  <c:v>-5.0609993355087209E-2</c:v>
                </c:pt>
                <c:pt idx="117">
                  <c:v>-4.9635145623876928E-2</c:v>
                </c:pt>
                <c:pt idx="118">
                  <c:v>-4.9148541111453566E-2</c:v>
                </c:pt>
                <c:pt idx="119">
                  <c:v>-4.8176964684088018E-2</c:v>
                </c:pt>
                <c:pt idx="120">
                  <c:v>-4.7691990337874794E-2</c:v>
                </c:pt>
                <c:pt idx="121">
                  <c:v>-4.7207556955907906E-2</c:v>
                </c:pt>
                <c:pt idx="122">
                  <c:v>-4.3831569524636682E-2</c:v>
                </c:pt>
                <c:pt idx="123">
                  <c:v>-4.2871802323186915E-2</c:v>
                </c:pt>
                <c:pt idx="124">
                  <c:v>-4.2392712939904729E-2</c:v>
                </c:pt>
                <c:pt idx="125">
                  <c:v>-4.1914151478914877E-2</c:v>
                </c:pt>
                <c:pt idx="126">
                  <c:v>-4.1436116778032536E-2</c:v>
                </c:pt>
                <c:pt idx="127">
                  <c:v>-4.0958607678906384E-2</c:v>
                </c:pt>
                <c:pt idx="128">
                  <c:v>-3.9529222465701036E-2</c:v>
                </c:pt>
                <c:pt idx="129">
                  <c:v>-3.9053804266168564E-2</c:v>
                </c:pt>
                <c:pt idx="130">
                  <c:v>-3.8578905933551705E-2</c:v>
                </c:pt>
                <c:pt idx="131">
                  <c:v>-3.7630664329978893E-2</c:v>
                </c:pt>
                <c:pt idx="132">
                  <c:v>-3.6684488613888719E-2</c:v>
                </c:pt>
                <c:pt idx="133">
                  <c:v>-3.385826726096737E-2</c:v>
                </c:pt>
                <c:pt idx="134">
                  <c:v>-3.2920265855502902E-2</c:v>
                </c:pt>
                <c:pt idx="135">
                  <c:v>-3.2920265855502902E-2</c:v>
                </c:pt>
                <c:pt idx="136">
                  <c:v>-3.1984286006358213E-2</c:v>
                </c:pt>
                <c:pt idx="137">
                  <c:v>-3.0584087646018613E-2</c:v>
                </c:pt>
                <c:pt idx="138">
                  <c:v>-2.9653123769906618E-2</c:v>
                </c:pt>
                <c:pt idx="139">
                  <c:v>-2.91883891274822E-2</c:v>
                </c:pt>
                <c:pt idx="140">
                  <c:v>-2.6872146400301365E-2</c:v>
                </c:pt>
                <c:pt idx="141">
                  <c:v>-2.4568191490737076E-2</c:v>
                </c:pt>
                <c:pt idx="142">
                  <c:v>-2.4108863598207259E-2</c:v>
                </c:pt>
                <c:pt idx="143">
                  <c:v>-2.2733787572707352E-2</c:v>
                </c:pt>
                <c:pt idx="144">
                  <c:v>-2.2733787572707352E-2</c:v>
                </c:pt>
                <c:pt idx="145">
                  <c:v>-1.9996628416253676E-2</c:v>
                </c:pt>
                <c:pt idx="146">
                  <c:v>-1.8181392829336417E-2</c:v>
                </c:pt>
                <c:pt idx="147">
                  <c:v>-1.7728766960431602E-2</c:v>
                </c:pt>
                <c:pt idx="148">
                  <c:v>-1.322826573375516E-2</c:v>
                </c:pt>
              </c:numCache>
            </c:numRef>
          </c:xVal>
          <c:yVal>
            <c:numRef>
              <c:f>analiza!$D$62:$D$210</c:f>
              <c:numCache>
                <c:formatCode>General</c:formatCode>
                <c:ptCount val="149"/>
                <c:pt idx="0">
                  <c:v>-3.4328028779893278E-2</c:v>
                </c:pt>
                <c:pt idx="1">
                  <c:v>-0.12378215940835775</c:v>
                </c:pt>
                <c:pt idx="2">
                  <c:v>-4.672366333269562E-2</c:v>
                </c:pt>
                <c:pt idx="3">
                  <c:v>-0.10734896612269966</c:v>
                </c:pt>
                <c:pt idx="4">
                  <c:v>-9.5284454721319037E-2</c:v>
                </c:pt>
                <c:pt idx="5">
                  <c:v>-0.13608262304213956</c:v>
                </c:pt>
                <c:pt idx="6">
                  <c:v>-0.11013827874181155</c:v>
                </c:pt>
                <c:pt idx="7">
                  <c:v>-9.312646527792956E-2</c:v>
                </c:pt>
                <c:pt idx="8">
                  <c:v>-8.4600164787730178E-2</c:v>
                </c:pt>
                <c:pt idx="9">
                  <c:v>-0.14206473528057098</c:v>
                </c:pt>
                <c:pt idx="10">
                  <c:v>-9.6910013008056392E-2</c:v>
                </c:pt>
                <c:pt idx="11">
                  <c:v>-0.14630178822382564</c:v>
                </c:pt>
                <c:pt idx="12">
                  <c:v>-8.2494490447453356E-2</c:v>
                </c:pt>
                <c:pt idx="13">
                  <c:v>-0.11238269966426384</c:v>
                </c:pt>
                <c:pt idx="14">
                  <c:v>-0.21681130892474243</c:v>
                </c:pt>
                <c:pt idx="15">
                  <c:v>-5.7991946977686754E-2</c:v>
                </c:pt>
                <c:pt idx="16">
                  <c:v>-0.14996674231023099</c:v>
                </c:pt>
                <c:pt idx="17">
                  <c:v>-0.20273245916928356</c:v>
                </c:pt>
                <c:pt idx="18">
                  <c:v>-8.5656842880559247E-2</c:v>
                </c:pt>
                <c:pt idx="19">
                  <c:v>-6.0480747381381476E-2</c:v>
                </c:pt>
                <c:pt idx="20">
                  <c:v>-0.13846558914096219</c:v>
                </c:pt>
                <c:pt idx="21">
                  <c:v>-8.5656842880559247E-2</c:v>
                </c:pt>
                <c:pt idx="22">
                  <c:v>-6.2482107982653363E-2</c:v>
                </c:pt>
                <c:pt idx="23">
                  <c:v>-0.12784372725170717</c:v>
                </c:pt>
                <c:pt idx="24">
                  <c:v>-9.6367483915762317E-2</c:v>
                </c:pt>
                <c:pt idx="25">
                  <c:v>-0.12609840213553863</c:v>
                </c:pt>
                <c:pt idx="26">
                  <c:v>-0.12726117252733121</c:v>
                </c:pt>
                <c:pt idx="27">
                  <c:v>-0.11577123036739606</c:v>
                </c:pt>
                <c:pt idx="28">
                  <c:v>-8.2494490447453356E-2</c:v>
                </c:pt>
                <c:pt idx="29">
                  <c:v>-3.1050319018657353E-2</c:v>
                </c:pt>
                <c:pt idx="30">
                  <c:v>-6.7526235322846781E-2</c:v>
                </c:pt>
                <c:pt idx="31">
                  <c:v>-9.0443970758824668E-2</c:v>
                </c:pt>
                <c:pt idx="32">
                  <c:v>-6.8033885271827368E-2</c:v>
                </c:pt>
                <c:pt idx="33">
                  <c:v>-9.6910013008056392E-2</c:v>
                </c:pt>
                <c:pt idx="34">
                  <c:v>-3.8578905933551705E-2</c:v>
                </c:pt>
                <c:pt idx="35">
                  <c:v>-0.39469495385889053</c:v>
                </c:pt>
                <c:pt idx="36">
                  <c:v>-6.2482107982653363E-2</c:v>
                </c:pt>
                <c:pt idx="37">
                  <c:v>-7.3143291050307674E-2</c:v>
                </c:pt>
                <c:pt idx="38">
                  <c:v>-7.2116589669293102E-2</c:v>
                </c:pt>
                <c:pt idx="39">
                  <c:v>-3.4328028779893278E-2</c:v>
                </c:pt>
                <c:pt idx="40">
                  <c:v>-0.10402526764093542</c:v>
                </c:pt>
                <c:pt idx="41">
                  <c:v>-7.1604147743286189E-2</c:v>
                </c:pt>
                <c:pt idx="42">
                  <c:v>-7.5720713938118356E-2</c:v>
                </c:pt>
                <c:pt idx="43">
                  <c:v>-7.0581074285707285E-2</c:v>
                </c:pt>
                <c:pt idx="44">
                  <c:v>-5.6505484093897433E-2</c:v>
                </c:pt>
                <c:pt idx="45">
                  <c:v>-0.10017949757290372</c:v>
                </c:pt>
                <c:pt idx="46">
                  <c:v>-8.092190762392612E-2</c:v>
                </c:pt>
                <c:pt idx="47">
                  <c:v>-6.5501548756432285E-2</c:v>
                </c:pt>
                <c:pt idx="48">
                  <c:v>-9.9632871343529689E-2</c:v>
                </c:pt>
                <c:pt idx="49">
                  <c:v>-4.3351420794796675E-2</c:v>
                </c:pt>
                <c:pt idx="50">
                  <c:v>-0.11861534322942717</c:v>
                </c:pt>
                <c:pt idx="51">
                  <c:v>-2.7334407733889104E-2</c:v>
                </c:pt>
                <c:pt idx="52">
                  <c:v>-5.7495893831919269E-2</c:v>
                </c:pt>
                <c:pt idx="53">
                  <c:v>-0.15181088300860132</c:v>
                </c:pt>
                <c:pt idx="54">
                  <c:v>-0.17979854051435976</c:v>
                </c:pt>
                <c:pt idx="55">
                  <c:v>-0.12784372725170717</c:v>
                </c:pt>
                <c:pt idx="56">
                  <c:v>-7.3657553374344958E-2</c:v>
                </c:pt>
                <c:pt idx="57">
                  <c:v>-4.0481623027001735E-2</c:v>
                </c:pt>
                <c:pt idx="58">
                  <c:v>-0.17587416608345102</c:v>
                </c:pt>
                <c:pt idx="59">
                  <c:v>-8.3019952679617801E-2</c:v>
                </c:pt>
                <c:pt idx="60">
                  <c:v>-9.6367483915762317E-2</c:v>
                </c:pt>
                <c:pt idx="61">
                  <c:v>-7.8313524516397934E-2</c:v>
                </c:pt>
                <c:pt idx="62">
                  <c:v>-8.3546051450074932E-2</c:v>
                </c:pt>
                <c:pt idx="63">
                  <c:v>-0.13727247168202539</c:v>
                </c:pt>
                <c:pt idx="64">
                  <c:v>-0.13846558914096219</c:v>
                </c:pt>
                <c:pt idx="65">
                  <c:v>-8.4600164787730178E-2</c:v>
                </c:pt>
                <c:pt idx="66">
                  <c:v>-0.18976748200491589</c:v>
                </c:pt>
                <c:pt idx="67">
                  <c:v>-0.18375870000821692</c:v>
                </c:pt>
                <c:pt idx="68">
                  <c:v>-0.14206473528057098</c:v>
                </c:pt>
                <c:pt idx="69">
                  <c:v>-4.5275209020937013E-2</c:v>
                </c:pt>
                <c:pt idx="70">
                  <c:v>-3.0584087646018613E-2</c:v>
                </c:pt>
                <c:pt idx="71">
                  <c:v>-0.20342566678957033</c:v>
                </c:pt>
                <c:pt idx="72">
                  <c:v>-0.19517932127883766</c:v>
                </c:pt>
                <c:pt idx="73">
                  <c:v>-0.12320502379929942</c:v>
                </c:pt>
                <c:pt idx="74">
                  <c:v>-0.12147820449879346</c:v>
                </c:pt>
                <c:pt idx="75">
                  <c:v>-0.15926676538819329</c:v>
                </c:pt>
                <c:pt idx="76">
                  <c:v>-7.1604147743286189E-2</c:v>
                </c:pt>
                <c:pt idx="77">
                  <c:v>-0.29584948316020088</c:v>
                </c:pt>
                <c:pt idx="78">
                  <c:v>-0.24336389175415199</c:v>
                </c:pt>
                <c:pt idx="79">
                  <c:v>-5.0122295963125202E-2</c:v>
                </c:pt>
                <c:pt idx="80">
                  <c:v>-3.7157318798757548E-2</c:v>
                </c:pt>
                <c:pt idx="81">
                  <c:v>-9.6367483915762317E-2</c:v>
                </c:pt>
                <c:pt idx="82">
                  <c:v>-0.20134935455473107</c:v>
                </c:pt>
                <c:pt idx="83">
                  <c:v>-7.8833949362261305E-2</c:v>
                </c:pt>
                <c:pt idx="84">
                  <c:v>-0.25727486869530169</c:v>
                </c:pt>
                <c:pt idx="85">
                  <c:v>-0.23882418684426859</c:v>
                </c:pt>
                <c:pt idx="86">
                  <c:v>-0.1778319206319825</c:v>
                </c:pt>
                <c:pt idx="87">
                  <c:v>-0.15614457737683893</c:v>
                </c:pt>
                <c:pt idx="88">
                  <c:v>-7.5204004202087837E-2</c:v>
                </c:pt>
                <c:pt idx="89">
                  <c:v>-0.13371266091580511</c:v>
                </c:pt>
                <c:pt idx="90">
                  <c:v>-6.3989204284790407E-2</c:v>
                </c:pt>
                <c:pt idx="91">
                  <c:v>-7.4172425375257686E-2</c:v>
                </c:pt>
                <c:pt idx="92">
                  <c:v>-2.7797161620935564E-2</c:v>
                </c:pt>
                <c:pt idx="93">
                  <c:v>-0.13489602535887207</c:v>
                </c:pt>
                <c:pt idx="94">
                  <c:v>-8.3546051450074932E-2</c:v>
                </c:pt>
                <c:pt idx="95">
                  <c:v>-9.2051478387727662E-2</c:v>
                </c:pt>
                <c:pt idx="96">
                  <c:v>-6.1480274823508103E-2</c:v>
                </c:pt>
                <c:pt idx="97">
                  <c:v>-0.33818731446273875</c:v>
                </c:pt>
                <c:pt idx="98">
                  <c:v>-0.14630178822382564</c:v>
                </c:pt>
                <c:pt idx="99">
                  <c:v>-9.745322068600859E-2</c:v>
                </c:pt>
                <c:pt idx="100">
                  <c:v>-0.13312218566250114</c:v>
                </c:pt>
                <c:pt idx="101">
                  <c:v>-0.10292299679057967</c:v>
                </c:pt>
                <c:pt idx="102">
                  <c:v>-3.7630664329978893E-2</c:v>
                </c:pt>
                <c:pt idx="103">
                  <c:v>-6.7526235322846781E-2</c:v>
                </c:pt>
                <c:pt idx="104">
                  <c:v>-6.198090252378971E-2</c:v>
                </c:pt>
                <c:pt idx="105">
                  <c:v>-0.33724216831842591</c:v>
                </c:pt>
                <c:pt idx="106">
                  <c:v>-7.6238039171299746E-2</c:v>
                </c:pt>
                <c:pt idx="107">
                  <c:v>-5.4531414868180264E-2</c:v>
                </c:pt>
                <c:pt idx="108">
                  <c:v>-0.18045606445813131</c:v>
                </c:pt>
                <c:pt idx="109">
                  <c:v>-0.16494389827988373</c:v>
                </c:pt>
                <c:pt idx="110">
                  <c:v>-5.1587034221398972E-2</c:v>
                </c:pt>
                <c:pt idx="111">
                  <c:v>-0.16621562534352105</c:v>
                </c:pt>
                <c:pt idx="112">
                  <c:v>-0.44009337496388751</c:v>
                </c:pt>
                <c:pt idx="113">
                  <c:v>-0.16494389827988373</c:v>
                </c:pt>
                <c:pt idx="114">
                  <c:v>-4.8176964684088018E-2</c:v>
                </c:pt>
                <c:pt idx="115">
                  <c:v>-0.16241156176448873</c:v>
                </c:pt>
                <c:pt idx="116">
                  <c:v>-5.3547734986926908E-2</c:v>
                </c:pt>
                <c:pt idx="117">
                  <c:v>-5.2076380168273602E-2</c:v>
                </c:pt>
                <c:pt idx="118">
                  <c:v>-0.11125903931710739</c:v>
                </c:pt>
                <c:pt idx="119">
                  <c:v>-7.6238039171299746E-2</c:v>
                </c:pt>
                <c:pt idx="120">
                  <c:v>-0.22914798835785583</c:v>
                </c:pt>
                <c:pt idx="121">
                  <c:v>-0.77728352885241669</c:v>
                </c:pt>
                <c:pt idx="122">
                  <c:v>-0.12205304837081175</c:v>
                </c:pt>
                <c:pt idx="123">
                  <c:v>-0.1106982974936897</c:v>
                </c:pt>
                <c:pt idx="124">
                  <c:v>-0.41341269532824504</c:v>
                </c:pt>
                <c:pt idx="125">
                  <c:v>-0.31785492362616824</c:v>
                </c:pt>
                <c:pt idx="126">
                  <c:v>-0.27818938478745336</c:v>
                </c:pt>
                <c:pt idx="127">
                  <c:v>-0.18177410638604449</c:v>
                </c:pt>
                <c:pt idx="128">
                  <c:v>-0.47108329972234525</c:v>
                </c:pt>
                <c:pt idx="129">
                  <c:v>-0.35457773065090809</c:v>
                </c:pt>
                <c:pt idx="130">
                  <c:v>-0.38195190328790729</c:v>
                </c:pt>
                <c:pt idx="131">
                  <c:v>-0.12959609472097294</c:v>
                </c:pt>
                <c:pt idx="132">
                  <c:v>-0.53461714855158171</c:v>
                </c:pt>
                <c:pt idx="133">
                  <c:v>-0.14146280243036088</c:v>
                </c:pt>
                <c:pt idx="134">
                  <c:v>-0.18508681872492605</c:v>
                </c:pt>
                <c:pt idx="135">
                  <c:v>-1.0861861476162833</c:v>
                </c:pt>
                <c:pt idx="136">
                  <c:v>-0.61618463401956869</c:v>
                </c:pt>
                <c:pt idx="137">
                  <c:v>-0.22988470521289839</c:v>
                </c:pt>
                <c:pt idx="138">
                  <c:v>-9.2051478387727662E-2</c:v>
                </c:pt>
                <c:pt idx="139">
                  <c:v>-4.1914151478914877E-2</c:v>
                </c:pt>
                <c:pt idx="140">
                  <c:v>-9.9086932262330937E-2</c:v>
                </c:pt>
                <c:pt idx="141">
                  <c:v>-0.62525165398989613</c:v>
                </c:pt>
                <c:pt idx="142">
                  <c:v>-0.7471469690201068</c:v>
                </c:pt>
                <c:pt idx="143">
                  <c:v>-0.73048705578208373</c:v>
                </c:pt>
                <c:pt idx="144">
                  <c:v>-9.3664958194909331E-2</c:v>
                </c:pt>
                <c:pt idx="145">
                  <c:v>-0.17198493577602311</c:v>
                </c:pt>
                <c:pt idx="146">
                  <c:v>-7.4172425375257686E-2</c:v>
                </c:pt>
                <c:pt idx="147">
                  <c:v>-0.56863623584101264</c:v>
                </c:pt>
                <c:pt idx="148">
                  <c:v>-0.28819277095880896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B0-4C55-84B6-194C239A46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2305712"/>
        <c:axId val="1722295152"/>
      </c:scatterChart>
      <c:valAx>
        <c:axId val="1722305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2295152"/>
        <c:crosses val="autoZero"/>
        <c:crossBetween val="midCat"/>
      </c:valAx>
      <c:valAx>
        <c:axId val="1722295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2305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0701115485564306"/>
                  <c:y val="1.281277340332458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analiza!$A$212:$A$262</c:f>
              <c:numCache>
                <c:formatCode>General</c:formatCode>
                <c:ptCount val="51"/>
                <c:pt idx="0">
                  <c:v>0.48</c:v>
                </c:pt>
                <c:pt idx="1">
                  <c:v>0.54800000000000004</c:v>
                </c:pt>
                <c:pt idx="2">
                  <c:v>0.56100000000000005</c:v>
                </c:pt>
                <c:pt idx="3">
                  <c:v>0.57599999999999996</c:v>
                </c:pt>
                <c:pt idx="4">
                  <c:v>0.59299999999999997</c:v>
                </c:pt>
                <c:pt idx="5">
                  <c:v>0.60199999999999998</c:v>
                </c:pt>
                <c:pt idx="6">
                  <c:v>0.60799999999999998</c:v>
                </c:pt>
                <c:pt idx="7">
                  <c:v>0.61899999999999999</c:v>
                </c:pt>
                <c:pt idx="8">
                  <c:v>0.64700000000000002</c:v>
                </c:pt>
                <c:pt idx="9">
                  <c:v>0.67200000000000004</c:v>
                </c:pt>
                <c:pt idx="10">
                  <c:v>0.69499999999999995</c:v>
                </c:pt>
                <c:pt idx="11">
                  <c:v>0.69499999999999995</c:v>
                </c:pt>
                <c:pt idx="12">
                  <c:v>0.69699999999999995</c:v>
                </c:pt>
                <c:pt idx="13">
                  <c:v>0.69699999999999995</c:v>
                </c:pt>
                <c:pt idx="14">
                  <c:v>0.71499999999999997</c:v>
                </c:pt>
                <c:pt idx="15">
                  <c:v>0.72599999999999998</c:v>
                </c:pt>
                <c:pt idx="16">
                  <c:v>0.74099999999999999</c:v>
                </c:pt>
                <c:pt idx="17">
                  <c:v>0.749</c:v>
                </c:pt>
                <c:pt idx="18">
                  <c:v>0.752</c:v>
                </c:pt>
                <c:pt idx="19">
                  <c:v>0.755</c:v>
                </c:pt>
                <c:pt idx="20">
                  <c:v>0.75700000000000001</c:v>
                </c:pt>
                <c:pt idx="21">
                  <c:v>0.76100000000000001</c:v>
                </c:pt>
                <c:pt idx="22">
                  <c:v>0.77100000000000002</c:v>
                </c:pt>
                <c:pt idx="23">
                  <c:v>0.78</c:v>
                </c:pt>
                <c:pt idx="24">
                  <c:v>0.78200000000000003</c:v>
                </c:pt>
                <c:pt idx="25">
                  <c:v>0.78300000000000003</c:v>
                </c:pt>
                <c:pt idx="26">
                  <c:v>0.78400000000000003</c:v>
                </c:pt>
                <c:pt idx="27">
                  <c:v>0.8</c:v>
                </c:pt>
                <c:pt idx="28">
                  <c:v>0.80400000000000005</c:v>
                </c:pt>
                <c:pt idx="29">
                  <c:v>0.80600000000000005</c:v>
                </c:pt>
                <c:pt idx="30">
                  <c:v>0.83599999999999997</c:v>
                </c:pt>
                <c:pt idx="31">
                  <c:v>0.83699999999999997</c:v>
                </c:pt>
                <c:pt idx="32">
                  <c:v>0.84099999999999997</c:v>
                </c:pt>
                <c:pt idx="33">
                  <c:v>0.85299999999999998</c:v>
                </c:pt>
                <c:pt idx="34">
                  <c:v>0.86</c:v>
                </c:pt>
                <c:pt idx="35">
                  <c:v>0.86199999999999999</c:v>
                </c:pt>
                <c:pt idx="36">
                  <c:v>0.86699999999999999</c:v>
                </c:pt>
                <c:pt idx="37">
                  <c:v>0.86699999999999999</c:v>
                </c:pt>
                <c:pt idx="38">
                  <c:v>0.876</c:v>
                </c:pt>
                <c:pt idx="39">
                  <c:v>0.877</c:v>
                </c:pt>
                <c:pt idx="40">
                  <c:v>0.877</c:v>
                </c:pt>
                <c:pt idx="41">
                  <c:v>0.88200000000000001</c:v>
                </c:pt>
                <c:pt idx="42">
                  <c:v>0.88800000000000001</c:v>
                </c:pt>
                <c:pt idx="43">
                  <c:v>0.89300000000000002</c:v>
                </c:pt>
                <c:pt idx="44">
                  <c:v>0.90400000000000003</c:v>
                </c:pt>
                <c:pt idx="45">
                  <c:v>0.90600000000000003</c:v>
                </c:pt>
                <c:pt idx="46">
                  <c:v>0.91</c:v>
                </c:pt>
                <c:pt idx="47">
                  <c:v>0.91700000000000004</c:v>
                </c:pt>
                <c:pt idx="48">
                  <c:v>0.92500000000000004</c:v>
                </c:pt>
                <c:pt idx="49">
                  <c:v>0.94</c:v>
                </c:pt>
                <c:pt idx="50">
                  <c:v>0.95499999999999996</c:v>
                </c:pt>
              </c:numCache>
            </c:numRef>
          </c:xVal>
          <c:yVal>
            <c:numRef>
              <c:f>analiza!$B$212:$B$262</c:f>
              <c:numCache>
                <c:formatCode>General</c:formatCode>
                <c:ptCount val="51"/>
                <c:pt idx="0">
                  <c:v>0.752</c:v>
                </c:pt>
                <c:pt idx="1">
                  <c:v>0.78100000000000003</c:v>
                </c:pt>
                <c:pt idx="2">
                  <c:v>0.73099999999999998</c:v>
                </c:pt>
                <c:pt idx="3">
                  <c:v>0.77600000000000002</c:v>
                </c:pt>
                <c:pt idx="4">
                  <c:v>0.72099999999999997</c:v>
                </c:pt>
                <c:pt idx="5">
                  <c:v>0.8</c:v>
                </c:pt>
                <c:pt idx="6">
                  <c:v>0.71399999999999997</c:v>
                </c:pt>
                <c:pt idx="7">
                  <c:v>0.77200000000000002</c:v>
                </c:pt>
                <c:pt idx="8">
                  <c:v>0.70799999999999996</c:v>
                </c:pt>
                <c:pt idx="9">
                  <c:v>0.72699999999999998</c:v>
                </c:pt>
                <c:pt idx="10">
                  <c:v>0.745</c:v>
                </c:pt>
                <c:pt idx="11">
                  <c:v>0.748</c:v>
                </c:pt>
                <c:pt idx="12">
                  <c:v>0.746</c:v>
                </c:pt>
                <c:pt idx="13">
                  <c:v>0.76600000000000001</c:v>
                </c:pt>
                <c:pt idx="14">
                  <c:v>0.8</c:v>
                </c:pt>
                <c:pt idx="15">
                  <c:v>0.78700000000000003</c:v>
                </c:pt>
                <c:pt idx="16">
                  <c:v>0.79400000000000004</c:v>
                </c:pt>
                <c:pt idx="17">
                  <c:v>0.79500000000000004</c:v>
                </c:pt>
                <c:pt idx="18">
                  <c:v>0.76100000000000001</c:v>
                </c:pt>
                <c:pt idx="19">
                  <c:v>0.70499999999999996</c:v>
                </c:pt>
                <c:pt idx="20">
                  <c:v>0.66100000000000003</c:v>
                </c:pt>
                <c:pt idx="21">
                  <c:v>0.745</c:v>
                </c:pt>
                <c:pt idx="22">
                  <c:v>0.66700000000000004</c:v>
                </c:pt>
                <c:pt idx="23">
                  <c:v>0.72899999999999998</c:v>
                </c:pt>
                <c:pt idx="24">
                  <c:v>0.72699999999999998</c:v>
                </c:pt>
                <c:pt idx="25">
                  <c:v>0.65500000000000003</c:v>
                </c:pt>
                <c:pt idx="26">
                  <c:v>0.72099999999999997</c:v>
                </c:pt>
                <c:pt idx="27">
                  <c:v>0.753</c:v>
                </c:pt>
                <c:pt idx="28">
                  <c:v>0.75600000000000001</c:v>
                </c:pt>
                <c:pt idx="29">
                  <c:v>0.69299999999999995</c:v>
                </c:pt>
                <c:pt idx="30">
                  <c:v>0.66400000000000003</c:v>
                </c:pt>
                <c:pt idx="31">
                  <c:v>0.69799999999999995</c:v>
                </c:pt>
                <c:pt idx="32">
                  <c:v>0.73499999999999999</c:v>
                </c:pt>
                <c:pt idx="33">
                  <c:v>0.73299999999999998</c:v>
                </c:pt>
                <c:pt idx="34">
                  <c:v>0.71399999999999997</c:v>
                </c:pt>
                <c:pt idx="35">
                  <c:v>0.79900000000000004</c:v>
                </c:pt>
                <c:pt idx="36">
                  <c:v>0.73599999999999999</c:v>
                </c:pt>
                <c:pt idx="37">
                  <c:v>0.78900000000000003</c:v>
                </c:pt>
                <c:pt idx="38">
                  <c:v>0.66</c:v>
                </c:pt>
                <c:pt idx="39">
                  <c:v>0.68400000000000005</c:v>
                </c:pt>
                <c:pt idx="40">
                  <c:v>0.68200000000000005</c:v>
                </c:pt>
                <c:pt idx="41">
                  <c:v>0.68400000000000005</c:v>
                </c:pt>
                <c:pt idx="42">
                  <c:v>0.68799999999999994</c:v>
                </c:pt>
                <c:pt idx="43">
                  <c:v>0.77400000000000002</c:v>
                </c:pt>
                <c:pt idx="44">
                  <c:v>0.755</c:v>
                </c:pt>
                <c:pt idx="45">
                  <c:v>0.77500000000000002</c:v>
                </c:pt>
                <c:pt idx="46">
                  <c:v>0.65800000000000003</c:v>
                </c:pt>
                <c:pt idx="47">
                  <c:v>0.74199999999999999</c:v>
                </c:pt>
                <c:pt idx="48">
                  <c:v>0.72199999999999998</c:v>
                </c:pt>
                <c:pt idx="49">
                  <c:v>0.79600000000000004</c:v>
                </c:pt>
                <c:pt idx="50">
                  <c:v>0.67300000000000004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D-4090-BFA6-C9FDF79138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4525680"/>
        <c:axId val="1094522320"/>
      </c:scatterChart>
      <c:valAx>
        <c:axId val="1094525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4522320"/>
        <c:crosses val="autoZero"/>
        <c:crossBetween val="midCat"/>
      </c:valAx>
      <c:valAx>
        <c:axId val="1094522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4525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61680730533683292"/>
                  <c:y val="-1.57396471274423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analiza!$C$212:$C$262</c:f>
              <c:numCache>
                <c:formatCode>General</c:formatCode>
                <c:ptCount val="51"/>
                <c:pt idx="0">
                  <c:v>-0.31875876262441277</c:v>
                </c:pt>
                <c:pt idx="1">
                  <c:v>-0.26121944151563081</c:v>
                </c:pt>
                <c:pt idx="2">
                  <c:v>-0.25103713874383854</c:v>
                </c:pt>
                <c:pt idx="3">
                  <c:v>-0.239577516576788</c:v>
                </c:pt>
                <c:pt idx="4">
                  <c:v>-0.22694530663573742</c:v>
                </c:pt>
                <c:pt idx="5">
                  <c:v>-0.22040350874217546</c:v>
                </c:pt>
                <c:pt idx="6">
                  <c:v>-0.21609642072726507</c:v>
                </c:pt>
                <c:pt idx="7">
                  <c:v>-0.20830935097988201</c:v>
                </c:pt>
                <c:pt idx="8">
                  <c:v>-0.18909571933129959</c:v>
                </c:pt>
                <c:pt idx="9">
                  <c:v>-0.17263072694617473</c:v>
                </c:pt>
                <c:pt idx="10">
                  <c:v>-0.15801519540988615</c:v>
                </c:pt>
                <c:pt idx="11">
                  <c:v>-0.15801519540988615</c:v>
                </c:pt>
                <c:pt idx="12">
                  <c:v>-0.15676722190199061</c:v>
                </c:pt>
                <c:pt idx="13">
                  <c:v>-0.15676722190199061</c:v>
                </c:pt>
                <c:pt idx="14">
                  <c:v>-0.14569395819891939</c:v>
                </c:pt>
                <c:pt idx="15">
                  <c:v>-0.13906337929990631</c:v>
                </c:pt>
                <c:pt idx="16">
                  <c:v>-0.13018179202067184</c:v>
                </c:pt>
                <c:pt idx="17">
                  <c:v>-0.12551818230053352</c:v>
                </c:pt>
                <c:pt idx="18">
                  <c:v>-0.12378215940835775</c:v>
                </c:pt>
                <c:pt idx="19">
                  <c:v>-0.12205304837081175</c:v>
                </c:pt>
                <c:pt idx="20">
                  <c:v>-0.12090412049992724</c:v>
                </c:pt>
                <c:pt idx="21">
                  <c:v>-0.11861534322942717</c:v>
                </c:pt>
                <c:pt idx="22">
                  <c:v>-0.11294562194904302</c:v>
                </c:pt>
                <c:pt idx="23">
                  <c:v>-0.10790539730951958</c:v>
                </c:pt>
                <c:pt idx="24">
                  <c:v>-0.10679324694015198</c:v>
                </c:pt>
                <c:pt idx="25">
                  <c:v>-0.10623823794205658</c:v>
                </c:pt>
                <c:pt idx="26">
                  <c:v>-0.10568393731556154</c:v>
                </c:pt>
                <c:pt idx="27">
                  <c:v>-9.6910013008056392E-2</c:v>
                </c:pt>
                <c:pt idx="28">
                  <c:v>-9.4743951251548705E-2</c:v>
                </c:pt>
                <c:pt idx="29">
                  <c:v>-9.3664958194909331E-2</c:v>
                </c:pt>
                <c:pt idx="30">
                  <c:v>-7.779372256098363E-2</c:v>
                </c:pt>
                <c:pt idx="31">
                  <c:v>-7.7274542006740027E-2</c:v>
                </c:pt>
                <c:pt idx="32">
                  <c:v>-7.5204004202087837E-2</c:v>
                </c:pt>
                <c:pt idx="33">
                  <c:v>-6.905096883247698E-2</c:v>
                </c:pt>
                <c:pt idx="34">
                  <c:v>-6.5501548756432285E-2</c:v>
                </c:pt>
                <c:pt idx="35">
                  <c:v>-6.4492734175287211E-2</c:v>
                </c:pt>
                <c:pt idx="36">
                  <c:v>-6.198090252378971E-2</c:v>
                </c:pt>
                <c:pt idx="37">
                  <c:v>-6.198090252378971E-2</c:v>
                </c:pt>
                <c:pt idx="38">
                  <c:v>-5.7495893831919269E-2</c:v>
                </c:pt>
                <c:pt idx="39">
                  <c:v>-5.7000406633959479E-2</c:v>
                </c:pt>
                <c:pt idx="40">
                  <c:v>-5.7000406633959479E-2</c:v>
                </c:pt>
                <c:pt idx="41">
                  <c:v>-5.4531414868180264E-2</c:v>
                </c:pt>
                <c:pt idx="42">
                  <c:v>-5.1587034221398972E-2</c:v>
                </c:pt>
                <c:pt idx="43">
                  <c:v>-4.9148541111453566E-2</c:v>
                </c:pt>
                <c:pt idx="44">
                  <c:v>-4.3831569524636682E-2</c:v>
                </c:pt>
                <c:pt idx="45">
                  <c:v>-4.2871802323186915E-2</c:v>
                </c:pt>
                <c:pt idx="46">
                  <c:v>-4.0958607678906384E-2</c:v>
                </c:pt>
                <c:pt idx="47">
                  <c:v>-3.7630664329978893E-2</c:v>
                </c:pt>
                <c:pt idx="48">
                  <c:v>-3.385826726096737E-2</c:v>
                </c:pt>
                <c:pt idx="49">
                  <c:v>-2.6872146400301365E-2</c:v>
                </c:pt>
                <c:pt idx="50">
                  <c:v>-1.9996628416253676E-2</c:v>
                </c:pt>
              </c:numCache>
            </c:numRef>
          </c:xVal>
          <c:yVal>
            <c:numRef>
              <c:f>analiza!$D$212:$D$262</c:f>
              <c:numCache>
                <c:formatCode>General</c:formatCode>
                <c:ptCount val="51"/>
                <c:pt idx="0">
                  <c:v>-0.12378215940835775</c:v>
                </c:pt>
                <c:pt idx="1">
                  <c:v>-0.10734896612269966</c:v>
                </c:pt>
                <c:pt idx="2">
                  <c:v>-0.13608262304213956</c:v>
                </c:pt>
                <c:pt idx="3">
                  <c:v>-0.11013827874181155</c:v>
                </c:pt>
                <c:pt idx="4">
                  <c:v>-0.14206473528057098</c:v>
                </c:pt>
                <c:pt idx="5">
                  <c:v>-9.6910013008056392E-2</c:v>
                </c:pt>
                <c:pt idx="6">
                  <c:v>-0.14630178822382564</c:v>
                </c:pt>
                <c:pt idx="7">
                  <c:v>-0.11238269966426384</c:v>
                </c:pt>
                <c:pt idx="8">
                  <c:v>-0.14996674231023099</c:v>
                </c:pt>
                <c:pt idx="9">
                  <c:v>-0.13846558914096219</c:v>
                </c:pt>
                <c:pt idx="10">
                  <c:v>-0.12784372725170717</c:v>
                </c:pt>
                <c:pt idx="11">
                  <c:v>-0.12609840213553863</c:v>
                </c:pt>
                <c:pt idx="12">
                  <c:v>-0.12726117252733121</c:v>
                </c:pt>
                <c:pt idx="13">
                  <c:v>-0.11577123036739606</c:v>
                </c:pt>
                <c:pt idx="14">
                  <c:v>-9.6910013008056392E-2</c:v>
                </c:pt>
                <c:pt idx="15">
                  <c:v>-0.10402526764093542</c:v>
                </c:pt>
                <c:pt idx="16">
                  <c:v>-0.10017949757290372</c:v>
                </c:pt>
                <c:pt idx="17">
                  <c:v>-9.9632871343529689E-2</c:v>
                </c:pt>
                <c:pt idx="18">
                  <c:v>-0.11861534322942717</c:v>
                </c:pt>
                <c:pt idx="19">
                  <c:v>-0.15181088300860132</c:v>
                </c:pt>
                <c:pt idx="20">
                  <c:v>-0.17979854051435976</c:v>
                </c:pt>
                <c:pt idx="21">
                  <c:v>-0.12784372725170717</c:v>
                </c:pt>
                <c:pt idx="22">
                  <c:v>-0.17587416608345102</c:v>
                </c:pt>
                <c:pt idx="23">
                  <c:v>-0.13727247168202539</c:v>
                </c:pt>
                <c:pt idx="24">
                  <c:v>-0.13846558914096219</c:v>
                </c:pt>
                <c:pt idx="25">
                  <c:v>-0.18375870000821692</c:v>
                </c:pt>
                <c:pt idx="26">
                  <c:v>-0.14206473528057098</c:v>
                </c:pt>
                <c:pt idx="27">
                  <c:v>-0.12320502379929942</c:v>
                </c:pt>
                <c:pt idx="28">
                  <c:v>-0.12147820449879346</c:v>
                </c:pt>
                <c:pt idx="29">
                  <c:v>-0.15926676538819329</c:v>
                </c:pt>
                <c:pt idx="30">
                  <c:v>-0.1778319206319825</c:v>
                </c:pt>
                <c:pt idx="31">
                  <c:v>-0.15614457737683893</c:v>
                </c:pt>
                <c:pt idx="32">
                  <c:v>-0.13371266091580511</c:v>
                </c:pt>
                <c:pt idx="33">
                  <c:v>-0.13489602535887207</c:v>
                </c:pt>
                <c:pt idx="34">
                  <c:v>-0.14630178822382564</c:v>
                </c:pt>
                <c:pt idx="35">
                  <c:v>-9.745322068600859E-2</c:v>
                </c:pt>
                <c:pt idx="36">
                  <c:v>-0.13312218566250114</c:v>
                </c:pt>
                <c:pt idx="37">
                  <c:v>-0.10292299679057967</c:v>
                </c:pt>
                <c:pt idx="38">
                  <c:v>-0.18045606445813131</c:v>
                </c:pt>
                <c:pt idx="39">
                  <c:v>-0.16494389827988373</c:v>
                </c:pt>
                <c:pt idx="40">
                  <c:v>-0.16621562534352105</c:v>
                </c:pt>
                <c:pt idx="41">
                  <c:v>-0.16494389827988373</c:v>
                </c:pt>
                <c:pt idx="42">
                  <c:v>-0.16241156176448873</c:v>
                </c:pt>
                <c:pt idx="43">
                  <c:v>-0.11125903931710739</c:v>
                </c:pt>
                <c:pt idx="44">
                  <c:v>-0.12205304837081175</c:v>
                </c:pt>
                <c:pt idx="45">
                  <c:v>-0.1106982974936897</c:v>
                </c:pt>
                <c:pt idx="46">
                  <c:v>-0.18177410638604449</c:v>
                </c:pt>
                <c:pt idx="47">
                  <c:v>-0.12959609472097294</c:v>
                </c:pt>
                <c:pt idx="48">
                  <c:v>-0.14146280243036088</c:v>
                </c:pt>
                <c:pt idx="49">
                  <c:v>-9.9086932262330937E-2</c:v>
                </c:pt>
                <c:pt idx="50">
                  <c:v>-0.17198493577602311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D9-4D22-B3F9-E528198FB7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7656832"/>
        <c:axId val="1567644352"/>
      </c:scatterChart>
      <c:valAx>
        <c:axId val="1567656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44352"/>
        <c:crosses val="autoZero"/>
        <c:crossBetween val="midCat"/>
      </c:valAx>
      <c:valAx>
        <c:axId val="1567644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6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0701115485564306"/>
                  <c:y val="1.281277340332458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analiza!$A$212:$A$262</c:f>
              <c:numCache>
                <c:formatCode>General</c:formatCode>
                <c:ptCount val="51"/>
                <c:pt idx="0">
                  <c:v>0.48</c:v>
                </c:pt>
                <c:pt idx="1">
                  <c:v>0.54800000000000004</c:v>
                </c:pt>
                <c:pt idx="2">
                  <c:v>0.56100000000000005</c:v>
                </c:pt>
                <c:pt idx="3">
                  <c:v>0.57599999999999996</c:v>
                </c:pt>
                <c:pt idx="4">
                  <c:v>0.59299999999999997</c:v>
                </c:pt>
                <c:pt idx="5">
                  <c:v>0.60199999999999998</c:v>
                </c:pt>
                <c:pt idx="6">
                  <c:v>0.60799999999999998</c:v>
                </c:pt>
                <c:pt idx="7">
                  <c:v>0.61899999999999999</c:v>
                </c:pt>
                <c:pt idx="8">
                  <c:v>0.64700000000000002</c:v>
                </c:pt>
                <c:pt idx="9">
                  <c:v>0.67200000000000004</c:v>
                </c:pt>
                <c:pt idx="10">
                  <c:v>0.69499999999999995</c:v>
                </c:pt>
                <c:pt idx="11">
                  <c:v>0.69499999999999995</c:v>
                </c:pt>
                <c:pt idx="12">
                  <c:v>0.69699999999999995</c:v>
                </c:pt>
                <c:pt idx="13">
                  <c:v>0.69699999999999995</c:v>
                </c:pt>
                <c:pt idx="14">
                  <c:v>0.71499999999999997</c:v>
                </c:pt>
                <c:pt idx="15">
                  <c:v>0.72599999999999998</c:v>
                </c:pt>
                <c:pt idx="16">
                  <c:v>0.74099999999999999</c:v>
                </c:pt>
                <c:pt idx="17">
                  <c:v>0.749</c:v>
                </c:pt>
                <c:pt idx="18">
                  <c:v>0.752</c:v>
                </c:pt>
                <c:pt idx="19">
                  <c:v>0.755</c:v>
                </c:pt>
                <c:pt idx="20">
                  <c:v>0.75700000000000001</c:v>
                </c:pt>
                <c:pt idx="21">
                  <c:v>0.76100000000000001</c:v>
                </c:pt>
                <c:pt idx="22">
                  <c:v>0.77100000000000002</c:v>
                </c:pt>
                <c:pt idx="23">
                  <c:v>0.78</c:v>
                </c:pt>
                <c:pt idx="24">
                  <c:v>0.78200000000000003</c:v>
                </c:pt>
                <c:pt idx="25">
                  <c:v>0.78300000000000003</c:v>
                </c:pt>
                <c:pt idx="26">
                  <c:v>0.78400000000000003</c:v>
                </c:pt>
                <c:pt idx="27">
                  <c:v>0.8</c:v>
                </c:pt>
                <c:pt idx="28">
                  <c:v>0.80400000000000005</c:v>
                </c:pt>
                <c:pt idx="29">
                  <c:v>0.80600000000000005</c:v>
                </c:pt>
                <c:pt idx="30">
                  <c:v>0.83599999999999997</c:v>
                </c:pt>
                <c:pt idx="31">
                  <c:v>0.83699999999999997</c:v>
                </c:pt>
                <c:pt idx="32">
                  <c:v>0.84099999999999997</c:v>
                </c:pt>
                <c:pt idx="33">
                  <c:v>0.85299999999999998</c:v>
                </c:pt>
                <c:pt idx="34">
                  <c:v>0.86</c:v>
                </c:pt>
                <c:pt idx="35">
                  <c:v>0.86199999999999999</c:v>
                </c:pt>
                <c:pt idx="36">
                  <c:v>0.86699999999999999</c:v>
                </c:pt>
                <c:pt idx="37">
                  <c:v>0.86699999999999999</c:v>
                </c:pt>
                <c:pt idx="38">
                  <c:v>0.876</c:v>
                </c:pt>
                <c:pt idx="39">
                  <c:v>0.877</c:v>
                </c:pt>
                <c:pt idx="40">
                  <c:v>0.877</c:v>
                </c:pt>
                <c:pt idx="41">
                  <c:v>0.88200000000000001</c:v>
                </c:pt>
                <c:pt idx="42">
                  <c:v>0.88800000000000001</c:v>
                </c:pt>
                <c:pt idx="43">
                  <c:v>0.89300000000000002</c:v>
                </c:pt>
                <c:pt idx="44">
                  <c:v>0.90400000000000003</c:v>
                </c:pt>
                <c:pt idx="45">
                  <c:v>0.90600000000000003</c:v>
                </c:pt>
                <c:pt idx="46">
                  <c:v>0.91</c:v>
                </c:pt>
                <c:pt idx="47">
                  <c:v>0.91700000000000004</c:v>
                </c:pt>
                <c:pt idx="48">
                  <c:v>0.92500000000000004</c:v>
                </c:pt>
                <c:pt idx="49">
                  <c:v>0.94</c:v>
                </c:pt>
                <c:pt idx="50">
                  <c:v>0.95499999999999996</c:v>
                </c:pt>
              </c:numCache>
            </c:numRef>
          </c:xVal>
          <c:yVal>
            <c:numRef>
              <c:f>analiza!$B$212:$B$262</c:f>
              <c:numCache>
                <c:formatCode>General</c:formatCode>
                <c:ptCount val="51"/>
                <c:pt idx="0">
                  <c:v>0.752</c:v>
                </c:pt>
                <c:pt idx="1">
                  <c:v>0.78100000000000003</c:v>
                </c:pt>
                <c:pt idx="2">
                  <c:v>0.73099999999999998</c:v>
                </c:pt>
                <c:pt idx="3">
                  <c:v>0.77600000000000002</c:v>
                </c:pt>
                <c:pt idx="4">
                  <c:v>0.72099999999999997</c:v>
                </c:pt>
                <c:pt idx="5">
                  <c:v>0.8</c:v>
                </c:pt>
                <c:pt idx="6">
                  <c:v>0.71399999999999997</c:v>
                </c:pt>
                <c:pt idx="7">
                  <c:v>0.77200000000000002</c:v>
                </c:pt>
                <c:pt idx="8">
                  <c:v>0.70799999999999996</c:v>
                </c:pt>
                <c:pt idx="9">
                  <c:v>0.72699999999999998</c:v>
                </c:pt>
                <c:pt idx="10">
                  <c:v>0.745</c:v>
                </c:pt>
                <c:pt idx="11">
                  <c:v>0.748</c:v>
                </c:pt>
                <c:pt idx="12">
                  <c:v>0.746</c:v>
                </c:pt>
                <c:pt idx="13">
                  <c:v>0.76600000000000001</c:v>
                </c:pt>
                <c:pt idx="14">
                  <c:v>0.8</c:v>
                </c:pt>
                <c:pt idx="15">
                  <c:v>0.78700000000000003</c:v>
                </c:pt>
                <c:pt idx="16">
                  <c:v>0.79400000000000004</c:v>
                </c:pt>
                <c:pt idx="17">
                  <c:v>0.79500000000000004</c:v>
                </c:pt>
                <c:pt idx="18">
                  <c:v>0.76100000000000001</c:v>
                </c:pt>
                <c:pt idx="19">
                  <c:v>0.70499999999999996</c:v>
                </c:pt>
                <c:pt idx="20">
                  <c:v>0.66100000000000003</c:v>
                </c:pt>
                <c:pt idx="21">
                  <c:v>0.745</c:v>
                </c:pt>
                <c:pt idx="22">
                  <c:v>0.66700000000000004</c:v>
                </c:pt>
                <c:pt idx="23">
                  <c:v>0.72899999999999998</c:v>
                </c:pt>
                <c:pt idx="24">
                  <c:v>0.72699999999999998</c:v>
                </c:pt>
                <c:pt idx="25">
                  <c:v>0.65500000000000003</c:v>
                </c:pt>
                <c:pt idx="26">
                  <c:v>0.72099999999999997</c:v>
                </c:pt>
                <c:pt idx="27">
                  <c:v>0.753</c:v>
                </c:pt>
                <c:pt idx="28">
                  <c:v>0.75600000000000001</c:v>
                </c:pt>
                <c:pt idx="29">
                  <c:v>0.69299999999999995</c:v>
                </c:pt>
                <c:pt idx="30">
                  <c:v>0.66400000000000003</c:v>
                </c:pt>
                <c:pt idx="31">
                  <c:v>0.69799999999999995</c:v>
                </c:pt>
                <c:pt idx="32">
                  <c:v>0.73499999999999999</c:v>
                </c:pt>
                <c:pt idx="33">
                  <c:v>0.73299999999999998</c:v>
                </c:pt>
                <c:pt idx="34">
                  <c:v>0.71399999999999997</c:v>
                </c:pt>
                <c:pt idx="35">
                  <c:v>0.79900000000000004</c:v>
                </c:pt>
                <c:pt idx="36">
                  <c:v>0.73599999999999999</c:v>
                </c:pt>
                <c:pt idx="37">
                  <c:v>0.78900000000000003</c:v>
                </c:pt>
                <c:pt idx="38">
                  <c:v>0.66</c:v>
                </c:pt>
                <c:pt idx="39">
                  <c:v>0.68400000000000005</c:v>
                </c:pt>
                <c:pt idx="40">
                  <c:v>0.68200000000000005</c:v>
                </c:pt>
                <c:pt idx="41">
                  <c:v>0.68400000000000005</c:v>
                </c:pt>
                <c:pt idx="42">
                  <c:v>0.68799999999999994</c:v>
                </c:pt>
                <c:pt idx="43">
                  <c:v>0.77400000000000002</c:v>
                </c:pt>
                <c:pt idx="44">
                  <c:v>0.755</c:v>
                </c:pt>
                <c:pt idx="45">
                  <c:v>0.77500000000000002</c:v>
                </c:pt>
                <c:pt idx="46">
                  <c:v>0.65800000000000003</c:v>
                </c:pt>
                <c:pt idx="47">
                  <c:v>0.74199999999999999</c:v>
                </c:pt>
                <c:pt idx="48">
                  <c:v>0.72199999999999998</c:v>
                </c:pt>
                <c:pt idx="49">
                  <c:v>0.79600000000000004</c:v>
                </c:pt>
                <c:pt idx="50">
                  <c:v>0.67300000000000004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BB5-48C4-B2D5-5AD965076E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4525680"/>
        <c:axId val="1094522320"/>
      </c:scatterChart>
      <c:valAx>
        <c:axId val="1094525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4522320"/>
        <c:crosses val="autoZero"/>
        <c:crossBetween val="midCat"/>
      </c:valAx>
      <c:valAx>
        <c:axId val="1094522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4525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l-SI"/>
              <a:t>Corruption</a:t>
            </a:r>
            <a:r>
              <a:rPr lang="sl-SI" baseline="0"/>
              <a:t> in correlation with freedom to make choices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576159230096242"/>
          <c:y val="0.37215296004666082"/>
          <c:w val="0.82165507436570429"/>
          <c:h val="0.54396617089530475"/>
        </c:manualLayout>
      </c:layout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5153018372703412"/>
                  <c:y val="-0.2015937591134441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analiza!$A$62:$A$210</c:f>
              <c:numCache>
                <c:formatCode>General</c:formatCode>
                <c:ptCount val="149"/>
                <c:pt idx="0">
                  <c:v>0.38200000000000001</c:v>
                </c:pt>
                <c:pt idx="1">
                  <c:v>0.48</c:v>
                </c:pt>
                <c:pt idx="2">
                  <c:v>0.52500000000000002</c:v>
                </c:pt>
                <c:pt idx="3">
                  <c:v>0.54800000000000004</c:v>
                </c:pt>
                <c:pt idx="4">
                  <c:v>0.55200000000000005</c:v>
                </c:pt>
                <c:pt idx="5">
                  <c:v>0.56100000000000005</c:v>
                </c:pt>
                <c:pt idx="6">
                  <c:v>0.57599999999999996</c:v>
                </c:pt>
                <c:pt idx="7">
                  <c:v>0.57899999999999996</c:v>
                </c:pt>
                <c:pt idx="8">
                  <c:v>0.58199999999999996</c:v>
                </c:pt>
                <c:pt idx="9">
                  <c:v>0.59299999999999997</c:v>
                </c:pt>
                <c:pt idx="10">
                  <c:v>0.60199999999999998</c:v>
                </c:pt>
                <c:pt idx="11">
                  <c:v>0.60799999999999998</c:v>
                </c:pt>
                <c:pt idx="12">
                  <c:v>0.61499999999999999</c:v>
                </c:pt>
                <c:pt idx="13">
                  <c:v>0.61899999999999999</c:v>
                </c:pt>
                <c:pt idx="14">
                  <c:v>0.626</c:v>
                </c:pt>
                <c:pt idx="15">
                  <c:v>0.63</c:v>
                </c:pt>
                <c:pt idx="16">
                  <c:v>0.64700000000000002</c:v>
                </c:pt>
                <c:pt idx="17">
                  <c:v>0.65</c:v>
                </c:pt>
                <c:pt idx="18">
                  <c:v>0.65300000000000002</c:v>
                </c:pt>
                <c:pt idx="19">
                  <c:v>0.65600000000000003</c:v>
                </c:pt>
                <c:pt idx="20">
                  <c:v>0.67200000000000004</c:v>
                </c:pt>
                <c:pt idx="21">
                  <c:v>0.67700000000000005</c:v>
                </c:pt>
                <c:pt idx="22">
                  <c:v>0.69299999999999995</c:v>
                </c:pt>
                <c:pt idx="23">
                  <c:v>0.69499999999999995</c:v>
                </c:pt>
                <c:pt idx="24">
                  <c:v>0.69499999999999995</c:v>
                </c:pt>
                <c:pt idx="25">
                  <c:v>0.69499999999999995</c:v>
                </c:pt>
                <c:pt idx="26">
                  <c:v>0.69699999999999995</c:v>
                </c:pt>
                <c:pt idx="27">
                  <c:v>0.69699999999999995</c:v>
                </c:pt>
                <c:pt idx="28">
                  <c:v>0.69699999999999995</c:v>
                </c:pt>
                <c:pt idx="29">
                  <c:v>0.70599999999999996</c:v>
                </c:pt>
                <c:pt idx="30">
                  <c:v>0.70799999999999996</c:v>
                </c:pt>
                <c:pt idx="31">
                  <c:v>0.70799999999999996</c:v>
                </c:pt>
                <c:pt idx="32">
                  <c:v>0.70899999999999996</c:v>
                </c:pt>
                <c:pt idx="33">
                  <c:v>0.71499999999999997</c:v>
                </c:pt>
                <c:pt idx="34">
                  <c:v>0.71499999999999997</c:v>
                </c:pt>
                <c:pt idx="35">
                  <c:v>0.71699999999999997</c:v>
                </c:pt>
                <c:pt idx="36">
                  <c:v>0.71699999999999997</c:v>
                </c:pt>
                <c:pt idx="37">
                  <c:v>0.71799999999999997</c:v>
                </c:pt>
                <c:pt idx="38">
                  <c:v>0.71899999999999997</c:v>
                </c:pt>
                <c:pt idx="39">
                  <c:v>0.72399999999999998</c:v>
                </c:pt>
                <c:pt idx="40">
                  <c:v>0.72599999999999998</c:v>
                </c:pt>
                <c:pt idx="41">
                  <c:v>0.73099999999999998</c:v>
                </c:pt>
                <c:pt idx="42">
                  <c:v>0.73099999999999998</c:v>
                </c:pt>
                <c:pt idx="43">
                  <c:v>0.73499999999999999</c:v>
                </c:pt>
                <c:pt idx="44">
                  <c:v>0.73699999999999999</c:v>
                </c:pt>
                <c:pt idx="45">
                  <c:v>0.74099999999999999</c:v>
                </c:pt>
                <c:pt idx="46">
                  <c:v>0.74199999999999999</c:v>
                </c:pt>
                <c:pt idx="47">
                  <c:v>0.749</c:v>
                </c:pt>
                <c:pt idx="48">
                  <c:v>0.749</c:v>
                </c:pt>
                <c:pt idx="49">
                  <c:v>0.751</c:v>
                </c:pt>
                <c:pt idx="50">
                  <c:v>0.752</c:v>
                </c:pt>
                <c:pt idx="51">
                  <c:v>0.754</c:v>
                </c:pt>
                <c:pt idx="52">
                  <c:v>0.755</c:v>
                </c:pt>
                <c:pt idx="53">
                  <c:v>0.755</c:v>
                </c:pt>
                <c:pt idx="54">
                  <c:v>0.75700000000000001</c:v>
                </c:pt>
                <c:pt idx="55">
                  <c:v>0.76100000000000001</c:v>
                </c:pt>
                <c:pt idx="56">
                  <c:v>0.76300000000000001</c:v>
                </c:pt>
                <c:pt idx="57">
                  <c:v>0.76600000000000001</c:v>
                </c:pt>
                <c:pt idx="58">
                  <c:v>0.77100000000000002</c:v>
                </c:pt>
                <c:pt idx="59">
                  <c:v>0.77300000000000002</c:v>
                </c:pt>
                <c:pt idx="60">
                  <c:v>0.77400000000000002</c:v>
                </c:pt>
                <c:pt idx="61">
                  <c:v>0.77800000000000002</c:v>
                </c:pt>
                <c:pt idx="62">
                  <c:v>0.77900000000000003</c:v>
                </c:pt>
                <c:pt idx="63">
                  <c:v>0.78</c:v>
                </c:pt>
                <c:pt idx="64">
                  <c:v>0.78200000000000003</c:v>
                </c:pt>
                <c:pt idx="65">
                  <c:v>0.78200000000000003</c:v>
                </c:pt>
                <c:pt idx="66">
                  <c:v>0.78300000000000003</c:v>
                </c:pt>
                <c:pt idx="67">
                  <c:v>0.78300000000000003</c:v>
                </c:pt>
                <c:pt idx="68">
                  <c:v>0.78400000000000003</c:v>
                </c:pt>
                <c:pt idx="69">
                  <c:v>0.78500000000000003</c:v>
                </c:pt>
                <c:pt idx="70">
                  <c:v>0.78800000000000003</c:v>
                </c:pt>
                <c:pt idx="71">
                  <c:v>0.79500000000000004</c:v>
                </c:pt>
                <c:pt idx="72">
                  <c:v>0.79600000000000004</c:v>
                </c:pt>
                <c:pt idx="73">
                  <c:v>0.8</c:v>
                </c:pt>
                <c:pt idx="74">
                  <c:v>0.80400000000000005</c:v>
                </c:pt>
                <c:pt idx="75">
                  <c:v>0.80600000000000005</c:v>
                </c:pt>
                <c:pt idx="76">
                  <c:v>0.80700000000000005</c:v>
                </c:pt>
                <c:pt idx="77">
                  <c:v>0.81399999999999995</c:v>
                </c:pt>
                <c:pt idx="78">
                  <c:v>0.82199999999999995</c:v>
                </c:pt>
                <c:pt idx="79">
                  <c:v>0.82199999999999995</c:v>
                </c:pt>
                <c:pt idx="80">
                  <c:v>0.82199999999999995</c:v>
                </c:pt>
                <c:pt idx="81">
                  <c:v>0.82399999999999995</c:v>
                </c:pt>
                <c:pt idx="82">
                  <c:v>0.82499999999999996</c:v>
                </c:pt>
                <c:pt idx="83">
                  <c:v>0.82799999999999996</c:v>
                </c:pt>
                <c:pt idx="84">
                  <c:v>0.83199999999999996</c:v>
                </c:pt>
                <c:pt idx="85">
                  <c:v>0.83299999999999996</c:v>
                </c:pt>
                <c:pt idx="86">
                  <c:v>0.83599999999999997</c:v>
                </c:pt>
                <c:pt idx="87">
                  <c:v>0.83699999999999997</c:v>
                </c:pt>
                <c:pt idx="88">
                  <c:v>0.83699999999999997</c:v>
                </c:pt>
                <c:pt idx="89">
                  <c:v>0.84099999999999997</c:v>
                </c:pt>
                <c:pt idx="90">
                  <c:v>0.84099999999999997</c:v>
                </c:pt>
                <c:pt idx="91">
                  <c:v>0.84199999999999997</c:v>
                </c:pt>
                <c:pt idx="92">
                  <c:v>0.84499999999999997</c:v>
                </c:pt>
                <c:pt idx="93">
                  <c:v>0.85299999999999998</c:v>
                </c:pt>
                <c:pt idx="94">
                  <c:v>0.85399999999999998</c:v>
                </c:pt>
                <c:pt idx="95">
                  <c:v>0.85699999999999998</c:v>
                </c:pt>
                <c:pt idx="96">
                  <c:v>0.85799999999999998</c:v>
                </c:pt>
                <c:pt idx="97">
                  <c:v>0.85899999999999999</c:v>
                </c:pt>
                <c:pt idx="98">
                  <c:v>0.86</c:v>
                </c:pt>
                <c:pt idx="99">
                  <c:v>0.86199999999999999</c:v>
                </c:pt>
                <c:pt idx="100">
                  <c:v>0.86699999999999999</c:v>
                </c:pt>
                <c:pt idx="101">
                  <c:v>0.86699999999999999</c:v>
                </c:pt>
                <c:pt idx="102">
                  <c:v>0.86899999999999999</c:v>
                </c:pt>
                <c:pt idx="103">
                  <c:v>0.872</c:v>
                </c:pt>
                <c:pt idx="104">
                  <c:v>0.873</c:v>
                </c:pt>
                <c:pt idx="105">
                  <c:v>0.875</c:v>
                </c:pt>
                <c:pt idx="106">
                  <c:v>0.875</c:v>
                </c:pt>
                <c:pt idx="107">
                  <c:v>0.876</c:v>
                </c:pt>
                <c:pt idx="108">
                  <c:v>0.876</c:v>
                </c:pt>
                <c:pt idx="109">
                  <c:v>0.877</c:v>
                </c:pt>
                <c:pt idx="110">
                  <c:v>0.877</c:v>
                </c:pt>
                <c:pt idx="111">
                  <c:v>0.877</c:v>
                </c:pt>
                <c:pt idx="112">
                  <c:v>0.879</c:v>
                </c:pt>
                <c:pt idx="113">
                  <c:v>0.88200000000000001</c:v>
                </c:pt>
                <c:pt idx="114">
                  <c:v>0.88400000000000001</c:v>
                </c:pt>
                <c:pt idx="115">
                  <c:v>0.88800000000000001</c:v>
                </c:pt>
                <c:pt idx="116">
                  <c:v>0.89</c:v>
                </c:pt>
                <c:pt idx="117">
                  <c:v>0.89200000000000002</c:v>
                </c:pt>
                <c:pt idx="118">
                  <c:v>0.89300000000000002</c:v>
                </c:pt>
                <c:pt idx="119">
                  <c:v>0.89500000000000002</c:v>
                </c:pt>
                <c:pt idx="120">
                  <c:v>0.89600000000000002</c:v>
                </c:pt>
                <c:pt idx="121">
                  <c:v>0.89700000000000002</c:v>
                </c:pt>
                <c:pt idx="122">
                  <c:v>0.90400000000000003</c:v>
                </c:pt>
                <c:pt idx="123">
                  <c:v>0.90600000000000003</c:v>
                </c:pt>
                <c:pt idx="124">
                  <c:v>0.90700000000000003</c:v>
                </c:pt>
                <c:pt idx="125">
                  <c:v>0.90800000000000003</c:v>
                </c:pt>
                <c:pt idx="126">
                  <c:v>0.90900000000000003</c:v>
                </c:pt>
                <c:pt idx="127">
                  <c:v>0.91</c:v>
                </c:pt>
                <c:pt idx="128">
                  <c:v>0.91300000000000003</c:v>
                </c:pt>
                <c:pt idx="129">
                  <c:v>0.91400000000000003</c:v>
                </c:pt>
                <c:pt idx="130">
                  <c:v>0.91500000000000004</c:v>
                </c:pt>
                <c:pt idx="131">
                  <c:v>0.91700000000000004</c:v>
                </c:pt>
                <c:pt idx="132">
                  <c:v>0.91900000000000004</c:v>
                </c:pt>
                <c:pt idx="133">
                  <c:v>0.92500000000000004</c:v>
                </c:pt>
                <c:pt idx="134">
                  <c:v>0.92700000000000005</c:v>
                </c:pt>
                <c:pt idx="135">
                  <c:v>0.92700000000000005</c:v>
                </c:pt>
                <c:pt idx="136">
                  <c:v>0.92900000000000005</c:v>
                </c:pt>
                <c:pt idx="137">
                  <c:v>0.93200000000000005</c:v>
                </c:pt>
                <c:pt idx="138">
                  <c:v>0.93400000000000005</c:v>
                </c:pt>
                <c:pt idx="139">
                  <c:v>0.93500000000000005</c:v>
                </c:pt>
                <c:pt idx="140">
                  <c:v>0.94</c:v>
                </c:pt>
                <c:pt idx="141">
                  <c:v>0.94499999999999995</c:v>
                </c:pt>
                <c:pt idx="142">
                  <c:v>0.94599999999999995</c:v>
                </c:pt>
                <c:pt idx="143">
                  <c:v>0.94899999999999995</c:v>
                </c:pt>
                <c:pt idx="144">
                  <c:v>0.94899999999999995</c:v>
                </c:pt>
                <c:pt idx="145">
                  <c:v>0.95499999999999996</c:v>
                </c:pt>
                <c:pt idx="146">
                  <c:v>0.95899999999999996</c:v>
                </c:pt>
                <c:pt idx="147">
                  <c:v>0.96</c:v>
                </c:pt>
                <c:pt idx="148">
                  <c:v>0.97</c:v>
                </c:pt>
              </c:numCache>
            </c:numRef>
          </c:xVal>
          <c:yVal>
            <c:numRef>
              <c:f>analiza!$B$62:$B$210</c:f>
              <c:numCache>
                <c:formatCode>General</c:formatCode>
                <c:ptCount val="149"/>
                <c:pt idx="0">
                  <c:v>0.92400000000000004</c:v>
                </c:pt>
                <c:pt idx="1">
                  <c:v>0.752</c:v>
                </c:pt>
                <c:pt idx="2">
                  <c:v>0.89800000000000002</c:v>
                </c:pt>
                <c:pt idx="3">
                  <c:v>0.78100000000000003</c:v>
                </c:pt>
                <c:pt idx="4">
                  <c:v>0.80300000000000005</c:v>
                </c:pt>
                <c:pt idx="5">
                  <c:v>0.73099999999999998</c:v>
                </c:pt>
                <c:pt idx="6">
                  <c:v>0.77600000000000002</c:v>
                </c:pt>
                <c:pt idx="7">
                  <c:v>0.80700000000000005</c:v>
                </c:pt>
                <c:pt idx="8">
                  <c:v>0.82299999999999995</c:v>
                </c:pt>
                <c:pt idx="9">
                  <c:v>0.72099999999999997</c:v>
                </c:pt>
                <c:pt idx="10">
                  <c:v>0.8</c:v>
                </c:pt>
                <c:pt idx="11">
                  <c:v>0.71399999999999997</c:v>
                </c:pt>
                <c:pt idx="12">
                  <c:v>0.82699999999999996</c:v>
                </c:pt>
                <c:pt idx="13">
                  <c:v>0.77200000000000002</c:v>
                </c:pt>
                <c:pt idx="14">
                  <c:v>0.60699999999999998</c:v>
                </c:pt>
                <c:pt idx="15">
                  <c:v>0.875</c:v>
                </c:pt>
                <c:pt idx="16">
                  <c:v>0.70799999999999996</c:v>
                </c:pt>
                <c:pt idx="17">
                  <c:v>0.627</c:v>
                </c:pt>
                <c:pt idx="18">
                  <c:v>0.82099999999999995</c:v>
                </c:pt>
                <c:pt idx="19">
                  <c:v>0.87</c:v>
                </c:pt>
                <c:pt idx="20">
                  <c:v>0.72699999999999998</c:v>
                </c:pt>
                <c:pt idx="21">
                  <c:v>0.82099999999999995</c:v>
                </c:pt>
                <c:pt idx="22">
                  <c:v>0.86599999999999999</c:v>
                </c:pt>
                <c:pt idx="23">
                  <c:v>0.745</c:v>
                </c:pt>
                <c:pt idx="24">
                  <c:v>0.80100000000000005</c:v>
                </c:pt>
                <c:pt idx="25">
                  <c:v>0.748</c:v>
                </c:pt>
                <c:pt idx="26">
                  <c:v>0.746</c:v>
                </c:pt>
                <c:pt idx="27">
                  <c:v>0.76600000000000001</c:v>
                </c:pt>
                <c:pt idx="28">
                  <c:v>0.82699999999999996</c:v>
                </c:pt>
                <c:pt idx="29">
                  <c:v>0.93100000000000005</c:v>
                </c:pt>
                <c:pt idx="30">
                  <c:v>0.85599999999999998</c:v>
                </c:pt>
                <c:pt idx="31">
                  <c:v>0.81200000000000006</c:v>
                </c:pt>
                <c:pt idx="32">
                  <c:v>0.85499999999999998</c:v>
                </c:pt>
                <c:pt idx="33">
                  <c:v>0.8</c:v>
                </c:pt>
                <c:pt idx="34">
                  <c:v>0.91500000000000004</c:v>
                </c:pt>
                <c:pt idx="35">
                  <c:v>0.40300000000000002</c:v>
                </c:pt>
                <c:pt idx="36">
                  <c:v>0.86599999999999999</c:v>
                </c:pt>
                <c:pt idx="37">
                  <c:v>0.84499999999999997</c:v>
                </c:pt>
                <c:pt idx="38">
                  <c:v>0.84699999999999998</c:v>
                </c:pt>
                <c:pt idx="39">
                  <c:v>0.92400000000000004</c:v>
                </c:pt>
                <c:pt idx="40">
                  <c:v>0.78700000000000003</c:v>
                </c:pt>
                <c:pt idx="41">
                  <c:v>0.84799999999999998</c:v>
                </c:pt>
                <c:pt idx="42">
                  <c:v>0.84</c:v>
                </c:pt>
                <c:pt idx="43">
                  <c:v>0.85</c:v>
                </c:pt>
                <c:pt idx="44">
                  <c:v>0.878</c:v>
                </c:pt>
                <c:pt idx="45">
                  <c:v>0.79400000000000004</c:v>
                </c:pt>
                <c:pt idx="46">
                  <c:v>0.83</c:v>
                </c:pt>
                <c:pt idx="47">
                  <c:v>0.86</c:v>
                </c:pt>
                <c:pt idx="48">
                  <c:v>0.79500000000000004</c:v>
                </c:pt>
                <c:pt idx="49">
                  <c:v>0.90500000000000003</c:v>
                </c:pt>
                <c:pt idx="50">
                  <c:v>0.76100000000000001</c:v>
                </c:pt>
                <c:pt idx="51">
                  <c:v>0.93899999999999995</c:v>
                </c:pt>
                <c:pt idx="52">
                  <c:v>0.876</c:v>
                </c:pt>
                <c:pt idx="53">
                  <c:v>0.70499999999999996</c:v>
                </c:pt>
                <c:pt idx="54">
                  <c:v>0.66100000000000003</c:v>
                </c:pt>
                <c:pt idx="55">
                  <c:v>0.745</c:v>
                </c:pt>
                <c:pt idx="56">
                  <c:v>0.84399999999999997</c:v>
                </c:pt>
                <c:pt idx="57">
                  <c:v>0.91100000000000003</c:v>
                </c:pt>
                <c:pt idx="58">
                  <c:v>0.66700000000000004</c:v>
                </c:pt>
                <c:pt idx="59">
                  <c:v>0.82599999999999996</c:v>
                </c:pt>
                <c:pt idx="60">
                  <c:v>0.80100000000000005</c:v>
                </c:pt>
                <c:pt idx="61">
                  <c:v>0.83499999999999996</c:v>
                </c:pt>
                <c:pt idx="62">
                  <c:v>0.82499999999999996</c:v>
                </c:pt>
                <c:pt idx="63">
                  <c:v>0.72899999999999998</c:v>
                </c:pt>
                <c:pt idx="64">
                  <c:v>0.72699999999999998</c:v>
                </c:pt>
                <c:pt idx="65">
                  <c:v>0.82299999999999995</c:v>
                </c:pt>
                <c:pt idx="66">
                  <c:v>0.64600000000000002</c:v>
                </c:pt>
                <c:pt idx="67">
                  <c:v>0.65500000000000003</c:v>
                </c:pt>
                <c:pt idx="68">
                  <c:v>0.72099999999999997</c:v>
                </c:pt>
                <c:pt idx="69">
                  <c:v>0.90100000000000002</c:v>
                </c:pt>
                <c:pt idx="70">
                  <c:v>0.93200000000000005</c:v>
                </c:pt>
                <c:pt idx="71">
                  <c:v>0.626</c:v>
                </c:pt>
                <c:pt idx="72">
                  <c:v>0.63800000000000001</c:v>
                </c:pt>
                <c:pt idx="73">
                  <c:v>0.753</c:v>
                </c:pt>
                <c:pt idx="74">
                  <c:v>0.75600000000000001</c:v>
                </c:pt>
                <c:pt idx="75">
                  <c:v>0.69299999999999995</c:v>
                </c:pt>
                <c:pt idx="76">
                  <c:v>0.84799999999999998</c:v>
                </c:pt>
                <c:pt idx="77">
                  <c:v>0.50600000000000001</c:v>
                </c:pt>
                <c:pt idx="78">
                  <c:v>0.57099999999999995</c:v>
                </c:pt>
                <c:pt idx="79">
                  <c:v>0.89100000000000001</c:v>
                </c:pt>
                <c:pt idx="80">
                  <c:v>0.91800000000000004</c:v>
                </c:pt>
                <c:pt idx="81">
                  <c:v>0.80100000000000005</c:v>
                </c:pt>
                <c:pt idx="82">
                  <c:v>0.629</c:v>
                </c:pt>
                <c:pt idx="83">
                  <c:v>0.83399999999999996</c:v>
                </c:pt>
                <c:pt idx="84">
                  <c:v>0.55300000000000005</c:v>
                </c:pt>
                <c:pt idx="85">
                  <c:v>0.57699999999999996</c:v>
                </c:pt>
                <c:pt idx="86">
                  <c:v>0.66400000000000003</c:v>
                </c:pt>
                <c:pt idx="87">
                  <c:v>0.69799999999999995</c:v>
                </c:pt>
                <c:pt idx="88">
                  <c:v>0.84099999999999997</c:v>
                </c:pt>
                <c:pt idx="89">
                  <c:v>0.73499999999999999</c:v>
                </c:pt>
                <c:pt idx="90">
                  <c:v>0.86299999999999999</c:v>
                </c:pt>
                <c:pt idx="91">
                  <c:v>0.84299999999999997</c:v>
                </c:pt>
                <c:pt idx="92">
                  <c:v>0.93799999999999994</c:v>
                </c:pt>
                <c:pt idx="93">
                  <c:v>0.73299999999999998</c:v>
                </c:pt>
                <c:pt idx="94">
                  <c:v>0.82499999999999996</c:v>
                </c:pt>
                <c:pt idx="95">
                  <c:v>0.80900000000000005</c:v>
                </c:pt>
                <c:pt idx="96">
                  <c:v>0.86799999999999999</c:v>
                </c:pt>
                <c:pt idx="97">
                  <c:v>0.45900000000000002</c:v>
                </c:pt>
                <c:pt idx="98">
                  <c:v>0.71399999999999997</c:v>
                </c:pt>
                <c:pt idx="99">
                  <c:v>0.79900000000000004</c:v>
                </c:pt>
                <c:pt idx="100">
                  <c:v>0.73599999999999999</c:v>
                </c:pt>
                <c:pt idx="101">
                  <c:v>0.78900000000000003</c:v>
                </c:pt>
                <c:pt idx="102">
                  <c:v>0.91700000000000004</c:v>
                </c:pt>
                <c:pt idx="103">
                  <c:v>0.85599999999999998</c:v>
                </c:pt>
                <c:pt idx="104">
                  <c:v>0.86699999999999999</c:v>
                </c:pt>
                <c:pt idx="105">
                  <c:v>0.46</c:v>
                </c:pt>
                <c:pt idx="106">
                  <c:v>0.83899999999999997</c:v>
                </c:pt>
                <c:pt idx="107">
                  <c:v>0.88200000000000001</c:v>
                </c:pt>
                <c:pt idx="108">
                  <c:v>0.66</c:v>
                </c:pt>
                <c:pt idx="109">
                  <c:v>0.68400000000000005</c:v>
                </c:pt>
                <c:pt idx="110">
                  <c:v>0.88800000000000001</c:v>
                </c:pt>
                <c:pt idx="111">
                  <c:v>0.68200000000000005</c:v>
                </c:pt>
                <c:pt idx="112">
                  <c:v>0.36299999999999999</c:v>
                </c:pt>
                <c:pt idx="113">
                  <c:v>0.68400000000000005</c:v>
                </c:pt>
                <c:pt idx="114">
                  <c:v>0.89500000000000002</c:v>
                </c:pt>
                <c:pt idx="115">
                  <c:v>0.68799999999999994</c:v>
                </c:pt>
                <c:pt idx="116">
                  <c:v>0.88400000000000001</c:v>
                </c:pt>
                <c:pt idx="117">
                  <c:v>0.88700000000000001</c:v>
                </c:pt>
                <c:pt idx="118">
                  <c:v>0.77400000000000002</c:v>
                </c:pt>
                <c:pt idx="119">
                  <c:v>0.83899999999999997</c:v>
                </c:pt>
                <c:pt idx="120">
                  <c:v>0.59</c:v>
                </c:pt>
                <c:pt idx="121">
                  <c:v>0.16700000000000001</c:v>
                </c:pt>
                <c:pt idx="122">
                  <c:v>0.755</c:v>
                </c:pt>
                <c:pt idx="123">
                  <c:v>0.77500000000000002</c:v>
                </c:pt>
                <c:pt idx="124">
                  <c:v>0.38600000000000001</c:v>
                </c:pt>
                <c:pt idx="125">
                  <c:v>0.48099999999999998</c:v>
                </c:pt>
                <c:pt idx="126">
                  <c:v>0.52700000000000002</c:v>
                </c:pt>
                <c:pt idx="127">
                  <c:v>0.65800000000000003</c:v>
                </c:pt>
                <c:pt idx="128">
                  <c:v>0.33800000000000002</c:v>
                </c:pt>
                <c:pt idx="129">
                  <c:v>0.442</c:v>
                </c:pt>
                <c:pt idx="130">
                  <c:v>0.41499999999999998</c:v>
                </c:pt>
                <c:pt idx="131">
                  <c:v>0.74199999999999999</c:v>
                </c:pt>
                <c:pt idx="132">
                  <c:v>0.29199999999999998</c:v>
                </c:pt>
                <c:pt idx="133">
                  <c:v>0.72199999999999998</c:v>
                </c:pt>
                <c:pt idx="134">
                  <c:v>0.65300000000000002</c:v>
                </c:pt>
                <c:pt idx="135">
                  <c:v>8.2000000000000003E-2</c:v>
                </c:pt>
                <c:pt idx="136">
                  <c:v>0.24199999999999999</c:v>
                </c:pt>
                <c:pt idx="137">
                  <c:v>0.58899999999999997</c:v>
                </c:pt>
                <c:pt idx="138">
                  <c:v>0.80900000000000005</c:v>
                </c:pt>
                <c:pt idx="139">
                  <c:v>0.90800000000000003</c:v>
                </c:pt>
                <c:pt idx="140">
                  <c:v>0.79600000000000004</c:v>
                </c:pt>
                <c:pt idx="141">
                  <c:v>0.23699999999999999</c:v>
                </c:pt>
                <c:pt idx="142">
                  <c:v>0.17899999999999999</c:v>
                </c:pt>
                <c:pt idx="143">
                  <c:v>0.186</c:v>
                </c:pt>
                <c:pt idx="144">
                  <c:v>0.80600000000000005</c:v>
                </c:pt>
                <c:pt idx="145">
                  <c:v>0.67300000000000004</c:v>
                </c:pt>
                <c:pt idx="146">
                  <c:v>0.84299999999999997</c:v>
                </c:pt>
                <c:pt idx="147">
                  <c:v>0.27</c:v>
                </c:pt>
                <c:pt idx="148">
                  <c:v>0.51500000000000001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54-4457-A219-97C88E3FE0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0598656"/>
        <c:axId val="1380599616"/>
      </c:scatterChart>
      <c:valAx>
        <c:axId val="1380598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l-SI"/>
                  <a:t>Freedom</a:t>
                </a:r>
                <a:r>
                  <a:rPr lang="sl-SI" baseline="0"/>
                  <a:t> to make choices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0599616"/>
        <c:crosses val="autoZero"/>
        <c:crossBetween val="midCat"/>
      </c:valAx>
      <c:valAx>
        <c:axId val="1380599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l-SI"/>
                  <a:t>Perception</a:t>
                </a:r>
                <a:r>
                  <a:rPr lang="sl-SI" baseline="0"/>
                  <a:t> of corruption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0598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l-SI"/>
              <a:t>Average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analiza!$B$26</c:f>
              <c:strCache>
                <c:ptCount val="1"/>
                <c:pt idx="0">
                  <c:v>Average of Ladder score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analiza!$A$27:$A$36</c:f>
              <c:strCache>
                <c:ptCount val="10"/>
                <c:pt idx="0">
                  <c:v>Central and Eastern Europe</c:v>
                </c:pt>
                <c:pt idx="1">
                  <c:v>Commonwealth of Independent States</c:v>
                </c:pt>
                <c:pt idx="2">
                  <c:v>East Asia</c:v>
                </c:pt>
                <c:pt idx="3">
                  <c:v>Latin America and Caribbean</c:v>
                </c:pt>
                <c:pt idx="4">
                  <c:v>Middle East and North Africa</c:v>
                </c:pt>
                <c:pt idx="5">
                  <c:v>North America and ANZ</c:v>
                </c:pt>
                <c:pt idx="6">
                  <c:v>South Asia</c:v>
                </c:pt>
                <c:pt idx="7">
                  <c:v>Southeast Asia</c:v>
                </c:pt>
                <c:pt idx="8">
                  <c:v>Sub-Saharan Africa</c:v>
                </c:pt>
                <c:pt idx="9">
                  <c:v>Western Europe</c:v>
                </c:pt>
              </c:strCache>
            </c:strRef>
          </c:cat>
          <c:val>
            <c:numRef>
              <c:f>analiza!$B$27:$B$36</c:f>
              <c:numCache>
                <c:formatCode>#,##0</c:formatCode>
                <c:ptCount val="10"/>
                <c:pt idx="0">
                  <c:v>5984.7647058823532</c:v>
                </c:pt>
                <c:pt idx="1">
                  <c:v>5467</c:v>
                </c:pt>
                <c:pt idx="2">
                  <c:v>5810.333333333333</c:v>
                </c:pt>
                <c:pt idx="3">
                  <c:v>5908.05</c:v>
                </c:pt>
                <c:pt idx="4">
                  <c:v>5219.7647058823532</c:v>
                </c:pt>
                <c:pt idx="5">
                  <c:v>7128.5</c:v>
                </c:pt>
                <c:pt idx="6">
                  <c:v>4441.8571428571431</c:v>
                </c:pt>
                <c:pt idx="7">
                  <c:v>5407.5555555555557</c:v>
                </c:pt>
                <c:pt idx="8">
                  <c:v>4494.4722222222226</c:v>
                </c:pt>
                <c:pt idx="9">
                  <c:v>6914.9047619047615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69-4D24-A065-E8F150CBE992}"/>
            </c:ext>
          </c:extLst>
        </c:ser>
        <c:ser>
          <c:idx val="1"/>
          <c:order val="1"/>
          <c:tx>
            <c:strRef>
              <c:f>analiza!$C$26</c:f>
              <c:strCache>
                <c:ptCount val="1"/>
                <c:pt idx="0">
                  <c:v>Average of Logged GDP per capita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analiza!$A$27:$A$36</c:f>
              <c:strCache>
                <c:ptCount val="10"/>
                <c:pt idx="0">
                  <c:v>Central and Eastern Europe</c:v>
                </c:pt>
                <c:pt idx="1">
                  <c:v>Commonwealth of Independent States</c:v>
                </c:pt>
                <c:pt idx="2">
                  <c:v>East Asia</c:v>
                </c:pt>
                <c:pt idx="3">
                  <c:v>Latin America and Caribbean</c:v>
                </c:pt>
                <c:pt idx="4">
                  <c:v>Middle East and North Africa</c:v>
                </c:pt>
                <c:pt idx="5">
                  <c:v>North America and ANZ</c:v>
                </c:pt>
                <c:pt idx="6">
                  <c:v>South Asia</c:v>
                </c:pt>
                <c:pt idx="7">
                  <c:v>Southeast Asia</c:v>
                </c:pt>
                <c:pt idx="8">
                  <c:v>Sub-Saharan Africa</c:v>
                </c:pt>
                <c:pt idx="9">
                  <c:v>Western Europe</c:v>
                </c:pt>
              </c:strCache>
            </c:strRef>
          </c:cat>
          <c:val>
            <c:numRef>
              <c:f>analiza!$C$27:$C$36</c:f>
              <c:numCache>
                <c:formatCode>#,##0</c:formatCode>
                <c:ptCount val="10"/>
                <c:pt idx="0">
                  <c:v>10109.058823529413</c:v>
                </c:pt>
                <c:pt idx="1">
                  <c:v>9401.8333333333339</c:v>
                </c:pt>
                <c:pt idx="2">
                  <c:v>10367.666666666666</c:v>
                </c:pt>
                <c:pt idx="3">
                  <c:v>9370</c:v>
                </c:pt>
                <c:pt idx="4">
                  <c:v>9666.1176470588234</c:v>
                </c:pt>
                <c:pt idx="5">
                  <c:v>10809.5</c:v>
                </c:pt>
                <c:pt idx="6">
                  <c:v>8682.5714285714294</c:v>
                </c:pt>
                <c:pt idx="7">
                  <c:v>9421.4444444444453</c:v>
                </c:pt>
                <c:pt idx="8">
                  <c:v>8075.1944444444443</c:v>
                </c:pt>
                <c:pt idx="9">
                  <c:v>10822.714285714286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69-4D24-A065-E8F150CBE9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43045503"/>
        <c:axId val="2043035903"/>
      </c:lineChart>
      <c:catAx>
        <c:axId val="20430455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l-SI"/>
                  <a:t>Region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3035903"/>
        <c:crosses val="autoZero"/>
        <c:auto val="1"/>
        <c:lblAlgn val="ctr"/>
        <c:lblOffset val="100"/>
        <c:noMultiLvlLbl val="0"/>
      </c:catAx>
      <c:valAx>
        <c:axId val="204303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l-SI"/>
                  <a:t>Value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3045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Generosity</a:t>
            </a:r>
            <a:r>
              <a:rPr lang="sl-SI"/>
              <a:t> in correlation</a:t>
            </a:r>
            <a:r>
              <a:rPr lang="sl-SI" baseline="0"/>
              <a:t> with life expectancy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podatki!$K$1</c:f>
              <c:strCache>
                <c:ptCount val="1"/>
                <c:pt idx="0">
                  <c:v>Generosity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4248687664041996"/>
                  <c:y val="-0.1433949102442500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podatki!$I$2:$I$150</c:f>
              <c:numCache>
                <c:formatCode>General</c:formatCode>
                <c:ptCount val="149"/>
                <c:pt idx="0">
                  <c:v>72</c:v>
                </c:pt>
                <c:pt idx="1">
                  <c:v>72.7</c:v>
                </c:pt>
                <c:pt idx="2">
                  <c:v>74.400000000000006</c:v>
                </c:pt>
                <c:pt idx="3">
                  <c:v>73</c:v>
                </c:pt>
                <c:pt idx="4">
                  <c:v>72.400000000000006</c:v>
                </c:pt>
                <c:pt idx="5">
                  <c:v>73.3</c:v>
                </c:pt>
                <c:pt idx="6">
                  <c:v>72.7</c:v>
                </c:pt>
                <c:pt idx="7">
                  <c:v>72.599999999999994</c:v>
                </c:pt>
                <c:pt idx="8">
                  <c:v>73.400000000000006</c:v>
                </c:pt>
                <c:pt idx="9">
                  <c:v>73.3</c:v>
                </c:pt>
                <c:pt idx="10">
                  <c:v>73.900000000000006</c:v>
                </c:pt>
                <c:pt idx="11">
                  <c:v>73.503</c:v>
                </c:pt>
                <c:pt idx="12">
                  <c:v>72.5</c:v>
                </c:pt>
                <c:pt idx="13">
                  <c:v>73.8</c:v>
                </c:pt>
                <c:pt idx="14">
                  <c:v>72.400000000000006</c:v>
                </c:pt>
                <c:pt idx="15">
                  <c:v>71.400000000000006</c:v>
                </c:pt>
                <c:pt idx="16">
                  <c:v>72.5</c:v>
                </c:pt>
                <c:pt idx="17">
                  <c:v>70.807000000000002</c:v>
                </c:pt>
                <c:pt idx="18">
                  <c:v>68.2</c:v>
                </c:pt>
                <c:pt idx="19">
                  <c:v>72.198999999999998</c:v>
                </c:pt>
                <c:pt idx="20">
                  <c:v>74</c:v>
                </c:pt>
                <c:pt idx="21">
                  <c:v>69.495000000000005</c:v>
                </c:pt>
                <c:pt idx="22">
                  <c:v>72.2</c:v>
                </c:pt>
                <c:pt idx="23">
                  <c:v>69.599999999999994</c:v>
                </c:pt>
                <c:pt idx="24">
                  <c:v>67.332999999999998</c:v>
                </c:pt>
                <c:pt idx="25">
                  <c:v>66.602999999999994</c:v>
                </c:pt>
                <c:pt idx="26">
                  <c:v>74.7</c:v>
                </c:pt>
                <c:pt idx="27">
                  <c:v>73.8</c:v>
                </c:pt>
                <c:pt idx="28">
                  <c:v>71.400000000000006</c:v>
                </c:pt>
                <c:pt idx="29">
                  <c:v>64.957999999999998</c:v>
                </c:pt>
                <c:pt idx="30">
                  <c:v>69.099999999999994</c:v>
                </c:pt>
                <c:pt idx="31">
                  <c:v>76.953000000000003</c:v>
                </c:pt>
                <c:pt idx="32">
                  <c:v>63.813000000000002</c:v>
                </c:pt>
                <c:pt idx="33">
                  <c:v>69.200999999999993</c:v>
                </c:pt>
                <c:pt idx="34">
                  <c:v>66.600999999999999</c:v>
                </c:pt>
                <c:pt idx="35">
                  <c:v>68.596999999999994</c:v>
                </c:pt>
                <c:pt idx="36">
                  <c:v>67.5</c:v>
                </c:pt>
                <c:pt idx="37">
                  <c:v>67.906000000000006</c:v>
                </c:pt>
                <c:pt idx="38">
                  <c:v>73.897999999999996</c:v>
                </c:pt>
                <c:pt idx="39">
                  <c:v>68.8</c:v>
                </c:pt>
                <c:pt idx="40">
                  <c:v>69.652000000000001</c:v>
                </c:pt>
                <c:pt idx="41">
                  <c:v>65.254999999999995</c:v>
                </c:pt>
                <c:pt idx="42">
                  <c:v>70</c:v>
                </c:pt>
                <c:pt idx="43">
                  <c:v>69.701999999999998</c:v>
                </c:pt>
                <c:pt idx="44">
                  <c:v>65.2</c:v>
                </c:pt>
                <c:pt idx="45">
                  <c:v>67.355000000000004</c:v>
                </c:pt>
                <c:pt idx="46">
                  <c:v>66.900000000000006</c:v>
                </c:pt>
                <c:pt idx="47">
                  <c:v>68.599999999999994</c:v>
                </c:pt>
                <c:pt idx="48">
                  <c:v>66.402000000000001</c:v>
                </c:pt>
                <c:pt idx="49">
                  <c:v>66.700999999999993</c:v>
                </c:pt>
                <c:pt idx="50">
                  <c:v>67.099999999999994</c:v>
                </c:pt>
                <c:pt idx="51">
                  <c:v>68.001000000000005</c:v>
                </c:pt>
                <c:pt idx="52">
                  <c:v>68</c:v>
                </c:pt>
                <c:pt idx="53">
                  <c:v>67.400999999999996</c:v>
                </c:pt>
                <c:pt idx="54">
                  <c:v>67.656999999999996</c:v>
                </c:pt>
                <c:pt idx="55">
                  <c:v>75.099999999999994</c:v>
                </c:pt>
                <c:pt idx="56">
                  <c:v>69</c:v>
                </c:pt>
                <c:pt idx="57">
                  <c:v>72.599999999999994</c:v>
                </c:pt>
                <c:pt idx="58">
                  <c:v>67.3</c:v>
                </c:pt>
                <c:pt idx="59">
                  <c:v>70.799000000000007</c:v>
                </c:pt>
                <c:pt idx="60">
                  <c:v>62</c:v>
                </c:pt>
                <c:pt idx="61">
                  <c:v>73.900000000000006</c:v>
                </c:pt>
                <c:pt idx="62">
                  <c:v>68.25</c:v>
                </c:pt>
                <c:pt idx="63">
                  <c:v>68.097999999999999</c:v>
                </c:pt>
                <c:pt idx="64">
                  <c:v>65.698999999999998</c:v>
                </c:pt>
                <c:pt idx="65">
                  <c:v>68.8</c:v>
                </c:pt>
                <c:pt idx="66">
                  <c:v>64.400999999999996</c:v>
                </c:pt>
                <c:pt idx="67">
                  <c:v>72.599999999999994</c:v>
                </c:pt>
                <c:pt idx="68">
                  <c:v>63.901000000000003</c:v>
                </c:pt>
                <c:pt idx="69">
                  <c:v>62.5</c:v>
                </c:pt>
                <c:pt idx="70">
                  <c:v>65.900000000000006</c:v>
                </c:pt>
                <c:pt idx="71">
                  <c:v>68.698999999999998</c:v>
                </c:pt>
                <c:pt idx="72">
                  <c:v>66.102000000000004</c:v>
                </c:pt>
                <c:pt idx="73">
                  <c:v>73.897999999999996</c:v>
                </c:pt>
                <c:pt idx="74">
                  <c:v>66.253</c:v>
                </c:pt>
                <c:pt idx="75">
                  <c:v>64.703000000000003</c:v>
                </c:pt>
                <c:pt idx="76">
                  <c:v>76.819999999999993</c:v>
                </c:pt>
                <c:pt idx="77">
                  <c:v>64.281000000000006</c:v>
                </c:pt>
                <c:pt idx="78">
                  <c:v>68.034000000000006</c:v>
                </c:pt>
                <c:pt idx="79">
                  <c:v>62.3</c:v>
                </c:pt>
                <c:pt idx="80">
                  <c:v>67.102000000000004</c:v>
                </c:pt>
                <c:pt idx="81">
                  <c:v>62.235999999999997</c:v>
                </c:pt>
                <c:pt idx="82">
                  <c:v>58.220999999999997</c:v>
                </c:pt>
                <c:pt idx="83">
                  <c:v>69.593000000000004</c:v>
                </c:pt>
                <c:pt idx="84">
                  <c:v>50.113999999999997</c:v>
                </c:pt>
                <c:pt idx="85">
                  <c:v>67.055000000000007</c:v>
                </c:pt>
                <c:pt idx="86">
                  <c:v>64.233000000000004</c:v>
                </c:pt>
                <c:pt idx="87">
                  <c:v>67</c:v>
                </c:pt>
                <c:pt idx="88">
                  <c:v>70.599999999999994</c:v>
                </c:pt>
                <c:pt idx="89">
                  <c:v>65.656000000000006</c:v>
                </c:pt>
                <c:pt idx="90">
                  <c:v>53.515000000000001</c:v>
                </c:pt>
                <c:pt idx="91">
                  <c:v>59.802</c:v>
                </c:pt>
                <c:pt idx="92">
                  <c:v>68.998999999999995</c:v>
                </c:pt>
                <c:pt idx="93">
                  <c:v>65.474000000000004</c:v>
                </c:pt>
                <c:pt idx="94">
                  <c:v>57.585999999999999</c:v>
                </c:pt>
                <c:pt idx="95">
                  <c:v>53.78</c:v>
                </c:pt>
                <c:pt idx="96">
                  <c:v>62.408999999999999</c:v>
                </c:pt>
                <c:pt idx="97">
                  <c:v>55.16</c:v>
                </c:pt>
                <c:pt idx="98">
                  <c:v>54.713000000000001</c:v>
                </c:pt>
                <c:pt idx="99">
                  <c:v>58.968000000000004</c:v>
                </c:pt>
                <c:pt idx="100">
                  <c:v>64.8</c:v>
                </c:pt>
                <c:pt idx="101">
                  <c:v>55.008000000000003</c:v>
                </c:pt>
                <c:pt idx="102">
                  <c:v>56.904000000000003</c:v>
                </c:pt>
                <c:pt idx="103">
                  <c:v>67.198999999999998</c:v>
                </c:pt>
                <c:pt idx="104">
                  <c:v>58.709000000000003</c:v>
                </c:pt>
                <c:pt idx="105">
                  <c:v>66.207999999999998</c:v>
                </c:pt>
                <c:pt idx="106">
                  <c:v>66.7</c:v>
                </c:pt>
                <c:pt idx="107">
                  <c:v>64.3</c:v>
                </c:pt>
                <c:pt idx="108">
                  <c:v>66.004999999999995</c:v>
                </c:pt>
                <c:pt idx="109">
                  <c:v>64.902000000000001</c:v>
                </c:pt>
                <c:pt idx="110">
                  <c:v>60.582999999999998</c:v>
                </c:pt>
                <c:pt idx="111">
                  <c:v>59.962000000000003</c:v>
                </c:pt>
                <c:pt idx="112">
                  <c:v>54.151000000000003</c:v>
                </c:pt>
                <c:pt idx="113">
                  <c:v>62</c:v>
                </c:pt>
                <c:pt idx="114">
                  <c:v>54.706000000000003</c:v>
                </c:pt>
                <c:pt idx="115">
                  <c:v>50.101999999999997</c:v>
                </c:pt>
                <c:pt idx="116">
                  <c:v>51.969000000000001</c:v>
                </c:pt>
                <c:pt idx="117">
                  <c:v>66.3</c:v>
                </c:pt>
                <c:pt idx="118">
                  <c:v>56.100999999999999</c:v>
                </c:pt>
                <c:pt idx="119">
                  <c:v>56.497999999999998</c:v>
                </c:pt>
                <c:pt idx="120">
                  <c:v>60.704000000000001</c:v>
                </c:pt>
                <c:pt idx="121">
                  <c:v>67.200999999999993</c:v>
                </c:pt>
                <c:pt idx="122">
                  <c:v>67.355000000000004</c:v>
                </c:pt>
                <c:pt idx="123">
                  <c:v>56.798999999999999</c:v>
                </c:pt>
                <c:pt idx="124">
                  <c:v>62.25</c:v>
                </c:pt>
                <c:pt idx="125">
                  <c:v>59.302</c:v>
                </c:pt>
                <c:pt idx="126">
                  <c:v>67</c:v>
                </c:pt>
                <c:pt idx="127">
                  <c:v>48.478000000000002</c:v>
                </c:pt>
                <c:pt idx="128">
                  <c:v>67.299000000000007</c:v>
                </c:pt>
                <c:pt idx="129">
                  <c:v>50.832999999999998</c:v>
                </c:pt>
                <c:pt idx="130">
                  <c:v>57.348999999999997</c:v>
                </c:pt>
                <c:pt idx="131">
                  <c:v>61.997999999999998</c:v>
                </c:pt>
                <c:pt idx="132">
                  <c:v>59</c:v>
                </c:pt>
                <c:pt idx="133">
                  <c:v>57.161000000000001</c:v>
                </c:pt>
                <c:pt idx="134">
                  <c:v>59.305</c:v>
                </c:pt>
                <c:pt idx="135">
                  <c:v>54.914000000000001</c:v>
                </c:pt>
                <c:pt idx="136">
                  <c:v>55.808999999999997</c:v>
                </c:pt>
                <c:pt idx="137">
                  <c:v>51.651000000000003</c:v>
                </c:pt>
                <c:pt idx="138">
                  <c:v>60.633000000000003</c:v>
                </c:pt>
                <c:pt idx="139">
                  <c:v>53.4</c:v>
                </c:pt>
                <c:pt idx="140">
                  <c:v>57.122</c:v>
                </c:pt>
                <c:pt idx="141">
                  <c:v>57.999000000000002</c:v>
                </c:pt>
                <c:pt idx="142">
                  <c:v>55.7</c:v>
                </c:pt>
                <c:pt idx="143">
                  <c:v>57.948</c:v>
                </c:pt>
                <c:pt idx="144">
                  <c:v>48.7</c:v>
                </c:pt>
                <c:pt idx="145">
                  <c:v>59.268999999999998</c:v>
                </c:pt>
                <c:pt idx="146">
                  <c:v>61.4</c:v>
                </c:pt>
                <c:pt idx="147">
                  <c:v>56.201000000000001</c:v>
                </c:pt>
                <c:pt idx="148">
                  <c:v>52.493000000000002</c:v>
                </c:pt>
              </c:numCache>
            </c:numRef>
          </c:xVal>
          <c:yVal>
            <c:numRef>
              <c:f>podatki!$K$2:$K$150</c:f>
              <c:numCache>
                <c:formatCode>General</c:formatCode>
                <c:ptCount val="149"/>
                <c:pt idx="0">
                  <c:v>-9.8000000000000004E-2</c:v>
                </c:pt>
                <c:pt idx="1">
                  <c:v>0.03</c:v>
                </c:pt>
                <c:pt idx="2">
                  <c:v>2.5000000000000001E-2</c:v>
                </c:pt>
                <c:pt idx="3">
                  <c:v>0.16</c:v>
                </c:pt>
                <c:pt idx="4">
                  <c:v>0.17499999999999999</c:v>
                </c:pt>
                <c:pt idx="5">
                  <c:v>9.2999999999999999E-2</c:v>
                </c:pt>
                <c:pt idx="6">
                  <c:v>8.5999999999999993E-2</c:v>
                </c:pt>
                <c:pt idx="7">
                  <c:v>-3.4000000000000002E-2</c:v>
                </c:pt>
                <c:pt idx="8">
                  <c:v>0.13400000000000001</c:v>
                </c:pt>
                <c:pt idx="9">
                  <c:v>4.2000000000000003E-2</c:v>
                </c:pt>
                <c:pt idx="10">
                  <c:v>0.159</c:v>
                </c:pt>
                <c:pt idx="11">
                  <c:v>3.1E-2</c:v>
                </c:pt>
                <c:pt idx="12">
                  <c:v>1.0999999999999999E-2</c:v>
                </c:pt>
                <c:pt idx="13">
                  <c:v>8.8999999999999996E-2</c:v>
                </c:pt>
                <c:pt idx="14">
                  <c:v>7.6999999999999999E-2</c:v>
                </c:pt>
                <c:pt idx="15">
                  <c:v>-0.126</c:v>
                </c:pt>
                <c:pt idx="16">
                  <c:v>0.23300000000000001</c:v>
                </c:pt>
                <c:pt idx="17">
                  <c:v>-0.20799999999999999</c:v>
                </c:pt>
                <c:pt idx="18">
                  <c:v>9.8000000000000004E-2</c:v>
                </c:pt>
                <c:pt idx="19">
                  <c:v>-0.153</c:v>
                </c:pt>
                <c:pt idx="20">
                  <c:v>-0.14699999999999999</c:v>
                </c:pt>
                <c:pt idx="21">
                  <c:v>8.8999999999999996E-2</c:v>
                </c:pt>
                <c:pt idx="22">
                  <c:v>0.13300000000000001</c:v>
                </c:pt>
                <c:pt idx="23">
                  <c:v>-7.0000000000000007E-2</c:v>
                </c:pt>
                <c:pt idx="24">
                  <c:v>7.3999999999999996E-2</c:v>
                </c:pt>
                <c:pt idx="25">
                  <c:v>-0.14899999999999999</c:v>
                </c:pt>
                <c:pt idx="26">
                  <c:v>-8.1000000000000003E-2</c:v>
                </c:pt>
                <c:pt idx="27">
                  <c:v>-8.4000000000000005E-2</c:v>
                </c:pt>
                <c:pt idx="28">
                  <c:v>-0.10100000000000001</c:v>
                </c:pt>
                <c:pt idx="29">
                  <c:v>-3.7999999999999999E-2</c:v>
                </c:pt>
                <c:pt idx="30">
                  <c:v>-9.1999999999999998E-2</c:v>
                </c:pt>
                <c:pt idx="31">
                  <c:v>-1.7999999999999999E-2</c:v>
                </c:pt>
                <c:pt idx="32">
                  <c:v>0.25700000000000001</c:v>
                </c:pt>
                <c:pt idx="33">
                  <c:v>-0.124</c:v>
                </c:pt>
                <c:pt idx="34">
                  <c:v>-7.0999999999999994E-2</c:v>
                </c:pt>
                <c:pt idx="35">
                  <c:v>-0.14699999999999999</c:v>
                </c:pt>
                <c:pt idx="36">
                  <c:v>-0.13700000000000001</c:v>
                </c:pt>
                <c:pt idx="37">
                  <c:v>-0.20300000000000001</c:v>
                </c:pt>
                <c:pt idx="38">
                  <c:v>-1.4999999999999999E-2</c:v>
                </c:pt>
                <c:pt idx="39">
                  <c:v>-0.106</c:v>
                </c:pt>
                <c:pt idx="40">
                  <c:v>-0.16600000000000001</c:v>
                </c:pt>
                <c:pt idx="41">
                  <c:v>0.311</c:v>
                </c:pt>
                <c:pt idx="42">
                  <c:v>-4.3999999999999997E-2</c:v>
                </c:pt>
                <c:pt idx="43">
                  <c:v>-0.16500000000000001</c:v>
                </c:pt>
                <c:pt idx="44">
                  <c:v>-6.9000000000000006E-2</c:v>
                </c:pt>
                <c:pt idx="45">
                  <c:v>-0.219</c:v>
                </c:pt>
                <c:pt idx="46">
                  <c:v>-0.104</c:v>
                </c:pt>
                <c:pt idx="47">
                  <c:v>2E-3</c:v>
                </c:pt>
                <c:pt idx="48">
                  <c:v>-0.11</c:v>
                </c:pt>
                <c:pt idx="49">
                  <c:v>-5.3999999999999999E-2</c:v>
                </c:pt>
                <c:pt idx="50">
                  <c:v>-0.16200000000000001</c:v>
                </c:pt>
                <c:pt idx="51">
                  <c:v>-0.13500000000000001</c:v>
                </c:pt>
                <c:pt idx="52">
                  <c:v>-0.186</c:v>
                </c:pt>
                <c:pt idx="53">
                  <c:v>0.28699999999999998</c:v>
                </c:pt>
                <c:pt idx="54">
                  <c:v>0.02</c:v>
                </c:pt>
                <c:pt idx="55">
                  <c:v>-0.25800000000000001</c:v>
                </c:pt>
                <c:pt idx="56">
                  <c:v>-0.182</c:v>
                </c:pt>
                <c:pt idx="57">
                  <c:v>-0.24399999999999999</c:v>
                </c:pt>
                <c:pt idx="58">
                  <c:v>8.1000000000000003E-2</c:v>
                </c:pt>
                <c:pt idx="59">
                  <c:v>-0.11799999999999999</c:v>
                </c:pt>
                <c:pt idx="60">
                  <c:v>-9.7000000000000003E-2</c:v>
                </c:pt>
                <c:pt idx="61">
                  <c:v>-8.3000000000000004E-2</c:v>
                </c:pt>
                <c:pt idx="62">
                  <c:v>-0.154</c:v>
                </c:pt>
                <c:pt idx="63">
                  <c:v>0.113</c:v>
                </c:pt>
                <c:pt idx="64">
                  <c:v>-7.9000000000000001E-2</c:v>
                </c:pt>
                <c:pt idx="65">
                  <c:v>-0.124</c:v>
                </c:pt>
                <c:pt idx="66">
                  <c:v>0.11899999999999999</c:v>
                </c:pt>
                <c:pt idx="67">
                  <c:v>-0.28799999999999998</c:v>
                </c:pt>
                <c:pt idx="68">
                  <c:v>-7.6999999999999999E-2</c:v>
                </c:pt>
                <c:pt idx="69">
                  <c:v>0.11600000000000001</c:v>
                </c:pt>
                <c:pt idx="70">
                  <c:v>2.8000000000000001E-2</c:v>
                </c:pt>
                <c:pt idx="71">
                  <c:v>-3.4000000000000002E-2</c:v>
                </c:pt>
                <c:pt idx="72">
                  <c:v>-0.13300000000000001</c:v>
                </c:pt>
                <c:pt idx="73">
                  <c:v>1.2E-2</c:v>
                </c:pt>
                <c:pt idx="74">
                  <c:v>-0.18</c:v>
                </c:pt>
                <c:pt idx="75">
                  <c:v>-0.111</c:v>
                </c:pt>
                <c:pt idx="76">
                  <c:v>6.7000000000000004E-2</c:v>
                </c:pt>
                <c:pt idx="77">
                  <c:v>-5.6000000000000001E-2</c:v>
                </c:pt>
                <c:pt idx="78">
                  <c:v>-9.8000000000000004E-2</c:v>
                </c:pt>
                <c:pt idx="79">
                  <c:v>-8.6999999999999994E-2</c:v>
                </c:pt>
                <c:pt idx="80">
                  <c:v>0.125</c:v>
                </c:pt>
                <c:pt idx="81">
                  <c:v>0.54200000000000004</c:v>
                </c:pt>
                <c:pt idx="82">
                  <c:v>-6.8000000000000005E-2</c:v>
                </c:pt>
                <c:pt idx="83">
                  <c:v>-0.14599999999999999</c:v>
                </c:pt>
                <c:pt idx="84">
                  <c:v>-1.6E-2</c:v>
                </c:pt>
                <c:pt idx="85">
                  <c:v>-0.16800000000000001</c:v>
                </c:pt>
                <c:pt idx="86">
                  <c:v>0.152</c:v>
                </c:pt>
                <c:pt idx="87">
                  <c:v>-9.6000000000000002E-2</c:v>
                </c:pt>
                <c:pt idx="88">
                  <c:v>2.4E-2</c:v>
                </c:pt>
                <c:pt idx="89">
                  <c:v>-0.223</c:v>
                </c:pt>
                <c:pt idx="90">
                  <c:v>2.5999999999999999E-2</c:v>
                </c:pt>
                <c:pt idx="91">
                  <c:v>-4.5999999999999999E-2</c:v>
                </c:pt>
                <c:pt idx="92">
                  <c:v>-0.03</c:v>
                </c:pt>
                <c:pt idx="93">
                  <c:v>3.7999999999999999E-2</c:v>
                </c:pt>
                <c:pt idx="94">
                  <c:v>0.123</c:v>
                </c:pt>
                <c:pt idx="95">
                  <c:v>1.7999999999999999E-2</c:v>
                </c:pt>
                <c:pt idx="96">
                  <c:v>0.27300000000000002</c:v>
                </c:pt>
                <c:pt idx="97">
                  <c:v>0.42399999999999999</c:v>
                </c:pt>
                <c:pt idx="98">
                  <c:v>-3.4000000000000002E-2</c:v>
                </c:pt>
                <c:pt idx="99">
                  <c:v>0.123</c:v>
                </c:pt>
                <c:pt idx="100">
                  <c:v>-4.1000000000000002E-2</c:v>
                </c:pt>
                <c:pt idx="101">
                  <c:v>9.5000000000000001E-2</c:v>
                </c:pt>
                <c:pt idx="102">
                  <c:v>-6.7000000000000004E-2</c:v>
                </c:pt>
                <c:pt idx="103">
                  <c:v>-0.13900000000000001</c:v>
                </c:pt>
                <c:pt idx="104">
                  <c:v>9.8000000000000004E-2</c:v>
                </c:pt>
                <c:pt idx="105">
                  <c:v>-0.23599999999999999</c:v>
                </c:pt>
                <c:pt idx="106">
                  <c:v>-0.16900000000000001</c:v>
                </c:pt>
                <c:pt idx="107">
                  <c:v>-0.23799999999999999</c:v>
                </c:pt>
                <c:pt idx="108">
                  <c:v>-6.7000000000000004E-2</c:v>
                </c:pt>
                <c:pt idx="109">
                  <c:v>-1.0999999999999999E-2</c:v>
                </c:pt>
                <c:pt idx="110">
                  <c:v>-5.2999999999999999E-2</c:v>
                </c:pt>
                <c:pt idx="111">
                  <c:v>-0.2</c:v>
                </c:pt>
                <c:pt idx="112">
                  <c:v>-8.9999999999999993E-3</c:v>
                </c:pt>
                <c:pt idx="113">
                  <c:v>3.4000000000000002E-2</c:v>
                </c:pt>
                <c:pt idx="114">
                  <c:v>6.0999999999999999E-2</c:v>
                </c:pt>
                <c:pt idx="115">
                  <c:v>3.6999999999999998E-2</c:v>
                </c:pt>
                <c:pt idx="116">
                  <c:v>-3.5999999999999997E-2</c:v>
                </c:pt>
                <c:pt idx="117">
                  <c:v>0.218</c:v>
                </c:pt>
                <c:pt idx="118">
                  <c:v>0.122</c:v>
                </c:pt>
                <c:pt idx="119">
                  <c:v>0.05</c:v>
                </c:pt>
                <c:pt idx="120">
                  <c:v>0.28699999999999998</c:v>
                </c:pt>
                <c:pt idx="121">
                  <c:v>-0.20100000000000001</c:v>
                </c:pt>
                <c:pt idx="122">
                  <c:v>-7.2999999999999995E-2</c:v>
                </c:pt>
                <c:pt idx="123">
                  <c:v>-0.14899999999999999</c:v>
                </c:pt>
                <c:pt idx="124">
                  <c:v>-0.16300000000000001</c:v>
                </c:pt>
                <c:pt idx="125">
                  <c:v>0.50900000000000001</c:v>
                </c:pt>
                <c:pt idx="126">
                  <c:v>-0.16700000000000001</c:v>
                </c:pt>
                <c:pt idx="127">
                  <c:v>4.1000000000000002E-2</c:v>
                </c:pt>
                <c:pt idx="128">
                  <c:v>7.9000000000000001E-2</c:v>
                </c:pt>
                <c:pt idx="129">
                  <c:v>-0.185</c:v>
                </c:pt>
                <c:pt idx="130">
                  <c:v>8.2000000000000003E-2</c:v>
                </c:pt>
                <c:pt idx="131">
                  <c:v>-0.182</c:v>
                </c:pt>
                <c:pt idx="132">
                  <c:v>8.2000000000000003E-2</c:v>
                </c:pt>
                <c:pt idx="133">
                  <c:v>-0.106</c:v>
                </c:pt>
                <c:pt idx="134">
                  <c:v>-5.0000000000000001E-3</c:v>
                </c:pt>
                <c:pt idx="135">
                  <c:v>3.2000000000000001E-2</c:v>
                </c:pt>
                <c:pt idx="136">
                  <c:v>6.0999999999999999E-2</c:v>
                </c:pt>
                <c:pt idx="137">
                  <c:v>8.4000000000000005E-2</c:v>
                </c:pt>
                <c:pt idx="138">
                  <c:v>8.8999999999999996E-2</c:v>
                </c:pt>
                <c:pt idx="139">
                  <c:v>-2.4E-2</c:v>
                </c:pt>
                <c:pt idx="140">
                  <c:v>-0.14699999999999999</c:v>
                </c:pt>
                <c:pt idx="141">
                  <c:v>0.183</c:v>
                </c:pt>
                <c:pt idx="142">
                  <c:v>0.42199999999999999</c:v>
                </c:pt>
                <c:pt idx="143">
                  <c:v>3.7999999999999999E-2</c:v>
                </c:pt>
                <c:pt idx="144">
                  <c:v>-0.13100000000000001</c:v>
                </c:pt>
                <c:pt idx="145">
                  <c:v>-0.246</c:v>
                </c:pt>
                <c:pt idx="146">
                  <c:v>6.0999999999999999E-2</c:v>
                </c:pt>
                <c:pt idx="147">
                  <c:v>-4.7E-2</c:v>
                </c:pt>
                <c:pt idx="148">
                  <c:v>-0.10199999999999999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CD0-440A-8174-D7075341B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0588576"/>
        <c:axId val="1380589056"/>
      </c:scatterChart>
      <c:valAx>
        <c:axId val="1380588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l-SI"/>
                  <a:t>Life expectancy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0589056"/>
        <c:crosses val="autoZero"/>
        <c:crossBetween val="midCat"/>
      </c:valAx>
      <c:valAx>
        <c:axId val="1380589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l-SI"/>
                  <a:t>Generosity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0588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Generosity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7573784764052595"/>
                  <c:y val="-0.1792333015430128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Sheet1!$A$2:$A$150</c:f>
              <c:numCache>
                <c:formatCode>#,##0</c:formatCode>
                <c:ptCount val="149"/>
                <c:pt idx="0">
                  <c:v>48478</c:v>
                </c:pt>
                <c:pt idx="1">
                  <c:v>48700</c:v>
                </c:pt>
                <c:pt idx="2">
                  <c:v>50102</c:v>
                </c:pt>
                <c:pt idx="3">
                  <c:v>50114</c:v>
                </c:pt>
                <c:pt idx="4">
                  <c:v>50833</c:v>
                </c:pt>
                <c:pt idx="5">
                  <c:v>51651</c:v>
                </c:pt>
                <c:pt idx="6">
                  <c:v>51969</c:v>
                </c:pt>
                <c:pt idx="7">
                  <c:v>52493</c:v>
                </c:pt>
                <c:pt idx="8">
                  <c:v>53400</c:v>
                </c:pt>
                <c:pt idx="9">
                  <c:v>53515</c:v>
                </c:pt>
                <c:pt idx="10">
                  <c:v>53780</c:v>
                </c:pt>
                <c:pt idx="11">
                  <c:v>54151</c:v>
                </c:pt>
                <c:pt idx="12">
                  <c:v>54706</c:v>
                </c:pt>
                <c:pt idx="13">
                  <c:v>54713</c:v>
                </c:pt>
                <c:pt idx="14">
                  <c:v>54914</c:v>
                </c:pt>
                <c:pt idx="15">
                  <c:v>55008</c:v>
                </c:pt>
                <c:pt idx="16">
                  <c:v>55160</c:v>
                </c:pt>
                <c:pt idx="17">
                  <c:v>55700</c:v>
                </c:pt>
                <c:pt idx="18">
                  <c:v>55809</c:v>
                </c:pt>
                <c:pt idx="19">
                  <c:v>56101</c:v>
                </c:pt>
                <c:pt idx="20">
                  <c:v>56201</c:v>
                </c:pt>
                <c:pt idx="21">
                  <c:v>56498</c:v>
                </c:pt>
                <c:pt idx="22">
                  <c:v>56799</c:v>
                </c:pt>
                <c:pt idx="23">
                  <c:v>56904</c:v>
                </c:pt>
                <c:pt idx="24">
                  <c:v>57122</c:v>
                </c:pt>
                <c:pt idx="25">
                  <c:v>57161</c:v>
                </c:pt>
                <c:pt idx="26">
                  <c:v>57349</c:v>
                </c:pt>
                <c:pt idx="27">
                  <c:v>57586</c:v>
                </c:pt>
                <c:pt idx="28">
                  <c:v>57948</c:v>
                </c:pt>
                <c:pt idx="29">
                  <c:v>57999</c:v>
                </c:pt>
                <c:pt idx="30">
                  <c:v>58221</c:v>
                </c:pt>
                <c:pt idx="31">
                  <c:v>58709</c:v>
                </c:pt>
                <c:pt idx="32">
                  <c:v>58968</c:v>
                </c:pt>
                <c:pt idx="33">
                  <c:v>59000</c:v>
                </c:pt>
                <c:pt idx="34">
                  <c:v>59269</c:v>
                </c:pt>
                <c:pt idx="35">
                  <c:v>59302</c:v>
                </c:pt>
                <c:pt idx="36">
                  <c:v>59305</c:v>
                </c:pt>
                <c:pt idx="37">
                  <c:v>59802</c:v>
                </c:pt>
                <c:pt idx="38">
                  <c:v>59962</c:v>
                </c:pt>
                <c:pt idx="39">
                  <c:v>60583</c:v>
                </c:pt>
                <c:pt idx="40">
                  <c:v>60633</c:v>
                </c:pt>
                <c:pt idx="41">
                  <c:v>60704</c:v>
                </c:pt>
                <c:pt idx="42">
                  <c:v>61400</c:v>
                </c:pt>
                <c:pt idx="43">
                  <c:v>61998</c:v>
                </c:pt>
                <c:pt idx="44">
                  <c:v>62000</c:v>
                </c:pt>
                <c:pt idx="45">
                  <c:v>62000</c:v>
                </c:pt>
                <c:pt idx="46">
                  <c:v>62236</c:v>
                </c:pt>
                <c:pt idx="47">
                  <c:v>62250</c:v>
                </c:pt>
                <c:pt idx="48">
                  <c:v>62300</c:v>
                </c:pt>
                <c:pt idx="49">
                  <c:v>62409</c:v>
                </c:pt>
                <c:pt idx="50">
                  <c:v>62500</c:v>
                </c:pt>
                <c:pt idx="51">
                  <c:v>63813</c:v>
                </c:pt>
                <c:pt idx="52">
                  <c:v>63901</c:v>
                </c:pt>
                <c:pt idx="53">
                  <c:v>64233</c:v>
                </c:pt>
                <c:pt idx="54">
                  <c:v>64281</c:v>
                </c:pt>
                <c:pt idx="55">
                  <c:v>64300</c:v>
                </c:pt>
                <c:pt idx="56">
                  <c:v>64401</c:v>
                </c:pt>
                <c:pt idx="57">
                  <c:v>64703</c:v>
                </c:pt>
                <c:pt idx="58">
                  <c:v>64800</c:v>
                </c:pt>
                <c:pt idx="59">
                  <c:v>64902</c:v>
                </c:pt>
                <c:pt idx="60">
                  <c:v>64958</c:v>
                </c:pt>
                <c:pt idx="61">
                  <c:v>65200</c:v>
                </c:pt>
                <c:pt idx="62">
                  <c:v>65255</c:v>
                </c:pt>
                <c:pt idx="63">
                  <c:v>65474</c:v>
                </c:pt>
                <c:pt idx="64">
                  <c:v>65656</c:v>
                </c:pt>
                <c:pt idx="65">
                  <c:v>65699</c:v>
                </c:pt>
                <c:pt idx="66">
                  <c:v>65900</c:v>
                </c:pt>
                <c:pt idx="67">
                  <c:v>66005</c:v>
                </c:pt>
                <c:pt idx="68">
                  <c:v>66102</c:v>
                </c:pt>
                <c:pt idx="69">
                  <c:v>66208</c:v>
                </c:pt>
                <c:pt idx="70">
                  <c:v>66253</c:v>
                </c:pt>
                <c:pt idx="71">
                  <c:v>66300</c:v>
                </c:pt>
                <c:pt idx="72">
                  <c:v>66402</c:v>
                </c:pt>
                <c:pt idx="73">
                  <c:v>66601</c:v>
                </c:pt>
                <c:pt idx="74">
                  <c:v>66603</c:v>
                </c:pt>
                <c:pt idx="75">
                  <c:v>66700</c:v>
                </c:pt>
                <c:pt idx="76">
                  <c:v>66701</c:v>
                </c:pt>
                <c:pt idx="77">
                  <c:v>66900</c:v>
                </c:pt>
                <c:pt idx="78">
                  <c:v>67000</c:v>
                </c:pt>
                <c:pt idx="79">
                  <c:v>67000</c:v>
                </c:pt>
                <c:pt idx="80">
                  <c:v>67055</c:v>
                </c:pt>
                <c:pt idx="81">
                  <c:v>67100</c:v>
                </c:pt>
                <c:pt idx="82">
                  <c:v>67102</c:v>
                </c:pt>
                <c:pt idx="83">
                  <c:v>67199</c:v>
                </c:pt>
                <c:pt idx="84">
                  <c:v>67201</c:v>
                </c:pt>
                <c:pt idx="85">
                  <c:v>67299</c:v>
                </c:pt>
                <c:pt idx="86">
                  <c:v>67300</c:v>
                </c:pt>
                <c:pt idx="87">
                  <c:v>67333</c:v>
                </c:pt>
                <c:pt idx="88">
                  <c:v>67355</c:v>
                </c:pt>
                <c:pt idx="89">
                  <c:v>67355</c:v>
                </c:pt>
                <c:pt idx="90">
                  <c:v>67401</c:v>
                </c:pt>
                <c:pt idx="91">
                  <c:v>67500</c:v>
                </c:pt>
                <c:pt idx="92">
                  <c:v>67657</c:v>
                </c:pt>
                <c:pt idx="93">
                  <c:v>67906</c:v>
                </c:pt>
                <c:pt idx="94">
                  <c:v>68000</c:v>
                </c:pt>
                <c:pt idx="95">
                  <c:v>68001</c:v>
                </c:pt>
                <c:pt idx="96">
                  <c:v>68034</c:v>
                </c:pt>
                <c:pt idx="97">
                  <c:v>68098</c:v>
                </c:pt>
                <c:pt idx="98">
                  <c:v>68200</c:v>
                </c:pt>
                <c:pt idx="99">
                  <c:v>68250</c:v>
                </c:pt>
                <c:pt idx="100">
                  <c:v>68597</c:v>
                </c:pt>
                <c:pt idx="101">
                  <c:v>68600</c:v>
                </c:pt>
                <c:pt idx="102">
                  <c:v>68699</c:v>
                </c:pt>
                <c:pt idx="103">
                  <c:v>68800</c:v>
                </c:pt>
                <c:pt idx="104">
                  <c:v>68800</c:v>
                </c:pt>
                <c:pt idx="105">
                  <c:v>68999</c:v>
                </c:pt>
                <c:pt idx="106">
                  <c:v>69000</c:v>
                </c:pt>
                <c:pt idx="107">
                  <c:v>69100</c:v>
                </c:pt>
                <c:pt idx="108">
                  <c:v>69201</c:v>
                </c:pt>
                <c:pt idx="109">
                  <c:v>69495</c:v>
                </c:pt>
                <c:pt idx="110">
                  <c:v>69593</c:v>
                </c:pt>
                <c:pt idx="111">
                  <c:v>69600</c:v>
                </c:pt>
                <c:pt idx="112">
                  <c:v>69652</c:v>
                </c:pt>
                <c:pt idx="113">
                  <c:v>69702</c:v>
                </c:pt>
                <c:pt idx="114">
                  <c:v>70000</c:v>
                </c:pt>
                <c:pt idx="115">
                  <c:v>70600</c:v>
                </c:pt>
                <c:pt idx="116">
                  <c:v>70799</c:v>
                </c:pt>
                <c:pt idx="117">
                  <c:v>70807</c:v>
                </c:pt>
                <c:pt idx="118">
                  <c:v>71400</c:v>
                </c:pt>
                <c:pt idx="119">
                  <c:v>71400</c:v>
                </c:pt>
                <c:pt idx="120">
                  <c:v>72000</c:v>
                </c:pt>
                <c:pt idx="121">
                  <c:v>72199</c:v>
                </c:pt>
                <c:pt idx="122">
                  <c:v>72200</c:v>
                </c:pt>
                <c:pt idx="123">
                  <c:v>72400</c:v>
                </c:pt>
                <c:pt idx="124">
                  <c:v>72400</c:v>
                </c:pt>
                <c:pt idx="125">
                  <c:v>72500</c:v>
                </c:pt>
                <c:pt idx="126">
                  <c:v>72500</c:v>
                </c:pt>
                <c:pt idx="127">
                  <c:v>72600</c:v>
                </c:pt>
                <c:pt idx="128">
                  <c:v>72600</c:v>
                </c:pt>
                <c:pt idx="129">
                  <c:v>72600</c:v>
                </c:pt>
                <c:pt idx="130">
                  <c:v>72700</c:v>
                </c:pt>
                <c:pt idx="131">
                  <c:v>72700</c:v>
                </c:pt>
                <c:pt idx="132">
                  <c:v>73000</c:v>
                </c:pt>
                <c:pt idx="133">
                  <c:v>73300</c:v>
                </c:pt>
                <c:pt idx="134">
                  <c:v>73300</c:v>
                </c:pt>
                <c:pt idx="135">
                  <c:v>73400</c:v>
                </c:pt>
                <c:pt idx="136">
                  <c:v>73503</c:v>
                </c:pt>
                <c:pt idx="137">
                  <c:v>73800</c:v>
                </c:pt>
                <c:pt idx="138">
                  <c:v>73800</c:v>
                </c:pt>
                <c:pt idx="139">
                  <c:v>73898</c:v>
                </c:pt>
                <c:pt idx="140">
                  <c:v>73898</c:v>
                </c:pt>
                <c:pt idx="141">
                  <c:v>73900</c:v>
                </c:pt>
                <c:pt idx="142">
                  <c:v>73900</c:v>
                </c:pt>
                <c:pt idx="143">
                  <c:v>74000</c:v>
                </c:pt>
                <c:pt idx="144">
                  <c:v>74400</c:v>
                </c:pt>
                <c:pt idx="145">
                  <c:v>74700</c:v>
                </c:pt>
                <c:pt idx="146">
                  <c:v>75100</c:v>
                </c:pt>
                <c:pt idx="147">
                  <c:v>76820</c:v>
                </c:pt>
                <c:pt idx="148">
                  <c:v>76953</c:v>
                </c:pt>
              </c:numCache>
            </c:numRef>
          </c:xVal>
          <c:yVal>
            <c:numRef>
              <c:f>Sheet1!$B$2:$B$150</c:f>
              <c:numCache>
                <c:formatCode>General</c:formatCode>
                <c:ptCount val="149"/>
                <c:pt idx="0">
                  <c:v>4.1000000000000002E-2</c:v>
                </c:pt>
                <c:pt idx="1">
                  <c:v>-0.13100000000000001</c:v>
                </c:pt>
                <c:pt idx="2">
                  <c:v>3.6999999999999998E-2</c:v>
                </c:pt>
                <c:pt idx="3">
                  <c:v>-1.6E-2</c:v>
                </c:pt>
                <c:pt idx="4">
                  <c:v>-0.185</c:v>
                </c:pt>
                <c:pt idx="5">
                  <c:v>8.4000000000000005E-2</c:v>
                </c:pt>
                <c:pt idx="6">
                  <c:v>-3.5999999999999997E-2</c:v>
                </c:pt>
                <c:pt idx="7">
                  <c:v>-0.10199999999999999</c:v>
                </c:pt>
                <c:pt idx="8">
                  <c:v>-2.4E-2</c:v>
                </c:pt>
                <c:pt idx="9">
                  <c:v>2.5999999999999999E-2</c:v>
                </c:pt>
                <c:pt idx="10">
                  <c:v>1.7999999999999999E-2</c:v>
                </c:pt>
                <c:pt idx="11">
                  <c:v>-8.9999999999999993E-3</c:v>
                </c:pt>
                <c:pt idx="12">
                  <c:v>6.0999999999999999E-2</c:v>
                </c:pt>
                <c:pt idx="13">
                  <c:v>-3.4000000000000002E-2</c:v>
                </c:pt>
                <c:pt idx="14">
                  <c:v>3.2000000000000001E-2</c:v>
                </c:pt>
                <c:pt idx="15">
                  <c:v>9.5000000000000001E-2</c:v>
                </c:pt>
                <c:pt idx="16">
                  <c:v>0.42399999999999999</c:v>
                </c:pt>
                <c:pt idx="17">
                  <c:v>0.42199999999999999</c:v>
                </c:pt>
                <c:pt idx="18">
                  <c:v>6.0999999999999999E-2</c:v>
                </c:pt>
                <c:pt idx="19">
                  <c:v>0.122</c:v>
                </c:pt>
                <c:pt idx="20">
                  <c:v>-4.7E-2</c:v>
                </c:pt>
                <c:pt idx="21">
                  <c:v>0.05</c:v>
                </c:pt>
                <c:pt idx="22">
                  <c:v>-0.14899999999999999</c:v>
                </c:pt>
                <c:pt idx="23">
                  <c:v>-6.7000000000000004E-2</c:v>
                </c:pt>
                <c:pt idx="24">
                  <c:v>-0.14699999999999999</c:v>
                </c:pt>
                <c:pt idx="25">
                  <c:v>-0.106</c:v>
                </c:pt>
                <c:pt idx="26">
                  <c:v>8.2000000000000003E-2</c:v>
                </c:pt>
                <c:pt idx="27">
                  <c:v>0.123</c:v>
                </c:pt>
                <c:pt idx="28">
                  <c:v>3.7999999999999999E-2</c:v>
                </c:pt>
                <c:pt idx="29">
                  <c:v>0.183</c:v>
                </c:pt>
                <c:pt idx="30">
                  <c:v>-6.8000000000000005E-2</c:v>
                </c:pt>
                <c:pt idx="31">
                  <c:v>9.8000000000000004E-2</c:v>
                </c:pt>
                <c:pt idx="32">
                  <c:v>0.123</c:v>
                </c:pt>
                <c:pt idx="33">
                  <c:v>8.2000000000000003E-2</c:v>
                </c:pt>
                <c:pt idx="34">
                  <c:v>-0.246</c:v>
                </c:pt>
                <c:pt idx="35">
                  <c:v>0.50900000000000001</c:v>
                </c:pt>
                <c:pt idx="36">
                  <c:v>-5.0000000000000001E-3</c:v>
                </c:pt>
                <c:pt idx="37">
                  <c:v>-4.5999999999999999E-2</c:v>
                </c:pt>
                <c:pt idx="38">
                  <c:v>-0.2</c:v>
                </c:pt>
                <c:pt idx="39">
                  <c:v>-5.2999999999999999E-2</c:v>
                </c:pt>
                <c:pt idx="40">
                  <c:v>8.8999999999999996E-2</c:v>
                </c:pt>
                <c:pt idx="41">
                  <c:v>0.28699999999999998</c:v>
                </c:pt>
                <c:pt idx="42">
                  <c:v>6.0999999999999999E-2</c:v>
                </c:pt>
                <c:pt idx="43">
                  <c:v>-0.182</c:v>
                </c:pt>
                <c:pt idx="44">
                  <c:v>-9.7000000000000003E-2</c:v>
                </c:pt>
                <c:pt idx="45">
                  <c:v>3.4000000000000002E-2</c:v>
                </c:pt>
                <c:pt idx="46">
                  <c:v>0.54200000000000004</c:v>
                </c:pt>
                <c:pt idx="47">
                  <c:v>-0.16300000000000001</c:v>
                </c:pt>
                <c:pt idx="48">
                  <c:v>-8.6999999999999994E-2</c:v>
                </c:pt>
                <c:pt idx="49">
                  <c:v>0.27300000000000002</c:v>
                </c:pt>
                <c:pt idx="50">
                  <c:v>0.11600000000000001</c:v>
                </c:pt>
                <c:pt idx="51">
                  <c:v>0.25700000000000001</c:v>
                </c:pt>
                <c:pt idx="52">
                  <c:v>-7.6999999999999999E-2</c:v>
                </c:pt>
                <c:pt idx="53">
                  <c:v>0.152</c:v>
                </c:pt>
                <c:pt idx="54">
                  <c:v>-5.6000000000000001E-2</c:v>
                </c:pt>
                <c:pt idx="55">
                  <c:v>-0.23799999999999999</c:v>
                </c:pt>
                <c:pt idx="56">
                  <c:v>0.11899999999999999</c:v>
                </c:pt>
                <c:pt idx="57">
                  <c:v>-0.111</c:v>
                </c:pt>
                <c:pt idx="58">
                  <c:v>-4.1000000000000002E-2</c:v>
                </c:pt>
                <c:pt idx="59">
                  <c:v>-1.0999999999999999E-2</c:v>
                </c:pt>
                <c:pt idx="60">
                  <c:v>-3.7999999999999999E-2</c:v>
                </c:pt>
                <c:pt idx="61">
                  <c:v>-6.9000000000000006E-2</c:v>
                </c:pt>
                <c:pt idx="62">
                  <c:v>0.311</c:v>
                </c:pt>
                <c:pt idx="63">
                  <c:v>3.7999999999999999E-2</c:v>
                </c:pt>
                <c:pt idx="64">
                  <c:v>-0.223</c:v>
                </c:pt>
                <c:pt idx="65">
                  <c:v>-7.9000000000000001E-2</c:v>
                </c:pt>
                <c:pt idx="66">
                  <c:v>2.8000000000000001E-2</c:v>
                </c:pt>
                <c:pt idx="67">
                  <c:v>-6.7000000000000004E-2</c:v>
                </c:pt>
                <c:pt idx="68">
                  <c:v>-0.13300000000000001</c:v>
                </c:pt>
                <c:pt idx="69">
                  <c:v>-0.23599999999999999</c:v>
                </c:pt>
                <c:pt idx="70">
                  <c:v>-0.18</c:v>
                </c:pt>
                <c:pt idx="71">
                  <c:v>0.218</c:v>
                </c:pt>
                <c:pt idx="72">
                  <c:v>-0.11</c:v>
                </c:pt>
                <c:pt idx="73">
                  <c:v>-7.0999999999999994E-2</c:v>
                </c:pt>
                <c:pt idx="74">
                  <c:v>-0.14899999999999999</c:v>
                </c:pt>
                <c:pt idx="75">
                  <c:v>-0.16900000000000001</c:v>
                </c:pt>
                <c:pt idx="76">
                  <c:v>-5.3999999999999999E-2</c:v>
                </c:pt>
                <c:pt idx="77">
                  <c:v>-0.104</c:v>
                </c:pt>
                <c:pt idx="78">
                  <c:v>-9.6000000000000002E-2</c:v>
                </c:pt>
                <c:pt idx="79">
                  <c:v>-0.16700000000000001</c:v>
                </c:pt>
                <c:pt idx="80">
                  <c:v>-0.16800000000000001</c:v>
                </c:pt>
                <c:pt idx="81">
                  <c:v>-0.16200000000000001</c:v>
                </c:pt>
                <c:pt idx="82">
                  <c:v>0.125</c:v>
                </c:pt>
                <c:pt idx="83">
                  <c:v>-0.13900000000000001</c:v>
                </c:pt>
                <c:pt idx="84">
                  <c:v>-0.20100000000000001</c:v>
                </c:pt>
                <c:pt idx="85">
                  <c:v>7.9000000000000001E-2</c:v>
                </c:pt>
                <c:pt idx="86">
                  <c:v>8.1000000000000003E-2</c:v>
                </c:pt>
                <c:pt idx="87">
                  <c:v>7.3999999999999996E-2</c:v>
                </c:pt>
                <c:pt idx="88">
                  <c:v>-0.219</c:v>
                </c:pt>
                <c:pt idx="89">
                  <c:v>-7.2999999999999995E-2</c:v>
                </c:pt>
                <c:pt idx="90">
                  <c:v>0.28699999999999998</c:v>
                </c:pt>
                <c:pt idx="91">
                  <c:v>-0.13700000000000001</c:v>
                </c:pt>
                <c:pt idx="92">
                  <c:v>0.02</c:v>
                </c:pt>
                <c:pt idx="93">
                  <c:v>-0.20300000000000001</c:v>
                </c:pt>
                <c:pt idx="94">
                  <c:v>-0.186</c:v>
                </c:pt>
                <c:pt idx="95">
                  <c:v>-0.13500000000000001</c:v>
                </c:pt>
                <c:pt idx="96">
                  <c:v>-9.8000000000000004E-2</c:v>
                </c:pt>
                <c:pt idx="97">
                  <c:v>0.113</c:v>
                </c:pt>
                <c:pt idx="98">
                  <c:v>9.8000000000000004E-2</c:v>
                </c:pt>
                <c:pt idx="99">
                  <c:v>-0.154</c:v>
                </c:pt>
                <c:pt idx="100">
                  <c:v>-0.14699999999999999</c:v>
                </c:pt>
                <c:pt idx="101">
                  <c:v>2E-3</c:v>
                </c:pt>
                <c:pt idx="102">
                  <c:v>-3.4000000000000002E-2</c:v>
                </c:pt>
                <c:pt idx="103">
                  <c:v>-0.106</c:v>
                </c:pt>
                <c:pt idx="104">
                  <c:v>-0.124</c:v>
                </c:pt>
                <c:pt idx="105">
                  <c:v>-0.03</c:v>
                </c:pt>
                <c:pt idx="106">
                  <c:v>-0.182</c:v>
                </c:pt>
                <c:pt idx="107">
                  <c:v>-9.1999999999999998E-2</c:v>
                </c:pt>
                <c:pt idx="108">
                  <c:v>-0.124</c:v>
                </c:pt>
                <c:pt idx="109">
                  <c:v>8.8999999999999996E-2</c:v>
                </c:pt>
                <c:pt idx="110">
                  <c:v>-0.14599999999999999</c:v>
                </c:pt>
                <c:pt idx="111">
                  <c:v>-7.0000000000000007E-2</c:v>
                </c:pt>
                <c:pt idx="112">
                  <c:v>-0.16600000000000001</c:v>
                </c:pt>
                <c:pt idx="113">
                  <c:v>-0.16500000000000001</c:v>
                </c:pt>
                <c:pt idx="114">
                  <c:v>-4.3999999999999997E-2</c:v>
                </c:pt>
                <c:pt idx="115">
                  <c:v>2.4E-2</c:v>
                </c:pt>
                <c:pt idx="116">
                  <c:v>-0.11799999999999999</c:v>
                </c:pt>
                <c:pt idx="117">
                  <c:v>-0.20799999999999999</c:v>
                </c:pt>
                <c:pt idx="118">
                  <c:v>-0.126</c:v>
                </c:pt>
                <c:pt idx="119">
                  <c:v>-0.10100000000000001</c:v>
                </c:pt>
                <c:pt idx="120">
                  <c:v>-9.8000000000000004E-2</c:v>
                </c:pt>
                <c:pt idx="121">
                  <c:v>-0.153</c:v>
                </c:pt>
                <c:pt idx="122">
                  <c:v>0.13300000000000001</c:v>
                </c:pt>
                <c:pt idx="123">
                  <c:v>0.17499999999999999</c:v>
                </c:pt>
                <c:pt idx="124">
                  <c:v>7.6999999999999999E-2</c:v>
                </c:pt>
                <c:pt idx="125">
                  <c:v>1.0999999999999999E-2</c:v>
                </c:pt>
                <c:pt idx="126">
                  <c:v>0.23300000000000001</c:v>
                </c:pt>
                <c:pt idx="127">
                  <c:v>-3.4000000000000002E-2</c:v>
                </c:pt>
                <c:pt idx="128">
                  <c:v>-0.24399999999999999</c:v>
                </c:pt>
                <c:pt idx="129">
                  <c:v>-0.28799999999999998</c:v>
                </c:pt>
                <c:pt idx="130">
                  <c:v>0.03</c:v>
                </c:pt>
                <c:pt idx="131">
                  <c:v>8.5999999999999993E-2</c:v>
                </c:pt>
                <c:pt idx="132">
                  <c:v>0.16</c:v>
                </c:pt>
                <c:pt idx="133">
                  <c:v>9.2999999999999999E-2</c:v>
                </c:pt>
                <c:pt idx="134">
                  <c:v>4.2000000000000003E-2</c:v>
                </c:pt>
                <c:pt idx="135">
                  <c:v>0.13400000000000001</c:v>
                </c:pt>
                <c:pt idx="136">
                  <c:v>3.1E-2</c:v>
                </c:pt>
                <c:pt idx="137">
                  <c:v>8.8999999999999996E-2</c:v>
                </c:pt>
                <c:pt idx="138">
                  <c:v>-8.4000000000000005E-2</c:v>
                </c:pt>
                <c:pt idx="139">
                  <c:v>-1.4999999999999999E-2</c:v>
                </c:pt>
                <c:pt idx="140">
                  <c:v>1.2E-2</c:v>
                </c:pt>
                <c:pt idx="141">
                  <c:v>0.159</c:v>
                </c:pt>
                <c:pt idx="142">
                  <c:v>-8.3000000000000004E-2</c:v>
                </c:pt>
                <c:pt idx="143">
                  <c:v>-0.14699999999999999</c:v>
                </c:pt>
                <c:pt idx="144">
                  <c:v>2.5000000000000001E-2</c:v>
                </c:pt>
                <c:pt idx="145">
                  <c:v>-8.1000000000000003E-2</c:v>
                </c:pt>
                <c:pt idx="146">
                  <c:v>-0.25800000000000001</c:v>
                </c:pt>
                <c:pt idx="147">
                  <c:v>6.7000000000000004E-2</c:v>
                </c:pt>
                <c:pt idx="148">
                  <c:v>-1.7999999999999999E-2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B1-4576-B453-F98F732E34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263744"/>
        <c:axId val="127269024"/>
      </c:scatterChart>
      <c:valAx>
        <c:axId val="127263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269024"/>
        <c:crosses val="autoZero"/>
        <c:crossBetween val="midCat"/>
      </c:valAx>
      <c:valAx>
        <c:axId val="127269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263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l-SI"/>
              <a:t>Average of normalized corruption and GDP per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Sheet2!$I$80</c:f>
              <c:strCache>
                <c:ptCount val="1"/>
                <c:pt idx="0">
                  <c:v>Average of Normalized corruption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 w="25400">
              <a:noFill/>
            </a:ln>
            <a:effectLst/>
          </c:spPr>
          <c:invertIfNegative val="0"/>
          <c:cat>
            <c:strRef>
              <c:f>Sheet2!$H$81:$H$90</c:f>
              <c:strCache>
                <c:ptCount val="10"/>
                <c:pt idx="0">
                  <c:v>Central and Eastern Europe</c:v>
                </c:pt>
                <c:pt idx="1">
                  <c:v>Commonwealth of Independent States</c:v>
                </c:pt>
                <c:pt idx="2">
                  <c:v>East Asia</c:v>
                </c:pt>
                <c:pt idx="3">
                  <c:v>Latin America and Caribbean</c:v>
                </c:pt>
                <c:pt idx="4">
                  <c:v>Middle East and North Africa</c:v>
                </c:pt>
                <c:pt idx="5">
                  <c:v>North America and ANZ</c:v>
                </c:pt>
                <c:pt idx="6">
                  <c:v>South Asia</c:v>
                </c:pt>
                <c:pt idx="7">
                  <c:v>Southeast Asia</c:v>
                </c:pt>
                <c:pt idx="8">
                  <c:v>Sub-Saharan Africa</c:v>
                </c:pt>
                <c:pt idx="9">
                  <c:v>Western Europe</c:v>
                </c:pt>
              </c:strCache>
            </c:strRef>
          </c:cat>
          <c:val>
            <c:numRef>
              <c:f>Sheet2!$I$81:$I$90</c:f>
              <c:numCache>
                <c:formatCode>0.00</c:formatCode>
                <c:ptCount val="10"/>
                <c:pt idx="0">
                  <c:v>0.89676710824353101</c:v>
                </c:pt>
                <c:pt idx="1">
                  <c:v>0.75038895371450798</c:v>
                </c:pt>
                <c:pt idx="2">
                  <c:v>0.70167250097238432</c:v>
                </c:pt>
                <c:pt idx="3">
                  <c:v>0.82917152858809806</c:v>
                </c:pt>
                <c:pt idx="4">
                  <c:v>0.79374013315944814</c:v>
                </c:pt>
                <c:pt idx="5">
                  <c:v>0.42852975495915985</c:v>
                </c:pt>
                <c:pt idx="6">
                  <c:v>0.83480580096682788</c:v>
                </c:pt>
                <c:pt idx="7">
                  <c:v>0.73175158822766773</c:v>
                </c:pt>
                <c:pt idx="8">
                  <c:v>0.79806819655127725</c:v>
                </c:pt>
                <c:pt idx="9">
                  <c:v>0.51469689392676554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96C-4CBF-B16B-813038A4D433}"/>
            </c:ext>
          </c:extLst>
        </c:ser>
        <c:ser>
          <c:idx val="1"/>
          <c:order val="1"/>
          <c:tx>
            <c:strRef>
              <c:f>Sheet2!$J$80</c:f>
              <c:strCache>
                <c:ptCount val="1"/>
                <c:pt idx="0">
                  <c:v>Average of Normalized GDP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 w="25400">
              <a:noFill/>
            </a:ln>
            <a:effectLst/>
          </c:spPr>
          <c:invertIfNegative val="0"/>
          <c:cat>
            <c:strRef>
              <c:f>Sheet2!$H$81:$H$90</c:f>
              <c:strCache>
                <c:ptCount val="10"/>
                <c:pt idx="0">
                  <c:v>Central and Eastern Europe</c:v>
                </c:pt>
                <c:pt idx="1">
                  <c:v>Commonwealth of Independent States</c:v>
                </c:pt>
                <c:pt idx="2">
                  <c:v>East Asia</c:v>
                </c:pt>
                <c:pt idx="3">
                  <c:v>Latin America and Caribbean</c:v>
                </c:pt>
                <c:pt idx="4">
                  <c:v>Middle East and North Africa</c:v>
                </c:pt>
                <c:pt idx="5">
                  <c:v>North America and ANZ</c:v>
                </c:pt>
                <c:pt idx="6">
                  <c:v>South Asia</c:v>
                </c:pt>
                <c:pt idx="7">
                  <c:v>Southeast Asia</c:v>
                </c:pt>
                <c:pt idx="8">
                  <c:v>Sub-Saharan Africa</c:v>
                </c:pt>
                <c:pt idx="9">
                  <c:v>Western Europe</c:v>
                </c:pt>
              </c:strCache>
            </c:strRef>
          </c:cat>
          <c:val>
            <c:numRef>
              <c:f>Sheet2!$J$81:$J$90</c:f>
              <c:numCache>
                <c:formatCode>0.00</c:formatCode>
                <c:ptCount val="10"/>
                <c:pt idx="0">
                  <c:v>0.69314820900427199</c:v>
                </c:pt>
                <c:pt idx="1">
                  <c:v>0.55204176642724123</c:v>
                </c:pt>
                <c:pt idx="2">
                  <c:v>0.74474594306996533</c:v>
                </c:pt>
                <c:pt idx="3">
                  <c:v>0.54569034317637677</c:v>
                </c:pt>
                <c:pt idx="4">
                  <c:v>0.60477207642833675</c:v>
                </c:pt>
                <c:pt idx="5">
                  <c:v>0.83290103750997613</c:v>
                </c:pt>
                <c:pt idx="6">
                  <c:v>0.40853380458328586</c:v>
                </c:pt>
                <c:pt idx="7">
                  <c:v>0.55595459785403922</c:v>
                </c:pt>
                <c:pt idx="8">
                  <c:v>0.28734925068723949</c:v>
                </c:pt>
                <c:pt idx="9">
                  <c:v>0.83553756698210013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96C-4CBF-B16B-813038A4D4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56086735"/>
        <c:axId val="2056087215"/>
      </c:barChart>
      <c:catAx>
        <c:axId val="2056086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l-SI"/>
                  <a:t>Region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6087215"/>
        <c:crosses val="autoZero"/>
        <c:auto val="1"/>
        <c:lblAlgn val="ctr"/>
        <c:lblOffset val="100"/>
        <c:noMultiLvlLbl val="0"/>
      </c:catAx>
      <c:valAx>
        <c:axId val="2056087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l-SI"/>
                  <a:t>Normalized values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6086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l-SI"/>
              <a:t>GDP</a:t>
            </a:r>
            <a:r>
              <a:rPr lang="sl-SI" baseline="0"/>
              <a:t> and happiness score per African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Sheet4!$C$22</c:f>
              <c:strCache>
                <c:ptCount val="1"/>
                <c:pt idx="0">
                  <c:v>GDP per capita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Sheet4!$C$32:$C$145</c:f>
              <c:numCache>
                <c:formatCode>#,##0.0000</c:formatCode>
                <c:ptCount val="41"/>
                <c:pt idx="0">
                  <c:v>10.007999999999999</c:v>
                </c:pt>
                <c:pt idx="1">
                  <c:v>9.782</c:v>
                </c:pt>
                <c:pt idx="2">
                  <c:v>9.6219999999999999</c:v>
                </c:pt>
                <c:pt idx="3">
                  <c:v>9.6029999999999998</c:v>
                </c:pt>
                <c:pt idx="4">
                  <c:v>9.4030000000000005</c:v>
                </c:pt>
                <c:pt idx="5">
                  <c:v>9.3670000000000009</c:v>
                </c:pt>
                <c:pt idx="6">
                  <c:v>9.3420000000000005</c:v>
                </c:pt>
                <c:pt idx="7">
                  <c:v>9.266</c:v>
                </c:pt>
                <c:pt idx="8">
                  <c:v>9.1609999999999996</c:v>
                </c:pt>
                <c:pt idx="9">
                  <c:v>9.0649999999999995</c:v>
                </c:pt>
                <c:pt idx="10">
                  <c:v>8.9030000000000005</c:v>
                </c:pt>
                <c:pt idx="11">
                  <c:v>8.58</c:v>
                </c:pt>
                <c:pt idx="12">
                  <c:v>8.5510000000000002</c:v>
                </c:pt>
                <c:pt idx="13">
                  <c:v>8.5419999999999998</c:v>
                </c:pt>
                <c:pt idx="14">
                  <c:v>8.5329999999999995</c:v>
                </c:pt>
                <c:pt idx="15">
                  <c:v>8.3610000000000007</c:v>
                </c:pt>
                <c:pt idx="16">
                  <c:v>8.1890000000000001</c:v>
                </c:pt>
                <c:pt idx="17">
                  <c:v>8.1449999999999996</c:v>
                </c:pt>
                <c:pt idx="18">
                  <c:v>8.1180000000000003</c:v>
                </c:pt>
                <c:pt idx="19">
                  <c:v>8.1170000000000009</c:v>
                </c:pt>
                <c:pt idx="20">
                  <c:v>8.0869999999999997</c:v>
                </c:pt>
                <c:pt idx="21">
                  <c:v>8.0310000000000006</c:v>
                </c:pt>
                <c:pt idx="22">
                  <c:v>7.9429999999999996</c:v>
                </c:pt>
                <c:pt idx="23">
                  <c:v>7.9260000000000002</c:v>
                </c:pt>
                <c:pt idx="24">
                  <c:v>7.8760000000000003</c:v>
                </c:pt>
                <c:pt idx="25">
                  <c:v>7.8380000000000001</c:v>
                </c:pt>
                <c:pt idx="26">
                  <c:v>7.7439999999999998</c:v>
                </c:pt>
                <c:pt idx="27">
                  <c:v>7.694</c:v>
                </c:pt>
                <c:pt idx="28">
                  <c:v>7.6859999999999999</c:v>
                </c:pt>
                <c:pt idx="29">
                  <c:v>7.6779999999999999</c:v>
                </c:pt>
                <c:pt idx="30">
                  <c:v>7.6769999999999996</c:v>
                </c:pt>
                <c:pt idx="31">
                  <c:v>7.6760000000000002</c:v>
                </c:pt>
                <c:pt idx="32">
                  <c:v>7.4340000000000002</c:v>
                </c:pt>
                <c:pt idx="33">
                  <c:v>7.3959999999999999</c:v>
                </c:pt>
                <c:pt idx="34">
                  <c:v>7.3639999999999999</c:v>
                </c:pt>
                <c:pt idx="35">
                  <c:v>7.3620000000000001</c:v>
                </c:pt>
                <c:pt idx="36">
                  <c:v>7.2880000000000003</c:v>
                </c:pt>
                <c:pt idx="37">
                  <c:v>7.1580000000000004</c:v>
                </c:pt>
                <c:pt idx="38">
                  <c:v>7.0979999999999999</c:v>
                </c:pt>
                <c:pt idx="39">
                  <c:v>6.9580000000000002</c:v>
                </c:pt>
                <c:pt idx="40">
                  <c:v>6.6349999999999998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EA-43E6-9E2C-311B52621DC4}"/>
            </c:ext>
          </c:extLst>
        </c:ser>
        <c:ser>
          <c:idx val="1"/>
          <c:order val="1"/>
          <c:tx>
            <c:v>Happiness score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6"/>
            <c:dispRSqr val="1"/>
            <c:dispEq val="1"/>
            <c:trendlineLbl>
              <c:layout>
                <c:manualLayout>
                  <c:x val="-5.0496613358058037E-2"/>
                  <c:y val="0.1006811321709619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val>
            <c:numRef>
              <c:f>Sheet4!$D$32:$D$145</c:f>
              <c:numCache>
                <c:formatCode>#,##0.0000</c:formatCode>
                <c:ptCount val="41"/>
                <c:pt idx="0">
                  <c:v>6.0490000000000004</c:v>
                </c:pt>
                <c:pt idx="1">
                  <c:v>3.4670000000000001</c:v>
                </c:pt>
                <c:pt idx="2">
                  <c:v>5.41</c:v>
                </c:pt>
                <c:pt idx="3">
                  <c:v>4.8520000000000003</c:v>
                </c:pt>
                <c:pt idx="4">
                  <c:v>4.9560000000000004</c:v>
                </c:pt>
                <c:pt idx="5">
                  <c:v>4.2830000000000004</c:v>
                </c:pt>
                <c:pt idx="6">
                  <c:v>4.8869999999999996</c:v>
                </c:pt>
                <c:pt idx="7">
                  <c:v>4.5960000000000001</c:v>
                </c:pt>
                <c:pt idx="8">
                  <c:v>4.5739999999999998</c:v>
                </c:pt>
                <c:pt idx="9">
                  <c:v>4.3079999999999998</c:v>
                </c:pt>
                <c:pt idx="10">
                  <c:v>4.9180000000000001</c:v>
                </c:pt>
                <c:pt idx="11">
                  <c:v>5.0880000000000001</c:v>
                </c:pt>
                <c:pt idx="12">
                  <c:v>5.306</c:v>
                </c:pt>
                <c:pt idx="13">
                  <c:v>4.2270000000000003</c:v>
                </c:pt>
                <c:pt idx="14">
                  <c:v>4.7590000000000003</c:v>
                </c:pt>
                <c:pt idx="15">
                  <c:v>4.6070000000000002</c:v>
                </c:pt>
                <c:pt idx="16">
                  <c:v>5.1420000000000003</c:v>
                </c:pt>
                <c:pt idx="17">
                  <c:v>4.0730000000000004</c:v>
                </c:pt>
                <c:pt idx="18">
                  <c:v>5.1319999999999997</c:v>
                </c:pt>
                <c:pt idx="19">
                  <c:v>5.3419999999999996</c:v>
                </c:pt>
                <c:pt idx="20">
                  <c:v>5.0449999999999999</c:v>
                </c:pt>
                <c:pt idx="21">
                  <c:v>4.2889999999999997</c:v>
                </c:pt>
                <c:pt idx="22">
                  <c:v>3.145</c:v>
                </c:pt>
                <c:pt idx="23">
                  <c:v>3.512</c:v>
                </c:pt>
                <c:pt idx="24">
                  <c:v>3.6230000000000002</c:v>
                </c:pt>
                <c:pt idx="25">
                  <c:v>4.984</c:v>
                </c:pt>
                <c:pt idx="26">
                  <c:v>4.7229999999999999</c:v>
                </c:pt>
                <c:pt idx="27">
                  <c:v>4.2750000000000004</c:v>
                </c:pt>
                <c:pt idx="28">
                  <c:v>5.0510000000000002</c:v>
                </c:pt>
                <c:pt idx="29">
                  <c:v>4.8339999999999996</c:v>
                </c:pt>
                <c:pt idx="30">
                  <c:v>4.6360000000000001</c:v>
                </c:pt>
                <c:pt idx="31">
                  <c:v>3.415</c:v>
                </c:pt>
                <c:pt idx="32">
                  <c:v>3.8490000000000002</c:v>
                </c:pt>
                <c:pt idx="33">
                  <c:v>4.2080000000000002</c:v>
                </c:pt>
                <c:pt idx="34">
                  <c:v>4.3550000000000004</c:v>
                </c:pt>
                <c:pt idx="35">
                  <c:v>4.1070000000000002</c:v>
                </c:pt>
                <c:pt idx="36">
                  <c:v>4.625</c:v>
                </c:pt>
                <c:pt idx="37">
                  <c:v>4.7939999999999996</c:v>
                </c:pt>
                <c:pt idx="38">
                  <c:v>5.0739999999999998</c:v>
                </c:pt>
                <c:pt idx="39">
                  <c:v>3.6</c:v>
                </c:pt>
                <c:pt idx="40">
                  <c:v>3.7749999999999999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1EA-43E6-9E2C-311B52621D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754608"/>
        <c:axId val="124751728"/>
      </c:lineChart>
      <c:catAx>
        <c:axId val="1247546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l-SI"/>
                  <a:t>Rank</a:t>
                </a:r>
                <a:r>
                  <a:rPr lang="sl-SI" baseline="0"/>
                  <a:t> of African country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751728"/>
        <c:crosses val="autoZero"/>
        <c:auto val="1"/>
        <c:lblAlgn val="ctr"/>
        <c:lblOffset val="100"/>
        <c:noMultiLvlLbl val="0"/>
      </c:catAx>
      <c:valAx>
        <c:axId val="124751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l-SI"/>
                  <a:t>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754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Sheet4!$G$32:$G$145</c:f>
              <c:numCache>
                <c:formatCode>General</c:formatCode>
                <c:ptCount val="41"/>
              </c:numCache>
            </c:numRef>
          </c:cat>
          <c:val>
            <c:numRef>
              <c:f>(Sheet4!$D$33,Sheet4!$G$33)</c:f>
            </c:numRef>
          </c:val>
          <c:smooth val="0"/>
          <c:extLst>
            <c:ext xmlns:c16="http://schemas.microsoft.com/office/drawing/2014/chart" uri="{C3380CC4-5D6E-409C-BE32-E72D297353CC}">
              <c16:uniqueId val="{00000002-A57C-46A7-8274-A76D0AF4373E}"/>
            </c:ext>
          </c:extLst>
        </c:ser>
        <c:ser>
          <c:idx val="2"/>
          <c:order val="1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Sheet4!$G$32:$G$145</c:f>
              <c:numCache>
                <c:formatCode>General</c:formatCode>
                <c:ptCount val="41"/>
              </c:numCache>
            </c:numRef>
          </c:cat>
          <c:val>
            <c:numRef>
              <c:f>(Sheet4!$D$34,Sheet4!$G$34)</c:f>
            </c:numRef>
          </c:val>
          <c:smooth val="0"/>
          <c:extLst>
            <c:ext xmlns:c16="http://schemas.microsoft.com/office/drawing/2014/chart" uri="{C3380CC4-5D6E-409C-BE32-E72D297353CC}">
              <c16:uniqueId val="{00000003-A57C-46A7-8274-A76D0AF4373E}"/>
            </c:ext>
          </c:extLst>
        </c:ser>
        <c:ser>
          <c:idx val="5"/>
          <c:order val="2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Sheet4!$G$32:$G$145</c:f>
              <c:numCache>
                <c:formatCode>General</c:formatCode>
                <c:ptCount val="41"/>
              </c:numCache>
            </c:numRef>
          </c:cat>
          <c:val>
            <c:numRef>
              <c:f>(Sheet4!$D$37,Sheet4!$G$37)</c:f>
            </c:numRef>
          </c:val>
          <c:smooth val="0"/>
          <c:extLst>
            <c:ext xmlns:c16="http://schemas.microsoft.com/office/drawing/2014/chart" uri="{C3380CC4-5D6E-409C-BE32-E72D297353CC}">
              <c16:uniqueId val="{00000006-A57C-46A7-8274-A76D0AF4373E}"/>
            </c:ext>
          </c:extLst>
        </c:ser>
        <c:ser>
          <c:idx val="6"/>
          <c:order val="3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Sheet4!$G$32:$G$145</c:f>
              <c:numCache>
                <c:formatCode>General</c:formatCode>
                <c:ptCount val="41"/>
              </c:numCache>
            </c:numRef>
          </c:cat>
          <c:val>
            <c:numRef>
              <c:f>(Sheet4!$D$38,Sheet4!$G$38)</c:f>
            </c:numRef>
          </c:val>
          <c:smooth val="0"/>
          <c:extLst>
            <c:ext xmlns:c16="http://schemas.microsoft.com/office/drawing/2014/chart" uri="{C3380CC4-5D6E-409C-BE32-E72D297353CC}">
              <c16:uniqueId val="{00000007-A57C-46A7-8274-A76D0AF4373E}"/>
            </c:ext>
          </c:extLst>
        </c:ser>
        <c:ser>
          <c:idx val="7"/>
          <c:order val="4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Sheet4!$G$32:$G$145</c:f>
              <c:numCache>
                <c:formatCode>General</c:formatCode>
                <c:ptCount val="41"/>
              </c:numCache>
            </c:numRef>
          </c:cat>
          <c:val>
            <c:numRef>
              <c:f>(Sheet4!$D$39,Sheet4!$G$39)</c:f>
            </c:numRef>
          </c:val>
          <c:smooth val="0"/>
          <c:extLst>
            <c:ext xmlns:c16="http://schemas.microsoft.com/office/drawing/2014/chart" uri="{C3380CC4-5D6E-409C-BE32-E72D297353CC}">
              <c16:uniqueId val="{00000008-A57C-46A7-8274-A76D0AF4373E}"/>
            </c:ext>
          </c:extLst>
        </c:ser>
        <c:ser>
          <c:idx val="8"/>
          <c:order val="5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Sheet4!$G$32:$G$145</c:f>
              <c:numCache>
                <c:formatCode>General</c:formatCode>
                <c:ptCount val="41"/>
              </c:numCache>
            </c:numRef>
          </c:cat>
          <c:val>
            <c:numRef>
              <c:f>(Sheet4!$D$40,Sheet4!$G$40)</c:f>
            </c:numRef>
          </c:val>
          <c:smooth val="0"/>
          <c:extLst>
            <c:ext xmlns:c16="http://schemas.microsoft.com/office/drawing/2014/chart" uri="{C3380CC4-5D6E-409C-BE32-E72D297353CC}">
              <c16:uniqueId val="{00000009-A57C-46A7-8274-A76D0AF4373E}"/>
            </c:ext>
          </c:extLst>
        </c:ser>
        <c:ser>
          <c:idx val="9"/>
          <c:order val="6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Sheet4!$G$32:$G$145</c:f>
              <c:numCache>
                <c:formatCode>General</c:formatCode>
                <c:ptCount val="41"/>
              </c:numCache>
            </c:numRef>
          </c:cat>
          <c:val>
            <c:numRef>
              <c:f>(Sheet4!$D$41,Sheet4!$G$41)</c:f>
            </c:numRef>
          </c:val>
          <c:smooth val="0"/>
          <c:extLst>
            <c:ext xmlns:c16="http://schemas.microsoft.com/office/drawing/2014/chart" uri="{C3380CC4-5D6E-409C-BE32-E72D297353CC}">
              <c16:uniqueId val="{0000000A-A57C-46A7-8274-A76D0AF4373E}"/>
            </c:ext>
          </c:extLst>
        </c:ser>
        <c:ser>
          <c:idx val="10"/>
          <c:order val="7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Sheet4!$G$32:$G$145</c:f>
              <c:numCache>
                <c:formatCode>General</c:formatCode>
                <c:ptCount val="41"/>
              </c:numCache>
            </c:numRef>
          </c:cat>
          <c:val>
            <c:numRef>
              <c:f>(Sheet4!$D$42,Sheet4!$G$42)</c:f>
            </c:numRef>
          </c:val>
          <c:smooth val="0"/>
          <c:extLst>
            <c:ext xmlns:c16="http://schemas.microsoft.com/office/drawing/2014/chart" uri="{C3380CC4-5D6E-409C-BE32-E72D297353CC}">
              <c16:uniqueId val="{0000000B-A57C-46A7-8274-A76D0AF4373E}"/>
            </c:ext>
          </c:extLst>
        </c:ser>
        <c:ser>
          <c:idx val="11"/>
          <c:order val="8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Sheet4!$G$32:$G$145</c:f>
              <c:numCache>
                <c:formatCode>General</c:formatCode>
                <c:ptCount val="41"/>
              </c:numCache>
            </c:numRef>
          </c:cat>
          <c:val>
            <c:numRef>
              <c:f>(Sheet4!$D$43,Sheet4!$G$43)</c:f>
            </c:numRef>
          </c:val>
          <c:smooth val="0"/>
          <c:extLst>
            <c:ext xmlns:c16="http://schemas.microsoft.com/office/drawing/2014/chart" uri="{C3380CC4-5D6E-409C-BE32-E72D297353CC}">
              <c16:uniqueId val="{0000000C-A57C-46A7-8274-A76D0AF4373E}"/>
            </c:ext>
          </c:extLst>
        </c:ser>
        <c:ser>
          <c:idx val="12"/>
          <c:order val="9"/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Sheet4!$G$32:$G$145</c:f>
              <c:numCache>
                <c:formatCode>General</c:formatCode>
                <c:ptCount val="41"/>
              </c:numCache>
            </c:numRef>
          </c:cat>
          <c:val>
            <c:numRef>
              <c:f>(Sheet4!$D$44,Sheet4!$G$44)</c:f>
            </c:numRef>
          </c:val>
          <c:smooth val="0"/>
          <c:extLst>
            <c:ext xmlns:c16="http://schemas.microsoft.com/office/drawing/2014/chart" uri="{C3380CC4-5D6E-409C-BE32-E72D297353CC}">
              <c16:uniqueId val="{0000000D-A57C-46A7-8274-A76D0AF4373E}"/>
            </c:ext>
          </c:extLst>
        </c:ser>
        <c:ser>
          <c:idx val="13"/>
          <c:order val="10"/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Sheet4!$G$32:$G$145</c:f>
              <c:numCache>
                <c:formatCode>General</c:formatCode>
                <c:ptCount val="41"/>
              </c:numCache>
            </c:numRef>
          </c:cat>
          <c:val>
            <c:numRef>
              <c:f>(Sheet4!$D$45,Sheet4!$G$45)</c:f>
            </c:numRef>
          </c:val>
          <c:smooth val="0"/>
          <c:extLst>
            <c:ext xmlns:c16="http://schemas.microsoft.com/office/drawing/2014/chart" uri="{C3380CC4-5D6E-409C-BE32-E72D297353CC}">
              <c16:uniqueId val="{0000000E-A57C-46A7-8274-A76D0AF4373E}"/>
            </c:ext>
          </c:extLst>
        </c:ser>
        <c:ser>
          <c:idx val="14"/>
          <c:order val="11"/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Sheet4!$G$32:$G$145</c:f>
              <c:numCache>
                <c:formatCode>General</c:formatCode>
                <c:ptCount val="41"/>
              </c:numCache>
            </c:numRef>
          </c:cat>
          <c:val>
            <c:numRef>
              <c:f>(Sheet4!$D$46,Sheet4!$G$46)</c:f>
            </c:numRef>
          </c:val>
          <c:smooth val="0"/>
          <c:extLst>
            <c:ext xmlns:c16="http://schemas.microsoft.com/office/drawing/2014/chart" uri="{C3380CC4-5D6E-409C-BE32-E72D297353CC}">
              <c16:uniqueId val="{0000000F-A57C-46A7-8274-A76D0AF4373E}"/>
            </c:ext>
          </c:extLst>
        </c:ser>
        <c:ser>
          <c:idx val="15"/>
          <c:order val="12"/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Sheet4!$G$32:$G$145</c:f>
              <c:numCache>
                <c:formatCode>General</c:formatCode>
                <c:ptCount val="41"/>
              </c:numCache>
            </c:numRef>
          </c:cat>
          <c:val>
            <c:numRef>
              <c:f>(Sheet4!$D$47,Sheet4!$G$47)</c:f>
            </c:numRef>
          </c:val>
          <c:smooth val="0"/>
          <c:extLst>
            <c:ext xmlns:c16="http://schemas.microsoft.com/office/drawing/2014/chart" uri="{C3380CC4-5D6E-409C-BE32-E72D297353CC}">
              <c16:uniqueId val="{00000010-A57C-46A7-8274-A76D0AF4373E}"/>
            </c:ext>
          </c:extLst>
        </c:ser>
        <c:ser>
          <c:idx val="16"/>
          <c:order val="13"/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Sheet4!$G$32:$G$145</c:f>
              <c:numCache>
                <c:formatCode>General</c:formatCode>
                <c:ptCount val="41"/>
              </c:numCache>
            </c:numRef>
          </c:cat>
          <c:val>
            <c:numRef>
              <c:f>(Sheet4!$D$48,Sheet4!$G$48)</c:f>
            </c:numRef>
          </c:val>
          <c:smooth val="0"/>
          <c:extLst>
            <c:ext xmlns:c16="http://schemas.microsoft.com/office/drawing/2014/chart" uri="{C3380CC4-5D6E-409C-BE32-E72D297353CC}">
              <c16:uniqueId val="{00000011-A57C-46A7-8274-A76D0AF4373E}"/>
            </c:ext>
          </c:extLst>
        </c:ser>
        <c:ser>
          <c:idx val="17"/>
          <c:order val="14"/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Sheet4!$G$32:$G$145</c:f>
              <c:numCache>
                <c:formatCode>General</c:formatCode>
                <c:ptCount val="41"/>
              </c:numCache>
            </c:numRef>
          </c:cat>
          <c:val>
            <c:numRef>
              <c:f>(Sheet4!$D$49,Sheet4!$G$49)</c:f>
            </c:numRef>
          </c:val>
          <c:smooth val="0"/>
          <c:extLst>
            <c:ext xmlns:c16="http://schemas.microsoft.com/office/drawing/2014/chart" uri="{C3380CC4-5D6E-409C-BE32-E72D297353CC}">
              <c16:uniqueId val="{00000012-A57C-46A7-8274-A76D0AF4373E}"/>
            </c:ext>
          </c:extLst>
        </c:ser>
        <c:ser>
          <c:idx val="18"/>
          <c:order val="15"/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Sheet4!$G$32:$G$145</c:f>
              <c:numCache>
                <c:formatCode>General</c:formatCode>
                <c:ptCount val="41"/>
              </c:numCache>
            </c:numRef>
          </c:cat>
          <c:val>
            <c:numRef>
              <c:f>(Sheet4!$D$50,Sheet4!$G$50)</c:f>
            </c:numRef>
          </c:val>
          <c:smooth val="0"/>
          <c:extLst>
            <c:ext xmlns:c16="http://schemas.microsoft.com/office/drawing/2014/chart" uri="{C3380CC4-5D6E-409C-BE32-E72D297353CC}">
              <c16:uniqueId val="{00000013-A57C-46A7-8274-A76D0AF4373E}"/>
            </c:ext>
          </c:extLst>
        </c:ser>
        <c:ser>
          <c:idx val="19"/>
          <c:order val="16"/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Sheet4!$G$32:$G$145</c:f>
              <c:numCache>
                <c:formatCode>General</c:formatCode>
                <c:ptCount val="41"/>
              </c:numCache>
            </c:numRef>
          </c:cat>
          <c:val>
            <c:numRef>
              <c:f>(Sheet4!$D$51,Sheet4!$G$51)</c:f>
            </c:numRef>
          </c:val>
          <c:smooth val="0"/>
          <c:extLst>
            <c:ext xmlns:c16="http://schemas.microsoft.com/office/drawing/2014/chart" uri="{C3380CC4-5D6E-409C-BE32-E72D297353CC}">
              <c16:uniqueId val="{00000014-A57C-46A7-8274-A76D0AF4373E}"/>
            </c:ext>
          </c:extLst>
        </c:ser>
        <c:ser>
          <c:idx val="20"/>
          <c:order val="17"/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Sheet4!$G$32:$G$145</c:f>
              <c:numCache>
                <c:formatCode>General</c:formatCode>
                <c:ptCount val="41"/>
              </c:numCache>
            </c:numRef>
          </c:cat>
          <c:val>
            <c:numRef>
              <c:f>(Sheet4!$D$52,Sheet4!$G$52)</c:f>
            </c:numRef>
          </c:val>
          <c:smooth val="0"/>
          <c:extLst>
            <c:ext xmlns:c16="http://schemas.microsoft.com/office/drawing/2014/chart" uri="{C3380CC4-5D6E-409C-BE32-E72D297353CC}">
              <c16:uniqueId val="{00000015-A57C-46A7-8274-A76D0AF4373E}"/>
            </c:ext>
          </c:extLst>
        </c:ser>
        <c:ser>
          <c:idx val="21"/>
          <c:order val="18"/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Sheet4!$G$32:$G$145</c:f>
              <c:numCache>
                <c:formatCode>General</c:formatCode>
                <c:ptCount val="41"/>
              </c:numCache>
            </c:numRef>
          </c:cat>
          <c:val>
            <c:numRef>
              <c:f>(Sheet4!$D$53,Sheet4!$G$53)</c:f>
            </c:numRef>
          </c:val>
          <c:smooth val="0"/>
          <c:extLst>
            <c:ext xmlns:c16="http://schemas.microsoft.com/office/drawing/2014/chart" uri="{C3380CC4-5D6E-409C-BE32-E72D297353CC}">
              <c16:uniqueId val="{00000016-A57C-46A7-8274-A76D0AF4373E}"/>
            </c:ext>
          </c:extLst>
        </c:ser>
        <c:ser>
          <c:idx val="22"/>
          <c:order val="19"/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Sheet4!$G$32:$G$145</c:f>
              <c:numCache>
                <c:formatCode>General</c:formatCode>
                <c:ptCount val="41"/>
              </c:numCache>
            </c:numRef>
          </c:cat>
          <c:val>
            <c:numRef>
              <c:f>(Sheet4!$D$54,Sheet4!$G$54)</c:f>
            </c:numRef>
          </c:val>
          <c:smooth val="0"/>
          <c:extLst>
            <c:ext xmlns:c16="http://schemas.microsoft.com/office/drawing/2014/chart" uri="{C3380CC4-5D6E-409C-BE32-E72D297353CC}">
              <c16:uniqueId val="{00000017-A57C-46A7-8274-A76D0AF4373E}"/>
            </c:ext>
          </c:extLst>
        </c:ser>
        <c:ser>
          <c:idx val="23"/>
          <c:order val="20"/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Sheet4!$G$32:$G$145</c:f>
              <c:numCache>
                <c:formatCode>General</c:formatCode>
                <c:ptCount val="41"/>
              </c:numCache>
            </c:numRef>
          </c:cat>
          <c:val>
            <c:numRef>
              <c:f>(Sheet4!$D$55,Sheet4!$G$55)</c:f>
            </c:numRef>
          </c:val>
          <c:smooth val="0"/>
          <c:extLst>
            <c:ext xmlns:c16="http://schemas.microsoft.com/office/drawing/2014/chart" uri="{C3380CC4-5D6E-409C-BE32-E72D297353CC}">
              <c16:uniqueId val="{00000018-A57C-46A7-8274-A76D0AF4373E}"/>
            </c:ext>
          </c:extLst>
        </c:ser>
        <c:ser>
          <c:idx val="24"/>
          <c:order val="21"/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Sheet4!$G$32:$G$145</c:f>
              <c:numCache>
                <c:formatCode>General</c:formatCode>
                <c:ptCount val="41"/>
              </c:numCache>
            </c:numRef>
          </c:cat>
          <c:val>
            <c:numRef>
              <c:f>(Sheet4!$D$56,Sheet4!$G$56)</c:f>
            </c:numRef>
          </c:val>
          <c:smooth val="0"/>
          <c:extLst>
            <c:ext xmlns:c16="http://schemas.microsoft.com/office/drawing/2014/chart" uri="{C3380CC4-5D6E-409C-BE32-E72D297353CC}">
              <c16:uniqueId val="{00000019-A57C-46A7-8274-A76D0AF4373E}"/>
            </c:ext>
          </c:extLst>
        </c:ser>
        <c:ser>
          <c:idx val="26"/>
          <c:order val="22"/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Sheet4!$G$32:$G$145</c:f>
              <c:numCache>
                <c:formatCode>General</c:formatCode>
                <c:ptCount val="41"/>
              </c:numCache>
            </c:numRef>
          </c:cat>
          <c:val>
            <c:numRef>
              <c:f>(Sheet4!$D$58,Sheet4!$G$58)</c:f>
            </c:numRef>
          </c:val>
          <c:smooth val="0"/>
          <c:extLst>
            <c:ext xmlns:c16="http://schemas.microsoft.com/office/drawing/2014/chart" uri="{C3380CC4-5D6E-409C-BE32-E72D297353CC}">
              <c16:uniqueId val="{0000001B-A57C-46A7-8274-A76D0AF4373E}"/>
            </c:ext>
          </c:extLst>
        </c:ser>
        <c:ser>
          <c:idx val="27"/>
          <c:order val="23"/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Sheet4!$G$32:$G$145</c:f>
              <c:numCache>
                <c:formatCode>General</c:formatCode>
                <c:ptCount val="41"/>
              </c:numCache>
            </c:numRef>
          </c:cat>
          <c:val>
            <c:numRef>
              <c:f>(Sheet4!$D$59,Sheet4!$G$59)</c:f>
            </c:numRef>
          </c:val>
          <c:smooth val="0"/>
          <c:extLst>
            <c:ext xmlns:c16="http://schemas.microsoft.com/office/drawing/2014/chart" uri="{C3380CC4-5D6E-409C-BE32-E72D297353CC}">
              <c16:uniqueId val="{0000001C-A57C-46A7-8274-A76D0AF4373E}"/>
            </c:ext>
          </c:extLst>
        </c:ser>
        <c:ser>
          <c:idx val="29"/>
          <c:order val="24"/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Sheet4!$G$32:$G$145</c:f>
              <c:numCache>
                <c:formatCode>General</c:formatCode>
                <c:ptCount val="41"/>
              </c:numCache>
            </c:numRef>
          </c:cat>
          <c:val>
            <c:numRef>
              <c:f>(Sheet4!$D$61,Sheet4!$G$61)</c:f>
            </c:numRef>
          </c:val>
          <c:smooth val="0"/>
          <c:extLst>
            <c:ext xmlns:c16="http://schemas.microsoft.com/office/drawing/2014/chart" uri="{C3380CC4-5D6E-409C-BE32-E72D297353CC}">
              <c16:uniqueId val="{0000001E-A57C-46A7-8274-A76D0AF4373E}"/>
            </c:ext>
          </c:extLst>
        </c:ser>
        <c:ser>
          <c:idx val="30"/>
          <c:order val="25"/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Sheet4!$G$32:$G$145</c:f>
              <c:numCache>
                <c:formatCode>General</c:formatCode>
                <c:ptCount val="41"/>
              </c:numCache>
            </c:numRef>
          </c:cat>
          <c:val>
            <c:numRef>
              <c:f>(Sheet4!$D$62,Sheet4!$G$62)</c:f>
            </c:numRef>
          </c:val>
          <c:smooth val="0"/>
          <c:extLst>
            <c:ext xmlns:c16="http://schemas.microsoft.com/office/drawing/2014/chart" uri="{C3380CC4-5D6E-409C-BE32-E72D297353CC}">
              <c16:uniqueId val="{0000001F-A57C-46A7-8274-A76D0AF4373E}"/>
            </c:ext>
          </c:extLst>
        </c:ser>
        <c:ser>
          <c:idx val="31"/>
          <c:order val="26"/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Sheet4!$G$32:$G$145</c:f>
              <c:numCache>
                <c:formatCode>General</c:formatCode>
                <c:ptCount val="41"/>
              </c:numCache>
            </c:numRef>
          </c:cat>
          <c:val>
            <c:numRef>
              <c:f>(Sheet4!$D$63,Sheet4!$G$63)</c:f>
            </c:numRef>
          </c:val>
          <c:smooth val="0"/>
          <c:extLst>
            <c:ext xmlns:c16="http://schemas.microsoft.com/office/drawing/2014/chart" uri="{C3380CC4-5D6E-409C-BE32-E72D297353CC}">
              <c16:uniqueId val="{00000020-A57C-46A7-8274-A76D0AF4373E}"/>
            </c:ext>
          </c:extLst>
        </c:ser>
        <c:ser>
          <c:idx val="32"/>
          <c:order val="27"/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Sheet4!$G$32:$G$145</c:f>
              <c:numCache>
                <c:formatCode>General</c:formatCode>
                <c:ptCount val="41"/>
              </c:numCache>
            </c:numRef>
          </c:cat>
          <c:val>
            <c:numRef>
              <c:f>(Sheet4!$D$64,Sheet4!$G$64)</c:f>
            </c:numRef>
          </c:val>
          <c:smooth val="0"/>
          <c:extLst>
            <c:ext xmlns:c16="http://schemas.microsoft.com/office/drawing/2014/chart" uri="{C3380CC4-5D6E-409C-BE32-E72D297353CC}">
              <c16:uniqueId val="{00000021-A57C-46A7-8274-A76D0AF4373E}"/>
            </c:ext>
          </c:extLst>
        </c:ser>
        <c:ser>
          <c:idx val="33"/>
          <c:order val="28"/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Sheet4!$G$32:$G$145</c:f>
              <c:numCache>
                <c:formatCode>General</c:formatCode>
                <c:ptCount val="41"/>
              </c:numCache>
            </c:numRef>
          </c:cat>
          <c:val>
            <c:numRef>
              <c:f>(Sheet4!$D$65,Sheet4!$G$65)</c:f>
            </c:numRef>
          </c:val>
          <c:smooth val="0"/>
          <c:extLst>
            <c:ext xmlns:c16="http://schemas.microsoft.com/office/drawing/2014/chart" uri="{C3380CC4-5D6E-409C-BE32-E72D297353CC}">
              <c16:uniqueId val="{00000022-A57C-46A7-8274-A76D0AF4373E}"/>
            </c:ext>
          </c:extLst>
        </c:ser>
        <c:ser>
          <c:idx val="34"/>
          <c:order val="29"/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Sheet4!$G$32:$G$145</c:f>
              <c:numCache>
                <c:formatCode>General</c:formatCode>
                <c:ptCount val="41"/>
              </c:numCache>
            </c:numRef>
          </c:cat>
          <c:val>
            <c:numRef>
              <c:f>(Sheet4!$D$66,Sheet4!$G$66)</c:f>
            </c:numRef>
          </c:val>
          <c:smooth val="0"/>
          <c:extLst>
            <c:ext xmlns:c16="http://schemas.microsoft.com/office/drawing/2014/chart" uri="{C3380CC4-5D6E-409C-BE32-E72D297353CC}">
              <c16:uniqueId val="{00000023-A57C-46A7-8274-A76D0AF4373E}"/>
            </c:ext>
          </c:extLst>
        </c:ser>
        <c:ser>
          <c:idx val="35"/>
          <c:order val="30"/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Sheet4!$G$32:$G$145</c:f>
              <c:numCache>
                <c:formatCode>General</c:formatCode>
                <c:ptCount val="41"/>
              </c:numCache>
            </c:numRef>
          </c:cat>
          <c:val>
            <c:numRef>
              <c:f>(Sheet4!$D$67,Sheet4!$G$67)</c:f>
            </c:numRef>
          </c:val>
          <c:smooth val="0"/>
          <c:extLst>
            <c:ext xmlns:c16="http://schemas.microsoft.com/office/drawing/2014/chart" uri="{C3380CC4-5D6E-409C-BE32-E72D297353CC}">
              <c16:uniqueId val="{00000024-A57C-46A7-8274-A76D0AF4373E}"/>
            </c:ext>
          </c:extLst>
        </c:ser>
        <c:ser>
          <c:idx val="36"/>
          <c:order val="31"/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Sheet4!$G$32:$G$145</c:f>
              <c:numCache>
                <c:formatCode>General</c:formatCode>
                <c:ptCount val="41"/>
              </c:numCache>
            </c:numRef>
          </c:cat>
          <c:val>
            <c:numRef>
              <c:f>(Sheet4!$D$68,Sheet4!$G$68)</c:f>
            </c:numRef>
          </c:val>
          <c:smooth val="0"/>
          <c:extLst>
            <c:ext xmlns:c16="http://schemas.microsoft.com/office/drawing/2014/chart" uri="{C3380CC4-5D6E-409C-BE32-E72D297353CC}">
              <c16:uniqueId val="{00000025-A57C-46A7-8274-A76D0AF4373E}"/>
            </c:ext>
          </c:extLst>
        </c:ser>
        <c:ser>
          <c:idx val="37"/>
          <c:order val="32"/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Sheet4!$G$32:$G$145</c:f>
              <c:numCache>
                <c:formatCode>General</c:formatCode>
                <c:ptCount val="41"/>
              </c:numCache>
            </c:numRef>
          </c:cat>
          <c:val>
            <c:numRef>
              <c:f>(Sheet4!$D$69,Sheet4!$G$69)</c:f>
            </c:numRef>
          </c:val>
          <c:smooth val="0"/>
          <c:extLst>
            <c:ext xmlns:c16="http://schemas.microsoft.com/office/drawing/2014/chart" uri="{C3380CC4-5D6E-409C-BE32-E72D297353CC}">
              <c16:uniqueId val="{00000026-A57C-46A7-8274-A76D0AF4373E}"/>
            </c:ext>
          </c:extLst>
        </c:ser>
        <c:ser>
          <c:idx val="38"/>
          <c:order val="33"/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Sheet4!$G$32:$G$145</c:f>
              <c:numCache>
                <c:formatCode>General</c:formatCode>
                <c:ptCount val="41"/>
              </c:numCache>
            </c:numRef>
          </c:cat>
          <c:val>
            <c:numRef>
              <c:f>(Sheet4!$D$70,Sheet4!$G$70)</c:f>
            </c:numRef>
          </c:val>
          <c:smooth val="0"/>
          <c:extLst>
            <c:ext xmlns:c16="http://schemas.microsoft.com/office/drawing/2014/chart" uri="{C3380CC4-5D6E-409C-BE32-E72D297353CC}">
              <c16:uniqueId val="{00000027-A57C-46A7-8274-A76D0AF4373E}"/>
            </c:ext>
          </c:extLst>
        </c:ser>
        <c:ser>
          <c:idx val="39"/>
          <c:order val="34"/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Sheet4!$G$32:$G$145</c:f>
              <c:numCache>
                <c:formatCode>General</c:formatCode>
                <c:ptCount val="41"/>
              </c:numCache>
            </c:numRef>
          </c:cat>
          <c:val>
            <c:numRef>
              <c:f>(Sheet4!$D$71,Sheet4!$G$71)</c:f>
            </c:numRef>
          </c:val>
          <c:smooth val="0"/>
          <c:extLst>
            <c:ext xmlns:c16="http://schemas.microsoft.com/office/drawing/2014/chart" uri="{C3380CC4-5D6E-409C-BE32-E72D297353CC}">
              <c16:uniqueId val="{00000028-A57C-46A7-8274-A76D0AF4373E}"/>
            </c:ext>
          </c:extLst>
        </c:ser>
        <c:ser>
          <c:idx val="40"/>
          <c:order val="35"/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Sheet4!$G$32:$G$145</c:f>
              <c:numCache>
                <c:formatCode>General</c:formatCode>
                <c:ptCount val="41"/>
              </c:numCache>
            </c:numRef>
          </c:cat>
          <c:val>
            <c:numRef>
              <c:f>(Sheet4!$D$72,Sheet4!$G$72)</c:f>
            </c:numRef>
          </c:val>
          <c:smooth val="0"/>
          <c:extLst>
            <c:ext xmlns:c16="http://schemas.microsoft.com/office/drawing/2014/chart" uri="{C3380CC4-5D6E-409C-BE32-E72D297353CC}">
              <c16:uniqueId val="{00000029-A57C-46A7-8274-A76D0AF4373E}"/>
            </c:ext>
          </c:extLst>
        </c:ser>
        <c:ser>
          <c:idx val="41"/>
          <c:order val="36"/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Sheet4!$G$32:$G$145</c:f>
              <c:numCache>
                <c:formatCode>General</c:formatCode>
                <c:ptCount val="41"/>
              </c:numCache>
            </c:numRef>
          </c:cat>
          <c:val>
            <c:numRef>
              <c:f>(Sheet4!$D$73,Sheet4!$G$73)</c:f>
            </c:numRef>
          </c:val>
          <c:smooth val="0"/>
          <c:extLst>
            <c:ext xmlns:c16="http://schemas.microsoft.com/office/drawing/2014/chart" uri="{C3380CC4-5D6E-409C-BE32-E72D297353CC}">
              <c16:uniqueId val="{0000002A-A57C-46A7-8274-A76D0AF4373E}"/>
            </c:ext>
          </c:extLst>
        </c:ser>
        <c:ser>
          <c:idx val="42"/>
          <c:order val="37"/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Sheet4!$G$32:$G$145</c:f>
              <c:numCache>
                <c:formatCode>General</c:formatCode>
                <c:ptCount val="41"/>
              </c:numCache>
            </c:numRef>
          </c:cat>
          <c:val>
            <c:numRef>
              <c:f>(Sheet4!$D$74,Sheet4!$G$74)</c:f>
            </c:numRef>
          </c:val>
          <c:smooth val="0"/>
          <c:extLst>
            <c:ext xmlns:c16="http://schemas.microsoft.com/office/drawing/2014/chart" uri="{C3380CC4-5D6E-409C-BE32-E72D297353CC}">
              <c16:uniqueId val="{0000002B-A57C-46A7-8274-A76D0AF4373E}"/>
            </c:ext>
          </c:extLst>
        </c:ser>
        <c:ser>
          <c:idx val="43"/>
          <c:order val="38"/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Sheet4!$G$32:$G$145</c:f>
              <c:numCache>
                <c:formatCode>General</c:formatCode>
                <c:ptCount val="41"/>
              </c:numCache>
            </c:numRef>
          </c:cat>
          <c:val>
            <c:numRef>
              <c:f>(Sheet4!$D$75,Sheet4!$G$75)</c:f>
            </c:numRef>
          </c:val>
          <c:smooth val="0"/>
          <c:extLst>
            <c:ext xmlns:c16="http://schemas.microsoft.com/office/drawing/2014/chart" uri="{C3380CC4-5D6E-409C-BE32-E72D297353CC}">
              <c16:uniqueId val="{0000002C-A57C-46A7-8274-A76D0AF4373E}"/>
            </c:ext>
          </c:extLst>
        </c:ser>
        <c:ser>
          <c:idx val="44"/>
          <c:order val="39"/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Sheet4!$G$32:$G$145</c:f>
              <c:numCache>
                <c:formatCode>General</c:formatCode>
                <c:ptCount val="41"/>
              </c:numCache>
            </c:numRef>
          </c:cat>
          <c:val>
            <c:numRef>
              <c:f>(Sheet4!$D$76,Sheet4!$G$76)</c:f>
            </c:numRef>
          </c:val>
          <c:smooth val="0"/>
          <c:extLst>
            <c:ext xmlns:c16="http://schemas.microsoft.com/office/drawing/2014/chart" uri="{C3380CC4-5D6E-409C-BE32-E72D297353CC}">
              <c16:uniqueId val="{0000002D-A57C-46A7-8274-A76D0AF4373E}"/>
            </c:ext>
          </c:extLst>
        </c:ser>
        <c:ser>
          <c:idx val="45"/>
          <c:order val="40"/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Sheet4!$G$32:$G$145</c:f>
              <c:numCache>
                <c:formatCode>General</c:formatCode>
                <c:ptCount val="41"/>
              </c:numCache>
            </c:numRef>
          </c:cat>
          <c:val>
            <c:numRef>
              <c:f>(Sheet4!$D$77,Sheet4!$G$77)</c:f>
            </c:numRef>
          </c:val>
          <c:smooth val="0"/>
          <c:extLst>
            <c:ext xmlns:c16="http://schemas.microsoft.com/office/drawing/2014/chart" uri="{C3380CC4-5D6E-409C-BE32-E72D297353CC}">
              <c16:uniqueId val="{0000002E-A57C-46A7-8274-A76D0AF4373E}"/>
            </c:ext>
          </c:extLst>
        </c:ser>
        <c:ser>
          <c:idx val="46"/>
          <c:order val="41"/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Sheet4!$G$32:$G$145</c:f>
              <c:numCache>
                <c:formatCode>General</c:formatCode>
                <c:ptCount val="41"/>
              </c:numCache>
            </c:numRef>
          </c:cat>
          <c:val>
            <c:numRef>
              <c:f>(Sheet4!$D$78,Sheet4!$G$78)</c:f>
            </c:numRef>
          </c:val>
          <c:smooth val="0"/>
          <c:extLst>
            <c:ext xmlns:c16="http://schemas.microsoft.com/office/drawing/2014/chart" uri="{C3380CC4-5D6E-409C-BE32-E72D297353CC}">
              <c16:uniqueId val="{0000002F-A57C-46A7-8274-A76D0AF4373E}"/>
            </c:ext>
          </c:extLst>
        </c:ser>
        <c:ser>
          <c:idx val="47"/>
          <c:order val="42"/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Sheet4!$G$32:$G$145</c:f>
              <c:numCache>
                <c:formatCode>General</c:formatCode>
                <c:ptCount val="41"/>
              </c:numCache>
            </c:numRef>
          </c:cat>
          <c:val>
            <c:numRef>
              <c:f>(Sheet4!$D$79,Sheet4!$G$79)</c:f>
            </c:numRef>
          </c:val>
          <c:smooth val="0"/>
          <c:extLst>
            <c:ext xmlns:c16="http://schemas.microsoft.com/office/drawing/2014/chart" uri="{C3380CC4-5D6E-409C-BE32-E72D297353CC}">
              <c16:uniqueId val="{00000030-A57C-46A7-8274-A76D0AF4373E}"/>
            </c:ext>
          </c:extLst>
        </c:ser>
        <c:ser>
          <c:idx val="48"/>
          <c:order val="43"/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Sheet4!$G$32:$G$145</c:f>
              <c:numCache>
                <c:formatCode>General</c:formatCode>
                <c:ptCount val="41"/>
              </c:numCache>
            </c:numRef>
          </c:cat>
          <c:val>
            <c:numRef>
              <c:f>(Sheet4!$D$80,Sheet4!$G$80)</c:f>
            </c:numRef>
          </c:val>
          <c:smooth val="0"/>
          <c:extLst>
            <c:ext xmlns:c16="http://schemas.microsoft.com/office/drawing/2014/chart" uri="{C3380CC4-5D6E-409C-BE32-E72D297353CC}">
              <c16:uniqueId val="{00000031-A57C-46A7-8274-A76D0AF4373E}"/>
            </c:ext>
          </c:extLst>
        </c:ser>
        <c:ser>
          <c:idx val="49"/>
          <c:order val="44"/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Sheet4!$G$32:$G$145</c:f>
              <c:numCache>
                <c:formatCode>General</c:formatCode>
                <c:ptCount val="41"/>
              </c:numCache>
            </c:numRef>
          </c:cat>
          <c:val>
            <c:numRef>
              <c:f>(Sheet4!$D$81,Sheet4!$G$81)</c:f>
            </c:numRef>
          </c:val>
          <c:smooth val="0"/>
          <c:extLst>
            <c:ext xmlns:c16="http://schemas.microsoft.com/office/drawing/2014/chart" uri="{C3380CC4-5D6E-409C-BE32-E72D297353CC}">
              <c16:uniqueId val="{00000032-A57C-46A7-8274-A76D0AF4373E}"/>
            </c:ext>
          </c:extLst>
        </c:ser>
        <c:ser>
          <c:idx val="50"/>
          <c:order val="45"/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Sheet4!$G$32:$G$145</c:f>
              <c:numCache>
                <c:formatCode>General</c:formatCode>
                <c:ptCount val="41"/>
              </c:numCache>
            </c:numRef>
          </c:cat>
          <c:val>
            <c:numRef>
              <c:f>(Sheet4!$D$82,Sheet4!$G$82)</c:f>
            </c:numRef>
          </c:val>
          <c:smooth val="0"/>
          <c:extLst>
            <c:ext xmlns:c16="http://schemas.microsoft.com/office/drawing/2014/chart" uri="{C3380CC4-5D6E-409C-BE32-E72D297353CC}">
              <c16:uniqueId val="{00000033-A57C-46A7-8274-A76D0AF4373E}"/>
            </c:ext>
          </c:extLst>
        </c:ser>
        <c:ser>
          <c:idx val="51"/>
          <c:order val="46"/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Sheet4!$G$32:$G$145</c:f>
              <c:numCache>
                <c:formatCode>General</c:formatCode>
                <c:ptCount val="41"/>
              </c:numCache>
            </c:numRef>
          </c:cat>
          <c:val>
            <c:numRef>
              <c:f>(Sheet4!$D$83,Sheet4!$G$83)</c:f>
            </c:numRef>
          </c:val>
          <c:smooth val="0"/>
          <c:extLst>
            <c:ext xmlns:c16="http://schemas.microsoft.com/office/drawing/2014/chart" uri="{C3380CC4-5D6E-409C-BE32-E72D297353CC}">
              <c16:uniqueId val="{00000034-A57C-46A7-8274-A76D0AF4373E}"/>
            </c:ext>
          </c:extLst>
        </c:ser>
        <c:ser>
          <c:idx val="52"/>
          <c:order val="47"/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Sheet4!$G$32:$G$145</c:f>
              <c:numCache>
                <c:formatCode>General</c:formatCode>
                <c:ptCount val="41"/>
              </c:numCache>
            </c:numRef>
          </c:cat>
          <c:val>
            <c:numRef>
              <c:f>(Sheet4!$D$84,Sheet4!$G$84)</c:f>
            </c:numRef>
          </c:val>
          <c:smooth val="0"/>
          <c:extLst>
            <c:ext xmlns:c16="http://schemas.microsoft.com/office/drawing/2014/chart" uri="{C3380CC4-5D6E-409C-BE32-E72D297353CC}">
              <c16:uniqueId val="{00000035-A57C-46A7-8274-A76D0AF4373E}"/>
            </c:ext>
          </c:extLst>
        </c:ser>
        <c:ser>
          <c:idx val="53"/>
          <c:order val="48"/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Sheet4!$G$32:$G$145</c:f>
              <c:numCache>
                <c:formatCode>General</c:formatCode>
                <c:ptCount val="41"/>
              </c:numCache>
            </c:numRef>
          </c:cat>
          <c:val>
            <c:numRef>
              <c:f>(Sheet4!$D$85,Sheet4!$G$85)</c:f>
            </c:numRef>
          </c:val>
          <c:smooth val="0"/>
          <c:extLst>
            <c:ext xmlns:c16="http://schemas.microsoft.com/office/drawing/2014/chart" uri="{C3380CC4-5D6E-409C-BE32-E72D297353CC}">
              <c16:uniqueId val="{00000036-A57C-46A7-8274-A76D0AF4373E}"/>
            </c:ext>
          </c:extLst>
        </c:ser>
        <c:ser>
          <c:idx val="54"/>
          <c:order val="49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Sheet4!$G$32:$G$145</c:f>
              <c:numCache>
                <c:formatCode>General</c:formatCode>
                <c:ptCount val="41"/>
              </c:numCache>
            </c:numRef>
          </c:cat>
          <c:val>
            <c:numRef>
              <c:f>(Sheet4!$D$86,Sheet4!$G$86)</c:f>
            </c:numRef>
          </c:val>
          <c:smooth val="0"/>
          <c:extLst>
            <c:ext xmlns:c16="http://schemas.microsoft.com/office/drawing/2014/chart" uri="{C3380CC4-5D6E-409C-BE32-E72D297353CC}">
              <c16:uniqueId val="{00000037-A57C-46A7-8274-A76D0AF4373E}"/>
            </c:ext>
          </c:extLst>
        </c:ser>
        <c:ser>
          <c:idx val="55"/>
          <c:order val="5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Sheet4!$G$32:$G$145</c:f>
              <c:numCache>
                <c:formatCode>General</c:formatCode>
                <c:ptCount val="41"/>
              </c:numCache>
            </c:numRef>
          </c:cat>
          <c:val>
            <c:numRef>
              <c:f>(Sheet4!$D$87,Sheet4!$G$87)</c:f>
            </c:numRef>
          </c:val>
          <c:smooth val="0"/>
          <c:extLst>
            <c:ext xmlns:c16="http://schemas.microsoft.com/office/drawing/2014/chart" uri="{C3380CC4-5D6E-409C-BE32-E72D297353CC}">
              <c16:uniqueId val="{00000038-A57C-46A7-8274-A76D0AF4373E}"/>
            </c:ext>
          </c:extLst>
        </c:ser>
        <c:ser>
          <c:idx val="56"/>
          <c:order val="51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Sheet4!$G$32:$G$145</c:f>
              <c:numCache>
                <c:formatCode>General</c:formatCode>
                <c:ptCount val="41"/>
              </c:numCache>
            </c:numRef>
          </c:cat>
          <c:val>
            <c:numRef>
              <c:f>(Sheet4!$D$88,Sheet4!$G$88)</c:f>
            </c:numRef>
          </c:val>
          <c:smooth val="0"/>
          <c:extLst>
            <c:ext xmlns:c16="http://schemas.microsoft.com/office/drawing/2014/chart" uri="{C3380CC4-5D6E-409C-BE32-E72D297353CC}">
              <c16:uniqueId val="{00000039-A57C-46A7-8274-A76D0AF4373E}"/>
            </c:ext>
          </c:extLst>
        </c:ser>
        <c:ser>
          <c:idx val="57"/>
          <c:order val="52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Sheet4!$G$32:$G$145</c:f>
              <c:numCache>
                <c:formatCode>General</c:formatCode>
                <c:ptCount val="41"/>
              </c:numCache>
            </c:numRef>
          </c:cat>
          <c:val>
            <c:numRef>
              <c:f>(Sheet4!$D$89,Sheet4!$G$89)</c:f>
            </c:numRef>
          </c:val>
          <c:smooth val="0"/>
          <c:extLst>
            <c:ext xmlns:c16="http://schemas.microsoft.com/office/drawing/2014/chart" uri="{C3380CC4-5D6E-409C-BE32-E72D297353CC}">
              <c16:uniqueId val="{0000003A-A57C-46A7-8274-A76D0AF4373E}"/>
            </c:ext>
          </c:extLst>
        </c:ser>
        <c:ser>
          <c:idx val="59"/>
          <c:order val="53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Sheet4!$G$32:$G$145</c:f>
              <c:numCache>
                <c:formatCode>General</c:formatCode>
                <c:ptCount val="41"/>
              </c:numCache>
            </c:numRef>
          </c:cat>
          <c:val>
            <c:numRef>
              <c:f>(Sheet4!$D$91,Sheet4!$G$91)</c:f>
            </c:numRef>
          </c:val>
          <c:smooth val="0"/>
          <c:extLst>
            <c:ext xmlns:c16="http://schemas.microsoft.com/office/drawing/2014/chart" uri="{C3380CC4-5D6E-409C-BE32-E72D297353CC}">
              <c16:uniqueId val="{0000003C-A57C-46A7-8274-A76D0AF4373E}"/>
            </c:ext>
          </c:extLst>
        </c:ser>
        <c:ser>
          <c:idx val="60"/>
          <c:order val="54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Sheet4!$G$32:$G$145</c:f>
              <c:numCache>
                <c:formatCode>General</c:formatCode>
                <c:ptCount val="41"/>
              </c:numCache>
            </c:numRef>
          </c:cat>
          <c:val>
            <c:numRef>
              <c:f>(Sheet4!$D$92,Sheet4!$G$92)</c:f>
            </c:numRef>
          </c:val>
          <c:smooth val="0"/>
          <c:extLst>
            <c:ext xmlns:c16="http://schemas.microsoft.com/office/drawing/2014/chart" uri="{C3380CC4-5D6E-409C-BE32-E72D297353CC}">
              <c16:uniqueId val="{0000003D-A57C-46A7-8274-A76D0AF4373E}"/>
            </c:ext>
          </c:extLst>
        </c:ser>
        <c:ser>
          <c:idx val="62"/>
          <c:order val="55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Sheet4!$G$32:$G$145</c:f>
              <c:numCache>
                <c:formatCode>General</c:formatCode>
                <c:ptCount val="41"/>
              </c:numCache>
            </c:numRef>
          </c:cat>
          <c:val>
            <c:numRef>
              <c:f>(Sheet4!$D$94,Sheet4!$G$94)</c:f>
            </c:numRef>
          </c:val>
          <c:smooth val="0"/>
          <c:extLst>
            <c:ext xmlns:c16="http://schemas.microsoft.com/office/drawing/2014/chart" uri="{C3380CC4-5D6E-409C-BE32-E72D297353CC}">
              <c16:uniqueId val="{0000003F-A57C-46A7-8274-A76D0AF4373E}"/>
            </c:ext>
          </c:extLst>
        </c:ser>
        <c:ser>
          <c:idx val="64"/>
          <c:order val="56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Sheet4!$G$32:$G$145</c:f>
              <c:numCache>
                <c:formatCode>General</c:formatCode>
                <c:ptCount val="41"/>
              </c:numCache>
            </c:numRef>
          </c:cat>
          <c:val>
            <c:numRef>
              <c:f>(Sheet4!$D$96,Sheet4!$G$96)</c:f>
            </c:numRef>
          </c:val>
          <c:smooth val="0"/>
          <c:extLst>
            <c:ext xmlns:c16="http://schemas.microsoft.com/office/drawing/2014/chart" uri="{C3380CC4-5D6E-409C-BE32-E72D297353CC}">
              <c16:uniqueId val="{00000041-A57C-46A7-8274-A76D0AF4373E}"/>
            </c:ext>
          </c:extLst>
        </c:ser>
        <c:ser>
          <c:idx val="65"/>
          <c:order val="57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Sheet4!$G$32:$G$145</c:f>
              <c:numCache>
                <c:formatCode>General</c:formatCode>
                <c:ptCount val="41"/>
              </c:numCache>
            </c:numRef>
          </c:cat>
          <c:val>
            <c:numRef>
              <c:f>(Sheet4!$D$97,Sheet4!$G$97)</c:f>
            </c:numRef>
          </c:val>
          <c:smooth val="0"/>
          <c:extLst>
            <c:ext xmlns:c16="http://schemas.microsoft.com/office/drawing/2014/chart" uri="{C3380CC4-5D6E-409C-BE32-E72D297353CC}">
              <c16:uniqueId val="{00000042-A57C-46A7-8274-A76D0AF4373E}"/>
            </c:ext>
          </c:extLst>
        </c:ser>
        <c:ser>
          <c:idx val="66"/>
          <c:order val="58"/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Sheet4!$G$32:$G$145</c:f>
              <c:numCache>
                <c:formatCode>General</c:formatCode>
                <c:ptCount val="41"/>
              </c:numCache>
            </c:numRef>
          </c:cat>
          <c:val>
            <c:numRef>
              <c:f>(Sheet4!$D$98,Sheet4!$G$98)</c:f>
            </c:numRef>
          </c:val>
          <c:smooth val="0"/>
          <c:extLst>
            <c:ext xmlns:c16="http://schemas.microsoft.com/office/drawing/2014/chart" uri="{C3380CC4-5D6E-409C-BE32-E72D297353CC}">
              <c16:uniqueId val="{00000043-A57C-46A7-8274-A76D0AF4373E}"/>
            </c:ext>
          </c:extLst>
        </c:ser>
        <c:ser>
          <c:idx val="67"/>
          <c:order val="59"/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Sheet4!$G$32:$G$145</c:f>
              <c:numCache>
                <c:formatCode>General</c:formatCode>
                <c:ptCount val="41"/>
              </c:numCache>
            </c:numRef>
          </c:cat>
          <c:val>
            <c:numRef>
              <c:f>(Sheet4!$D$99,Sheet4!$G$99)</c:f>
            </c:numRef>
          </c:val>
          <c:smooth val="0"/>
          <c:extLst>
            <c:ext xmlns:c16="http://schemas.microsoft.com/office/drawing/2014/chart" uri="{C3380CC4-5D6E-409C-BE32-E72D297353CC}">
              <c16:uniqueId val="{00000044-A57C-46A7-8274-A76D0AF4373E}"/>
            </c:ext>
          </c:extLst>
        </c:ser>
        <c:ser>
          <c:idx val="68"/>
          <c:order val="60"/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Sheet4!$G$32:$G$145</c:f>
              <c:numCache>
                <c:formatCode>General</c:formatCode>
                <c:ptCount val="41"/>
              </c:numCache>
            </c:numRef>
          </c:cat>
          <c:val>
            <c:numRef>
              <c:f>(Sheet4!$D$100,Sheet4!$G$100)</c:f>
            </c:numRef>
          </c:val>
          <c:smooth val="0"/>
          <c:extLst>
            <c:ext xmlns:c16="http://schemas.microsoft.com/office/drawing/2014/chart" uri="{C3380CC4-5D6E-409C-BE32-E72D297353CC}">
              <c16:uniqueId val="{00000045-A57C-46A7-8274-A76D0AF4373E}"/>
            </c:ext>
          </c:extLst>
        </c:ser>
        <c:ser>
          <c:idx val="71"/>
          <c:order val="61"/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Sheet4!$G$32:$G$145</c:f>
              <c:numCache>
                <c:formatCode>General</c:formatCode>
                <c:ptCount val="41"/>
              </c:numCache>
            </c:numRef>
          </c:cat>
          <c:val>
            <c:numRef>
              <c:f>(Sheet4!$D$103,Sheet4!$G$103)</c:f>
            </c:numRef>
          </c:val>
          <c:smooth val="0"/>
          <c:extLst>
            <c:ext xmlns:c16="http://schemas.microsoft.com/office/drawing/2014/chart" uri="{C3380CC4-5D6E-409C-BE32-E72D297353CC}">
              <c16:uniqueId val="{00000048-A57C-46A7-8274-A76D0AF4373E}"/>
            </c:ext>
          </c:extLst>
        </c:ser>
        <c:ser>
          <c:idx val="72"/>
          <c:order val="62"/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Sheet4!$G$32:$G$145</c:f>
              <c:numCache>
                <c:formatCode>General</c:formatCode>
                <c:ptCount val="41"/>
              </c:numCache>
            </c:numRef>
          </c:cat>
          <c:val>
            <c:numRef>
              <c:f>(Sheet4!$D$104,Sheet4!$G$104)</c:f>
            </c:numRef>
          </c:val>
          <c:smooth val="0"/>
          <c:extLst>
            <c:ext xmlns:c16="http://schemas.microsoft.com/office/drawing/2014/chart" uri="{C3380CC4-5D6E-409C-BE32-E72D297353CC}">
              <c16:uniqueId val="{00000049-A57C-46A7-8274-A76D0AF4373E}"/>
            </c:ext>
          </c:extLst>
        </c:ser>
        <c:ser>
          <c:idx val="75"/>
          <c:order val="63"/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Sheet4!$G$32:$G$145</c:f>
              <c:numCache>
                <c:formatCode>General</c:formatCode>
                <c:ptCount val="41"/>
              </c:numCache>
            </c:numRef>
          </c:cat>
          <c:val>
            <c:numRef>
              <c:f>(Sheet4!$D$107,Sheet4!$G$107)</c:f>
            </c:numRef>
          </c:val>
          <c:smooth val="0"/>
          <c:extLst>
            <c:ext xmlns:c16="http://schemas.microsoft.com/office/drawing/2014/chart" uri="{C3380CC4-5D6E-409C-BE32-E72D297353CC}">
              <c16:uniqueId val="{0000004C-A57C-46A7-8274-A76D0AF4373E}"/>
            </c:ext>
          </c:extLst>
        </c:ser>
        <c:ser>
          <c:idx val="78"/>
          <c:order val="64"/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Sheet4!$G$32:$G$145</c:f>
              <c:numCache>
                <c:formatCode>General</c:formatCode>
                <c:ptCount val="41"/>
              </c:numCache>
            </c:numRef>
          </c:cat>
          <c:val>
            <c:numRef>
              <c:f>(Sheet4!$D$110,Sheet4!$G$110)</c:f>
            </c:numRef>
          </c:val>
          <c:smooth val="0"/>
          <c:extLst>
            <c:ext xmlns:c16="http://schemas.microsoft.com/office/drawing/2014/chart" uri="{C3380CC4-5D6E-409C-BE32-E72D297353CC}">
              <c16:uniqueId val="{0000004F-A57C-46A7-8274-A76D0AF4373E}"/>
            </c:ext>
          </c:extLst>
        </c:ser>
        <c:ser>
          <c:idx val="79"/>
          <c:order val="65"/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Sheet4!$G$32:$G$145</c:f>
              <c:numCache>
                <c:formatCode>General</c:formatCode>
                <c:ptCount val="41"/>
              </c:numCache>
            </c:numRef>
          </c:cat>
          <c:val>
            <c:numRef>
              <c:f>(Sheet4!$D$111,Sheet4!$G$111)</c:f>
            </c:numRef>
          </c:val>
          <c:smooth val="0"/>
          <c:extLst>
            <c:ext xmlns:c16="http://schemas.microsoft.com/office/drawing/2014/chart" uri="{C3380CC4-5D6E-409C-BE32-E72D297353CC}">
              <c16:uniqueId val="{00000050-A57C-46A7-8274-A76D0AF4373E}"/>
            </c:ext>
          </c:extLst>
        </c:ser>
        <c:ser>
          <c:idx val="83"/>
          <c:order val="66"/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Sheet4!$G$32:$G$145</c:f>
              <c:numCache>
                <c:formatCode>General</c:formatCode>
                <c:ptCount val="41"/>
              </c:numCache>
            </c:numRef>
          </c:cat>
          <c:val>
            <c:numRef>
              <c:f>(Sheet4!$D$115,Sheet4!$G$115)</c:f>
            </c:numRef>
          </c:val>
          <c:smooth val="0"/>
          <c:extLst>
            <c:ext xmlns:c16="http://schemas.microsoft.com/office/drawing/2014/chart" uri="{C3380CC4-5D6E-409C-BE32-E72D297353CC}">
              <c16:uniqueId val="{00000054-A57C-46A7-8274-A76D0AF4373E}"/>
            </c:ext>
          </c:extLst>
        </c:ser>
        <c:ser>
          <c:idx val="85"/>
          <c:order val="67"/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Sheet4!$G$32:$G$145</c:f>
              <c:numCache>
                <c:formatCode>General</c:formatCode>
                <c:ptCount val="41"/>
              </c:numCache>
            </c:numRef>
          </c:cat>
          <c:val>
            <c:numRef>
              <c:f>(Sheet4!$D$117,Sheet4!$G$117)</c:f>
            </c:numRef>
          </c:val>
          <c:smooth val="0"/>
          <c:extLst>
            <c:ext xmlns:c16="http://schemas.microsoft.com/office/drawing/2014/chart" uri="{C3380CC4-5D6E-409C-BE32-E72D297353CC}">
              <c16:uniqueId val="{00000056-A57C-46A7-8274-A76D0AF4373E}"/>
            </c:ext>
          </c:extLst>
        </c:ser>
        <c:ser>
          <c:idx val="86"/>
          <c:order val="68"/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Sheet4!$G$32:$G$145</c:f>
              <c:numCache>
                <c:formatCode>General</c:formatCode>
                <c:ptCount val="41"/>
              </c:numCache>
            </c:numRef>
          </c:cat>
          <c:val>
            <c:numRef>
              <c:f>(Sheet4!$D$118,Sheet4!$G$118)</c:f>
            </c:numRef>
          </c:val>
          <c:smooth val="0"/>
          <c:extLst>
            <c:ext xmlns:c16="http://schemas.microsoft.com/office/drawing/2014/chart" uri="{C3380CC4-5D6E-409C-BE32-E72D297353CC}">
              <c16:uniqueId val="{00000057-A57C-46A7-8274-A76D0AF4373E}"/>
            </c:ext>
          </c:extLst>
        </c:ser>
        <c:ser>
          <c:idx val="88"/>
          <c:order val="69"/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Sheet4!$G$32:$G$145</c:f>
              <c:numCache>
                <c:formatCode>General</c:formatCode>
                <c:ptCount val="41"/>
              </c:numCache>
            </c:numRef>
          </c:cat>
          <c:val>
            <c:numRef>
              <c:f>(Sheet4!$D$120,Sheet4!$G$120)</c:f>
            </c:numRef>
          </c:val>
          <c:smooth val="0"/>
          <c:extLst>
            <c:ext xmlns:c16="http://schemas.microsoft.com/office/drawing/2014/chart" uri="{C3380CC4-5D6E-409C-BE32-E72D297353CC}">
              <c16:uniqueId val="{00000059-A57C-46A7-8274-A76D0AF4373E}"/>
            </c:ext>
          </c:extLst>
        </c:ser>
        <c:ser>
          <c:idx val="92"/>
          <c:order val="70"/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Sheet4!$G$32:$G$145</c:f>
              <c:numCache>
                <c:formatCode>General</c:formatCode>
                <c:ptCount val="41"/>
              </c:numCache>
            </c:numRef>
          </c:cat>
          <c:val>
            <c:numRef>
              <c:f>(Sheet4!$D$124,Sheet4!$G$124)</c:f>
            </c:numRef>
          </c:val>
          <c:smooth val="0"/>
          <c:extLst>
            <c:ext xmlns:c16="http://schemas.microsoft.com/office/drawing/2014/chart" uri="{C3380CC4-5D6E-409C-BE32-E72D297353CC}">
              <c16:uniqueId val="{0000005D-A57C-46A7-8274-A76D0AF4373E}"/>
            </c:ext>
          </c:extLst>
        </c:ser>
        <c:ser>
          <c:idx val="104"/>
          <c:order val="71"/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Sheet4!$G$32:$G$145</c:f>
              <c:numCache>
                <c:formatCode>General</c:formatCode>
                <c:ptCount val="41"/>
              </c:numCache>
            </c:numRef>
          </c:cat>
          <c:val>
            <c:numRef>
              <c:f>(Sheet4!$D$136,Sheet4!$G$136)</c:f>
            </c:numRef>
          </c:val>
          <c:smooth val="0"/>
          <c:extLst>
            <c:ext xmlns:c16="http://schemas.microsoft.com/office/drawing/2014/chart" uri="{C3380CC4-5D6E-409C-BE32-E72D297353CC}">
              <c16:uniqueId val="{00000069-A57C-46A7-8274-A76D0AF4373E}"/>
            </c:ext>
          </c:extLst>
        </c:ser>
        <c:ser>
          <c:idx val="107"/>
          <c:order val="72"/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Sheet4!$G$32:$G$145</c:f>
              <c:numCache>
                <c:formatCode>General</c:formatCode>
                <c:ptCount val="41"/>
              </c:numCache>
            </c:numRef>
          </c:cat>
          <c:val>
            <c:numRef>
              <c:f>(Sheet4!$D$139,Sheet4!$G$139)</c:f>
            </c:numRef>
          </c:val>
          <c:smooth val="0"/>
          <c:extLst>
            <c:ext xmlns:c16="http://schemas.microsoft.com/office/drawing/2014/chart" uri="{C3380CC4-5D6E-409C-BE32-E72D297353CC}">
              <c16:uniqueId val="{0000006C-A57C-46A7-8274-A76D0AF4373E}"/>
            </c:ext>
          </c:extLst>
        </c:ser>
        <c:ser>
          <c:idx val="0"/>
          <c:order val="73"/>
          <c:tx>
            <c:strRef>
              <c:f>Sheet4!$D$22</c:f>
              <c:strCache>
                <c:ptCount val="1"/>
                <c:pt idx="0">
                  <c:v>Ladder score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6"/>
            <c:dispRSqr val="1"/>
            <c:dispEq val="1"/>
            <c:trendlineLbl>
              <c:layout>
                <c:manualLayout>
                  <c:x val="-0.23420950244111538"/>
                  <c:y val="-0.2263287509414631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Sheet4!$G$32:$G$145</c:f>
              <c:numCache>
                <c:formatCode>General</c:formatCode>
                <c:ptCount val="41"/>
              </c:numCache>
            </c:numRef>
          </c:cat>
          <c:val>
            <c:numRef>
              <c:f>Sheet4!$D$32:$D$145</c:f>
              <c:numCache>
                <c:formatCode>#,##0.0000</c:formatCode>
                <c:ptCount val="41"/>
                <c:pt idx="0">
                  <c:v>6.0490000000000004</c:v>
                </c:pt>
                <c:pt idx="1">
                  <c:v>3.4670000000000001</c:v>
                </c:pt>
                <c:pt idx="2">
                  <c:v>5.41</c:v>
                </c:pt>
                <c:pt idx="3">
                  <c:v>4.8520000000000003</c:v>
                </c:pt>
                <c:pt idx="4">
                  <c:v>4.9560000000000004</c:v>
                </c:pt>
                <c:pt idx="5">
                  <c:v>4.2830000000000004</c:v>
                </c:pt>
                <c:pt idx="6">
                  <c:v>4.8869999999999996</c:v>
                </c:pt>
                <c:pt idx="7">
                  <c:v>4.5960000000000001</c:v>
                </c:pt>
                <c:pt idx="8">
                  <c:v>4.5739999999999998</c:v>
                </c:pt>
                <c:pt idx="9">
                  <c:v>4.3079999999999998</c:v>
                </c:pt>
                <c:pt idx="10">
                  <c:v>4.9180000000000001</c:v>
                </c:pt>
                <c:pt idx="11">
                  <c:v>5.0880000000000001</c:v>
                </c:pt>
                <c:pt idx="12">
                  <c:v>5.306</c:v>
                </c:pt>
                <c:pt idx="13">
                  <c:v>4.2270000000000003</c:v>
                </c:pt>
                <c:pt idx="14">
                  <c:v>4.7590000000000003</c:v>
                </c:pt>
                <c:pt idx="15">
                  <c:v>4.6070000000000002</c:v>
                </c:pt>
                <c:pt idx="16">
                  <c:v>5.1420000000000003</c:v>
                </c:pt>
                <c:pt idx="17">
                  <c:v>4.0730000000000004</c:v>
                </c:pt>
                <c:pt idx="18">
                  <c:v>5.1319999999999997</c:v>
                </c:pt>
                <c:pt idx="19">
                  <c:v>5.3419999999999996</c:v>
                </c:pt>
                <c:pt idx="20">
                  <c:v>5.0449999999999999</c:v>
                </c:pt>
                <c:pt idx="21">
                  <c:v>4.2889999999999997</c:v>
                </c:pt>
                <c:pt idx="22">
                  <c:v>3.145</c:v>
                </c:pt>
                <c:pt idx="23">
                  <c:v>3.512</c:v>
                </c:pt>
                <c:pt idx="24">
                  <c:v>3.6230000000000002</c:v>
                </c:pt>
                <c:pt idx="25">
                  <c:v>4.984</c:v>
                </c:pt>
                <c:pt idx="26">
                  <c:v>4.7229999999999999</c:v>
                </c:pt>
                <c:pt idx="27">
                  <c:v>4.2750000000000004</c:v>
                </c:pt>
                <c:pt idx="28">
                  <c:v>5.0510000000000002</c:v>
                </c:pt>
                <c:pt idx="29">
                  <c:v>4.8339999999999996</c:v>
                </c:pt>
                <c:pt idx="30">
                  <c:v>4.6360000000000001</c:v>
                </c:pt>
                <c:pt idx="31">
                  <c:v>3.415</c:v>
                </c:pt>
                <c:pt idx="32">
                  <c:v>3.8490000000000002</c:v>
                </c:pt>
                <c:pt idx="33">
                  <c:v>4.2080000000000002</c:v>
                </c:pt>
                <c:pt idx="34">
                  <c:v>4.3550000000000004</c:v>
                </c:pt>
                <c:pt idx="35">
                  <c:v>4.1070000000000002</c:v>
                </c:pt>
                <c:pt idx="36">
                  <c:v>4.625</c:v>
                </c:pt>
                <c:pt idx="37">
                  <c:v>4.7939999999999996</c:v>
                </c:pt>
                <c:pt idx="38">
                  <c:v>5.0739999999999998</c:v>
                </c:pt>
                <c:pt idx="39">
                  <c:v>3.6</c:v>
                </c:pt>
                <c:pt idx="40">
                  <c:v>3.7749999999999999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A57C-46A7-8274-A76D0AF437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8026896"/>
        <c:axId val="258042256"/>
      </c:lineChart>
      <c:catAx>
        <c:axId val="2580268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ln(GDP)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8042256"/>
        <c:crosses val="autoZero"/>
        <c:auto val="1"/>
        <c:lblAlgn val="ctr"/>
        <c:lblOffset val="100"/>
        <c:noMultiLvlLbl val="0"/>
      </c:catAx>
      <c:valAx>
        <c:axId val="25804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l-SI"/>
                  <a:t>Ladderscore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8026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Sheet4!$E$164</c:f>
              <c:strCache>
                <c:ptCount val="1"/>
                <c:pt idx="0">
                  <c:v>Normalized ladder score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Sheet4!$E$165:$E$313</c:f>
              <c:numCache>
                <c:formatCode>General</c:formatCode>
                <c:ptCount val="149"/>
                <c:pt idx="0">
                  <c:v>0</c:v>
                </c:pt>
                <c:pt idx="1">
                  <c:v>0.11693927429968039</c:v>
                </c:pt>
                <c:pt idx="2">
                  <c:v>0.16770069561947734</c:v>
                </c:pt>
                <c:pt idx="3">
                  <c:v>0.17747696935514196</c:v>
                </c:pt>
                <c:pt idx="4">
                  <c:v>0.18593720624177476</c:v>
                </c:pt>
                <c:pt idx="5">
                  <c:v>0.20248166948674562</c:v>
                </c:pt>
                <c:pt idx="6">
                  <c:v>0.20530174844895657</c:v>
                </c:pt>
                <c:pt idx="7">
                  <c:v>0.20680579056213574</c:v>
                </c:pt>
                <c:pt idx="8">
                  <c:v>0.2133859748072946</c:v>
                </c:pt>
                <c:pt idx="9">
                  <c:v>0.23538259071253995</c:v>
                </c:pt>
                <c:pt idx="10">
                  <c:v>0.24365482233502539</c:v>
                </c:pt>
                <c:pt idx="11">
                  <c:v>0.24929498025944727</c:v>
                </c:pt>
                <c:pt idx="12">
                  <c:v>0.29140815942846399</c:v>
                </c:pt>
                <c:pt idx="13">
                  <c:v>0.29780033840947545</c:v>
                </c:pt>
                <c:pt idx="14">
                  <c:v>0.31678887008836248</c:v>
                </c:pt>
                <c:pt idx="15">
                  <c:v>0.32036097010716302</c:v>
                </c:pt>
                <c:pt idx="16">
                  <c:v>0.329385222786238</c:v>
                </c:pt>
                <c:pt idx="17">
                  <c:v>0.33088926489941717</c:v>
                </c:pt>
                <c:pt idx="18">
                  <c:v>0.33201729648430156</c:v>
                </c:pt>
                <c:pt idx="19">
                  <c:v>0.3355893965031021</c:v>
                </c:pt>
                <c:pt idx="20">
                  <c:v>0.3387854859936078</c:v>
                </c:pt>
                <c:pt idx="21">
                  <c:v>0.34442564391802971</c:v>
                </c:pt>
                <c:pt idx="22">
                  <c:v>0.35194585448392557</c:v>
                </c:pt>
                <c:pt idx="23">
                  <c:v>0.35777401767249484</c:v>
                </c:pt>
                <c:pt idx="24">
                  <c:v>0.37488249670990786</c:v>
                </c:pt>
                <c:pt idx="25">
                  <c:v>0.38559879676630948</c:v>
                </c:pt>
                <c:pt idx="26">
                  <c:v>0.38747884940778343</c:v>
                </c:pt>
                <c:pt idx="27">
                  <c:v>0.38973491257755216</c:v>
                </c:pt>
                <c:pt idx="28">
                  <c:v>0.39180297048317353</c:v>
                </c:pt>
                <c:pt idx="29">
                  <c:v>0.39518706523782665</c:v>
                </c:pt>
                <c:pt idx="30">
                  <c:v>0.39725512314344802</c:v>
                </c:pt>
                <c:pt idx="31">
                  <c:v>0.41323557059597671</c:v>
                </c:pt>
                <c:pt idx="32">
                  <c:v>0.41361158112427149</c:v>
                </c:pt>
                <c:pt idx="33">
                  <c:v>0.42037977063357773</c:v>
                </c:pt>
                <c:pt idx="34">
                  <c:v>0.42695995487873661</c:v>
                </c:pt>
                <c:pt idx="35">
                  <c:v>0.43372814438804286</c:v>
                </c:pt>
                <c:pt idx="36">
                  <c:v>0.43448016544463247</c:v>
                </c:pt>
                <c:pt idx="37">
                  <c:v>0.43786426019928559</c:v>
                </c:pt>
                <c:pt idx="38">
                  <c:v>0.43824027072758037</c:v>
                </c:pt>
                <c:pt idx="39">
                  <c:v>0.44218838127467569</c:v>
                </c:pt>
                <c:pt idx="40">
                  <c:v>0.44444444444444442</c:v>
                </c:pt>
                <c:pt idx="41">
                  <c:v>0.44519646550103403</c:v>
                </c:pt>
                <c:pt idx="42">
                  <c:v>0.44538447076518145</c:v>
                </c:pt>
                <c:pt idx="43">
                  <c:v>0.45027260763301374</c:v>
                </c:pt>
                <c:pt idx="44">
                  <c:v>0.45328069185937209</c:v>
                </c:pt>
                <c:pt idx="45">
                  <c:v>0.4559127655574356</c:v>
                </c:pt>
                <c:pt idx="46">
                  <c:v>0.45741680767061477</c:v>
                </c:pt>
                <c:pt idx="47">
                  <c:v>0.46268095506674189</c:v>
                </c:pt>
                <c:pt idx="48">
                  <c:v>0.47038917089678511</c:v>
                </c:pt>
                <c:pt idx="49">
                  <c:v>0.47132919721752209</c:v>
                </c:pt>
                <c:pt idx="50">
                  <c:v>0.47414927617973301</c:v>
                </c:pt>
                <c:pt idx="51">
                  <c:v>0.47527730776461741</c:v>
                </c:pt>
                <c:pt idx="52">
                  <c:v>0.47809738672682833</c:v>
                </c:pt>
                <c:pt idx="53">
                  <c:v>0.4796014288400075</c:v>
                </c:pt>
                <c:pt idx="54">
                  <c:v>0.48223350253807107</c:v>
                </c:pt>
                <c:pt idx="55">
                  <c:v>0.48467757097198721</c:v>
                </c:pt>
                <c:pt idx="56">
                  <c:v>0.48768565519834556</c:v>
                </c:pt>
                <c:pt idx="57">
                  <c:v>0.49050573416055648</c:v>
                </c:pt>
                <c:pt idx="58">
                  <c:v>0.49238578680203043</c:v>
                </c:pt>
                <c:pt idx="59">
                  <c:v>0.49783793946230492</c:v>
                </c:pt>
                <c:pt idx="60">
                  <c:v>0.50291408159428463</c:v>
                </c:pt>
                <c:pt idx="61">
                  <c:v>0.51569843955630756</c:v>
                </c:pt>
                <c:pt idx="62">
                  <c:v>0.51626245534874982</c:v>
                </c:pt>
                <c:pt idx="63">
                  <c:v>0.51889452904681332</c:v>
                </c:pt>
                <c:pt idx="64">
                  <c:v>0.52321865012220348</c:v>
                </c:pt>
                <c:pt idx="65">
                  <c:v>0.52942282383906747</c:v>
                </c:pt>
                <c:pt idx="66">
                  <c:v>0.52998683963150972</c:v>
                </c:pt>
                <c:pt idx="67">
                  <c:v>0.53055085542395186</c:v>
                </c:pt>
                <c:pt idx="68">
                  <c:v>0.53788306072570036</c:v>
                </c:pt>
                <c:pt idx="69">
                  <c:v>0.54277119759353265</c:v>
                </c:pt>
                <c:pt idx="70">
                  <c:v>0.54295920285768007</c:v>
                </c:pt>
                <c:pt idx="71">
                  <c:v>0.5532994923857868</c:v>
                </c:pt>
                <c:pt idx="72">
                  <c:v>0.55536755029140816</c:v>
                </c:pt>
                <c:pt idx="73">
                  <c:v>0.55536755029140816</c:v>
                </c:pt>
                <c:pt idx="74">
                  <c:v>0.56608385034780973</c:v>
                </c:pt>
                <c:pt idx="75">
                  <c:v>0.56645986087610456</c:v>
                </c:pt>
                <c:pt idx="76">
                  <c:v>0.56815190825343109</c:v>
                </c:pt>
                <c:pt idx="77">
                  <c:v>0.57492009776273734</c:v>
                </c:pt>
                <c:pt idx="78">
                  <c:v>0.58845647678134982</c:v>
                </c:pt>
                <c:pt idx="79">
                  <c:v>0.59296860312088739</c:v>
                </c:pt>
                <c:pt idx="80">
                  <c:v>0.60030080842263578</c:v>
                </c:pt>
                <c:pt idx="81">
                  <c:v>0.60161684527166759</c:v>
                </c:pt>
                <c:pt idx="82">
                  <c:v>0.60556495581876291</c:v>
                </c:pt>
                <c:pt idx="83">
                  <c:v>0.60932506110171081</c:v>
                </c:pt>
                <c:pt idx="84">
                  <c:v>0.60970107163000564</c:v>
                </c:pt>
                <c:pt idx="85">
                  <c:v>0.61853731904493325</c:v>
                </c:pt>
                <c:pt idx="86">
                  <c:v>0.62361346117691296</c:v>
                </c:pt>
                <c:pt idx="87">
                  <c:v>0.62455348749764994</c:v>
                </c:pt>
                <c:pt idx="88">
                  <c:v>0.63113367174280877</c:v>
                </c:pt>
                <c:pt idx="89">
                  <c:v>0.6315096822711036</c:v>
                </c:pt>
                <c:pt idx="90">
                  <c:v>0.63846587704455726</c:v>
                </c:pt>
                <c:pt idx="91">
                  <c:v>0.64034592968603121</c:v>
                </c:pt>
                <c:pt idx="92">
                  <c:v>0.64034592968603121</c:v>
                </c:pt>
                <c:pt idx="93">
                  <c:v>0.64241398759165258</c:v>
                </c:pt>
                <c:pt idx="94">
                  <c:v>0.64843015604436927</c:v>
                </c:pt>
                <c:pt idx="95">
                  <c:v>0.65087422447828536</c:v>
                </c:pt>
                <c:pt idx="96">
                  <c:v>0.65219026132731717</c:v>
                </c:pt>
                <c:pt idx="97">
                  <c:v>0.65595036661026507</c:v>
                </c:pt>
                <c:pt idx="98">
                  <c:v>0.65971047189321297</c:v>
                </c:pt>
                <c:pt idx="99">
                  <c:v>0.66290656138371873</c:v>
                </c:pt>
                <c:pt idx="100">
                  <c:v>0.66516262455348751</c:v>
                </c:pt>
                <c:pt idx="101">
                  <c:v>0.66835871404399327</c:v>
                </c:pt>
                <c:pt idx="102">
                  <c:v>0.67362286144012029</c:v>
                </c:pt>
                <c:pt idx="103">
                  <c:v>0.68001504042113181</c:v>
                </c:pt>
                <c:pt idx="104">
                  <c:v>0.6822711035909006</c:v>
                </c:pt>
                <c:pt idx="105">
                  <c:v>0.6849031772889641</c:v>
                </c:pt>
                <c:pt idx="106">
                  <c:v>0.6860312088738485</c:v>
                </c:pt>
                <c:pt idx="107">
                  <c:v>0.6873472457228802</c:v>
                </c:pt>
                <c:pt idx="108">
                  <c:v>0.68753525098702761</c:v>
                </c:pt>
                <c:pt idx="109">
                  <c:v>0.68922729836435426</c:v>
                </c:pt>
                <c:pt idx="110">
                  <c:v>0.69561947734536567</c:v>
                </c:pt>
                <c:pt idx="111">
                  <c:v>0.70163564579808235</c:v>
                </c:pt>
                <c:pt idx="112">
                  <c:v>0.71178793006204177</c:v>
                </c:pt>
                <c:pt idx="113">
                  <c:v>0.71329197217522089</c:v>
                </c:pt>
                <c:pt idx="114">
                  <c:v>0.71573604060913709</c:v>
                </c:pt>
                <c:pt idx="115">
                  <c:v>0.7159240458732844</c:v>
                </c:pt>
                <c:pt idx="116">
                  <c:v>0.72363226170332773</c:v>
                </c:pt>
                <c:pt idx="117">
                  <c:v>0.7245722880240647</c:v>
                </c:pt>
                <c:pt idx="118">
                  <c:v>0.73472457228802401</c:v>
                </c:pt>
                <c:pt idx="119">
                  <c:v>0.73547659334461368</c:v>
                </c:pt>
                <c:pt idx="120">
                  <c:v>0.74036473021244598</c:v>
                </c:pt>
                <c:pt idx="121">
                  <c:v>0.74450084602368871</c:v>
                </c:pt>
                <c:pt idx="122">
                  <c:v>0.74600488813686783</c:v>
                </c:pt>
                <c:pt idx="123">
                  <c:v>0.74656890392930997</c:v>
                </c:pt>
                <c:pt idx="124">
                  <c:v>0.75916525662718559</c:v>
                </c:pt>
                <c:pt idx="125">
                  <c:v>0.76348937770257563</c:v>
                </c:pt>
                <c:pt idx="126">
                  <c:v>0.76687347245722881</c:v>
                </c:pt>
                <c:pt idx="127">
                  <c:v>0.77533370934386159</c:v>
                </c:pt>
                <c:pt idx="128">
                  <c:v>0.78341793570219964</c:v>
                </c:pt>
                <c:pt idx="129">
                  <c:v>0.81049069373942473</c:v>
                </c:pt>
                <c:pt idx="130">
                  <c:v>0.8324873096446701</c:v>
                </c:pt>
                <c:pt idx="131">
                  <c:v>0.83511938334273361</c:v>
                </c:pt>
                <c:pt idx="132">
                  <c:v>0.85373190449332581</c:v>
                </c:pt>
                <c:pt idx="133">
                  <c:v>0.85467193081406279</c:v>
                </c:pt>
                <c:pt idx="134">
                  <c:v>0.85768001504042113</c:v>
                </c:pt>
                <c:pt idx="135">
                  <c:v>0.86106410979507431</c:v>
                </c:pt>
                <c:pt idx="136">
                  <c:v>0.87084038353073889</c:v>
                </c:pt>
                <c:pt idx="137">
                  <c:v>0.87121639405903362</c:v>
                </c:pt>
                <c:pt idx="138">
                  <c:v>0.87610453092686591</c:v>
                </c:pt>
                <c:pt idx="139">
                  <c:v>0.8920849783793946</c:v>
                </c:pt>
                <c:pt idx="140">
                  <c:v>0.89377702575672113</c:v>
                </c:pt>
                <c:pt idx="141">
                  <c:v>0.90261327317164886</c:v>
                </c:pt>
                <c:pt idx="142">
                  <c:v>0.90994547847339724</c:v>
                </c:pt>
                <c:pt idx="143">
                  <c:v>0.91539763113367179</c:v>
                </c:pt>
                <c:pt idx="144">
                  <c:v>0.92893401015228427</c:v>
                </c:pt>
                <c:pt idx="145">
                  <c:v>0.94585448392554994</c:v>
                </c:pt>
                <c:pt idx="146">
                  <c:v>0.9490505734160557</c:v>
                </c:pt>
                <c:pt idx="147">
                  <c:v>0.95826283135927803</c:v>
                </c:pt>
                <c:pt idx="14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B3-4DAE-A101-1411DEE7941B}"/>
            </c:ext>
          </c:extLst>
        </c:ser>
        <c:ser>
          <c:idx val="1"/>
          <c:order val="1"/>
          <c:tx>
            <c:strRef>
              <c:f>Sheet4!$F$164</c:f>
              <c:strCache>
                <c:ptCount val="1"/>
                <c:pt idx="0">
                  <c:v>Normalized Freedom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51105251302542409"/>
                  <c:y val="1.053192129647802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val>
            <c:numRef>
              <c:f>Sheet4!$F$165:$F$313</c:f>
              <c:numCache>
                <c:formatCode>General</c:formatCode>
                <c:ptCount val="149"/>
                <c:pt idx="0">
                  <c:v>0</c:v>
                </c:pt>
                <c:pt idx="1">
                  <c:v>0.5017006802721089</c:v>
                </c:pt>
                <c:pt idx="2">
                  <c:v>0.87585034013605445</c:v>
                </c:pt>
                <c:pt idx="3">
                  <c:v>0.75170068027210879</c:v>
                </c:pt>
                <c:pt idx="4">
                  <c:v>0.56632653061224492</c:v>
                </c:pt>
                <c:pt idx="5">
                  <c:v>0.67687074829931981</c:v>
                </c:pt>
                <c:pt idx="6">
                  <c:v>0.35884353741496594</c:v>
                </c:pt>
                <c:pt idx="7">
                  <c:v>0.76700680272108845</c:v>
                </c:pt>
                <c:pt idx="8">
                  <c:v>0.37414965986394555</c:v>
                </c:pt>
                <c:pt idx="9">
                  <c:v>0.41496598639455784</c:v>
                </c:pt>
                <c:pt idx="10">
                  <c:v>0.86904761904761907</c:v>
                </c:pt>
                <c:pt idx="11">
                  <c:v>0.56972789115646261</c:v>
                </c:pt>
                <c:pt idx="12">
                  <c:v>0.6802721088435375</c:v>
                </c:pt>
                <c:pt idx="13">
                  <c:v>0.40306122448979592</c:v>
                </c:pt>
                <c:pt idx="14">
                  <c:v>0.2891156462585035</c:v>
                </c:pt>
                <c:pt idx="15">
                  <c:v>0.30442176870748311</c:v>
                </c:pt>
                <c:pt idx="16">
                  <c:v>0.62925170068027214</c:v>
                </c:pt>
                <c:pt idx="17">
                  <c:v>0.62414965986394555</c:v>
                </c:pt>
                <c:pt idx="18">
                  <c:v>0.28231292517006812</c:v>
                </c:pt>
                <c:pt idx="19">
                  <c:v>0.45068027210884359</c:v>
                </c:pt>
                <c:pt idx="20">
                  <c:v>0.78061224489795922</c:v>
                </c:pt>
                <c:pt idx="21">
                  <c:v>0.3350340136054421</c:v>
                </c:pt>
                <c:pt idx="22">
                  <c:v>0.63435374149659862</c:v>
                </c:pt>
                <c:pt idx="23">
                  <c:v>0.84013605442176875</c:v>
                </c:pt>
                <c:pt idx="24">
                  <c:v>0.46088435374149667</c:v>
                </c:pt>
                <c:pt idx="25">
                  <c:v>0.5731292517006803</c:v>
                </c:pt>
                <c:pt idx="26">
                  <c:v>0.24319727891156467</c:v>
                </c:pt>
                <c:pt idx="27">
                  <c:v>0.4659863945578232</c:v>
                </c:pt>
                <c:pt idx="28">
                  <c:v>0.67517006802721091</c:v>
                </c:pt>
                <c:pt idx="29">
                  <c:v>0.60034013605442171</c:v>
                </c:pt>
                <c:pt idx="30">
                  <c:v>0.55612244897959184</c:v>
                </c:pt>
                <c:pt idx="31">
                  <c:v>0.38435374149659862</c:v>
                </c:pt>
                <c:pt idx="32">
                  <c:v>0.5357142857142857</c:v>
                </c:pt>
                <c:pt idx="33">
                  <c:v>0.6037414965986394</c:v>
                </c:pt>
                <c:pt idx="34">
                  <c:v>0.85034013605442182</c:v>
                </c:pt>
                <c:pt idx="35">
                  <c:v>0.98129251700680276</c:v>
                </c:pt>
                <c:pt idx="36">
                  <c:v>0.53231292517006801</c:v>
                </c:pt>
                <c:pt idx="37">
                  <c:v>0.59353741496598644</c:v>
                </c:pt>
                <c:pt idx="38">
                  <c:v>0.42176870748299322</c:v>
                </c:pt>
                <c:pt idx="39">
                  <c:v>0.58163265306122447</c:v>
                </c:pt>
                <c:pt idx="40">
                  <c:v>0.16666666666666663</c:v>
                </c:pt>
                <c:pt idx="41">
                  <c:v>0.68197278911564629</c:v>
                </c:pt>
                <c:pt idx="42">
                  <c:v>0.39625850340136054</c:v>
                </c:pt>
                <c:pt idx="43">
                  <c:v>0.66666666666666674</c:v>
                </c:pt>
                <c:pt idx="44">
                  <c:v>0.58503401360544216</c:v>
                </c:pt>
                <c:pt idx="45">
                  <c:v>0.32993197278911557</c:v>
                </c:pt>
                <c:pt idx="46">
                  <c:v>0.62414965986394555</c:v>
                </c:pt>
                <c:pt idx="47">
                  <c:v>0.5357142857142857</c:v>
                </c:pt>
                <c:pt idx="48">
                  <c:v>0.84183673469387754</c:v>
                </c:pt>
                <c:pt idx="49">
                  <c:v>0.8979591836734695</c:v>
                </c:pt>
                <c:pt idx="50">
                  <c:v>0.63775510204081631</c:v>
                </c:pt>
                <c:pt idx="51">
                  <c:v>0.5357142857142857</c:v>
                </c:pt>
                <c:pt idx="52">
                  <c:v>0.84183673469387754</c:v>
                </c:pt>
                <c:pt idx="53">
                  <c:v>0.72108843537414979</c:v>
                </c:pt>
                <c:pt idx="54">
                  <c:v>0.72278911564625858</c:v>
                </c:pt>
                <c:pt idx="55">
                  <c:v>0.62755102040816324</c:v>
                </c:pt>
                <c:pt idx="56">
                  <c:v>0.68537414965986398</c:v>
                </c:pt>
                <c:pt idx="57">
                  <c:v>0.53231292517006801</c:v>
                </c:pt>
                <c:pt idx="58">
                  <c:v>0.59353741496598644</c:v>
                </c:pt>
                <c:pt idx="59">
                  <c:v>0.73469387755102034</c:v>
                </c:pt>
                <c:pt idx="60">
                  <c:v>0.80272108843537415</c:v>
                </c:pt>
                <c:pt idx="61">
                  <c:v>0.69047619047619058</c:v>
                </c:pt>
                <c:pt idx="62">
                  <c:v>0.6802721088435375</c:v>
                </c:pt>
                <c:pt idx="63">
                  <c:v>0.75340136054421769</c:v>
                </c:pt>
                <c:pt idx="64">
                  <c:v>0.61054421768707479</c:v>
                </c:pt>
                <c:pt idx="65">
                  <c:v>0.88775510204081642</c:v>
                </c:pt>
                <c:pt idx="66">
                  <c:v>0.53231292517006801</c:v>
                </c:pt>
                <c:pt idx="67">
                  <c:v>0.83503401360544216</c:v>
                </c:pt>
                <c:pt idx="68">
                  <c:v>0.87244897959183676</c:v>
                </c:pt>
                <c:pt idx="69">
                  <c:v>0.66156462585034015</c:v>
                </c:pt>
                <c:pt idx="70">
                  <c:v>0.94897959183673464</c:v>
                </c:pt>
                <c:pt idx="71">
                  <c:v>0.76530612244897955</c:v>
                </c:pt>
                <c:pt idx="72">
                  <c:v>0.5714285714285714</c:v>
                </c:pt>
                <c:pt idx="73">
                  <c:v>0.56972789115646261</c:v>
                </c:pt>
                <c:pt idx="74">
                  <c:v>0.45578231292517013</c:v>
                </c:pt>
                <c:pt idx="75">
                  <c:v>0.70238095238095244</c:v>
                </c:pt>
                <c:pt idx="76">
                  <c:v>0.81292517006802723</c:v>
                </c:pt>
                <c:pt idx="77">
                  <c:v>0.55442176870748294</c:v>
                </c:pt>
                <c:pt idx="78">
                  <c:v>0.84013605442176875</c:v>
                </c:pt>
                <c:pt idx="79">
                  <c:v>0.55442176870748294</c:v>
                </c:pt>
                <c:pt idx="80">
                  <c:v>0.83843537414965985</c:v>
                </c:pt>
                <c:pt idx="81">
                  <c:v>0.34013605442176864</c:v>
                </c:pt>
                <c:pt idx="82">
                  <c:v>0.94047619047619058</c:v>
                </c:pt>
                <c:pt idx="83">
                  <c:v>0.78231292517006801</c:v>
                </c:pt>
                <c:pt idx="84">
                  <c:v>0.7482993197278911</c:v>
                </c:pt>
                <c:pt idx="85">
                  <c:v>0.55102040816326525</c:v>
                </c:pt>
                <c:pt idx="86">
                  <c:v>0.7482993197278911</c:v>
                </c:pt>
                <c:pt idx="87">
                  <c:v>0.49319727891156473</c:v>
                </c:pt>
                <c:pt idx="88">
                  <c:v>0.90986394557823136</c:v>
                </c:pt>
                <c:pt idx="89">
                  <c:v>0.63265306122448983</c:v>
                </c:pt>
                <c:pt idx="90">
                  <c:v>0.80782312925170063</c:v>
                </c:pt>
                <c:pt idx="91">
                  <c:v>0.75850340136054417</c:v>
                </c:pt>
                <c:pt idx="92">
                  <c:v>0.86734693877551028</c:v>
                </c:pt>
                <c:pt idx="93">
                  <c:v>0.70408163265306134</c:v>
                </c:pt>
                <c:pt idx="94">
                  <c:v>0.77210884353741494</c:v>
                </c:pt>
                <c:pt idx="95">
                  <c:v>0.85374149659863952</c:v>
                </c:pt>
                <c:pt idx="96">
                  <c:v>0.63435374149659862</c:v>
                </c:pt>
                <c:pt idx="97">
                  <c:v>0.77380952380952384</c:v>
                </c:pt>
                <c:pt idx="98">
                  <c:v>0.56632653061224492</c:v>
                </c:pt>
                <c:pt idx="99">
                  <c:v>0.82482993197278909</c:v>
                </c:pt>
                <c:pt idx="100">
                  <c:v>0.8605442176870749</c:v>
                </c:pt>
                <c:pt idx="101">
                  <c:v>0.67346938775510212</c:v>
                </c:pt>
                <c:pt idx="102">
                  <c:v>0.82482993197278909</c:v>
                </c:pt>
                <c:pt idx="103">
                  <c:v>0.7874149659863946</c:v>
                </c:pt>
                <c:pt idx="104">
                  <c:v>0.80102040816326525</c:v>
                </c:pt>
                <c:pt idx="105">
                  <c:v>0.78061224489795922</c:v>
                </c:pt>
                <c:pt idx="106">
                  <c:v>0.61224489795918369</c:v>
                </c:pt>
                <c:pt idx="107">
                  <c:v>1</c:v>
                </c:pt>
                <c:pt idx="108">
                  <c:v>0.83333333333333337</c:v>
                </c:pt>
                <c:pt idx="109">
                  <c:v>0.8962585034013606</c:v>
                </c:pt>
                <c:pt idx="110">
                  <c:v>0.64795918367346939</c:v>
                </c:pt>
                <c:pt idx="111">
                  <c:v>0.66496598639455784</c:v>
                </c:pt>
                <c:pt idx="112">
                  <c:v>0.86394557823129259</c:v>
                </c:pt>
                <c:pt idx="113">
                  <c:v>0.81632653061224492</c:v>
                </c:pt>
                <c:pt idx="114">
                  <c:v>0.7176870748299321</c:v>
                </c:pt>
                <c:pt idx="115">
                  <c:v>0.65306122448979598</c:v>
                </c:pt>
                <c:pt idx="116">
                  <c:v>0.82823129251700678</c:v>
                </c:pt>
                <c:pt idx="117">
                  <c:v>0.92687074829931981</c:v>
                </c:pt>
                <c:pt idx="118">
                  <c:v>0.87414965986394566</c:v>
                </c:pt>
                <c:pt idx="119">
                  <c:v>0.89115646258503411</c:v>
                </c:pt>
                <c:pt idx="120">
                  <c:v>0.9642857142857143</c:v>
                </c:pt>
                <c:pt idx="121">
                  <c:v>0.52891156462585032</c:v>
                </c:pt>
                <c:pt idx="122">
                  <c:v>0.64455782312925169</c:v>
                </c:pt>
                <c:pt idx="123">
                  <c:v>0.84183673469387754</c:v>
                </c:pt>
                <c:pt idx="124">
                  <c:v>0.9353741496598641</c:v>
                </c:pt>
                <c:pt idx="125">
                  <c:v>0.68367346938775519</c:v>
                </c:pt>
                <c:pt idx="126">
                  <c:v>0.92687074829931981</c:v>
                </c:pt>
                <c:pt idx="127">
                  <c:v>0.92346938775510212</c:v>
                </c:pt>
                <c:pt idx="128">
                  <c:v>0.7482993197278911</c:v>
                </c:pt>
                <c:pt idx="129">
                  <c:v>0.68197278911564629</c:v>
                </c:pt>
                <c:pt idx="130">
                  <c:v>0.77380952380952384</c:v>
                </c:pt>
                <c:pt idx="131">
                  <c:v>0.80952380952380953</c:v>
                </c:pt>
                <c:pt idx="132">
                  <c:v>0.81122448979591832</c:v>
                </c:pt>
                <c:pt idx="133">
                  <c:v>0.93877551020408179</c:v>
                </c:pt>
                <c:pt idx="134">
                  <c:v>0.84523809523809523</c:v>
                </c:pt>
                <c:pt idx="135">
                  <c:v>0.90646258503401367</c:v>
                </c:pt>
                <c:pt idx="136">
                  <c:v>0.83843537414965985</c:v>
                </c:pt>
                <c:pt idx="137">
                  <c:v>0.71088435374149672</c:v>
                </c:pt>
                <c:pt idx="138">
                  <c:v>0.90476190476190488</c:v>
                </c:pt>
                <c:pt idx="139">
                  <c:v>0.89455782312925181</c:v>
                </c:pt>
                <c:pt idx="140">
                  <c:v>0.9302721088435375</c:v>
                </c:pt>
                <c:pt idx="141">
                  <c:v>0.8928571428571429</c:v>
                </c:pt>
                <c:pt idx="142">
                  <c:v>0.95748299319727892</c:v>
                </c:pt>
                <c:pt idx="143">
                  <c:v>0.98299319727891155</c:v>
                </c:pt>
                <c:pt idx="144">
                  <c:v>0.90306122448979598</c:v>
                </c:pt>
                <c:pt idx="145">
                  <c:v>0.97448979591836737</c:v>
                </c:pt>
                <c:pt idx="146">
                  <c:v>0.91326530612244905</c:v>
                </c:pt>
                <c:pt idx="147">
                  <c:v>0.95918367346938771</c:v>
                </c:pt>
                <c:pt idx="148">
                  <c:v>0.9642857142857143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B3-4DAE-A101-1411DEE794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305279"/>
        <c:axId val="91305759"/>
      </c:lineChart>
      <c:catAx>
        <c:axId val="913052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l-SI"/>
                  <a:t>Country</a:t>
                </a:r>
                <a:r>
                  <a:rPr lang="sl-SI" baseline="0"/>
                  <a:t> number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305759"/>
        <c:crosses val="autoZero"/>
        <c:auto val="1"/>
        <c:lblAlgn val="ctr"/>
        <c:lblOffset val="100"/>
        <c:noMultiLvlLbl val="0"/>
      </c:catAx>
      <c:valAx>
        <c:axId val="91305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l-SI"/>
                  <a:t>Normalized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305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l-SI"/>
              <a:t>How</a:t>
            </a:r>
            <a:r>
              <a:rPr lang="sl-SI" baseline="0"/>
              <a:t> </a:t>
            </a:r>
            <a:r>
              <a:rPr lang="sl-SI"/>
              <a:t>20%</a:t>
            </a:r>
            <a:r>
              <a:rPr lang="sl-SI" baseline="0"/>
              <a:t> increase in logged GDP influencing Happiness score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Sheet7!$C$1</c:f>
              <c:strCache>
                <c:ptCount val="1"/>
                <c:pt idx="0">
                  <c:v>Original happiness score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Sheet7!$B$2:$B$135</c:f>
              <c:strCache>
                <c:ptCount val="41"/>
                <c:pt idx="0">
                  <c:v>Algeria</c:v>
                </c:pt>
                <c:pt idx="1">
                  <c:v>Benin</c:v>
                </c:pt>
                <c:pt idx="2">
                  <c:v>Botswana</c:v>
                </c:pt>
                <c:pt idx="3">
                  <c:v>Burkina Faso</c:v>
                </c:pt>
                <c:pt idx="4">
                  <c:v>Burundi</c:v>
                </c:pt>
                <c:pt idx="5">
                  <c:v>Cameroon</c:v>
                </c:pt>
                <c:pt idx="6">
                  <c:v>Chad</c:v>
                </c:pt>
                <c:pt idx="7">
                  <c:v>Comoros</c:v>
                </c:pt>
                <c:pt idx="8">
                  <c:v>Congo (Brazzaville)</c:v>
                </c:pt>
                <c:pt idx="9">
                  <c:v>Egypt</c:v>
                </c:pt>
                <c:pt idx="10">
                  <c:v>Ethiopia</c:v>
                </c:pt>
                <c:pt idx="11">
                  <c:v>Gabon</c:v>
                </c:pt>
                <c:pt idx="12">
                  <c:v>Gambia</c:v>
                </c:pt>
                <c:pt idx="13">
                  <c:v>Ghana</c:v>
                </c:pt>
                <c:pt idx="14">
                  <c:v>Guinea</c:v>
                </c:pt>
                <c:pt idx="15">
                  <c:v>Ivory Coast</c:v>
                </c:pt>
                <c:pt idx="16">
                  <c:v>Kenya</c:v>
                </c:pt>
                <c:pt idx="17">
                  <c:v>Lesotho</c:v>
                </c:pt>
                <c:pt idx="18">
                  <c:v>Liberia</c:v>
                </c:pt>
                <c:pt idx="19">
                  <c:v>Libya</c:v>
                </c:pt>
                <c:pt idx="20">
                  <c:v>Madagascar</c:v>
                </c:pt>
                <c:pt idx="21">
                  <c:v>Malawi</c:v>
                </c:pt>
                <c:pt idx="22">
                  <c:v>Mali</c:v>
                </c:pt>
                <c:pt idx="23">
                  <c:v>Mauritania</c:v>
                </c:pt>
                <c:pt idx="24">
                  <c:v>Mauritius</c:v>
                </c:pt>
                <c:pt idx="25">
                  <c:v>Morocco</c:v>
                </c:pt>
                <c:pt idx="26">
                  <c:v>Mozambique</c:v>
                </c:pt>
                <c:pt idx="27">
                  <c:v>Namibia</c:v>
                </c:pt>
                <c:pt idx="28">
                  <c:v>Niger</c:v>
                </c:pt>
                <c:pt idx="29">
                  <c:v>Nigeria</c:v>
                </c:pt>
                <c:pt idx="30">
                  <c:v>Rwanda</c:v>
                </c:pt>
                <c:pt idx="31">
                  <c:v>Senegal</c:v>
                </c:pt>
                <c:pt idx="32">
                  <c:v>Sierra Leone</c:v>
                </c:pt>
                <c:pt idx="33">
                  <c:v>South Africa</c:v>
                </c:pt>
                <c:pt idx="34">
                  <c:v>Swaziland</c:v>
                </c:pt>
                <c:pt idx="35">
                  <c:v>Tanzania</c:v>
                </c:pt>
                <c:pt idx="36">
                  <c:v>Togo</c:v>
                </c:pt>
                <c:pt idx="37">
                  <c:v>Tunisia</c:v>
                </c:pt>
                <c:pt idx="38">
                  <c:v>Uganda</c:v>
                </c:pt>
                <c:pt idx="39">
                  <c:v>Zambia</c:v>
                </c:pt>
                <c:pt idx="40">
                  <c:v>Zimbabwe</c:v>
                </c:pt>
              </c:strCache>
            </c:strRef>
          </c:cat>
          <c:val>
            <c:numRef>
              <c:f>Sheet7!$C$2:$C$135</c:f>
              <c:numCache>
                <c:formatCode>General</c:formatCode>
                <c:ptCount val="41"/>
                <c:pt idx="0">
                  <c:v>7.157</c:v>
                </c:pt>
                <c:pt idx="1">
                  <c:v>6.6470000000000002</c:v>
                </c:pt>
                <c:pt idx="2">
                  <c:v>6.5609999999999999</c:v>
                </c:pt>
                <c:pt idx="3">
                  <c:v>6.4939999999999998</c:v>
                </c:pt>
                <c:pt idx="4">
                  <c:v>6.1059999999999999</c:v>
                </c:pt>
                <c:pt idx="5">
                  <c:v>6.0490000000000004</c:v>
                </c:pt>
                <c:pt idx="6">
                  <c:v>5.41</c:v>
                </c:pt>
                <c:pt idx="7">
                  <c:v>5.3419999999999996</c:v>
                </c:pt>
                <c:pt idx="8">
                  <c:v>5.306</c:v>
                </c:pt>
                <c:pt idx="9">
                  <c:v>5.1420000000000003</c:v>
                </c:pt>
                <c:pt idx="10">
                  <c:v>5.1319999999999997</c:v>
                </c:pt>
                <c:pt idx="11">
                  <c:v>5.0880000000000001</c:v>
                </c:pt>
                <c:pt idx="12">
                  <c:v>5.0739999999999998</c:v>
                </c:pt>
                <c:pt idx="13">
                  <c:v>5.0510000000000002</c:v>
                </c:pt>
                <c:pt idx="14">
                  <c:v>5.0449999999999999</c:v>
                </c:pt>
                <c:pt idx="15">
                  <c:v>4.984</c:v>
                </c:pt>
                <c:pt idx="16">
                  <c:v>4.9560000000000004</c:v>
                </c:pt>
                <c:pt idx="17">
                  <c:v>4.9480000000000004</c:v>
                </c:pt>
                <c:pt idx="18">
                  <c:v>4.9180000000000001</c:v>
                </c:pt>
                <c:pt idx="19">
                  <c:v>4.8869999999999996</c:v>
                </c:pt>
                <c:pt idx="20">
                  <c:v>4.8540000000000001</c:v>
                </c:pt>
                <c:pt idx="21">
                  <c:v>4.8520000000000003</c:v>
                </c:pt>
                <c:pt idx="22">
                  <c:v>4.8339999999999996</c:v>
                </c:pt>
                <c:pt idx="23">
                  <c:v>4.7939999999999996</c:v>
                </c:pt>
                <c:pt idx="24">
                  <c:v>4.7590000000000003</c:v>
                </c:pt>
                <c:pt idx="25">
                  <c:v>4.7229999999999999</c:v>
                </c:pt>
                <c:pt idx="26">
                  <c:v>4.7210000000000001</c:v>
                </c:pt>
                <c:pt idx="27">
                  <c:v>4.6360000000000001</c:v>
                </c:pt>
                <c:pt idx="28">
                  <c:v>4.625</c:v>
                </c:pt>
                <c:pt idx="29">
                  <c:v>4.6070000000000002</c:v>
                </c:pt>
                <c:pt idx="30">
                  <c:v>4.5960000000000001</c:v>
                </c:pt>
                <c:pt idx="31">
                  <c:v>4.5839999999999996</c:v>
                </c:pt>
                <c:pt idx="32">
                  <c:v>4.5739999999999998</c:v>
                </c:pt>
                <c:pt idx="33">
                  <c:v>4.5170000000000003</c:v>
                </c:pt>
                <c:pt idx="34">
                  <c:v>4.3949999999999996</c:v>
                </c:pt>
                <c:pt idx="35">
                  <c:v>4.3550000000000004</c:v>
                </c:pt>
                <c:pt idx="36">
                  <c:v>4.3079999999999998</c:v>
                </c:pt>
                <c:pt idx="37">
                  <c:v>4.2889999999999997</c:v>
                </c:pt>
                <c:pt idx="38">
                  <c:v>4.2830000000000004</c:v>
                </c:pt>
                <c:pt idx="39">
                  <c:v>4.2750000000000004</c:v>
                </c:pt>
                <c:pt idx="40">
                  <c:v>4.2270000000000003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42-420A-AE63-C67DFCA4176D}"/>
            </c:ext>
          </c:extLst>
        </c:ser>
        <c:ser>
          <c:idx val="1"/>
          <c:order val="1"/>
          <c:tx>
            <c:strRef>
              <c:f>Sheet7!$D$1</c:f>
              <c:strCache>
                <c:ptCount val="1"/>
                <c:pt idx="0">
                  <c:v>New happiness score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Sheet7!$B$2:$B$135</c:f>
              <c:strCache>
                <c:ptCount val="41"/>
                <c:pt idx="0">
                  <c:v>Algeria</c:v>
                </c:pt>
                <c:pt idx="1">
                  <c:v>Benin</c:v>
                </c:pt>
                <c:pt idx="2">
                  <c:v>Botswana</c:v>
                </c:pt>
                <c:pt idx="3">
                  <c:v>Burkina Faso</c:v>
                </c:pt>
                <c:pt idx="4">
                  <c:v>Burundi</c:v>
                </c:pt>
                <c:pt idx="5">
                  <c:v>Cameroon</c:v>
                </c:pt>
                <c:pt idx="6">
                  <c:v>Chad</c:v>
                </c:pt>
                <c:pt idx="7">
                  <c:v>Comoros</c:v>
                </c:pt>
                <c:pt idx="8">
                  <c:v>Congo (Brazzaville)</c:v>
                </c:pt>
                <c:pt idx="9">
                  <c:v>Egypt</c:v>
                </c:pt>
                <c:pt idx="10">
                  <c:v>Ethiopia</c:v>
                </c:pt>
                <c:pt idx="11">
                  <c:v>Gabon</c:v>
                </c:pt>
                <c:pt idx="12">
                  <c:v>Gambia</c:v>
                </c:pt>
                <c:pt idx="13">
                  <c:v>Ghana</c:v>
                </c:pt>
                <c:pt idx="14">
                  <c:v>Guinea</c:v>
                </c:pt>
                <c:pt idx="15">
                  <c:v>Ivory Coast</c:v>
                </c:pt>
                <c:pt idx="16">
                  <c:v>Kenya</c:v>
                </c:pt>
                <c:pt idx="17">
                  <c:v>Lesotho</c:v>
                </c:pt>
                <c:pt idx="18">
                  <c:v>Liberia</c:v>
                </c:pt>
                <c:pt idx="19">
                  <c:v>Libya</c:v>
                </c:pt>
                <c:pt idx="20">
                  <c:v>Madagascar</c:v>
                </c:pt>
                <c:pt idx="21">
                  <c:v>Malawi</c:v>
                </c:pt>
                <c:pt idx="22">
                  <c:v>Mali</c:v>
                </c:pt>
                <c:pt idx="23">
                  <c:v>Mauritania</c:v>
                </c:pt>
                <c:pt idx="24">
                  <c:v>Mauritius</c:v>
                </c:pt>
                <c:pt idx="25">
                  <c:v>Morocco</c:v>
                </c:pt>
                <c:pt idx="26">
                  <c:v>Mozambique</c:v>
                </c:pt>
                <c:pt idx="27">
                  <c:v>Namibia</c:v>
                </c:pt>
                <c:pt idx="28">
                  <c:v>Niger</c:v>
                </c:pt>
                <c:pt idx="29">
                  <c:v>Nigeria</c:v>
                </c:pt>
                <c:pt idx="30">
                  <c:v>Rwanda</c:v>
                </c:pt>
                <c:pt idx="31">
                  <c:v>Senegal</c:v>
                </c:pt>
                <c:pt idx="32">
                  <c:v>Sierra Leone</c:v>
                </c:pt>
                <c:pt idx="33">
                  <c:v>South Africa</c:v>
                </c:pt>
                <c:pt idx="34">
                  <c:v>Swaziland</c:v>
                </c:pt>
                <c:pt idx="35">
                  <c:v>Tanzania</c:v>
                </c:pt>
                <c:pt idx="36">
                  <c:v>Togo</c:v>
                </c:pt>
                <c:pt idx="37">
                  <c:v>Tunisia</c:v>
                </c:pt>
                <c:pt idx="38">
                  <c:v>Uganda</c:v>
                </c:pt>
                <c:pt idx="39">
                  <c:v>Zambia</c:v>
                </c:pt>
                <c:pt idx="40">
                  <c:v>Zimbabwe</c:v>
                </c:pt>
              </c:strCache>
            </c:strRef>
          </c:cat>
          <c:val>
            <c:numRef>
              <c:f>Sheet7!$D$2:$D$135</c:f>
              <c:numCache>
                <c:formatCode>General</c:formatCode>
                <c:ptCount val="41"/>
                <c:pt idx="0">
                  <c:v>5.3675607000000003</c:v>
                </c:pt>
                <c:pt idx="1">
                  <c:v>4.4534333000000004</c:v>
                </c:pt>
                <c:pt idx="2">
                  <c:v>5.8631988000000002</c:v>
                </c:pt>
                <c:pt idx="3">
                  <c:v>4.5841859999999999</c:v>
                </c:pt>
                <c:pt idx="4">
                  <c:v>3.7020687000000003</c:v>
                </c:pt>
                <c:pt idx="5">
                  <c:v>4.8550222000000005</c:v>
                </c:pt>
                <c:pt idx="6">
                  <c:v>3.9250410000000002</c:v>
                </c:pt>
                <c:pt idx="7">
                  <c:v>4.4032250000000008</c:v>
                </c:pt>
                <c:pt idx="8">
                  <c:v>4.7459201000000002</c:v>
                </c:pt>
                <c:pt idx="9">
                  <c:v>5.5986704000000005</c:v>
                </c:pt>
                <c:pt idx="10">
                  <c:v>5.1041801000000007</c:v>
                </c:pt>
                <c:pt idx="11">
                  <c:v>5.6105375000000013</c:v>
                </c:pt>
                <c:pt idx="12">
                  <c:v>4.8250299000000005</c:v>
                </c:pt>
                <c:pt idx="13">
                  <c:v>5.3397550999999996</c:v>
                </c:pt>
                <c:pt idx="14">
                  <c:v>4.6131293000000007</c:v>
                </c:pt>
                <c:pt idx="15">
                  <c:v>4.7474331000000003</c:v>
                </c:pt>
                <c:pt idx="16">
                  <c:v>5.2815910000000006</c:v>
                </c:pt>
                <c:pt idx="17">
                  <c:v>4.6816644000000007</c:v>
                </c:pt>
                <c:pt idx="18">
                  <c:v>4.6835511000000007</c:v>
                </c:pt>
                <c:pt idx="19">
                  <c:v>6.0403172000000005</c:v>
                </c:pt>
                <c:pt idx="20">
                  <c:v>4.3611117999999998</c:v>
                </c:pt>
                <c:pt idx="21">
                  <c:v>4.3229762999999997</c:v>
                </c:pt>
                <c:pt idx="22">
                  <c:v>4.6153495000000007</c:v>
                </c:pt>
                <c:pt idx="23">
                  <c:v>4.9752801</c:v>
                </c:pt>
                <c:pt idx="24">
                  <c:v>6.6274864999999998</c:v>
                </c:pt>
                <c:pt idx="25">
                  <c:v>5.1270841000000003</c:v>
                </c:pt>
                <c:pt idx="26">
                  <c:v>5.0450788000000006</c:v>
                </c:pt>
                <c:pt idx="27">
                  <c:v>5.460674899999999</c:v>
                </c:pt>
                <c:pt idx="28">
                  <c:v>4.5679353000000003</c:v>
                </c:pt>
                <c:pt idx="29">
                  <c:v>4.9391902999999999</c:v>
                </c:pt>
                <c:pt idx="30">
                  <c:v>5.2892080000000004</c:v>
                </c:pt>
                <c:pt idx="31">
                  <c:v>4.9515297999999994</c:v>
                </c:pt>
                <c:pt idx="32">
                  <c:v>4.3293164000000015</c:v>
                </c:pt>
                <c:pt idx="33">
                  <c:v>5.7313531000000006</c:v>
                </c:pt>
                <c:pt idx="34">
                  <c:v>5.0550835999999997</c:v>
                </c:pt>
                <c:pt idx="35">
                  <c:v>5.2923615000000002</c:v>
                </c:pt>
                <c:pt idx="36">
                  <c:v>4.0938898999999997</c:v>
                </c:pt>
                <c:pt idx="37">
                  <c:v>5.3370675000000007</c:v>
                </c:pt>
                <c:pt idx="38">
                  <c:v>4.9239791000000004</c:v>
                </c:pt>
                <c:pt idx="39">
                  <c:v>5.0352374000000006</c:v>
                </c:pt>
                <c:pt idx="40">
                  <c:v>4.8341171000000003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42-420A-AE63-C67DFCA417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2701455"/>
        <c:axId val="362702895"/>
      </c:lineChart>
      <c:catAx>
        <c:axId val="362701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702895"/>
        <c:crosses val="autoZero"/>
        <c:auto val="1"/>
        <c:lblAlgn val="ctr"/>
        <c:lblOffset val="100"/>
        <c:noMultiLvlLbl val="0"/>
      </c:catAx>
      <c:valAx>
        <c:axId val="362702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701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Sheet5!$D$1</c:f>
              <c:strCache>
                <c:ptCount val="1"/>
                <c:pt idx="0">
                  <c:v>Logged GDP per capita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6"/>
            <c:dispRSqr val="1"/>
            <c:dispEq val="1"/>
            <c:trendlineLbl>
              <c:layout>
                <c:manualLayout>
                  <c:x val="9.0545983642340039E-2"/>
                  <c:y val="0.3960250834246865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Sheet5!$C$2:$C$150</c:f>
              <c:numCache>
                <c:formatCode>General</c:formatCode>
                <c:ptCount val="149"/>
                <c:pt idx="0">
                  <c:v>7.8419999999999996</c:v>
                </c:pt>
                <c:pt idx="1">
                  <c:v>7.62</c:v>
                </c:pt>
                <c:pt idx="2">
                  <c:v>7.5709999999999997</c:v>
                </c:pt>
                <c:pt idx="3">
                  <c:v>7.5540000000000003</c:v>
                </c:pt>
                <c:pt idx="4">
                  <c:v>7.4640000000000004</c:v>
                </c:pt>
                <c:pt idx="5">
                  <c:v>7.3920000000000003</c:v>
                </c:pt>
                <c:pt idx="6">
                  <c:v>7.3630000000000004</c:v>
                </c:pt>
                <c:pt idx="7">
                  <c:v>7.3239999999999998</c:v>
                </c:pt>
                <c:pt idx="8">
                  <c:v>7.2770000000000001</c:v>
                </c:pt>
                <c:pt idx="9">
                  <c:v>7.2679999999999998</c:v>
                </c:pt>
                <c:pt idx="10">
                  <c:v>7.1829999999999998</c:v>
                </c:pt>
                <c:pt idx="11">
                  <c:v>7.157</c:v>
                </c:pt>
                <c:pt idx="12">
                  <c:v>7.1550000000000002</c:v>
                </c:pt>
                <c:pt idx="13">
                  <c:v>7.1029999999999998</c:v>
                </c:pt>
                <c:pt idx="14">
                  <c:v>7.085</c:v>
                </c:pt>
                <c:pt idx="15">
                  <c:v>7.069</c:v>
                </c:pt>
                <c:pt idx="16">
                  <c:v>7.0640000000000001</c:v>
                </c:pt>
                <c:pt idx="17">
                  <c:v>6.9649999999999999</c:v>
                </c:pt>
                <c:pt idx="18">
                  <c:v>6.9509999999999996</c:v>
                </c:pt>
                <c:pt idx="19">
                  <c:v>6.8339999999999996</c:v>
                </c:pt>
                <c:pt idx="20">
                  <c:v>6.69</c:v>
                </c:pt>
                <c:pt idx="21">
                  <c:v>6.6470000000000002</c:v>
                </c:pt>
                <c:pt idx="22">
                  <c:v>6.6020000000000003</c:v>
                </c:pt>
                <c:pt idx="23">
                  <c:v>6.5839999999999996</c:v>
                </c:pt>
                <c:pt idx="24">
                  <c:v>6.5609999999999999</c:v>
                </c:pt>
                <c:pt idx="25">
                  <c:v>6.4939999999999998</c:v>
                </c:pt>
                <c:pt idx="26">
                  <c:v>6.4909999999999997</c:v>
                </c:pt>
                <c:pt idx="27">
                  <c:v>6.4829999999999997</c:v>
                </c:pt>
                <c:pt idx="28">
                  <c:v>6.4610000000000003</c:v>
                </c:pt>
                <c:pt idx="29">
                  <c:v>6.4349999999999996</c:v>
                </c:pt>
                <c:pt idx="30">
                  <c:v>6.431</c:v>
                </c:pt>
                <c:pt idx="31">
                  <c:v>6.3769999999999998</c:v>
                </c:pt>
                <c:pt idx="32">
                  <c:v>6.3719999999999999</c:v>
                </c:pt>
                <c:pt idx="33">
                  <c:v>6.3310000000000004</c:v>
                </c:pt>
                <c:pt idx="34">
                  <c:v>6.33</c:v>
                </c:pt>
                <c:pt idx="35">
                  <c:v>6.3170000000000002</c:v>
                </c:pt>
                <c:pt idx="36">
                  <c:v>6.3090000000000002</c:v>
                </c:pt>
                <c:pt idx="37">
                  <c:v>6.2549999999999999</c:v>
                </c:pt>
                <c:pt idx="38">
                  <c:v>6.2229999999999999</c:v>
                </c:pt>
                <c:pt idx="39">
                  <c:v>6.1890000000000001</c:v>
                </c:pt>
                <c:pt idx="40">
                  <c:v>6.18</c:v>
                </c:pt>
                <c:pt idx="41">
                  <c:v>6.1790000000000003</c:v>
                </c:pt>
                <c:pt idx="42">
                  <c:v>6.1719999999999997</c:v>
                </c:pt>
                <c:pt idx="43">
                  <c:v>6.1660000000000004</c:v>
                </c:pt>
                <c:pt idx="44">
                  <c:v>6.1520000000000001</c:v>
                </c:pt>
                <c:pt idx="45">
                  <c:v>6.14</c:v>
                </c:pt>
                <c:pt idx="46">
                  <c:v>6.1059999999999999</c:v>
                </c:pt>
                <c:pt idx="47">
                  <c:v>6.0780000000000003</c:v>
                </c:pt>
                <c:pt idx="48">
                  <c:v>6.0609999999999999</c:v>
                </c:pt>
                <c:pt idx="49">
                  <c:v>6.0490000000000004</c:v>
                </c:pt>
                <c:pt idx="50">
                  <c:v>6.032</c:v>
                </c:pt>
                <c:pt idx="51">
                  <c:v>6.0119999999999996</c:v>
                </c:pt>
                <c:pt idx="52">
                  <c:v>5.992</c:v>
                </c:pt>
                <c:pt idx="53">
                  <c:v>5.9850000000000003</c:v>
                </c:pt>
                <c:pt idx="54">
                  <c:v>5.9720000000000004</c:v>
                </c:pt>
                <c:pt idx="55">
                  <c:v>5.94</c:v>
                </c:pt>
                <c:pt idx="56">
                  <c:v>5.9290000000000003</c:v>
                </c:pt>
                <c:pt idx="57">
                  <c:v>5.9290000000000003</c:v>
                </c:pt>
                <c:pt idx="58">
                  <c:v>5.9189999999999996</c:v>
                </c:pt>
                <c:pt idx="59">
                  <c:v>5.8819999999999997</c:v>
                </c:pt>
                <c:pt idx="60">
                  <c:v>5.88</c:v>
                </c:pt>
                <c:pt idx="61">
                  <c:v>5.8449999999999998</c:v>
                </c:pt>
                <c:pt idx="62">
                  <c:v>5.84</c:v>
                </c:pt>
                <c:pt idx="63">
                  <c:v>5.8129999999999997</c:v>
                </c:pt>
                <c:pt idx="64">
                  <c:v>5.766</c:v>
                </c:pt>
                <c:pt idx="65">
                  <c:v>5.7640000000000002</c:v>
                </c:pt>
                <c:pt idx="66">
                  <c:v>5.7439999999999998</c:v>
                </c:pt>
                <c:pt idx="67">
                  <c:v>5.7229999999999999</c:v>
                </c:pt>
                <c:pt idx="68">
                  <c:v>5.7160000000000002</c:v>
                </c:pt>
                <c:pt idx="69">
                  <c:v>5.6769999999999996</c:v>
                </c:pt>
                <c:pt idx="70">
                  <c:v>5.6529999999999996</c:v>
                </c:pt>
                <c:pt idx="71">
                  <c:v>5.5810000000000004</c:v>
                </c:pt>
                <c:pt idx="72">
                  <c:v>5.5449999999999999</c:v>
                </c:pt>
                <c:pt idx="73">
                  <c:v>5.5359999999999996</c:v>
                </c:pt>
                <c:pt idx="74">
                  <c:v>5.5339999999999998</c:v>
                </c:pt>
                <c:pt idx="75">
                  <c:v>5.4770000000000003</c:v>
                </c:pt>
                <c:pt idx="76">
                  <c:v>5.4770000000000003</c:v>
                </c:pt>
                <c:pt idx="77">
                  <c:v>5.4660000000000002</c:v>
                </c:pt>
                <c:pt idx="78">
                  <c:v>5.4109999999999996</c:v>
                </c:pt>
                <c:pt idx="79">
                  <c:v>5.41</c:v>
                </c:pt>
                <c:pt idx="80">
                  <c:v>5.3840000000000003</c:v>
                </c:pt>
                <c:pt idx="81">
                  <c:v>5.3449999999999998</c:v>
                </c:pt>
                <c:pt idx="82">
                  <c:v>5.3419999999999996</c:v>
                </c:pt>
                <c:pt idx="83">
                  <c:v>5.3390000000000004</c:v>
                </c:pt>
                <c:pt idx="84">
                  <c:v>5.306</c:v>
                </c:pt>
                <c:pt idx="85">
                  <c:v>5.2830000000000004</c:v>
                </c:pt>
                <c:pt idx="86">
                  <c:v>5.2690000000000001</c:v>
                </c:pt>
                <c:pt idx="87">
                  <c:v>5.266</c:v>
                </c:pt>
                <c:pt idx="88">
                  <c:v>5.1980000000000004</c:v>
                </c:pt>
                <c:pt idx="89">
                  <c:v>5.1710000000000003</c:v>
                </c:pt>
                <c:pt idx="90">
                  <c:v>5.1420000000000003</c:v>
                </c:pt>
                <c:pt idx="91">
                  <c:v>5.1319999999999997</c:v>
                </c:pt>
                <c:pt idx="92">
                  <c:v>5.117</c:v>
                </c:pt>
                <c:pt idx="93">
                  <c:v>5.101</c:v>
                </c:pt>
                <c:pt idx="94">
                  <c:v>5.0880000000000001</c:v>
                </c:pt>
                <c:pt idx="95">
                  <c:v>5.0739999999999998</c:v>
                </c:pt>
                <c:pt idx="96">
                  <c:v>5.0659999999999998</c:v>
                </c:pt>
                <c:pt idx="97">
                  <c:v>5.0510000000000002</c:v>
                </c:pt>
                <c:pt idx="98">
                  <c:v>5.0449999999999999</c:v>
                </c:pt>
                <c:pt idx="99">
                  <c:v>5.03</c:v>
                </c:pt>
                <c:pt idx="100">
                  <c:v>5.0250000000000004</c:v>
                </c:pt>
                <c:pt idx="101">
                  <c:v>4.984</c:v>
                </c:pt>
                <c:pt idx="102">
                  <c:v>4.9560000000000004</c:v>
                </c:pt>
                <c:pt idx="103">
                  <c:v>4.9480000000000004</c:v>
                </c:pt>
                <c:pt idx="104">
                  <c:v>4.9340000000000002</c:v>
                </c:pt>
                <c:pt idx="105">
                  <c:v>4.9180000000000001</c:v>
                </c:pt>
                <c:pt idx="106">
                  <c:v>4.8920000000000003</c:v>
                </c:pt>
                <c:pt idx="107">
                  <c:v>4.891</c:v>
                </c:pt>
                <c:pt idx="108">
                  <c:v>4.8869999999999996</c:v>
                </c:pt>
                <c:pt idx="109">
                  <c:v>4.875</c:v>
                </c:pt>
                <c:pt idx="110">
                  <c:v>4.8540000000000001</c:v>
                </c:pt>
                <c:pt idx="111">
                  <c:v>4.8520000000000003</c:v>
                </c:pt>
                <c:pt idx="112">
                  <c:v>4.8339999999999996</c:v>
                </c:pt>
                <c:pt idx="113">
                  <c:v>4.83</c:v>
                </c:pt>
                <c:pt idx="114">
                  <c:v>4.7939999999999996</c:v>
                </c:pt>
                <c:pt idx="115">
                  <c:v>4.7590000000000003</c:v>
                </c:pt>
                <c:pt idx="116">
                  <c:v>4.7229999999999999</c:v>
                </c:pt>
                <c:pt idx="117">
                  <c:v>4.7210000000000001</c:v>
                </c:pt>
                <c:pt idx="118">
                  <c:v>4.6360000000000001</c:v>
                </c:pt>
                <c:pt idx="119">
                  <c:v>4.625</c:v>
                </c:pt>
                <c:pt idx="120">
                  <c:v>4.6070000000000002</c:v>
                </c:pt>
                <c:pt idx="121">
                  <c:v>4.5960000000000001</c:v>
                </c:pt>
                <c:pt idx="122">
                  <c:v>4.5839999999999996</c:v>
                </c:pt>
                <c:pt idx="123">
                  <c:v>4.5739999999999998</c:v>
                </c:pt>
                <c:pt idx="124">
                  <c:v>4.5170000000000003</c:v>
                </c:pt>
                <c:pt idx="125">
                  <c:v>4.4260000000000002</c:v>
                </c:pt>
                <c:pt idx="126">
                  <c:v>4.3949999999999996</c:v>
                </c:pt>
                <c:pt idx="127">
                  <c:v>4.3550000000000004</c:v>
                </c:pt>
                <c:pt idx="128">
                  <c:v>4.3250000000000002</c:v>
                </c:pt>
                <c:pt idx="129">
                  <c:v>4.3079999999999998</c:v>
                </c:pt>
                <c:pt idx="130">
                  <c:v>4.2889999999999997</c:v>
                </c:pt>
                <c:pt idx="131">
                  <c:v>4.2830000000000004</c:v>
                </c:pt>
                <c:pt idx="132">
                  <c:v>4.2750000000000004</c:v>
                </c:pt>
                <c:pt idx="133">
                  <c:v>4.2270000000000003</c:v>
                </c:pt>
                <c:pt idx="134">
                  <c:v>4.2080000000000002</c:v>
                </c:pt>
                <c:pt idx="135">
                  <c:v>4.1070000000000002</c:v>
                </c:pt>
                <c:pt idx="136">
                  <c:v>4.0730000000000004</c:v>
                </c:pt>
                <c:pt idx="137">
                  <c:v>3.8490000000000002</c:v>
                </c:pt>
                <c:pt idx="138">
                  <c:v>3.819</c:v>
                </c:pt>
                <c:pt idx="139">
                  <c:v>3.7749999999999999</c:v>
                </c:pt>
                <c:pt idx="140">
                  <c:v>3.6579999999999999</c:v>
                </c:pt>
                <c:pt idx="141">
                  <c:v>3.6230000000000002</c:v>
                </c:pt>
                <c:pt idx="142">
                  <c:v>3.6150000000000002</c:v>
                </c:pt>
                <c:pt idx="143">
                  <c:v>3.6</c:v>
                </c:pt>
                <c:pt idx="144">
                  <c:v>3.512</c:v>
                </c:pt>
                <c:pt idx="145">
                  <c:v>3.4670000000000001</c:v>
                </c:pt>
                <c:pt idx="146">
                  <c:v>3.415</c:v>
                </c:pt>
                <c:pt idx="147">
                  <c:v>3.145</c:v>
                </c:pt>
                <c:pt idx="148">
                  <c:v>2.5230000000000001</c:v>
                </c:pt>
              </c:numCache>
            </c:numRef>
          </c:xVal>
          <c:yVal>
            <c:numRef>
              <c:f>Sheet5!$D$2:$D$150</c:f>
              <c:numCache>
                <c:formatCode>General</c:formatCode>
                <c:ptCount val="149"/>
                <c:pt idx="0">
                  <c:v>10.775</c:v>
                </c:pt>
                <c:pt idx="1">
                  <c:v>10.933</c:v>
                </c:pt>
                <c:pt idx="2">
                  <c:v>11.117000000000001</c:v>
                </c:pt>
                <c:pt idx="3">
                  <c:v>10.878</c:v>
                </c:pt>
                <c:pt idx="4">
                  <c:v>10.932</c:v>
                </c:pt>
                <c:pt idx="5">
                  <c:v>11.053000000000001</c:v>
                </c:pt>
                <c:pt idx="6">
                  <c:v>10.867000000000001</c:v>
                </c:pt>
                <c:pt idx="7">
                  <c:v>11.647</c:v>
                </c:pt>
                <c:pt idx="8">
                  <c:v>10.643000000000001</c:v>
                </c:pt>
                <c:pt idx="9">
                  <c:v>10.906000000000001</c:v>
                </c:pt>
                <c:pt idx="10">
                  <c:v>10.795999999999999</c:v>
                </c:pt>
                <c:pt idx="11">
                  <c:v>10.574999999999999</c:v>
                </c:pt>
                <c:pt idx="12">
                  <c:v>10.872999999999999</c:v>
                </c:pt>
                <c:pt idx="13">
                  <c:v>10.776</c:v>
                </c:pt>
                <c:pt idx="14">
                  <c:v>11.342000000000001</c:v>
                </c:pt>
                <c:pt idx="15">
                  <c:v>9.8800000000000008</c:v>
                </c:pt>
                <c:pt idx="16">
                  <c:v>10.707000000000001</c:v>
                </c:pt>
                <c:pt idx="17">
                  <c:v>10.555999999999999</c:v>
                </c:pt>
                <c:pt idx="18">
                  <c:v>11.023</c:v>
                </c:pt>
                <c:pt idx="19">
                  <c:v>10.823</c:v>
                </c:pt>
                <c:pt idx="20">
                  <c:v>10.704000000000001</c:v>
                </c:pt>
                <c:pt idx="21">
                  <c:v>10.669</c:v>
                </c:pt>
                <c:pt idx="22">
                  <c:v>10.673999999999999</c:v>
                </c:pt>
                <c:pt idx="23">
                  <c:v>10.871</c:v>
                </c:pt>
                <c:pt idx="24">
                  <c:v>11.085000000000001</c:v>
                </c:pt>
                <c:pt idx="25">
                  <c:v>10.743</c:v>
                </c:pt>
                <c:pt idx="26">
                  <c:v>10.571</c:v>
                </c:pt>
                <c:pt idx="27">
                  <c:v>10.622999999999999</c:v>
                </c:pt>
                <c:pt idx="28">
                  <c:v>10.529</c:v>
                </c:pt>
                <c:pt idx="29">
                  <c:v>9.0530000000000008</c:v>
                </c:pt>
                <c:pt idx="30">
                  <c:v>9.9659999999999993</c:v>
                </c:pt>
                <c:pt idx="31">
                  <c:v>11.488</c:v>
                </c:pt>
                <c:pt idx="32">
                  <c:v>9.3179999999999996</c:v>
                </c:pt>
                <c:pt idx="33">
                  <c:v>10.369</c:v>
                </c:pt>
                <c:pt idx="34">
                  <c:v>9.577</c:v>
                </c:pt>
                <c:pt idx="35">
                  <c:v>9.859</c:v>
                </c:pt>
                <c:pt idx="36">
                  <c:v>9.1859999999999999</c:v>
                </c:pt>
                <c:pt idx="37">
                  <c:v>10.499000000000001</c:v>
                </c:pt>
                <c:pt idx="38">
                  <c:v>10.576000000000001</c:v>
                </c:pt>
                <c:pt idx="39">
                  <c:v>10.481</c:v>
                </c:pt>
                <c:pt idx="40">
                  <c:v>10.35</c:v>
                </c:pt>
                <c:pt idx="41">
                  <c:v>8.8360000000000003</c:v>
                </c:pt>
                <c:pt idx="42">
                  <c:v>10.071</c:v>
                </c:pt>
                <c:pt idx="43">
                  <c:v>10.382</c:v>
                </c:pt>
                <c:pt idx="44">
                  <c:v>10.154999999999999</c:v>
                </c:pt>
                <c:pt idx="45">
                  <c:v>10.284000000000001</c:v>
                </c:pt>
                <c:pt idx="46">
                  <c:v>10.817</c:v>
                </c:pt>
                <c:pt idx="47">
                  <c:v>9.7870000000000008</c:v>
                </c:pt>
                <c:pt idx="48">
                  <c:v>9.0540000000000003</c:v>
                </c:pt>
                <c:pt idx="49">
                  <c:v>10.007999999999999</c:v>
                </c:pt>
                <c:pt idx="50">
                  <c:v>10.315</c:v>
                </c:pt>
                <c:pt idx="51">
                  <c:v>9.5570000000000004</c:v>
                </c:pt>
                <c:pt idx="52">
                  <c:v>10.358000000000001</c:v>
                </c:pt>
                <c:pt idx="53">
                  <c:v>9.8049999999999997</c:v>
                </c:pt>
                <c:pt idx="54">
                  <c:v>8.6199999999999992</c:v>
                </c:pt>
                <c:pt idx="55">
                  <c:v>10.611000000000001</c:v>
                </c:pt>
                <c:pt idx="56">
                  <c:v>9.9619999999999997</c:v>
                </c:pt>
                <c:pt idx="57">
                  <c:v>10.420999999999999</c:v>
                </c:pt>
                <c:pt idx="58">
                  <c:v>8.6479999999999997</c:v>
                </c:pt>
                <c:pt idx="59">
                  <c:v>10.217000000000001</c:v>
                </c:pt>
                <c:pt idx="60">
                  <c:v>9.0760000000000005</c:v>
                </c:pt>
                <c:pt idx="61">
                  <c:v>10.651</c:v>
                </c:pt>
                <c:pt idx="62">
                  <c:v>9.4580000000000002</c:v>
                </c:pt>
                <c:pt idx="63">
                  <c:v>9.59</c:v>
                </c:pt>
                <c:pt idx="64">
                  <c:v>9.4540000000000006</c:v>
                </c:pt>
                <c:pt idx="65">
                  <c:v>9.3130000000000006</c:v>
                </c:pt>
                <c:pt idx="66">
                  <c:v>8.5380000000000003</c:v>
                </c:pt>
                <c:pt idx="67">
                  <c:v>10.279</c:v>
                </c:pt>
                <c:pt idx="68">
                  <c:v>9.0459999999999994</c:v>
                </c:pt>
                <c:pt idx="69">
                  <c:v>9.4</c:v>
                </c:pt>
                <c:pt idx="70">
                  <c:v>9.4480000000000004</c:v>
                </c:pt>
                <c:pt idx="71">
                  <c:v>9.94</c:v>
                </c:pt>
                <c:pt idx="72">
                  <c:v>9.8019999999999996</c:v>
                </c:pt>
                <c:pt idx="73">
                  <c:v>10.576000000000001</c:v>
                </c:pt>
                <c:pt idx="74">
                  <c:v>9.8529999999999998</c:v>
                </c:pt>
                <c:pt idx="75">
                  <c:v>10.189</c:v>
                </c:pt>
                <c:pt idx="76">
                  <c:v>11</c:v>
                </c:pt>
                <c:pt idx="77">
                  <c:v>8.0909999999999993</c:v>
                </c:pt>
                <c:pt idx="78">
                  <c:v>8.9730000000000008</c:v>
                </c:pt>
                <c:pt idx="79">
                  <c:v>9.6219999999999999</c:v>
                </c:pt>
                <c:pt idx="80">
                  <c:v>10.238</c:v>
                </c:pt>
                <c:pt idx="81">
                  <c:v>9.3650000000000002</c:v>
                </c:pt>
                <c:pt idx="82">
                  <c:v>8.1170000000000009</c:v>
                </c:pt>
                <c:pt idx="83">
                  <c:v>9.673</c:v>
                </c:pt>
                <c:pt idx="84">
                  <c:v>8.5510000000000002</c:v>
                </c:pt>
                <c:pt idx="85">
                  <c:v>9.4870000000000001</c:v>
                </c:pt>
                <c:pt idx="86">
                  <c:v>8.1199999999999992</c:v>
                </c:pt>
                <c:pt idx="87">
                  <c:v>10.016</c:v>
                </c:pt>
                <c:pt idx="88">
                  <c:v>9.8260000000000005</c:v>
                </c:pt>
                <c:pt idx="89">
                  <c:v>9.5690000000000008</c:v>
                </c:pt>
                <c:pt idx="90">
                  <c:v>8.1890000000000001</c:v>
                </c:pt>
                <c:pt idx="91">
                  <c:v>8.1180000000000003</c:v>
                </c:pt>
                <c:pt idx="92">
                  <c:v>9.52</c:v>
                </c:pt>
                <c:pt idx="93">
                  <c:v>9.6929999999999996</c:v>
                </c:pt>
                <c:pt idx="94">
                  <c:v>8.58</c:v>
                </c:pt>
                <c:pt idx="95">
                  <c:v>7.0979999999999999</c:v>
                </c:pt>
                <c:pt idx="96">
                  <c:v>9.6289999999999996</c:v>
                </c:pt>
                <c:pt idx="97">
                  <c:v>7.6859999999999999</c:v>
                </c:pt>
                <c:pt idx="98">
                  <c:v>8.0869999999999997</c:v>
                </c:pt>
                <c:pt idx="99">
                  <c:v>8.9469999999999992</c:v>
                </c:pt>
                <c:pt idx="100">
                  <c:v>8.4540000000000006</c:v>
                </c:pt>
                <c:pt idx="101">
                  <c:v>7.8380000000000001</c:v>
                </c:pt>
                <c:pt idx="102">
                  <c:v>9.4030000000000005</c:v>
                </c:pt>
                <c:pt idx="103">
                  <c:v>10.24</c:v>
                </c:pt>
                <c:pt idx="104">
                  <c:v>8.4580000000000002</c:v>
                </c:pt>
                <c:pt idx="105">
                  <c:v>8.9030000000000005</c:v>
                </c:pt>
                <c:pt idx="106">
                  <c:v>9.0730000000000004</c:v>
                </c:pt>
                <c:pt idx="107">
                  <c:v>9.5850000000000009</c:v>
                </c:pt>
                <c:pt idx="108">
                  <c:v>9.3420000000000005</c:v>
                </c:pt>
                <c:pt idx="109">
                  <c:v>9.4359999999999999</c:v>
                </c:pt>
                <c:pt idx="110">
                  <c:v>9.24</c:v>
                </c:pt>
                <c:pt idx="111">
                  <c:v>9.6029999999999998</c:v>
                </c:pt>
                <c:pt idx="112">
                  <c:v>7.6779999999999999</c:v>
                </c:pt>
                <c:pt idx="113">
                  <c:v>8.36</c:v>
                </c:pt>
                <c:pt idx="114">
                  <c:v>7.1580000000000004</c:v>
                </c:pt>
                <c:pt idx="115">
                  <c:v>8.5329999999999995</c:v>
                </c:pt>
                <c:pt idx="116">
                  <c:v>7.7439999999999998</c:v>
                </c:pt>
                <c:pt idx="117">
                  <c:v>9.5839999999999996</c:v>
                </c:pt>
                <c:pt idx="118">
                  <c:v>7.6769999999999996</c:v>
                </c:pt>
                <c:pt idx="119">
                  <c:v>7.2880000000000003</c:v>
                </c:pt>
                <c:pt idx="120">
                  <c:v>8.3610000000000007</c:v>
                </c:pt>
                <c:pt idx="121">
                  <c:v>9.266</c:v>
                </c:pt>
                <c:pt idx="122">
                  <c:v>9.6259999999999994</c:v>
                </c:pt>
                <c:pt idx="123">
                  <c:v>9.1609999999999996</c:v>
                </c:pt>
                <c:pt idx="124">
                  <c:v>8.4849999999999994</c:v>
                </c:pt>
                <c:pt idx="125">
                  <c:v>8.5410000000000004</c:v>
                </c:pt>
                <c:pt idx="126">
                  <c:v>9.1820000000000004</c:v>
                </c:pt>
                <c:pt idx="127">
                  <c:v>7.3639999999999999</c:v>
                </c:pt>
                <c:pt idx="128">
                  <c:v>9.4700000000000006</c:v>
                </c:pt>
                <c:pt idx="129">
                  <c:v>9.0649999999999995</c:v>
                </c:pt>
                <c:pt idx="130">
                  <c:v>8.0310000000000006</c:v>
                </c:pt>
                <c:pt idx="131">
                  <c:v>9.3670000000000009</c:v>
                </c:pt>
                <c:pt idx="132">
                  <c:v>7.694</c:v>
                </c:pt>
                <c:pt idx="133">
                  <c:v>8.5419999999999998</c:v>
                </c:pt>
                <c:pt idx="134">
                  <c:v>7.3959999999999999</c:v>
                </c:pt>
                <c:pt idx="135">
                  <c:v>7.3620000000000001</c:v>
                </c:pt>
                <c:pt idx="136">
                  <c:v>8.1449999999999996</c:v>
                </c:pt>
                <c:pt idx="137">
                  <c:v>7.4340000000000002</c:v>
                </c:pt>
                <c:pt idx="138">
                  <c:v>8.7550000000000008</c:v>
                </c:pt>
                <c:pt idx="139">
                  <c:v>6.6349999999999998</c:v>
                </c:pt>
                <c:pt idx="140">
                  <c:v>7.5780000000000003</c:v>
                </c:pt>
                <c:pt idx="141">
                  <c:v>7.8760000000000003</c:v>
                </c:pt>
                <c:pt idx="142">
                  <c:v>7.4770000000000003</c:v>
                </c:pt>
                <c:pt idx="143">
                  <c:v>6.9580000000000002</c:v>
                </c:pt>
                <c:pt idx="144">
                  <c:v>7.9260000000000002</c:v>
                </c:pt>
                <c:pt idx="145">
                  <c:v>9.782</c:v>
                </c:pt>
                <c:pt idx="146">
                  <c:v>7.6760000000000002</c:v>
                </c:pt>
                <c:pt idx="147">
                  <c:v>7.9429999999999996</c:v>
                </c:pt>
                <c:pt idx="148">
                  <c:v>7.6950000000000003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9D-477E-99D8-F308651975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303359"/>
        <c:axId val="91300959"/>
      </c:scatterChart>
      <c:valAx>
        <c:axId val="91303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l-SI"/>
                  <a:t>Ladder score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300959"/>
        <c:crosses val="autoZero"/>
        <c:crossBetween val="midCat"/>
      </c:valAx>
      <c:valAx>
        <c:axId val="91300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l-SI"/>
                  <a:t>GDP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3033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Sheet5!$E$1</c:f>
              <c:strCache>
                <c:ptCount val="1"/>
                <c:pt idx="0">
                  <c:v>Social support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6"/>
            <c:dispRSqr val="1"/>
            <c:dispEq val="1"/>
            <c:trendlineLbl>
              <c:layout>
                <c:manualLayout>
                  <c:x val="6.6605861977586445E-2"/>
                  <c:y val="0.4192186413060903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Sheet5!$C$2:$C$150</c:f>
              <c:numCache>
                <c:formatCode>General</c:formatCode>
                <c:ptCount val="149"/>
                <c:pt idx="0">
                  <c:v>7.8419999999999996</c:v>
                </c:pt>
                <c:pt idx="1">
                  <c:v>7.62</c:v>
                </c:pt>
                <c:pt idx="2">
                  <c:v>7.5709999999999997</c:v>
                </c:pt>
                <c:pt idx="3">
                  <c:v>7.5540000000000003</c:v>
                </c:pt>
                <c:pt idx="4">
                  <c:v>7.4640000000000004</c:v>
                </c:pt>
                <c:pt idx="5">
                  <c:v>7.3920000000000003</c:v>
                </c:pt>
                <c:pt idx="6">
                  <c:v>7.3630000000000004</c:v>
                </c:pt>
                <c:pt idx="7">
                  <c:v>7.3239999999999998</c:v>
                </c:pt>
                <c:pt idx="8">
                  <c:v>7.2770000000000001</c:v>
                </c:pt>
                <c:pt idx="9">
                  <c:v>7.2679999999999998</c:v>
                </c:pt>
                <c:pt idx="10">
                  <c:v>7.1829999999999998</c:v>
                </c:pt>
                <c:pt idx="11">
                  <c:v>7.157</c:v>
                </c:pt>
                <c:pt idx="12">
                  <c:v>7.1550000000000002</c:v>
                </c:pt>
                <c:pt idx="13">
                  <c:v>7.1029999999999998</c:v>
                </c:pt>
                <c:pt idx="14">
                  <c:v>7.085</c:v>
                </c:pt>
                <c:pt idx="15">
                  <c:v>7.069</c:v>
                </c:pt>
                <c:pt idx="16">
                  <c:v>7.0640000000000001</c:v>
                </c:pt>
                <c:pt idx="17">
                  <c:v>6.9649999999999999</c:v>
                </c:pt>
                <c:pt idx="18">
                  <c:v>6.9509999999999996</c:v>
                </c:pt>
                <c:pt idx="19">
                  <c:v>6.8339999999999996</c:v>
                </c:pt>
                <c:pt idx="20">
                  <c:v>6.69</c:v>
                </c:pt>
                <c:pt idx="21">
                  <c:v>6.6470000000000002</c:v>
                </c:pt>
                <c:pt idx="22">
                  <c:v>6.6020000000000003</c:v>
                </c:pt>
                <c:pt idx="23">
                  <c:v>6.5839999999999996</c:v>
                </c:pt>
                <c:pt idx="24">
                  <c:v>6.5609999999999999</c:v>
                </c:pt>
                <c:pt idx="25">
                  <c:v>6.4939999999999998</c:v>
                </c:pt>
                <c:pt idx="26">
                  <c:v>6.4909999999999997</c:v>
                </c:pt>
                <c:pt idx="27">
                  <c:v>6.4829999999999997</c:v>
                </c:pt>
                <c:pt idx="28">
                  <c:v>6.4610000000000003</c:v>
                </c:pt>
                <c:pt idx="29">
                  <c:v>6.4349999999999996</c:v>
                </c:pt>
                <c:pt idx="30">
                  <c:v>6.431</c:v>
                </c:pt>
                <c:pt idx="31">
                  <c:v>6.3769999999999998</c:v>
                </c:pt>
                <c:pt idx="32">
                  <c:v>6.3719999999999999</c:v>
                </c:pt>
                <c:pt idx="33">
                  <c:v>6.3310000000000004</c:v>
                </c:pt>
                <c:pt idx="34">
                  <c:v>6.33</c:v>
                </c:pt>
                <c:pt idx="35">
                  <c:v>6.3170000000000002</c:v>
                </c:pt>
                <c:pt idx="36">
                  <c:v>6.3090000000000002</c:v>
                </c:pt>
                <c:pt idx="37">
                  <c:v>6.2549999999999999</c:v>
                </c:pt>
                <c:pt idx="38">
                  <c:v>6.2229999999999999</c:v>
                </c:pt>
                <c:pt idx="39">
                  <c:v>6.1890000000000001</c:v>
                </c:pt>
                <c:pt idx="40">
                  <c:v>6.18</c:v>
                </c:pt>
                <c:pt idx="41">
                  <c:v>6.1790000000000003</c:v>
                </c:pt>
                <c:pt idx="42">
                  <c:v>6.1719999999999997</c:v>
                </c:pt>
                <c:pt idx="43">
                  <c:v>6.1660000000000004</c:v>
                </c:pt>
                <c:pt idx="44">
                  <c:v>6.1520000000000001</c:v>
                </c:pt>
                <c:pt idx="45">
                  <c:v>6.14</c:v>
                </c:pt>
                <c:pt idx="46">
                  <c:v>6.1059999999999999</c:v>
                </c:pt>
                <c:pt idx="47">
                  <c:v>6.0780000000000003</c:v>
                </c:pt>
                <c:pt idx="48">
                  <c:v>6.0609999999999999</c:v>
                </c:pt>
                <c:pt idx="49">
                  <c:v>6.0490000000000004</c:v>
                </c:pt>
                <c:pt idx="50">
                  <c:v>6.032</c:v>
                </c:pt>
                <c:pt idx="51">
                  <c:v>6.0119999999999996</c:v>
                </c:pt>
                <c:pt idx="52">
                  <c:v>5.992</c:v>
                </c:pt>
                <c:pt idx="53">
                  <c:v>5.9850000000000003</c:v>
                </c:pt>
                <c:pt idx="54">
                  <c:v>5.9720000000000004</c:v>
                </c:pt>
                <c:pt idx="55">
                  <c:v>5.94</c:v>
                </c:pt>
                <c:pt idx="56">
                  <c:v>5.9290000000000003</c:v>
                </c:pt>
                <c:pt idx="57">
                  <c:v>5.9290000000000003</c:v>
                </c:pt>
                <c:pt idx="58">
                  <c:v>5.9189999999999996</c:v>
                </c:pt>
                <c:pt idx="59">
                  <c:v>5.8819999999999997</c:v>
                </c:pt>
                <c:pt idx="60">
                  <c:v>5.88</c:v>
                </c:pt>
                <c:pt idx="61">
                  <c:v>5.8449999999999998</c:v>
                </c:pt>
                <c:pt idx="62">
                  <c:v>5.84</c:v>
                </c:pt>
                <c:pt idx="63">
                  <c:v>5.8129999999999997</c:v>
                </c:pt>
                <c:pt idx="64">
                  <c:v>5.766</c:v>
                </c:pt>
                <c:pt idx="65">
                  <c:v>5.7640000000000002</c:v>
                </c:pt>
                <c:pt idx="66">
                  <c:v>5.7439999999999998</c:v>
                </c:pt>
                <c:pt idx="67">
                  <c:v>5.7229999999999999</c:v>
                </c:pt>
                <c:pt idx="68">
                  <c:v>5.7160000000000002</c:v>
                </c:pt>
                <c:pt idx="69">
                  <c:v>5.6769999999999996</c:v>
                </c:pt>
                <c:pt idx="70">
                  <c:v>5.6529999999999996</c:v>
                </c:pt>
                <c:pt idx="71">
                  <c:v>5.5810000000000004</c:v>
                </c:pt>
                <c:pt idx="72">
                  <c:v>5.5449999999999999</c:v>
                </c:pt>
                <c:pt idx="73">
                  <c:v>5.5359999999999996</c:v>
                </c:pt>
                <c:pt idx="74">
                  <c:v>5.5339999999999998</c:v>
                </c:pt>
                <c:pt idx="75">
                  <c:v>5.4770000000000003</c:v>
                </c:pt>
                <c:pt idx="76">
                  <c:v>5.4770000000000003</c:v>
                </c:pt>
                <c:pt idx="77">
                  <c:v>5.4660000000000002</c:v>
                </c:pt>
                <c:pt idx="78">
                  <c:v>5.4109999999999996</c:v>
                </c:pt>
                <c:pt idx="79">
                  <c:v>5.41</c:v>
                </c:pt>
                <c:pt idx="80">
                  <c:v>5.3840000000000003</c:v>
                </c:pt>
                <c:pt idx="81">
                  <c:v>5.3449999999999998</c:v>
                </c:pt>
                <c:pt idx="82">
                  <c:v>5.3419999999999996</c:v>
                </c:pt>
                <c:pt idx="83">
                  <c:v>5.3390000000000004</c:v>
                </c:pt>
                <c:pt idx="84">
                  <c:v>5.306</c:v>
                </c:pt>
                <c:pt idx="85">
                  <c:v>5.2830000000000004</c:v>
                </c:pt>
                <c:pt idx="86">
                  <c:v>5.2690000000000001</c:v>
                </c:pt>
                <c:pt idx="87">
                  <c:v>5.266</c:v>
                </c:pt>
                <c:pt idx="88">
                  <c:v>5.1980000000000004</c:v>
                </c:pt>
                <c:pt idx="89">
                  <c:v>5.1710000000000003</c:v>
                </c:pt>
                <c:pt idx="90">
                  <c:v>5.1420000000000003</c:v>
                </c:pt>
                <c:pt idx="91">
                  <c:v>5.1319999999999997</c:v>
                </c:pt>
                <c:pt idx="92">
                  <c:v>5.117</c:v>
                </c:pt>
                <c:pt idx="93">
                  <c:v>5.101</c:v>
                </c:pt>
                <c:pt idx="94">
                  <c:v>5.0880000000000001</c:v>
                </c:pt>
                <c:pt idx="95">
                  <c:v>5.0739999999999998</c:v>
                </c:pt>
                <c:pt idx="96">
                  <c:v>5.0659999999999998</c:v>
                </c:pt>
                <c:pt idx="97">
                  <c:v>5.0510000000000002</c:v>
                </c:pt>
                <c:pt idx="98">
                  <c:v>5.0449999999999999</c:v>
                </c:pt>
                <c:pt idx="99">
                  <c:v>5.03</c:v>
                </c:pt>
                <c:pt idx="100">
                  <c:v>5.0250000000000004</c:v>
                </c:pt>
                <c:pt idx="101">
                  <c:v>4.984</c:v>
                </c:pt>
                <c:pt idx="102">
                  <c:v>4.9560000000000004</c:v>
                </c:pt>
                <c:pt idx="103">
                  <c:v>4.9480000000000004</c:v>
                </c:pt>
                <c:pt idx="104">
                  <c:v>4.9340000000000002</c:v>
                </c:pt>
                <c:pt idx="105">
                  <c:v>4.9180000000000001</c:v>
                </c:pt>
                <c:pt idx="106">
                  <c:v>4.8920000000000003</c:v>
                </c:pt>
                <c:pt idx="107">
                  <c:v>4.891</c:v>
                </c:pt>
                <c:pt idx="108">
                  <c:v>4.8869999999999996</c:v>
                </c:pt>
                <c:pt idx="109">
                  <c:v>4.875</c:v>
                </c:pt>
                <c:pt idx="110">
                  <c:v>4.8540000000000001</c:v>
                </c:pt>
                <c:pt idx="111">
                  <c:v>4.8520000000000003</c:v>
                </c:pt>
                <c:pt idx="112">
                  <c:v>4.8339999999999996</c:v>
                </c:pt>
                <c:pt idx="113">
                  <c:v>4.83</c:v>
                </c:pt>
                <c:pt idx="114">
                  <c:v>4.7939999999999996</c:v>
                </c:pt>
                <c:pt idx="115">
                  <c:v>4.7590000000000003</c:v>
                </c:pt>
                <c:pt idx="116">
                  <c:v>4.7229999999999999</c:v>
                </c:pt>
                <c:pt idx="117">
                  <c:v>4.7210000000000001</c:v>
                </c:pt>
                <c:pt idx="118">
                  <c:v>4.6360000000000001</c:v>
                </c:pt>
                <c:pt idx="119">
                  <c:v>4.625</c:v>
                </c:pt>
                <c:pt idx="120">
                  <c:v>4.6070000000000002</c:v>
                </c:pt>
                <c:pt idx="121">
                  <c:v>4.5960000000000001</c:v>
                </c:pt>
                <c:pt idx="122">
                  <c:v>4.5839999999999996</c:v>
                </c:pt>
                <c:pt idx="123">
                  <c:v>4.5739999999999998</c:v>
                </c:pt>
                <c:pt idx="124">
                  <c:v>4.5170000000000003</c:v>
                </c:pt>
                <c:pt idx="125">
                  <c:v>4.4260000000000002</c:v>
                </c:pt>
                <c:pt idx="126">
                  <c:v>4.3949999999999996</c:v>
                </c:pt>
                <c:pt idx="127">
                  <c:v>4.3550000000000004</c:v>
                </c:pt>
                <c:pt idx="128">
                  <c:v>4.3250000000000002</c:v>
                </c:pt>
                <c:pt idx="129">
                  <c:v>4.3079999999999998</c:v>
                </c:pt>
                <c:pt idx="130">
                  <c:v>4.2889999999999997</c:v>
                </c:pt>
                <c:pt idx="131">
                  <c:v>4.2830000000000004</c:v>
                </c:pt>
                <c:pt idx="132">
                  <c:v>4.2750000000000004</c:v>
                </c:pt>
                <c:pt idx="133">
                  <c:v>4.2270000000000003</c:v>
                </c:pt>
                <c:pt idx="134">
                  <c:v>4.2080000000000002</c:v>
                </c:pt>
                <c:pt idx="135">
                  <c:v>4.1070000000000002</c:v>
                </c:pt>
                <c:pt idx="136">
                  <c:v>4.0730000000000004</c:v>
                </c:pt>
                <c:pt idx="137">
                  <c:v>3.8490000000000002</c:v>
                </c:pt>
                <c:pt idx="138">
                  <c:v>3.819</c:v>
                </c:pt>
                <c:pt idx="139">
                  <c:v>3.7749999999999999</c:v>
                </c:pt>
                <c:pt idx="140">
                  <c:v>3.6579999999999999</c:v>
                </c:pt>
                <c:pt idx="141">
                  <c:v>3.6230000000000002</c:v>
                </c:pt>
                <c:pt idx="142">
                  <c:v>3.6150000000000002</c:v>
                </c:pt>
                <c:pt idx="143">
                  <c:v>3.6</c:v>
                </c:pt>
                <c:pt idx="144">
                  <c:v>3.512</c:v>
                </c:pt>
                <c:pt idx="145">
                  <c:v>3.4670000000000001</c:v>
                </c:pt>
                <c:pt idx="146">
                  <c:v>3.415</c:v>
                </c:pt>
                <c:pt idx="147">
                  <c:v>3.145</c:v>
                </c:pt>
                <c:pt idx="148">
                  <c:v>2.5230000000000001</c:v>
                </c:pt>
              </c:numCache>
            </c:numRef>
          </c:xVal>
          <c:yVal>
            <c:numRef>
              <c:f>Sheet5!$E$2:$E$150</c:f>
              <c:numCache>
                <c:formatCode>General</c:formatCode>
                <c:ptCount val="149"/>
                <c:pt idx="0">
                  <c:v>0.95399999999999996</c:v>
                </c:pt>
                <c:pt idx="1">
                  <c:v>0.95399999999999996</c:v>
                </c:pt>
                <c:pt idx="2">
                  <c:v>0.94199999999999995</c:v>
                </c:pt>
                <c:pt idx="3">
                  <c:v>0.98299999999999998</c:v>
                </c:pt>
                <c:pt idx="4">
                  <c:v>0.94199999999999995</c:v>
                </c:pt>
                <c:pt idx="5">
                  <c:v>0.95399999999999996</c:v>
                </c:pt>
                <c:pt idx="6">
                  <c:v>0.93400000000000005</c:v>
                </c:pt>
                <c:pt idx="7">
                  <c:v>0.90800000000000003</c:v>
                </c:pt>
                <c:pt idx="8">
                  <c:v>0.94799999999999995</c:v>
                </c:pt>
                <c:pt idx="9">
                  <c:v>0.93400000000000005</c:v>
                </c:pt>
                <c:pt idx="10">
                  <c:v>0.94</c:v>
                </c:pt>
                <c:pt idx="11">
                  <c:v>0.93899999999999995</c:v>
                </c:pt>
                <c:pt idx="12">
                  <c:v>0.90300000000000002</c:v>
                </c:pt>
                <c:pt idx="13">
                  <c:v>0.92600000000000005</c:v>
                </c:pt>
                <c:pt idx="14">
                  <c:v>0.94699999999999995</c:v>
                </c:pt>
                <c:pt idx="15">
                  <c:v>0.89100000000000001</c:v>
                </c:pt>
                <c:pt idx="16">
                  <c:v>0.93400000000000005</c:v>
                </c:pt>
                <c:pt idx="17">
                  <c:v>0.94699999999999995</c:v>
                </c:pt>
                <c:pt idx="18">
                  <c:v>0.92</c:v>
                </c:pt>
                <c:pt idx="19">
                  <c:v>0.90600000000000003</c:v>
                </c:pt>
                <c:pt idx="20">
                  <c:v>0.94199999999999995</c:v>
                </c:pt>
                <c:pt idx="21">
                  <c:v>0.86199999999999999</c:v>
                </c:pt>
                <c:pt idx="22">
                  <c:v>0.93100000000000005</c:v>
                </c:pt>
                <c:pt idx="23">
                  <c:v>0.89800000000000002</c:v>
                </c:pt>
                <c:pt idx="24">
                  <c:v>0.84399999999999997</c:v>
                </c:pt>
                <c:pt idx="25">
                  <c:v>0.89100000000000001</c:v>
                </c:pt>
                <c:pt idx="26">
                  <c:v>0.93200000000000005</c:v>
                </c:pt>
                <c:pt idx="27">
                  <c:v>0.88</c:v>
                </c:pt>
                <c:pt idx="28">
                  <c:v>0.94799999999999995</c:v>
                </c:pt>
                <c:pt idx="29">
                  <c:v>0.81299999999999994</c:v>
                </c:pt>
                <c:pt idx="30">
                  <c:v>0.92500000000000004</c:v>
                </c:pt>
                <c:pt idx="31">
                  <c:v>0.91500000000000004</c:v>
                </c:pt>
                <c:pt idx="32">
                  <c:v>0.82099999999999995</c:v>
                </c:pt>
                <c:pt idx="33">
                  <c:v>0.93600000000000005</c:v>
                </c:pt>
                <c:pt idx="34">
                  <c:v>0.88200000000000001</c:v>
                </c:pt>
                <c:pt idx="35">
                  <c:v>0.83099999999999996</c:v>
                </c:pt>
                <c:pt idx="36">
                  <c:v>0.877</c:v>
                </c:pt>
                <c:pt idx="37">
                  <c:v>0.93500000000000005</c:v>
                </c:pt>
                <c:pt idx="38">
                  <c:v>0.80200000000000005</c:v>
                </c:pt>
                <c:pt idx="39">
                  <c:v>0.94099999999999995</c:v>
                </c:pt>
                <c:pt idx="40">
                  <c:v>0.89600000000000002</c:v>
                </c:pt>
                <c:pt idx="41">
                  <c:v>0.91800000000000004</c:v>
                </c:pt>
                <c:pt idx="42">
                  <c:v>0.88200000000000001</c:v>
                </c:pt>
                <c:pt idx="43">
                  <c:v>0.89800000000000002</c:v>
                </c:pt>
                <c:pt idx="44">
                  <c:v>0.95199999999999996</c:v>
                </c:pt>
                <c:pt idx="45">
                  <c:v>0.83199999999999996</c:v>
                </c:pt>
                <c:pt idx="46">
                  <c:v>0.84299999999999997</c:v>
                </c:pt>
                <c:pt idx="47">
                  <c:v>0.873</c:v>
                </c:pt>
                <c:pt idx="48">
                  <c:v>0.76200000000000001</c:v>
                </c:pt>
                <c:pt idx="49">
                  <c:v>0.90500000000000003</c:v>
                </c:pt>
                <c:pt idx="50">
                  <c:v>0.92700000000000005</c:v>
                </c:pt>
                <c:pt idx="51">
                  <c:v>0.84699999999999998</c:v>
                </c:pt>
                <c:pt idx="52">
                  <c:v>0.94299999999999995</c:v>
                </c:pt>
                <c:pt idx="53">
                  <c:v>0.88800000000000001</c:v>
                </c:pt>
                <c:pt idx="54">
                  <c:v>0.86399999999999999</c:v>
                </c:pt>
                <c:pt idx="55">
                  <c:v>0.88400000000000001</c:v>
                </c:pt>
                <c:pt idx="56">
                  <c:v>0.89800000000000002</c:v>
                </c:pt>
                <c:pt idx="57">
                  <c:v>0.879</c:v>
                </c:pt>
                <c:pt idx="58">
                  <c:v>0.81200000000000006</c:v>
                </c:pt>
                <c:pt idx="59">
                  <c:v>0.92400000000000004</c:v>
                </c:pt>
                <c:pt idx="60">
                  <c:v>0.83</c:v>
                </c:pt>
                <c:pt idx="61">
                  <c:v>0.79900000000000004</c:v>
                </c:pt>
                <c:pt idx="62">
                  <c:v>0.83199999999999996</c:v>
                </c:pt>
                <c:pt idx="63">
                  <c:v>0.87</c:v>
                </c:pt>
                <c:pt idx="64">
                  <c:v>0.85699999999999998</c:v>
                </c:pt>
                <c:pt idx="65">
                  <c:v>0.82099999999999995</c:v>
                </c:pt>
                <c:pt idx="66">
                  <c:v>0.89300000000000002</c:v>
                </c:pt>
                <c:pt idx="67">
                  <c:v>0.82299999999999995</c:v>
                </c:pt>
                <c:pt idx="68">
                  <c:v>0.81</c:v>
                </c:pt>
                <c:pt idx="69">
                  <c:v>0.93500000000000005</c:v>
                </c:pt>
                <c:pt idx="70">
                  <c:v>0.89300000000000002</c:v>
                </c:pt>
                <c:pt idx="71">
                  <c:v>0.85799999999999998</c:v>
                </c:pt>
                <c:pt idx="72">
                  <c:v>0.85299999999999998</c:v>
                </c:pt>
                <c:pt idx="73">
                  <c:v>0.82</c:v>
                </c:pt>
                <c:pt idx="74">
                  <c:v>0.91</c:v>
                </c:pt>
                <c:pt idx="75">
                  <c:v>0.90300000000000002</c:v>
                </c:pt>
                <c:pt idx="76">
                  <c:v>0.83599999999999997</c:v>
                </c:pt>
                <c:pt idx="77">
                  <c:v>0.86</c:v>
                </c:pt>
                <c:pt idx="78">
                  <c:v>0.85</c:v>
                </c:pt>
                <c:pt idx="79">
                  <c:v>0.82699999999999996</c:v>
                </c:pt>
                <c:pt idx="80">
                  <c:v>0.81699999999999995</c:v>
                </c:pt>
                <c:pt idx="81">
                  <c:v>0.81100000000000005</c:v>
                </c:pt>
                <c:pt idx="82">
                  <c:v>0.63600000000000001</c:v>
                </c:pt>
                <c:pt idx="83">
                  <c:v>0.81100000000000005</c:v>
                </c:pt>
                <c:pt idx="84">
                  <c:v>0.64400000000000002</c:v>
                </c:pt>
                <c:pt idx="85">
                  <c:v>0.79900000000000004</c:v>
                </c:pt>
                <c:pt idx="86">
                  <c:v>0.77400000000000002</c:v>
                </c:pt>
                <c:pt idx="87">
                  <c:v>0.93100000000000005</c:v>
                </c:pt>
                <c:pt idx="88">
                  <c:v>0.91300000000000003</c:v>
                </c:pt>
                <c:pt idx="89">
                  <c:v>0.83599999999999997</c:v>
                </c:pt>
                <c:pt idx="90">
                  <c:v>0.71</c:v>
                </c:pt>
                <c:pt idx="91">
                  <c:v>0.71</c:v>
                </c:pt>
                <c:pt idx="92">
                  <c:v>0.69699999999999995</c:v>
                </c:pt>
                <c:pt idx="93">
                  <c:v>0.80500000000000005</c:v>
                </c:pt>
                <c:pt idx="94">
                  <c:v>0.72699999999999998</c:v>
                </c:pt>
                <c:pt idx="95">
                  <c:v>0.64100000000000001</c:v>
                </c:pt>
                <c:pt idx="96">
                  <c:v>0.98299999999999998</c:v>
                </c:pt>
                <c:pt idx="97">
                  <c:v>0.69</c:v>
                </c:pt>
                <c:pt idx="98">
                  <c:v>0.48899999999999999</c:v>
                </c:pt>
                <c:pt idx="99">
                  <c:v>0.72799999999999998</c:v>
                </c:pt>
                <c:pt idx="100">
                  <c:v>0.69299999999999995</c:v>
                </c:pt>
                <c:pt idx="101">
                  <c:v>0.63900000000000001</c:v>
                </c:pt>
                <c:pt idx="102">
                  <c:v>0.86</c:v>
                </c:pt>
                <c:pt idx="103">
                  <c:v>0.82199999999999995</c:v>
                </c:pt>
                <c:pt idx="104">
                  <c:v>0.65100000000000002</c:v>
                </c:pt>
                <c:pt idx="105">
                  <c:v>0.56000000000000005</c:v>
                </c:pt>
                <c:pt idx="106">
                  <c:v>0.86099999999999999</c:v>
                </c:pt>
                <c:pt idx="107">
                  <c:v>0.67100000000000004</c:v>
                </c:pt>
                <c:pt idx="108">
                  <c:v>0.80200000000000005</c:v>
                </c:pt>
                <c:pt idx="109">
                  <c:v>0.88800000000000001</c:v>
                </c:pt>
                <c:pt idx="110">
                  <c:v>0.746</c:v>
                </c:pt>
                <c:pt idx="111">
                  <c:v>0.77600000000000002</c:v>
                </c:pt>
                <c:pt idx="112">
                  <c:v>0.67200000000000004</c:v>
                </c:pt>
                <c:pt idx="113">
                  <c:v>0.76500000000000001</c:v>
                </c:pt>
                <c:pt idx="114">
                  <c:v>0.74399999999999999</c:v>
                </c:pt>
                <c:pt idx="115">
                  <c:v>0.74</c:v>
                </c:pt>
                <c:pt idx="116">
                  <c:v>0.72399999999999998</c:v>
                </c:pt>
                <c:pt idx="117">
                  <c:v>0.71</c:v>
                </c:pt>
                <c:pt idx="118">
                  <c:v>0.78100000000000003</c:v>
                </c:pt>
                <c:pt idx="119">
                  <c:v>0.72</c:v>
                </c:pt>
                <c:pt idx="120">
                  <c:v>0.68799999999999994</c:v>
                </c:pt>
                <c:pt idx="121">
                  <c:v>0.69099999999999995</c:v>
                </c:pt>
                <c:pt idx="122">
                  <c:v>0.84799999999999998</c:v>
                </c:pt>
                <c:pt idx="123">
                  <c:v>0.81799999999999995</c:v>
                </c:pt>
                <c:pt idx="124">
                  <c:v>0.82599999999999996</c:v>
                </c:pt>
                <c:pt idx="125">
                  <c:v>0.77900000000000003</c:v>
                </c:pt>
                <c:pt idx="126">
                  <c:v>0.76700000000000002</c:v>
                </c:pt>
                <c:pt idx="127">
                  <c:v>0.61899999999999999</c:v>
                </c:pt>
                <c:pt idx="128">
                  <c:v>0.82699999999999996</c:v>
                </c:pt>
                <c:pt idx="129">
                  <c:v>0.77</c:v>
                </c:pt>
                <c:pt idx="130">
                  <c:v>0.626</c:v>
                </c:pt>
                <c:pt idx="131">
                  <c:v>0.75</c:v>
                </c:pt>
                <c:pt idx="132">
                  <c:v>0.76400000000000001</c:v>
                </c:pt>
                <c:pt idx="133">
                  <c:v>0.79500000000000004</c:v>
                </c:pt>
                <c:pt idx="134">
                  <c:v>0.68600000000000005</c:v>
                </c:pt>
                <c:pt idx="135">
                  <c:v>0.56899999999999995</c:v>
                </c:pt>
                <c:pt idx="136">
                  <c:v>0.70799999999999996</c:v>
                </c:pt>
                <c:pt idx="137">
                  <c:v>0.63</c:v>
                </c:pt>
                <c:pt idx="138">
                  <c:v>0.60299999999999998</c:v>
                </c:pt>
                <c:pt idx="139">
                  <c:v>0.49</c:v>
                </c:pt>
                <c:pt idx="140">
                  <c:v>0.83199999999999996</c:v>
                </c:pt>
                <c:pt idx="141">
                  <c:v>0.70199999999999996</c:v>
                </c:pt>
                <c:pt idx="142">
                  <c:v>0.54</c:v>
                </c:pt>
                <c:pt idx="143">
                  <c:v>0.53700000000000003</c:v>
                </c:pt>
                <c:pt idx="144">
                  <c:v>0.78700000000000003</c:v>
                </c:pt>
                <c:pt idx="145">
                  <c:v>0.78400000000000003</c:v>
                </c:pt>
                <c:pt idx="146">
                  <c:v>0.55200000000000005</c:v>
                </c:pt>
                <c:pt idx="147">
                  <c:v>0.75</c:v>
                </c:pt>
                <c:pt idx="148">
                  <c:v>0.46300000000000002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F08-4B6A-83C5-D57605319F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333599"/>
        <c:axId val="91330719"/>
      </c:scatterChart>
      <c:valAx>
        <c:axId val="91333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l-SI"/>
                  <a:t>Ladder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330719"/>
        <c:crosses val="autoZero"/>
        <c:crossBetween val="midCat"/>
      </c:valAx>
      <c:valAx>
        <c:axId val="91330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l-SI"/>
                  <a:t>Social support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3335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Sheet5!$F$1</c:f>
              <c:strCache>
                <c:ptCount val="1"/>
                <c:pt idx="0">
                  <c:v>Healthy life expectancy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6"/>
            <c:dispRSqr val="1"/>
            <c:dispEq val="1"/>
            <c:trendlineLbl>
              <c:layout>
                <c:manualLayout>
                  <c:x val="0.11755902274388161"/>
                  <c:y val="0.420987824660996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Sheet5!$C$2:$C$150</c:f>
              <c:numCache>
                <c:formatCode>General</c:formatCode>
                <c:ptCount val="149"/>
                <c:pt idx="0">
                  <c:v>7.8419999999999996</c:v>
                </c:pt>
                <c:pt idx="1">
                  <c:v>7.62</c:v>
                </c:pt>
                <c:pt idx="2">
                  <c:v>7.5709999999999997</c:v>
                </c:pt>
                <c:pt idx="3">
                  <c:v>7.5540000000000003</c:v>
                </c:pt>
                <c:pt idx="4">
                  <c:v>7.4640000000000004</c:v>
                </c:pt>
                <c:pt idx="5">
                  <c:v>7.3920000000000003</c:v>
                </c:pt>
                <c:pt idx="6">
                  <c:v>7.3630000000000004</c:v>
                </c:pt>
                <c:pt idx="7">
                  <c:v>7.3239999999999998</c:v>
                </c:pt>
                <c:pt idx="8">
                  <c:v>7.2770000000000001</c:v>
                </c:pt>
                <c:pt idx="9">
                  <c:v>7.2679999999999998</c:v>
                </c:pt>
                <c:pt idx="10">
                  <c:v>7.1829999999999998</c:v>
                </c:pt>
                <c:pt idx="11">
                  <c:v>7.157</c:v>
                </c:pt>
                <c:pt idx="12">
                  <c:v>7.1550000000000002</c:v>
                </c:pt>
                <c:pt idx="13">
                  <c:v>7.1029999999999998</c:v>
                </c:pt>
                <c:pt idx="14">
                  <c:v>7.085</c:v>
                </c:pt>
                <c:pt idx="15">
                  <c:v>7.069</c:v>
                </c:pt>
                <c:pt idx="16">
                  <c:v>7.0640000000000001</c:v>
                </c:pt>
                <c:pt idx="17">
                  <c:v>6.9649999999999999</c:v>
                </c:pt>
                <c:pt idx="18">
                  <c:v>6.9509999999999996</c:v>
                </c:pt>
                <c:pt idx="19">
                  <c:v>6.8339999999999996</c:v>
                </c:pt>
                <c:pt idx="20">
                  <c:v>6.69</c:v>
                </c:pt>
                <c:pt idx="21">
                  <c:v>6.6470000000000002</c:v>
                </c:pt>
                <c:pt idx="22">
                  <c:v>6.6020000000000003</c:v>
                </c:pt>
                <c:pt idx="23">
                  <c:v>6.5839999999999996</c:v>
                </c:pt>
                <c:pt idx="24">
                  <c:v>6.5609999999999999</c:v>
                </c:pt>
                <c:pt idx="25">
                  <c:v>6.4939999999999998</c:v>
                </c:pt>
                <c:pt idx="26">
                  <c:v>6.4909999999999997</c:v>
                </c:pt>
                <c:pt idx="27">
                  <c:v>6.4829999999999997</c:v>
                </c:pt>
                <c:pt idx="28">
                  <c:v>6.4610000000000003</c:v>
                </c:pt>
                <c:pt idx="29">
                  <c:v>6.4349999999999996</c:v>
                </c:pt>
                <c:pt idx="30">
                  <c:v>6.431</c:v>
                </c:pt>
                <c:pt idx="31">
                  <c:v>6.3769999999999998</c:v>
                </c:pt>
                <c:pt idx="32">
                  <c:v>6.3719999999999999</c:v>
                </c:pt>
                <c:pt idx="33">
                  <c:v>6.3310000000000004</c:v>
                </c:pt>
                <c:pt idx="34">
                  <c:v>6.33</c:v>
                </c:pt>
                <c:pt idx="35">
                  <c:v>6.3170000000000002</c:v>
                </c:pt>
                <c:pt idx="36">
                  <c:v>6.3090000000000002</c:v>
                </c:pt>
                <c:pt idx="37">
                  <c:v>6.2549999999999999</c:v>
                </c:pt>
                <c:pt idx="38">
                  <c:v>6.2229999999999999</c:v>
                </c:pt>
                <c:pt idx="39">
                  <c:v>6.1890000000000001</c:v>
                </c:pt>
                <c:pt idx="40">
                  <c:v>6.18</c:v>
                </c:pt>
                <c:pt idx="41">
                  <c:v>6.1790000000000003</c:v>
                </c:pt>
                <c:pt idx="42">
                  <c:v>6.1719999999999997</c:v>
                </c:pt>
                <c:pt idx="43">
                  <c:v>6.1660000000000004</c:v>
                </c:pt>
                <c:pt idx="44">
                  <c:v>6.1520000000000001</c:v>
                </c:pt>
                <c:pt idx="45">
                  <c:v>6.14</c:v>
                </c:pt>
                <c:pt idx="46">
                  <c:v>6.1059999999999999</c:v>
                </c:pt>
                <c:pt idx="47">
                  <c:v>6.0780000000000003</c:v>
                </c:pt>
                <c:pt idx="48">
                  <c:v>6.0609999999999999</c:v>
                </c:pt>
                <c:pt idx="49">
                  <c:v>6.0490000000000004</c:v>
                </c:pt>
                <c:pt idx="50">
                  <c:v>6.032</c:v>
                </c:pt>
                <c:pt idx="51">
                  <c:v>6.0119999999999996</c:v>
                </c:pt>
                <c:pt idx="52">
                  <c:v>5.992</c:v>
                </c:pt>
                <c:pt idx="53">
                  <c:v>5.9850000000000003</c:v>
                </c:pt>
                <c:pt idx="54">
                  <c:v>5.9720000000000004</c:v>
                </c:pt>
                <c:pt idx="55">
                  <c:v>5.94</c:v>
                </c:pt>
                <c:pt idx="56">
                  <c:v>5.9290000000000003</c:v>
                </c:pt>
                <c:pt idx="57">
                  <c:v>5.9290000000000003</c:v>
                </c:pt>
                <c:pt idx="58">
                  <c:v>5.9189999999999996</c:v>
                </c:pt>
                <c:pt idx="59">
                  <c:v>5.8819999999999997</c:v>
                </c:pt>
                <c:pt idx="60">
                  <c:v>5.88</c:v>
                </c:pt>
                <c:pt idx="61">
                  <c:v>5.8449999999999998</c:v>
                </c:pt>
                <c:pt idx="62">
                  <c:v>5.84</c:v>
                </c:pt>
                <c:pt idx="63">
                  <c:v>5.8129999999999997</c:v>
                </c:pt>
                <c:pt idx="64">
                  <c:v>5.766</c:v>
                </c:pt>
                <c:pt idx="65">
                  <c:v>5.7640000000000002</c:v>
                </c:pt>
                <c:pt idx="66">
                  <c:v>5.7439999999999998</c:v>
                </c:pt>
                <c:pt idx="67">
                  <c:v>5.7229999999999999</c:v>
                </c:pt>
                <c:pt idx="68">
                  <c:v>5.7160000000000002</c:v>
                </c:pt>
                <c:pt idx="69">
                  <c:v>5.6769999999999996</c:v>
                </c:pt>
                <c:pt idx="70">
                  <c:v>5.6529999999999996</c:v>
                </c:pt>
                <c:pt idx="71">
                  <c:v>5.5810000000000004</c:v>
                </c:pt>
                <c:pt idx="72">
                  <c:v>5.5449999999999999</c:v>
                </c:pt>
                <c:pt idx="73">
                  <c:v>5.5359999999999996</c:v>
                </c:pt>
                <c:pt idx="74">
                  <c:v>5.5339999999999998</c:v>
                </c:pt>
                <c:pt idx="75">
                  <c:v>5.4770000000000003</c:v>
                </c:pt>
                <c:pt idx="76">
                  <c:v>5.4770000000000003</c:v>
                </c:pt>
                <c:pt idx="77">
                  <c:v>5.4660000000000002</c:v>
                </c:pt>
                <c:pt idx="78">
                  <c:v>5.4109999999999996</c:v>
                </c:pt>
                <c:pt idx="79">
                  <c:v>5.41</c:v>
                </c:pt>
                <c:pt idx="80">
                  <c:v>5.3840000000000003</c:v>
                </c:pt>
                <c:pt idx="81">
                  <c:v>5.3449999999999998</c:v>
                </c:pt>
                <c:pt idx="82">
                  <c:v>5.3419999999999996</c:v>
                </c:pt>
                <c:pt idx="83">
                  <c:v>5.3390000000000004</c:v>
                </c:pt>
                <c:pt idx="84">
                  <c:v>5.306</c:v>
                </c:pt>
                <c:pt idx="85">
                  <c:v>5.2830000000000004</c:v>
                </c:pt>
                <c:pt idx="86">
                  <c:v>5.2690000000000001</c:v>
                </c:pt>
                <c:pt idx="87">
                  <c:v>5.266</c:v>
                </c:pt>
                <c:pt idx="88">
                  <c:v>5.1980000000000004</c:v>
                </c:pt>
                <c:pt idx="89">
                  <c:v>5.1710000000000003</c:v>
                </c:pt>
                <c:pt idx="90">
                  <c:v>5.1420000000000003</c:v>
                </c:pt>
                <c:pt idx="91">
                  <c:v>5.1319999999999997</c:v>
                </c:pt>
                <c:pt idx="92">
                  <c:v>5.117</c:v>
                </c:pt>
                <c:pt idx="93">
                  <c:v>5.101</c:v>
                </c:pt>
                <c:pt idx="94">
                  <c:v>5.0880000000000001</c:v>
                </c:pt>
                <c:pt idx="95">
                  <c:v>5.0739999999999998</c:v>
                </c:pt>
                <c:pt idx="96">
                  <c:v>5.0659999999999998</c:v>
                </c:pt>
                <c:pt idx="97">
                  <c:v>5.0510000000000002</c:v>
                </c:pt>
                <c:pt idx="98">
                  <c:v>5.0449999999999999</c:v>
                </c:pt>
                <c:pt idx="99">
                  <c:v>5.03</c:v>
                </c:pt>
                <c:pt idx="100">
                  <c:v>5.0250000000000004</c:v>
                </c:pt>
                <c:pt idx="101">
                  <c:v>4.984</c:v>
                </c:pt>
                <c:pt idx="102">
                  <c:v>4.9560000000000004</c:v>
                </c:pt>
                <c:pt idx="103">
                  <c:v>4.9480000000000004</c:v>
                </c:pt>
                <c:pt idx="104">
                  <c:v>4.9340000000000002</c:v>
                </c:pt>
                <c:pt idx="105">
                  <c:v>4.9180000000000001</c:v>
                </c:pt>
                <c:pt idx="106">
                  <c:v>4.8920000000000003</c:v>
                </c:pt>
                <c:pt idx="107">
                  <c:v>4.891</c:v>
                </c:pt>
                <c:pt idx="108">
                  <c:v>4.8869999999999996</c:v>
                </c:pt>
                <c:pt idx="109">
                  <c:v>4.875</c:v>
                </c:pt>
                <c:pt idx="110">
                  <c:v>4.8540000000000001</c:v>
                </c:pt>
                <c:pt idx="111">
                  <c:v>4.8520000000000003</c:v>
                </c:pt>
                <c:pt idx="112">
                  <c:v>4.8339999999999996</c:v>
                </c:pt>
                <c:pt idx="113">
                  <c:v>4.83</c:v>
                </c:pt>
                <c:pt idx="114">
                  <c:v>4.7939999999999996</c:v>
                </c:pt>
                <c:pt idx="115">
                  <c:v>4.7590000000000003</c:v>
                </c:pt>
                <c:pt idx="116">
                  <c:v>4.7229999999999999</c:v>
                </c:pt>
                <c:pt idx="117">
                  <c:v>4.7210000000000001</c:v>
                </c:pt>
                <c:pt idx="118">
                  <c:v>4.6360000000000001</c:v>
                </c:pt>
                <c:pt idx="119">
                  <c:v>4.625</c:v>
                </c:pt>
                <c:pt idx="120">
                  <c:v>4.6070000000000002</c:v>
                </c:pt>
                <c:pt idx="121">
                  <c:v>4.5960000000000001</c:v>
                </c:pt>
                <c:pt idx="122">
                  <c:v>4.5839999999999996</c:v>
                </c:pt>
                <c:pt idx="123">
                  <c:v>4.5739999999999998</c:v>
                </c:pt>
                <c:pt idx="124">
                  <c:v>4.5170000000000003</c:v>
                </c:pt>
                <c:pt idx="125">
                  <c:v>4.4260000000000002</c:v>
                </c:pt>
                <c:pt idx="126">
                  <c:v>4.3949999999999996</c:v>
                </c:pt>
                <c:pt idx="127">
                  <c:v>4.3550000000000004</c:v>
                </c:pt>
                <c:pt idx="128">
                  <c:v>4.3250000000000002</c:v>
                </c:pt>
                <c:pt idx="129">
                  <c:v>4.3079999999999998</c:v>
                </c:pt>
                <c:pt idx="130">
                  <c:v>4.2889999999999997</c:v>
                </c:pt>
                <c:pt idx="131">
                  <c:v>4.2830000000000004</c:v>
                </c:pt>
                <c:pt idx="132">
                  <c:v>4.2750000000000004</c:v>
                </c:pt>
                <c:pt idx="133">
                  <c:v>4.2270000000000003</c:v>
                </c:pt>
                <c:pt idx="134">
                  <c:v>4.2080000000000002</c:v>
                </c:pt>
                <c:pt idx="135">
                  <c:v>4.1070000000000002</c:v>
                </c:pt>
                <c:pt idx="136">
                  <c:v>4.0730000000000004</c:v>
                </c:pt>
                <c:pt idx="137">
                  <c:v>3.8490000000000002</c:v>
                </c:pt>
                <c:pt idx="138">
                  <c:v>3.819</c:v>
                </c:pt>
                <c:pt idx="139">
                  <c:v>3.7749999999999999</c:v>
                </c:pt>
                <c:pt idx="140">
                  <c:v>3.6579999999999999</c:v>
                </c:pt>
                <c:pt idx="141">
                  <c:v>3.6230000000000002</c:v>
                </c:pt>
                <c:pt idx="142">
                  <c:v>3.6150000000000002</c:v>
                </c:pt>
                <c:pt idx="143">
                  <c:v>3.6</c:v>
                </c:pt>
                <c:pt idx="144">
                  <c:v>3.512</c:v>
                </c:pt>
                <c:pt idx="145">
                  <c:v>3.4670000000000001</c:v>
                </c:pt>
                <c:pt idx="146">
                  <c:v>3.415</c:v>
                </c:pt>
                <c:pt idx="147">
                  <c:v>3.145</c:v>
                </c:pt>
                <c:pt idx="148">
                  <c:v>2.5230000000000001</c:v>
                </c:pt>
              </c:numCache>
            </c:numRef>
          </c:xVal>
          <c:yVal>
            <c:numRef>
              <c:f>Sheet5!$F$2:$F$150</c:f>
              <c:numCache>
                <c:formatCode>General</c:formatCode>
                <c:ptCount val="149"/>
                <c:pt idx="0">
                  <c:v>72</c:v>
                </c:pt>
                <c:pt idx="1">
                  <c:v>72.7</c:v>
                </c:pt>
                <c:pt idx="2">
                  <c:v>74.400000000000006</c:v>
                </c:pt>
                <c:pt idx="3">
                  <c:v>73</c:v>
                </c:pt>
                <c:pt idx="4">
                  <c:v>72.400000000000006</c:v>
                </c:pt>
                <c:pt idx="5">
                  <c:v>73.3</c:v>
                </c:pt>
                <c:pt idx="6">
                  <c:v>72.7</c:v>
                </c:pt>
                <c:pt idx="7">
                  <c:v>72.599999999999994</c:v>
                </c:pt>
                <c:pt idx="8">
                  <c:v>73.400000000000006</c:v>
                </c:pt>
                <c:pt idx="9">
                  <c:v>73.3</c:v>
                </c:pt>
                <c:pt idx="10">
                  <c:v>73.900000000000006</c:v>
                </c:pt>
                <c:pt idx="11">
                  <c:v>73.503</c:v>
                </c:pt>
                <c:pt idx="12">
                  <c:v>72.5</c:v>
                </c:pt>
                <c:pt idx="13">
                  <c:v>73.8</c:v>
                </c:pt>
                <c:pt idx="14">
                  <c:v>72.400000000000006</c:v>
                </c:pt>
                <c:pt idx="15">
                  <c:v>71.400000000000006</c:v>
                </c:pt>
                <c:pt idx="16">
                  <c:v>72.5</c:v>
                </c:pt>
                <c:pt idx="17">
                  <c:v>70.807000000000002</c:v>
                </c:pt>
                <c:pt idx="18">
                  <c:v>68.2</c:v>
                </c:pt>
                <c:pt idx="19">
                  <c:v>72.198999999999998</c:v>
                </c:pt>
                <c:pt idx="20">
                  <c:v>74</c:v>
                </c:pt>
                <c:pt idx="21">
                  <c:v>69.495000000000005</c:v>
                </c:pt>
                <c:pt idx="22">
                  <c:v>72.2</c:v>
                </c:pt>
                <c:pt idx="23">
                  <c:v>69.599999999999994</c:v>
                </c:pt>
                <c:pt idx="24">
                  <c:v>67.332999999999998</c:v>
                </c:pt>
                <c:pt idx="25">
                  <c:v>66.602999999999994</c:v>
                </c:pt>
                <c:pt idx="26">
                  <c:v>74.7</c:v>
                </c:pt>
                <c:pt idx="27">
                  <c:v>73.8</c:v>
                </c:pt>
                <c:pt idx="28">
                  <c:v>71.400000000000006</c:v>
                </c:pt>
                <c:pt idx="29">
                  <c:v>64.957999999999998</c:v>
                </c:pt>
                <c:pt idx="30">
                  <c:v>69.099999999999994</c:v>
                </c:pt>
                <c:pt idx="31">
                  <c:v>76.953000000000003</c:v>
                </c:pt>
                <c:pt idx="32">
                  <c:v>63.813000000000002</c:v>
                </c:pt>
                <c:pt idx="33">
                  <c:v>69.200999999999993</c:v>
                </c:pt>
                <c:pt idx="34">
                  <c:v>66.600999999999999</c:v>
                </c:pt>
                <c:pt idx="35">
                  <c:v>68.596999999999994</c:v>
                </c:pt>
                <c:pt idx="36">
                  <c:v>67.5</c:v>
                </c:pt>
                <c:pt idx="37">
                  <c:v>67.906000000000006</c:v>
                </c:pt>
                <c:pt idx="38">
                  <c:v>73.897999999999996</c:v>
                </c:pt>
                <c:pt idx="39">
                  <c:v>68.8</c:v>
                </c:pt>
                <c:pt idx="40">
                  <c:v>69.652000000000001</c:v>
                </c:pt>
                <c:pt idx="41">
                  <c:v>65.254999999999995</c:v>
                </c:pt>
                <c:pt idx="42">
                  <c:v>70</c:v>
                </c:pt>
                <c:pt idx="43">
                  <c:v>69.701999999999998</c:v>
                </c:pt>
                <c:pt idx="44">
                  <c:v>65.2</c:v>
                </c:pt>
                <c:pt idx="45">
                  <c:v>67.355000000000004</c:v>
                </c:pt>
                <c:pt idx="46">
                  <c:v>66.900000000000006</c:v>
                </c:pt>
                <c:pt idx="47">
                  <c:v>68.599999999999994</c:v>
                </c:pt>
                <c:pt idx="48">
                  <c:v>66.402000000000001</c:v>
                </c:pt>
                <c:pt idx="49">
                  <c:v>66.700999999999993</c:v>
                </c:pt>
                <c:pt idx="50">
                  <c:v>67.099999999999994</c:v>
                </c:pt>
                <c:pt idx="51">
                  <c:v>68.001000000000005</c:v>
                </c:pt>
                <c:pt idx="52">
                  <c:v>68</c:v>
                </c:pt>
                <c:pt idx="53">
                  <c:v>67.400999999999996</c:v>
                </c:pt>
                <c:pt idx="54">
                  <c:v>67.656999999999996</c:v>
                </c:pt>
                <c:pt idx="55">
                  <c:v>75.099999999999994</c:v>
                </c:pt>
                <c:pt idx="56">
                  <c:v>69</c:v>
                </c:pt>
                <c:pt idx="57">
                  <c:v>72.599999999999994</c:v>
                </c:pt>
                <c:pt idx="58">
                  <c:v>67.3</c:v>
                </c:pt>
                <c:pt idx="59">
                  <c:v>70.799000000000007</c:v>
                </c:pt>
                <c:pt idx="60">
                  <c:v>62</c:v>
                </c:pt>
                <c:pt idx="61">
                  <c:v>73.900000000000006</c:v>
                </c:pt>
                <c:pt idx="62">
                  <c:v>68.25</c:v>
                </c:pt>
                <c:pt idx="63">
                  <c:v>68.097999999999999</c:v>
                </c:pt>
                <c:pt idx="64">
                  <c:v>65.698999999999998</c:v>
                </c:pt>
                <c:pt idx="65">
                  <c:v>68.8</c:v>
                </c:pt>
                <c:pt idx="66">
                  <c:v>64.400999999999996</c:v>
                </c:pt>
                <c:pt idx="67">
                  <c:v>72.599999999999994</c:v>
                </c:pt>
                <c:pt idx="68">
                  <c:v>63.901000000000003</c:v>
                </c:pt>
                <c:pt idx="69">
                  <c:v>62.5</c:v>
                </c:pt>
                <c:pt idx="70">
                  <c:v>65.900000000000006</c:v>
                </c:pt>
                <c:pt idx="71">
                  <c:v>68.698999999999998</c:v>
                </c:pt>
                <c:pt idx="72">
                  <c:v>66.102000000000004</c:v>
                </c:pt>
                <c:pt idx="73">
                  <c:v>73.897999999999996</c:v>
                </c:pt>
                <c:pt idx="74">
                  <c:v>66.253</c:v>
                </c:pt>
                <c:pt idx="75">
                  <c:v>64.703000000000003</c:v>
                </c:pt>
                <c:pt idx="76">
                  <c:v>76.819999999999993</c:v>
                </c:pt>
                <c:pt idx="77">
                  <c:v>64.281000000000006</c:v>
                </c:pt>
                <c:pt idx="78">
                  <c:v>68.034000000000006</c:v>
                </c:pt>
                <c:pt idx="79">
                  <c:v>62.3</c:v>
                </c:pt>
                <c:pt idx="80">
                  <c:v>67.102000000000004</c:v>
                </c:pt>
                <c:pt idx="81">
                  <c:v>62.235999999999997</c:v>
                </c:pt>
                <c:pt idx="82">
                  <c:v>58.220999999999997</c:v>
                </c:pt>
                <c:pt idx="83">
                  <c:v>69.593000000000004</c:v>
                </c:pt>
                <c:pt idx="84">
                  <c:v>50.113999999999997</c:v>
                </c:pt>
                <c:pt idx="85">
                  <c:v>67.055000000000007</c:v>
                </c:pt>
                <c:pt idx="86">
                  <c:v>64.233000000000004</c:v>
                </c:pt>
                <c:pt idx="87">
                  <c:v>67</c:v>
                </c:pt>
                <c:pt idx="88">
                  <c:v>70.599999999999994</c:v>
                </c:pt>
                <c:pt idx="89">
                  <c:v>65.656000000000006</c:v>
                </c:pt>
                <c:pt idx="90">
                  <c:v>53.515000000000001</c:v>
                </c:pt>
                <c:pt idx="91">
                  <c:v>59.802</c:v>
                </c:pt>
                <c:pt idx="92">
                  <c:v>68.998999999999995</c:v>
                </c:pt>
                <c:pt idx="93">
                  <c:v>65.474000000000004</c:v>
                </c:pt>
                <c:pt idx="94">
                  <c:v>57.585999999999999</c:v>
                </c:pt>
                <c:pt idx="95">
                  <c:v>53.78</c:v>
                </c:pt>
                <c:pt idx="96">
                  <c:v>62.408999999999999</c:v>
                </c:pt>
                <c:pt idx="97">
                  <c:v>55.16</c:v>
                </c:pt>
                <c:pt idx="98">
                  <c:v>54.713000000000001</c:v>
                </c:pt>
                <c:pt idx="99">
                  <c:v>58.968000000000004</c:v>
                </c:pt>
                <c:pt idx="100">
                  <c:v>64.8</c:v>
                </c:pt>
                <c:pt idx="101">
                  <c:v>55.008000000000003</c:v>
                </c:pt>
                <c:pt idx="102">
                  <c:v>56.904000000000003</c:v>
                </c:pt>
                <c:pt idx="103">
                  <c:v>67.198999999999998</c:v>
                </c:pt>
                <c:pt idx="104">
                  <c:v>58.709000000000003</c:v>
                </c:pt>
                <c:pt idx="105">
                  <c:v>66.207999999999998</c:v>
                </c:pt>
                <c:pt idx="106">
                  <c:v>66.7</c:v>
                </c:pt>
                <c:pt idx="107">
                  <c:v>64.3</c:v>
                </c:pt>
                <c:pt idx="108">
                  <c:v>66.004999999999995</c:v>
                </c:pt>
                <c:pt idx="109">
                  <c:v>64.902000000000001</c:v>
                </c:pt>
                <c:pt idx="110">
                  <c:v>60.582999999999998</c:v>
                </c:pt>
                <c:pt idx="111">
                  <c:v>59.962000000000003</c:v>
                </c:pt>
                <c:pt idx="112">
                  <c:v>54.151000000000003</c:v>
                </c:pt>
                <c:pt idx="113">
                  <c:v>62</c:v>
                </c:pt>
                <c:pt idx="114">
                  <c:v>54.706000000000003</c:v>
                </c:pt>
                <c:pt idx="115">
                  <c:v>50.101999999999997</c:v>
                </c:pt>
                <c:pt idx="116">
                  <c:v>51.969000000000001</c:v>
                </c:pt>
                <c:pt idx="117">
                  <c:v>66.3</c:v>
                </c:pt>
                <c:pt idx="118">
                  <c:v>56.100999999999999</c:v>
                </c:pt>
                <c:pt idx="119">
                  <c:v>56.497999999999998</c:v>
                </c:pt>
                <c:pt idx="120">
                  <c:v>60.704000000000001</c:v>
                </c:pt>
                <c:pt idx="121">
                  <c:v>67.200999999999993</c:v>
                </c:pt>
                <c:pt idx="122">
                  <c:v>67.355000000000004</c:v>
                </c:pt>
                <c:pt idx="123">
                  <c:v>56.798999999999999</c:v>
                </c:pt>
                <c:pt idx="124">
                  <c:v>62.25</c:v>
                </c:pt>
                <c:pt idx="125">
                  <c:v>59.302</c:v>
                </c:pt>
                <c:pt idx="126">
                  <c:v>67</c:v>
                </c:pt>
                <c:pt idx="127">
                  <c:v>48.478000000000002</c:v>
                </c:pt>
                <c:pt idx="128">
                  <c:v>67.299000000000007</c:v>
                </c:pt>
                <c:pt idx="129">
                  <c:v>50.832999999999998</c:v>
                </c:pt>
                <c:pt idx="130">
                  <c:v>57.348999999999997</c:v>
                </c:pt>
                <c:pt idx="131">
                  <c:v>61.997999999999998</c:v>
                </c:pt>
                <c:pt idx="132">
                  <c:v>59</c:v>
                </c:pt>
                <c:pt idx="133">
                  <c:v>57.161000000000001</c:v>
                </c:pt>
                <c:pt idx="134">
                  <c:v>59.305</c:v>
                </c:pt>
                <c:pt idx="135">
                  <c:v>54.914000000000001</c:v>
                </c:pt>
                <c:pt idx="136">
                  <c:v>55.808999999999997</c:v>
                </c:pt>
                <c:pt idx="137">
                  <c:v>51.651000000000003</c:v>
                </c:pt>
                <c:pt idx="138">
                  <c:v>60.633000000000003</c:v>
                </c:pt>
                <c:pt idx="139">
                  <c:v>53.4</c:v>
                </c:pt>
                <c:pt idx="140">
                  <c:v>57.122</c:v>
                </c:pt>
                <c:pt idx="141">
                  <c:v>57.999000000000002</c:v>
                </c:pt>
                <c:pt idx="142">
                  <c:v>55.7</c:v>
                </c:pt>
                <c:pt idx="143">
                  <c:v>57.948</c:v>
                </c:pt>
                <c:pt idx="144">
                  <c:v>48.7</c:v>
                </c:pt>
                <c:pt idx="145">
                  <c:v>59.268999999999998</c:v>
                </c:pt>
                <c:pt idx="146">
                  <c:v>61.4</c:v>
                </c:pt>
                <c:pt idx="147">
                  <c:v>56.201000000000001</c:v>
                </c:pt>
                <c:pt idx="148">
                  <c:v>52.493000000000002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F7-4E92-BC9E-FACA88A6F6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372479"/>
        <c:axId val="91369599"/>
      </c:scatterChart>
      <c:valAx>
        <c:axId val="91372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l-SI"/>
                  <a:t>Ladder score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369599"/>
        <c:crosses val="autoZero"/>
        <c:crossBetween val="midCat"/>
      </c:valAx>
      <c:valAx>
        <c:axId val="91369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l-SI"/>
                  <a:t>Life expectancy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372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Sheet5!$G$1</c:f>
              <c:strCache>
                <c:ptCount val="1"/>
                <c:pt idx="0">
                  <c:v>Freedom to make life choices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6"/>
            <c:dispRSqr val="1"/>
            <c:dispEq val="1"/>
            <c:trendlineLbl>
              <c:layout>
                <c:manualLayout>
                  <c:x val="0.10071500437445319"/>
                  <c:y val="0.4168573199183435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Sheet5!$C$2:$C$150</c:f>
              <c:numCache>
                <c:formatCode>General</c:formatCode>
                <c:ptCount val="149"/>
                <c:pt idx="0">
                  <c:v>7.8419999999999996</c:v>
                </c:pt>
                <c:pt idx="1">
                  <c:v>7.62</c:v>
                </c:pt>
                <c:pt idx="2">
                  <c:v>7.5709999999999997</c:v>
                </c:pt>
                <c:pt idx="3">
                  <c:v>7.5540000000000003</c:v>
                </c:pt>
                <c:pt idx="4">
                  <c:v>7.4640000000000004</c:v>
                </c:pt>
                <c:pt idx="5">
                  <c:v>7.3920000000000003</c:v>
                </c:pt>
                <c:pt idx="6">
                  <c:v>7.3630000000000004</c:v>
                </c:pt>
                <c:pt idx="7">
                  <c:v>7.3239999999999998</c:v>
                </c:pt>
                <c:pt idx="8">
                  <c:v>7.2770000000000001</c:v>
                </c:pt>
                <c:pt idx="9">
                  <c:v>7.2679999999999998</c:v>
                </c:pt>
                <c:pt idx="10">
                  <c:v>7.1829999999999998</c:v>
                </c:pt>
                <c:pt idx="11">
                  <c:v>7.157</c:v>
                </c:pt>
                <c:pt idx="12">
                  <c:v>7.1550000000000002</c:v>
                </c:pt>
                <c:pt idx="13">
                  <c:v>7.1029999999999998</c:v>
                </c:pt>
                <c:pt idx="14">
                  <c:v>7.085</c:v>
                </c:pt>
                <c:pt idx="15">
                  <c:v>7.069</c:v>
                </c:pt>
                <c:pt idx="16">
                  <c:v>7.0640000000000001</c:v>
                </c:pt>
                <c:pt idx="17">
                  <c:v>6.9649999999999999</c:v>
                </c:pt>
                <c:pt idx="18">
                  <c:v>6.9509999999999996</c:v>
                </c:pt>
                <c:pt idx="19">
                  <c:v>6.8339999999999996</c:v>
                </c:pt>
                <c:pt idx="20">
                  <c:v>6.69</c:v>
                </c:pt>
                <c:pt idx="21">
                  <c:v>6.6470000000000002</c:v>
                </c:pt>
                <c:pt idx="22">
                  <c:v>6.6020000000000003</c:v>
                </c:pt>
                <c:pt idx="23">
                  <c:v>6.5839999999999996</c:v>
                </c:pt>
                <c:pt idx="24">
                  <c:v>6.5609999999999999</c:v>
                </c:pt>
                <c:pt idx="25">
                  <c:v>6.4939999999999998</c:v>
                </c:pt>
                <c:pt idx="26">
                  <c:v>6.4909999999999997</c:v>
                </c:pt>
                <c:pt idx="27">
                  <c:v>6.4829999999999997</c:v>
                </c:pt>
                <c:pt idx="28">
                  <c:v>6.4610000000000003</c:v>
                </c:pt>
                <c:pt idx="29">
                  <c:v>6.4349999999999996</c:v>
                </c:pt>
                <c:pt idx="30">
                  <c:v>6.431</c:v>
                </c:pt>
                <c:pt idx="31">
                  <c:v>6.3769999999999998</c:v>
                </c:pt>
                <c:pt idx="32">
                  <c:v>6.3719999999999999</c:v>
                </c:pt>
                <c:pt idx="33">
                  <c:v>6.3310000000000004</c:v>
                </c:pt>
                <c:pt idx="34">
                  <c:v>6.33</c:v>
                </c:pt>
                <c:pt idx="35">
                  <c:v>6.3170000000000002</c:v>
                </c:pt>
                <c:pt idx="36">
                  <c:v>6.3090000000000002</c:v>
                </c:pt>
                <c:pt idx="37">
                  <c:v>6.2549999999999999</c:v>
                </c:pt>
                <c:pt idx="38">
                  <c:v>6.2229999999999999</c:v>
                </c:pt>
                <c:pt idx="39">
                  <c:v>6.1890000000000001</c:v>
                </c:pt>
                <c:pt idx="40">
                  <c:v>6.18</c:v>
                </c:pt>
                <c:pt idx="41">
                  <c:v>6.1790000000000003</c:v>
                </c:pt>
                <c:pt idx="42">
                  <c:v>6.1719999999999997</c:v>
                </c:pt>
                <c:pt idx="43">
                  <c:v>6.1660000000000004</c:v>
                </c:pt>
                <c:pt idx="44">
                  <c:v>6.1520000000000001</c:v>
                </c:pt>
                <c:pt idx="45">
                  <c:v>6.14</c:v>
                </c:pt>
                <c:pt idx="46">
                  <c:v>6.1059999999999999</c:v>
                </c:pt>
                <c:pt idx="47">
                  <c:v>6.0780000000000003</c:v>
                </c:pt>
                <c:pt idx="48">
                  <c:v>6.0609999999999999</c:v>
                </c:pt>
                <c:pt idx="49">
                  <c:v>6.0490000000000004</c:v>
                </c:pt>
                <c:pt idx="50">
                  <c:v>6.032</c:v>
                </c:pt>
                <c:pt idx="51">
                  <c:v>6.0119999999999996</c:v>
                </c:pt>
                <c:pt idx="52">
                  <c:v>5.992</c:v>
                </c:pt>
                <c:pt idx="53">
                  <c:v>5.9850000000000003</c:v>
                </c:pt>
                <c:pt idx="54">
                  <c:v>5.9720000000000004</c:v>
                </c:pt>
                <c:pt idx="55">
                  <c:v>5.94</c:v>
                </c:pt>
                <c:pt idx="56">
                  <c:v>5.9290000000000003</c:v>
                </c:pt>
                <c:pt idx="57">
                  <c:v>5.9290000000000003</c:v>
                </c:pt>
                <c:pt idx="58">
                  <c:v>5.9189999999999996</c:v>
                </c:pt>
                <c:pt idx="59">
                  <c:v>5.8819999999999997</c:v>
                </c:pt>
                <c:pt idx="60">
                  <c:v>5.88</c:v>
                </c:pt>
                <c:pt idx="61">
                  <c:v>5.8449999999999998</c:v>
                </c:pt>
                <c:pt idx="62">
                  <c:v>5.84</c:v>
                </c:pt>
                <c:pt idx="63">
                  <c:v>5.8129999999999997</c:v>
                </c:pt>
                <c:pt idx="64">
                  <c:v>5.766</c:v>
                </c:pt>
                <c:pt idx="65">
                  <c:v>5.7640000000000002</c:v>
                </c:pt>
                <c:pt idx="66">
                  <c:v>5.7439999999999998</c:v>
                </c:pt>
                <c:pt idx="67">
                  <c:v>5.7229999999999999</c:v>
                </c:pt>
                <c:pt idx="68">
                  <c:v>5.7160000000000002</c:v>
                </c:pt>
                <c:pt idx="69">
                  <c:v>5.6769999999999996</c:v>
                </c:pt>
                <c:pt idx="70">
                  <c:v>5.6529999999999996</c:v>
                </c:pt>
                <c:pt idx="71">
                  <c:v>5.5810000000000004</c:v>
                </c:pt>
                <c:pt idx="72">
                  <c:v>5.5449999999999999</c:v>
                </c:pt>
                <c:pt idx="73">
                  <c:v>5.5359999999999996</c:v>
                </c:pt>
                <c:pt idx="74">
                  <c:v>5.5339999999999998</c:v>
                </c:pt>
                <c:pt idx="75">
                  <c:v>5.4770000000000003</c:v>
                </c:pt>
                <c:pt idx="76">
                  <c:v>5.4770000000000003</c:v>
                </c:pt>
                <c:pt idx="77">
                  <c:v>5.4660000000000002</c:v>
                </c:pt>
                <c:pt idx="78">
                  <c:v>5.4109999999999996</c:v>
                </c:pt>
                <c:pt idx="79">
                  <c:v>5.41</c:v>
                </c:pt>
                <c:pt idx="80">
                  <c:v>5.3840000000000003</c:v>
                </c:pt>
                <c:pt idx="81">
                  <c:v>5.3449999999999998</c:v>
                </c:pt>
                <c:pt idx="82">
                  <c:v>5.3419999999999996</c:v>
                </c:pt>
                <c:pt idx="83">
                  <c:v>5.3390000000000004</c:v>
                </c:pt>
                <c:pt idx="84">
                  <c:v>5.306</c:v>
                </c:pt>
                <c:pt idx="85">
                  <c:v>5.2830000000000004</c:v>
                </c:pt>
                <c:pt idx="86">
                  <c:v>5.2690000000000001</c:v>
                </c:pt>
                <c:pt idx="87">
                  <c:v>5.266</c:v>
                </c:pt>
                <c:pt idx="88">
                  <c:v>5.1980000000000004</c:v>
                </c:pt>
                <c:pt idx="89">
                  <c:v>5.1710000000000003</c:v>
                </c:pt>
                <c:pt idx="90">
                  <c:v>5.1420000000000003</c:v>
                </c:pt>
                <c:pt idx="91">
                  <c:v>5.1319999999999997</c:v>
                </c:pt>
                <c:pt idx="92">
                  <c:v>5.117</c:v>
                </c:pt>
                <c:pt idx="93">
                  <c:v>5.101</c:v>
                </c:pt>
                <c:pt idx="94">
                  <c:v>5.0880000000000001</c:v>
                </c:pt>
                <c:pt idx="95">
                  <c:v>5.0739999999999998</c:v>
                </c:pt>
                <c:pt idx="96">
                  <c:v>5.0659999999999998</c:v>
                </c:pt>
                <c:pt idx="97">
                  <c:v>5.0510000000000002</c:v>
                </c:pt>
                <c:pt idx="98">
                  <c:v>5.0449999999999999</c:v>
                </c:pt>
                <c:pt idx="99">
                  <c:v>5.03</c:v>
                </c:pt>
                <c:pt idx="100">
                  <c:v>5.0250000000000004</c:v>
                </c:pt>
                <c:pt idx="101">
                  <c:v>4.984</c:v>
                </c:pt>
                <c:pt idx="102">
                  <c:v>4.9560000000000004</c:v>
                </c:pt>
                <c:pt idx="103">
                  <c:v>4.9480000000000004</c:v>
                </c:pt>
                <c:pt idx="104">
                  <c:v>4.9340000000000002</c:v>
                </c:pt>
                <c:pt idx="105">
                  <c:v>4.9180000000000001</c:v>
                </c:pt>
                <c:pt idx="106">
                  <c:v>4.8920000000000003</c:v>
                </c:pt>
                <c:pt idx="107">
                  <c:v>4.891</c:v>
                </c:pt>
                <c:pt idx="108">
                  <c:v>4.8869999999999996</c:v>
                </c:pt>
                <c:pt idx="109">
                  <c:v>4.875</c:v>
                </c:pt>
                <c:pt idx="110">
                  <c:v>4.8540000000000001</c:v>
                </c:pt>
                <c:pt idx="111">
                  <c:v>4.8520000000000003</c:v>
                </c:pt>
                <c:pt idx="112">
                  <c:v>4.8339999999999996</c:v>
                </c:pt>
                <c:pt idx="113">
                  <c:v>4.83</c:v>
                </c:pt>
                <c:pt idx="114">
                  <c:v>4.7939999999999996</c:v>
                </c:pt>
                <c:pt idx="115">
                  <c:v>4.7590000000000003</c:v>
                </c:pt>
                <c:pt idx="116">
                  <c:v>4.7229999999999999</c:v>
                </c:pt>
                <c:pt idx="117">
                  <c:v>4.7210000000000001</c:v>
                </c:pt>
                <c:pt idx="118">
                  <c:v>4.6360000000000001</c:v>
                </c:pt>
                <c:pt idx="119">
                  <c:v>4.625</c:v>
                </c:pt>
                <c:pt idx="120">
                  <c:v>4.6070000000000002</c:v>
                </c:pt>
                <c:pt idx="121">
                  <c:v>4.5960000000000001</c:v>
                </c:pt>
                <c:pt idx="122">
                  <c:v>4.5839999999999996</c:v>
                </c:pt>
                <c:pt idx="123">
                  <c:v>4.5739999999999998</c:v>
                </c:pt>
                <c:pt idx="124">
                  <c:v>4.5170000000000003</c:v>
                </c:pt>
                <c:pt idx="125">
                  <c:v>4.4260000000000002</c:v>
                </c:pt>
                <c:pt idx="126">
                  <c:v>4.3949999999999996</c:v>
                </c:pt>
                <c:pt idx="127">
                  <c:v>4.3550000000000004</c:v>
                </c:pt>
                <c:pt idx="128">
                  <c:v>4.3250000000000002</c:v>
                </c:pt>
                <c:pt idx="129">
                  <c:v>4.3079999999999998</c:v>
                </c:pt>
                <c:pt idx="130">
                  <c:v>4.2889999999999997</c:v>
                </c:pt>
                <c:pt idx="131">
                  <c:v>4.2830000000000004</c:v>
                </c:pt>
                <c:pt idx="132">
                  <c:v>4.2750000000000004</c:v>
                </c:pt>
                <c:pt idx="133">
                  <c:v>4.2270000000000003</c:v>
                </c:pt>
                <c:pt idx="134">
                  <c:v>4.2080000000000002</c:v>
                </c:pt>
                <c:pt idx="135">
                  <c:v>4.1070000000000002</c:v>
                </c:pt>
                <c:pt idx="136">
                  <c:v>4.0730000000000004</c:v>
                </c:pt>
                <c:pt idx="137">
                  <c:v>3.8490000000000002</c:v>
                </c:pt>
                <c:pt idx="138">
                  <c:v>3.819</c:v>
                </c:pt>
                <c:pt idx="139">
                  <c:v>3.7749999999999999</c:v>
                </c:pt>
                <c:pt idx="140">
                  <c:v>3.6579999999999999</c:v>
                </c:pt>
                <c:pt idx="141">
                  <c:v>3.6230000000000002</c:v>
                </c:pt>
                <c:pt idx="142">
                  <c:v>3.6150000000000002</c:v>
                </c:pt>
                <c:pt idx="143">
                  <c:v>3.6</c:v>
                </c:pt>
                <c:pt idx="144">
                  <c:v>3.512</c:v>
                </c:pt>
                <c:pt idx="145">
                  <c:v>3.4670000000000001</c:v>
                </c:pt>
                <c:pt idx="146">
                  <c:v>3.415</c:v>
                </c:pt>
                <c:pt idx="147">
                  <c:v>3.145</c:v>
                </c:pt>
                <c:pt idx="148">
                  <c:v>2.5230000000000001</c:v>
                </c:pt>
              </c:numCache>
            </c:numRef>
          </c:xVal>
          <c:yVal>
            <c:numRef>
              <c:f>Sheet5!$G$2:$G$150</c:f>
              <c:numCache>
                <c:formatCode>General</c:formatCode>
                <c:ptCount val="149"/>
                <c:pt idx="0">
                  <c:v>0.94899999999999995</c:v>
                </c:pt>
                <c:pt idx="1">
                  <c:v>0.94599999999999995</c:v>
                </c:pt>
                <c:pt idx="2">
                  <c:v>0.91900000000000004</c:v>
                </c:pt>
                <c:pt idx="3">
                  <c:v>0.95499999999999996</c:v>
                </c:pt>
                <c:pt idx="4">
                  <c:v>0.91300000000000003</c:v>
                </c:pt>
                <c:pt idx="5">
                  <c:v>0.96</c:v>
                </c:pt>
                <c:pt idx="6">
                  <c:v>0.94499999999999995</c:v>
                </c:pt>
                <c:pt idx="7">
                  <c:v>0.90700000000000003</c:v>
                </c:pt>
                <c:pt idx="8">
                  <c:v>0.92900000000000005</c:v>
                </c:pt>
                <c:pt idx="9">
                  <c:v>0.90800000000000003</c:v>
                </c:pt>
                <c:pt idx="10">
                  <c:v>0.91400000000000003</c:v>
                </c:pt>
                <c:pt idx="11">
                  <c:v>0.8</c:v>
                </c:pt>
                <c:pt idx="12">
                  <c:v>0.875</c:v>
                </c:pt>
                <c:pt idx="13">
                  <c:v>0.91500000000000004</c:v>
                </c:pt>
                <c:pt idx="14">
                  <c:v>0.879</c:v>
                </c:pt>
                <c:pt idx="15">
                  <c:v>0.93400000000000005</c:v>
                </c:pt>
                <c:pt idx="16">
                  <c:v>0.85899999999999999</c:v>
                </c:pt>
                <c:pt idx="17">
                  <c:v>0.85799999999999998</c:v>
                </c:pt>
                <c:pt idx="18">
                  <c:v>0.83699999999999997</c:v>
                </c:pt>
                <c:pt idx="19">
                  <c:v>0.78300000000000003</c:v>
                </c:pt>
                <c:pt idx="20">
                  <c:v>0.82199999999999995</c:v>
                </c:pt>
                <c:pt idx="21">
                  <c:v>0.92500000000000004</c:v>
                </c:pt>
                <c:pt idx="22">
                  <c:v>0.92700000000000005</c:v>
                </c:pt>
                <c:pt idx="23">
                  <c:v>0.78400000000000003</c:v>
                </c:pt>
                <c:pt idx="24">
                  <c:v>0.93200000000000005</c:v>
                </c:pt>
                <c:pt idx="25">
                  <c:v>0.877</c:v>
                </c:pt>
                <c:pt idx="26">
                  <c:v>0.76100000000000001</c:v>
                </c:pt>
                <c:pt idx="27">
                  <c:v>0.69299999999999995</c:v>
                </c:pt>
                <c:pt idx="28">
                  <c:v>0.94899999999999995</c:v>
                </c:pt>
                <c:pt idx="29">
                  <c:v>0.90600000000000003</c:v>
                </c:pt>
                <c:pt idx="30">
                  <c:v>0.89600000000000002</c:v>
                </c:pt>
                <c:pt idx="31">
                  <c:v>0.92700000000000005</c:v>
                </c:pt>
                <c:pt idx="32">
                  <c:v>0.86899999999999999</c:v>
                </c:pt>
                <c:pt idx="33">
                  <c:v>0.76600000000000001</c:v>
                </c:pt>
                <c:pt idx="34">
                  <c:v>0.80400000000000005</c:v>
                </c:pt>
                <c:pt idx="35">
                  <c:v>0.86199999999999999</c:v>
                </c:pt>
                <c:pt idx="36">
                  <c:v>0.89</c:v>
                </c:pt>
                <c:pt idx="37">
                  <c:v>0.77300000000000002</c:v>
                </c:pt>
                <c:pt idx="38">
                  <c:v>0.76300000000000001</c:v>
                </c:pt>
                <c:pt idx="39">
                  <c:v>0.90900000000000003</c:v>
                </c:pt>
                <c:pt idx="40">
                  <c:v>0.872</c:v>
                </c:pt>
                <c:pt idx="41">
                  <c:v>0.97</c:v>
                </c:pt>
                <c:pt idx="42">
                  <c:v>0.74199999999999999</c:v>
                </c:pt>
                <c:pt idx="43">
                  <c:v>0.84099999999999997</c:v>
                </c:pt>
                <c:pt idx="44">
                  <c:v>0.85299999999999998</c:v>
                </c:pt>
                <c:pt idx="45">
                  <c:v>0.84499999999999997</c:v>
                </c:pt>
                <c:pt idx="46">
                  <c:v>0.86699999999999999</c:v>
                </c:pt>
                <c:pt idx="47">
                  <c:v>0.77800000000000002</c:v>
                </c:pt>
                <c:pt idx="48">
                  <c:v>0.88800000000000001</c:v>
                </c:pt>
                <c:pt idx="49">
                  <c:v>0.86699999999999999</c:v>
                </c:pt>
                <c:pt idx="50">
                  <c:v>0.71499999999999997</c:v>
                </c:pt>
                <c:pt idx="51">
                  <c:v>0.83699999999999997</c:v>
                </c:pt>
                <c:pt idx="52">
                  <c:v>0.755</c:v>
                </c:pt>
                <c:pt idx="53">
                  <c:v>0.88400000000000001</c:v>
                </c:pt>
                <c:pt idx="54">
                  <c:v>0.83599999999999997</c:v>
                </c:pt>
                <c:pt idx="55">
                  <c:v>0.79600000000000004</c:v>
                </c:pt>
                <c:pt idx="56">
                  <c:v>0.82799999999999996</c:v>
                </c:pt>
                <c:pt idx="57">
                  <c:v>0.89200000000000002</c:v>
                </c:pt>
                <c:pt idx="58">
                  <c:v>0.85699999999999998</c:v>
                </c:pt>
                <c:pt idx="59">
                  <c:v>0.754</c:v>
                </c:pt>
                <c:pt idx="60">
                  <c:v>0.91700000000000004</c:v>
                </c:pt>
                <c:pt idx="61">
                  <c:v>0.67200000000000004</c:v>
                </c:pt>
                <c:pt idx="62">
                  <c:v>0.82199999999999995</c:v>
                </c:pt>
                <c:pt idx="63">
                  <c:v>0.70599999999999996</c:v>
                </c:pt>
                <c:pt idx="64">
                  <c:v>0.82199999999999995</c:v>
                </c:pt>
                <c:pt idx="65">
                  <c:v>0.84199999999999997</c:v>
                </c:pt>
                <c:pt idx="66">
                  <c:v>0.93500000000000005</c:v>
                </c:pt>
                <c:pt idx="67">
                  <c:v>0.58199999999999996</c:v>
                </c:pt>
                <c:pt idx="68">
                  <c:v>0.875</c:v>
                </c:pt>
                <c:pt idx="69">
                  <c:v>0.70799999999999996</c:v>
                </c:pt>
                <c:pt idx="70">
                  <c:v>0.876</c:v>
                </c:pt>
                <c:pt idx="71">
                  <c:v>0.70799999999999996</c:v>
                </c:pt>
                <c:pt idx="72">
                  <c:v>0.86</c:v>
                </c:pt>
                <c:pt idx="73">
                  <c:v>0.79500000000000004</c:v>
                </c:pt>
                <c:pt idx="74">
                  <c:v>0.65</c:v>
                </c:pt>
                <c:pt idx="75">
                  <c:v>0.71799999999999997</c:v>
                </c:pt>
                <c:pt idx="76">
                  <c:v>0.71699999999999997</c:v>
                </c:pt>
                <c:pt idx="77">
                  <c:v>0.83199999999999996</c:v>
                </c:pt>
                <c:pt idx="78">
                  <c:v>0.94</c:v>
                </c:pt>
                <c:pt idx="79">
                  <c:v>0.77100000000000002</c:v>
                </c:pt>
                <c:pt idx="80">
                  <c:v>0.89500000000000002</c:v>
                </c:pt>
                <c:pt idx="81">
                  <c:v>0.873</c:v>
                </c:pt>
                <c:pt idx="82">
                  <c:v>0.69499999999999995</c:v>
                </c:pt>
                <c:pt idx="83">
                  <c:v>0.90400000000000003</c:v>
                </c:pt>
                <c:pt idx="84">
                  <c:v>0.74099999999999999</c:v>
                </c:pt>
                <c:pt idx="85">
                  <c:v>0.82499999999999996</c:v>
                </c:pt>
                <c:pt idx="86">
                  <c:v>0.78200000000000003</c:v>
                </c:pt>
                <c:pt idx="87">
                  <c:v>0.78800000000000003</c:v>
                </c:pt>
                <c:pt idx="88">
                  <c:v>0.85399999999999998</c:v>
                </c:pt>
                <c:pt idx="89">
                  <c:v>0.81399999999999995</c:v>
                </c:pt>
                <c:pt idx="90">
                  <c:v>0.73099999999999998</c:v>
                </c:pt>
                <c:pt idx="91">
                  <c:v>0.69499999999999995</c:v>
                </c:pt>
                <c:pt idx="92">
                  <c:v>0.78500000000000003</c:v>
                </c:pt>
                <c:pt idx="93">
                  <c:v>0.751</c:v>
                </c:pt>
                <c:pt idx="94">
                  <c:v>0.80700000000000005</c:v>
                </c:pt>
                <c:pt idx="95">
                  <c:v>0.80600000000000005</c:v>
                </c:pt>
                <c:pt idx="96">
                  <c:v>0.877</c:v>
                </c:pt>
                <c:pt idx="97">
                  <c:v>0.69699999999999995</c:v>
                </c:pt>
                <c:pt idx="98">
                  <c:v>0.75700000000000001</c:v>
                </c:pt>
                <c:pt idx="99">
                  <c:v>0.91</c:v>
                </c:pt>
                <c:pt idx="100">
                  <c:v>0.877</c:v>
                </c:pt>
                <c:pt idx="101">
                  <c:v>0.69699999999999995</c:v>
                </c:pt>
                <c:pt idx="102">
                  <c:v>0.749</c:v>
                </c:pt>
                <c:pt idx="103">
                  <c:v>0.57599999999999996</c:v>
                </c:pt>
                <c:pt idx="104">
                  <c:v>0.72599999999999998</c:v>
                </c:pt>
                <c:pt idx="105">
                  <c:v>0.77400000000000002</c:v>
                </c:pt>
                <c:pt idx="106">
                  <c:v>0.61499999999999999</c:v>
                </c:pt>
                <c:pt idx="107">
                  <c:v>0.78300000000000003</c:v>
                </c:pt>
                <c:pt idx="108">
                  <c:v>0.48</c:v>
                </c:pt>
                <c:pt idx="109">
                  <c:v>0.72399999999999998</c:v>
                </c:pt>
                <c:pt idx="110">
                  <c:v>0.63</c:v>
                </c:pt>
                <c:pt idx="111">
                  <c:v>0.73099999999999998</c:v>
                </c:pt>
                <c:pt idx="112">
                  <c:v>0.69499999999999995</c:v>
                </c:pt>
                <c:pt idx="113">
                  <c:v>0.95899999999999996</c:v>
                </c:pt>
                <c:pt idx="114">
                  <c:v>0.88200000000000001</c:v>
                </c:pt>
                <c:pt idx="115">
                  <c:v>0.73699999999999999</c:v>
                </c:pt>
                <c:pt idx="116">
                  <c:v>0.69699999999999995</c:v>
                </c:pt>
                <c:pt idx="117">
                  <c:v>0.60799999999999998</c:v>
                </c:pt>
                <c:pt idx="118">
                  <c:v>0.70899999999999996</c:v>
                </c:pt>
                <c:pt idx="119">
                  <c:v>0.73499999999999999</c:v>
                </c:pt>
                <c:pt idx="120">
                  <c:v>0.77900000000000003</c:v>
                </c:pt>
                <c:pt idx="121">
                  <c:v>0.65600000000000003</c:v>
                </c:pt>
                <c:pt idx="122">
                  <c:v>0.52500000000000002</c:v>
                </c:pt>
                <c:pt idx="123">
                  <c:v>0.71899999999999997</c:v>
                </c:pt>
                <c:pt idx="124">
                  <c:v>0.65300000000000002</c:v>
                </c:pt>
                <c:pt idx="125">
                  <c:v>0.876</c:v>
                </c:pt>
                <c:pt idx="126">
                  <c:v>0.755</c:v>
                </c:pt>
                <c:pt idx="127">
                  <c:v>0.57899999999999996</c:v>
                </c:pt>
                <c:pt idx="128">
                  <c:v>0.84099999999999997</c:v>
                </c:pt>
                <c:pt idx="129">
                  <c:v>0.64700000000000002</c:v>
                </c:pt>
                <c:pt idx="130">
                  <c:v>0.54800000000000004</c:v>
                </c:pt>
                <c:pt idx="131">
                  <c:v>0.749</c:v>
                </c:pt>
                <c:pt idx="132">
                  <c:v>0.752</c:v>
                </c:pt>
                <c:pt idx="133">
                  <c:v>0.56100000000000005</c:v>
                </c:pt>
                <c:pt idx="134">
                  <c:v>0.55200000000000005</c:v>
                </c:pt>
                <c:pt idx="135">
                  <c:v>0.61899999999999999</c:v>
                </c:pt>
                <c:pt idx="136">
                  <c:v>0.78200000000000003</c:v>
                </c:pt>
                <c:pt idx="137">
                  <c:v>0.71699999999999997</c:v>
                </c:pt>
                <c:pt idx="138">
                  <c:v>0.89300000000000002</c:v>
                </c:pt>
                <c:pt idx="139">
                  <c:v>0.626</c:v>
                </c:pt>
                <c:pt idx="140">
                  <c:v>0.60199999999999998</c:v>
                </c:pt>
                <c:pt idx="141">
                  <c:v>0.83299999999999996</c:v>
                </c:pt>
                <c:pt idx="142">
                  <c:v>0.59299999999999997</c:v>
                </c:pt>
                <c:pt idx="143">
                  <c:v>0.78</c:v>
                </c:pt>
                <c:pt idx="144">
                  <c:v>0.71499999999999997</c:v>
                </c:pt>
                <c:pt idx="145">
                  <c:v>0.82399999999999995</c:v>
                </c:pt>
                <c:pt idx="146">
                  <c:v>0.89700000000000002</c:v>
                </c:pt>
                <c:pt idx="147">
                  <c:v>0.67700000000000005</c:v>
                </c:pt>
                <c:pt idx="148">
                  <c:v>0.38200000000000001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4A-4EA8-960F-3462835F56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360959"/>
        <c:axId val="91345119"/>
      </c:scatterChart>
      <c:valAx>
        <c:axId val="91360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l-SI"/>
                  <a:t>Ladder score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345119"/>
        <c:crosses val="autoZero"/>
        <c:crossBetween val="midCat"/>
      </c:valAx>
      <c:valAx>
        <c:axId val="91345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l-SI"/>
                  <a:t>Freedom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3609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Sheet5!$H$1</c:f>
              <c:strCache>
                <c:ptCount val="1"/>
                <c:pt idx="0">
                  <c:v>Generosity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6"/>
            <c:dispRSqr val="1"/>
            <c:dispEq val="1"/>
            <c:trendlineLbl>
              <c:layout>
                <c:manualLayout>
                  <c:x val="7.4730314960629915E-2"/>
                  <c:y val="0.191365923009623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Sheet5!$C$2:$C$150</c:f>
              <c:numCache>
                <c:formatCode>General</c:formatCode>
                <c:ptCount val="149"/>
                <c:pt idx="0">
                  <c:v>7.8419999999999996</c:v>
                </c:pt>
                <c:pt idx="1">
                  <c:v>7.62</c:v>
                </c:pt>
                <c:pt idx="2">
                  <c:v>7.5709999999999997</c:v>
                </c:pt>
                <c:pt idx="3">
                  <c:v>7.5540000000000003</c:v>
                </c:pt>
                <c:pt idx="4">
                  <c:v>7.4640000000000004</c:v>
                </c:pt>
                <c:pt idx="5">
                  <c:v>7.3920000000000003</c:v>
                </c:pt>
                <c:pt idx="6">
                  <c:v>7.3630000000000004</c:v>
                </c:pt>
                <c:pt idx="7">
                  <c:v>7.3239999999999998</c:v>
                </c:pt>
                <c:pt idx="8">
                  <c:v>7.2770000000000001</c:v>
                </c:pt>
                <c:pt idx="9">
                  <c:v>7.2679999999999998</c:v>
                </c:pt>
                <c:pt idx="10">
                  <c:v>7.1829999999999998</c:v>
                </c:pt>
                <c:pt idx="11">
                  <c:v>7.157</c:v>
                </c:pt>
                <c:pt idx="12">
                  <c:v>7.1550000000000002</c:v>
                </c:pt>
                <c:pt idx="13">
                  <c:v>7.1029999999999998</c:v>
                </c:pt>
                <c:pt idx="14">
                  <c:v>7.085</c:v>
                </c:pt>
                <c:pt idx="15">
                  <c:v>7.069</c:v>
                </c:pt>
                <c:pt idx="16">
                  <c:v>7.0640000000000001</c:v>
                </c:pt>
                <c:pt idx="17">
                  <c:v>6.9649999999999999</c:v>
                </c:pt>
                <c:pt idx="18">
                  <c:v>6.9509999999999996</c:v>
                </c:pt>
                <c:pt idx="19">
                  <c:v>6.8339999999999996</c:v>
                </c:pt>
                <c:pt idx="20">
                  <c:v>6.69</c:v>
                </c:pt>
                <c:pt idx="21">
                  <c:v>6.6470000000000002</c:v>
                </c:pt>
                <c:pt idx="22">
                  <c:v>6.6020000000000003</c:v>
                </c:pt>
                <c:pt idx="23">
                  <c:v>6.5839999999999996</c:v>
                </c:pt>
                <c:pt idx="24">
                  <c:v>6.5609999999999999</c:v>
                </c:pt>
                <c:pt idx="25">
                  <c:v>6.4939999999999998</c:v>
                </c:pt>
                <c:pt idx="26">
                  <c:v>6.4909999999999997</c:v>
                </c:pt>
                <c:pt idx="27">
                  <c:v>6.4829999999999997</c:v>
                </c:pt>
                <c:pt idx="28">
                  <c:v>6.4610000000000003</c:v>
                </c:pt>
                <c:pt idx="29">
                  <c:v>6.4349999999999996</c:v>
                </c:pt>
                <c:pt idx="30">
                  <c:v>6.431</c:v>
                </c:pt>
                <c:pt idx="31">
                  <c:v>6.3769999999999998</c:v>
                </c:pt>
                <c:pt idx="32">
                  <c:v>6.3719999999999999</c:v>
                </c:pt>
                <c:pt idx="33">
                  <c:v>6.3310000000000004</c:v>
                </c:pt>
                <c:pt idx="34">
                  <c:v>6.33</c:v>
                </c:pt>
                <c:pt idx="35">
                  <c:v>6.3170000000000002</c:v>
                </c:pt>
                <c:pt idx="36">
                  <c:v>6.3090000000000002</c:v>
                </c:pt>
                <c:pt idx="37">
                  <c:v>6.2549999999999999</c:v>
                </c:pt>
                <c:pt idx="38">
                  <c:v>6.2229999999999999</c:v>
                </c:pt>
                <c:pt idx="39">
                  <c:v>6.1890000000000001</c:v>
                </c:pt>
                <c:pt idx="40">
                  <c:v>6.18</c:v>
                </c:pt>
                <c:pt idx="41">
                  <c:v>6.1790000000000003</c:v>
                </c:pt>
                <c:pt idx="42">
                  <c:v>6.1719999999999997</c:v>
                </c:pt>
                <c:pt idx="43">
                  <c:v>6.1660000000000004</c:v>
                </c:pt>
                <c:pt idx="44">
                  <c:v>6.1520000000000001</c:v>
                </c:pt>
                <c:pt idx="45">
                  <c:v>6.14</c:v>
                </c:pt>
                <c:pt idx="46">
                  <c:v>6.1059999999999999</c:v>
                </c:pt>
                <c:pt idx="47">
                  <c:v>6.0780000000000003</c:v>
                </c:pt>
                <c:pt idx="48">
                  <c:v>6.0609999999999999</c:v>
                </c:pt>
                <c:pt idx="49">
                  <c:v>6.0490000000000004</c:v>
                </c:pt>
                <c:pt idx="50">
                  <c:v>6.032</c:v>
                </c:pt>
                <c:pt idx="51">
                  <c:v>6.0119999999999996</c:v>
                </c:pt>
                <c:pt idx="52">
                  <c:v>5.992</c:v>
                </c:pt>
                <c:pt idx="53">
                  <c:v>5.9850000000000003</c:v>
                </c:pt>
                <c:pt idx="54">
                  <c:v>5.9720000000000004</c:v>
                </c:pt>
                <c:pt idx="55">
                  <c:v>5.94</c:v>
                </c:pt>
                <c:pt idx="56">
                  <c:v>5.9290000000000003</c:v>
                </c:pt>
                <c:pt idx="57">
                  <c:v>5.9290000000000003</c:v>
                </c:pt>
                <c:pt idx="58">
                  <c:v>5.9189999999999996</c:v>
                </c:pt>
                <c:pt idx="59">
                  <c:v>5.8819999999999997</c:v>
                </c:pt>
                <c:pt idx="60">
                  <c:v>5.88</c:v>
                </c:pt>
                <c:pt idx="61">
                  <c:v>5.8449999999999998</c:v>
                </c:pt>
                <c:pt idx="62">
                  <c:v>5.84</c:v>
                </c:pt>
                <c:pt idx="63">
                  <c:v>5.8129999999999997</c:v>
                </c:pt>
                <c:pt idx="64">
                  <c:v>5.766</c:v>
                </c:pt>
                <c:pt idx="65">
                  <c:v>5.7640000000000002</c:v>
                </c:pt>
                <c:pt idx="66">
                  <c:v>5.7439999999999998</c:v>
                </c:pt>
                <c:pt idx="67">
                  <c:v>5.7229999999999999</c:v>
                </c:pt>
                <c:pt idx="68">
                  <c:v>5.7160000000000002</c:v>
                </c:pt>
                <c:pt idx="69">
                  <c:v>5.6769999999999996</c:v>
                </c:pt>
                <c:pt idx="70">
                  <c:v>5.6529999999999996</c:v>
                </c:pt>
                <c:pt idx="71">
                  <c:v>5.5810000000000004</c:v>
                </c:pt>
                <c:pt idx="72">
                  <c:v>5.5449999999999999</c:v>
                </c:pt>
                <c:pt idx="73">
                  <c:v>5.5359999999999996</c:v>
                </c:pt>
                <c:pt idx="74">
                  <c:v>5.5339999999999998</c:v>
                </c:pt>
                <c:pt idx="75">
                  <c:v>5.4770000000000003</c:v>
                </c:pt>
                <c:pt idx="76">
                  <c:v>5.4770000000000003</c:v>
                </c:pt>
                <c:pt idx="77">
                  <c:v>5.4660000000000002</c:v>
                </c:pt>
                <c:pt idx="78">
                  <c:v>5.4109999999999996</c:v>
                </c:pt>
                <c:pt idx="79">
                  <c:v>5.41</c:v>
                </c:pt>
                <c:pt idx="80">
                  <c:v>5.3840000000000003</c:v>
                </c:pt>
                <c:pt idx="81">
                  <c:v>5.3449999999999998</c:v>
                </c:pt>
                <c:pt idx="82">
                  <c:v>5.3419999999999996</c:v>
                </c:pt>
                <c:pt idx="83">
                  <c:v>5.3390000000000004</c:v>
                </c:pt>
                <c:pt idx="84">
                  <c:v>5.306</c:v>
                </c:pt>
                <c:pt idx="85">
                  <c:v>5.2830000000000004</c:v>
                </c:pt>
                <c:pt idx="86">
                  <c:v>5.2690000000000001</c:v>
                </c:pt>
                <c:pt idx="87">
                  <c:v>5.266</c:v>
                </c:pt>
                <c:pt idx="88">
                  <c:v>5.1980000000000004</c:v>
                </c:pt>
                <c:pt idx="89">
                  <c:v>5.1710000000000003</c:v>
                </c:pt>
                <c:pt idx="90">
                  <c:v>5.1420000000000003</c:v>
                </c:pt>
                <c:pt idx="91">
                  <c:v>5.1319999999999997</c:v>
                </c:pt>
                <c:pt idx="92">
                  <c:v>5.117</c:v>
                </c:pt>
                <c:pt idx="93">
                  <c:v>5.101</c:v>
                </c:pt>
                <c:pt idx="94">
                  <c:v>5.0880000000000001</c:v>
                </c:pt>
                <c:pt idx="95">
                  <c:v>5.0739999999999998</c:v>
                </c:pt>
                <c:pt idx="96">
                  <c:v>5.0659999999999998</c:v>
                </c:pt>
                <c:pt idx="97">
                  <c:v>5.0510000000000002</c:v>
                </c:pt>
                <c:pt idx="98">
                  <c:v>5.0449999999999999</c:v>
                </c:pt>
                <c:pt idx="99">
                  <c:v>5.03</c:v>
                </c:pt>
                <c:pt idx="100">
                  <c:v>5.0250000000000004</c:v>
                </c:pt>
                <c:pt idx="101">
                  <c:v>4.984</c:v>
                </c:pt>
                <c:pt idx="102">
                  <c:v>4.9560000000000004</c:v>
                </c:pt>
                <c:pt idx="103">
                  <c:v>4.9480000000000004</c:v>
                </c:pt>
                <c:pt idx="104">
                  <c:v>4.9340000000000002</c:v>
                </c:pt>
                <c:pt idx="105">
                  <c:v>4.9180000000000001</c:v>
                </c:pt>
                <c:pt idx="106">
                  <c:v>4.8920000000000003</c:v>
                </c:pt>
                <c:pt idx="107">
                  <c:v>4.891</c:v>
                </c:pt>
                <c:pt idx="108">
                  <c:v>4.8869999999999996</c:v>
                </c:pt>
                <c:pt idx="109">
                  <c:v>4.875</c:v>
                </c:pt>
                <c:pt idx="110">
                  <c:v>4.8540000000000001</c:v>
                </c:pt>
                <c:pt idx="111">
                  <c:v>4.8520000000000003</c:v>
                </c:pt>
                <c:pt idx="112">
                  <c:v>4.8339999999999996</c:v>
                </c:pt>
                <c:pt idx="113">
                  <c:v>4.83</c:v>
                </c:pt>
                <c:pt idx="114">
                  <c:v>4.7939999999999996</c:v>
                </c:pt>
                <c:pt idx="115">
                  <c:v>4.7590000000000003</c:v>
                </c:pt>
                <c:pt idx="116">
                  <c:v>4.7229999999999999</c:v>
                </c:pt>
                <c:pt idx="117">
                  <c:v>4.7210000000000001</c:v>
                </c:pt>
                <c:pt idx="118">
                  <c:v>4.6360000000000001</c:v>
                </c:pt>
                <c:pt idx="119">
                  <c:v>4.625</c:v>
                </c:pt>
                <c:pt idx="120">
                  <c:v>4.6070000000000002</c:v>
                </c:pt>
                <c:pt idx="121">
                  <c:v>4.5960000000000001</c:v>
                </c:pt>
                <c:pt idx="122">
                  <c:v>4.5839999999999996</c:v>
                </c:pt>
                <c:pt idx="123">
                  <c:v>4.5739999999999998</c:v>
                </c:pt>
                <c:pt idx="124">
                  <c:v>4.5170000000000003</c:v>
                </c:pt>
                <c:pt idx="125">
                  <c:v>4.4260000000000002</c:v>
                </c:pt>
                <c:pt idx="126">
                  <c:v>4.3949999999999996</c:v>
                </c:pt>
                <c:pt idx="127">
                  <c:v>4.3550000000000004</c:v>
                </c:pt>
                <c:pt idx="128">
                  <c:v>4.3250000000000002</c:v>
                </c:pt>
                <c:pt idx="129">
                  <c:v>4.3079999999999998</c:v>
                </c:pt>
                <c:pt idx="130">
                  <c:v>4.2889999999999997</c:v>
                </c:pt>
                <c:pt idx="131">
                  <c:v>4.2830000000000004</c:v>
                </c:pt>
                <c:pt idx="132">
                  <c:v>4.2750000000000004</c:v>
                </c:pt>
                <c:pt idx="133">
                  <c:v>4.2270000000000003</c:v>
                </c:pt>
                <c:pt idx="134">
                  <c:v>4.2080000000000002</c:v>
                </c:pt>
                <c:pt idx="135">
                  <c:v>4.1070000000000002</c:v>
                </c:pt>
                <c:pt idx="136">
                  <c:v>4.0730000000000004</c:v>
                </c:pt>
                <c:pt idx="137">
                  <c:v>3.8490000000000002</c:v>
                </c:pt>
                <c:pt idx="138">
                  <c:v>3.819</c:v>
                </c:pt>
                <c:pt idx="139">
                  <c:v>3.7749999999999999</c:v>
                </c:pt>
                <c:pt idx="140">
                  <c:v>3.6579999999999999</c:v>
                </c:pt>
                <c:pt idx="141">
                  <c:v>3.6230000000000002</c:v>
                </c:pt>
                <c:pt idx="142">
                  <c:v>3.6150000000000002</c:v>
                </c:pt>
                <c:pt idx="143">
                  <c:v>3.6</c:v>
                </c:pt>
                <c:pt idx="144">
                  <c:v>3.512</c:v>
                </c:pt>
                <c:pt idx="145">
                  <c:v>3.4670000000000001</c:v>
                </c:pt>
                <c:pt idx="146">
                  <c:v>3.415</c:v>
                </c:pt>
                <c:pt idx="147">
                  <c:v>3.145</c:v>
                </c:pt>
                <c:pt idx="148">
                  <c:v>2.5230000000000001</c:v>
                </c:pt>
              </c:numCache>
            </c:numRef>
          </c:xVal>
          <c:yVal>
            <c:numRef>
              <c:f>Sheet5!$H$2:$H$150</c:f>
              <c:numCache>
                <c:formatCode>General</c:formatCode>
                <c:ptCount val="149"/>
                <c:pt idx="0">
                  <c:v>-9.8000000000000004E-2</c:v>
                </c:pt>
                <c:pt idx="1">
                  <c:v>0.03</c:v>
                </c:pt>
                <c:pt idx="2">
                  <c:v>2.5000000000000001E-2</c:v>
                </c:pt>
                <c:pt idx="3">
                  <c:v>0.16</c:v>
                </c:pt>
                <c:pt idx="4">
                  <c:v>0.17499999999999999</c:v>
                </c:pt>
                <c:pt idx="5">
                  <c:v>9.2999999999999999E-2</c:v>
                </c:pt>
                <c:pt idx="6">
                  <c:v>8.5999999999999993E-2</c:v>
                </c:pt>
                <c:pt idx="7">
                  <c:v>-3.4000000000000002E-2</c:v>
                </c:pt>
                <c:pt idx="8">
                  <c:v>0.13400000000000001</c:v>
                </c:pt>
                <c:pt idx="9">
                  <c:v>4.2000000000000003E-2</c:v>
                </c:pt>
                <c:pt idx="10">
                  <c:v>0.159</c:v>
                </c:pt>
                <c:pt idx="11">
                  <c:v>3.1E-2</c:v>
                </c:pt>
                <c:pt idx="12">
                  <c:v>1.0999999999999999E-2</c:v>
                </c:pt>
                <c:pt idx="13">
                  <c:v>8.8999999999999996E-2</c:v>
                </c:pt>
                <c:pt idx="14">
                  <c:v>7.6999999999999999E-2</c:v>
                </c:pt>
                <c:pt idx="15">
                  <c:v>-0.126</c:v>
                </c:pt>
                <c:pt idx="16">
                  <c:v>0.23300000000000001</c:v>
                </c:pt>
                <c:pt idx="17">
                  <c:v>-0.20799999999999999</c:v>
                </c:pt>
                <c:pt idx="18">
                  <c:v>9.8000000000000004E-2</c:v>
                </c:pt>
                <c:pt idx="19">
                  <c:v>-0.153</c:v>
                </c:pt>
                <c:pt idx="20">
                  <c:v>-0.14699999999999999</c:v>
                </c:pt>
                <c:pt idx="21">
                  <c:v>8.8999999999999996E-2</c:v>
                </c:pt>
                <c:pt idx="22">
                  <c:v>0.13300000000000001</c:v>
                </c:pt>
                <c:pt idx="23">
                  <c:v>-7.0000000000000007E-2</c:v>
                </c:pt>
                <c:pt idx="24">
                  <c:v>7.3999999999999996E-2</c:v>
                </c:pt>
                <c:pt idx="25">
                  <c:v>-0.14899999999999999</c:v>
                </c:pt>
                <c:pt idx="26">
                  <c:v>-8.1000000000000003E-2</c:v>
                </c:pt>
                <c:pt idx="27">
                  <c:v>-8.4000000000000005E-2</c:v>
                </c:pt>
                <c:pt idx="28">
                  <c:v>-0.10100000000000001</c:v>
                </c:pt>
                <c:pt idx="29">
                  <c:v>-3.7999999999999999E-2</c:v>
                </c:pt>
                <c:pt idx="30">
                  <c:v>-9.1999999999999998E-2</c:v>
                </c:pt>
                <c:pt idx="31">
                  <c:v>-1.7999999999999999E-2</c:v>
                </c:pt>
                <c:pt idx="32">
                  <c:v>0.25700000000000001</c:v>
                </c:pt>
                <c:pt idx="33">
                  <c:v>-0.124</c:v>
                </c:pt>
                <c:pt idx="34">
                  <c:v>-7.0999999999999994E-2</c:v>
                </c:pt>
                <c:pt idx="35">
                  <c:v>-0.14699999999999999</c:v>
                </c:pt>
                <c:pt idx="36">
                  <c:v>-0.13700000000000001</c:v>
                </c:pt>
                <c:pt idx="37">
                  <c:v>-0.20300000000000001</c:v>
                </c:pt>
                <c:pt idx="38">
                  <c:v>-1.4999999999999999E-2</c:v>
                </c:pt>
                <c:pt idx="39">
                  <c:v>-0.106</c:v>
                </c:pt>
                <c:pt idx="40">
                  <c:v>-0.16600000000000001</c:v>
                </c:pt>
                <c:pt idx="41">
                  <c:v>0.311</c:v>
                </c:pt>
                <c:pt idx="42">
                  <c:v>-4.3999999999999997E-2</c:v>
                </c:pt>
                <c:pt idx="43">
                  <c:v>-0.16500000000000001</c:v>
                </c:pt>
                <c:pt idx="44">
                  <c:v>-6.9000000000000006E-2</c:v>
                </c:pt>
                <c:pt idx="45">
                  <c:v>-0.219</c:v>
                </c:pt>
                <c:pt idx="46">
                  <c:v>-0.104</c:v>
                </c:pt>
                <c:pt idx="47">
                  <c:v>2E-3</c:v>
                </c:pt>
                <c:pt idx="48">
                  <c:v>-0.11</c:v>
                </c:pt>
                <c:pt idx="49">
                  <c:v>-5.3999999999999999E-2</c:v>
                </c:pt>
                <c:pt idx="50">
                  <c:v>-0.16200000000000001</c:v>
                </c:pt>
                <c:pt idx="51">
                  <c:v>-0.13500000000000001</c:v>
                </c:pt>
                <c:pt idx="52">
                  <c:v>-0.186</c:v>
                </c:pt>
                <c:pt idx="53">
                  <c:v>0.28699999999999998</c:v>
                </c:pt>
                <c:pt idx="54">
                  <c:v>0.02</c:v>
                </c:pt>
                <c:pt idx="55">
                  <c:v>-0.25800000000000001</c:v>
                </c:pt>
                <c:pt idx="56">
                  <c:v>-0.182</c:v>
                </c:pt>
                <c:pt idx="57">
                  <c:v>-0.24399999999999999</c:v>
                </c:pt>
                <c:pt idx="58">
                  <c:v>8.1000000000000003E-2</c:v>
                </c:pt>
                <c:pt idx="59">
                  <c:v>-0.11799999999999999</c:v>
                </c:pt>
                <c:pt idx="60">
                  <c:v>-9.7000000000000003E-2</c:v>
                </c:pt>
                <c:pt idx="61">
                  <c:v>-8.3000000000000004E-2</c:v>
                </c:pt>
                <c:pt idx="62">
                  <c:v>-0.154</c:v>
                </c:pt>
                <c:pt idx="63">
                  <c:v>0.113</c:v>
                </c:pt>
                <c:pt idx="64">
                  <c:v>-7.9000000000000001E-2</c:v>
                </c:pt>
                <c:pt idx="65">
                  <c:v>-0.124</c:v>
                </c:pt>
                <c:pt idx="66">
                  <c:v>0.11899999999999999</c:v>
                </c:pt>
                <c:pt idx="67">
                  <c:v>-0.28799999999999998</c:v>
                </c:pt>
                <c:pt idx="68">
                  <c:v>-7.6999999999999999E-2</c:v>
                </c:pt>
                <c:pt idx="69">
                  <c:v>0.11600000000000001</c:v>
                </c:pt>
                <c:pt idx="70">
                  <c:v>2.8000000000000001E-2</c:v>
                </c:pt>
                <c:pt idx="71">
                  <c:v>-3.4000000000000002E-2</c:v>
                </c:pt>
                <c:pt idx="72">
                  <c:v>-0.13300000000000001</c:v>
                </c:pt>
                <c:pt idx="73">
                  <c:v>1.2E-2</c:v>
                </c:pt>
                <c:pt idx="74">
                  <c:v>-0.18</c:v>
                </c:pt>
                <c:pt idx="75">
                  <c:v>-0.111</c:v>
                </c:pt>
                <c:pt idx="76">
                  <c:v>6.7000000000000004E-2</c:v>
                </c:pt>
                <c:pt idx="77">
                  <c:v>-5.6000000000000001E-2</c:v>
                </c:pt>
                <c:pt idx="78">
                  <c:v>-9.8000000000000004E-2</c:v>
                </c:pt>
                <c:pt idx="79">
                  <c:v>-8.6999999999999994E-2</c:v>
                </c:pt>
                <c:pt idx="80">
                  <c:v>0.125</c:v>
                </c:pt>
                <c:pt idx="81">
                  <c:v>0.54200000000000004</c:v>
                </c:pt>
                <c:pt idx="82">
                  <c:v>-6.8000000000000005E-2</c:v>
                </c:pt>
                <c:pt idx="83">
                  <c:v>-0.14599999999999999</c:v>
                </c:pt>
                <c:pt idx="84">
                  <c:v>-1.6E-2</c:v>
                </c:pt>
                <c:pt idx="85">
                  <c:v>-0.16800000000000001</c:v>
                </c:pt>
                <c:pt idx="86">
                  <c:v>0.152</c:v>
                </c:pt>
                <c:pt idx="87">
                  <c:v>-9.6000000000000002E-2</c:v>
                </c:pt>
                <c:pt idx="88">
                  <c:v>2.4E-2</c:v>
                </c:pt>
                <c:pt idx="89">
                  <c:v>-0.223</c:v>
                </c:pt>
                <c:pt idx="90">
                  <c:v>2.5999999999999999E-2</c:v>
                </c:pt>
                <c:pt idx="91">
                  <c:v>-4.5999999999999999E-2</c:v>
                </c:pt>
                <c:pt idx="92">
                  <c:v>-0.03</c:v>
                </c:pt>
                <c:pt idx="93">
                  <c:v>3.7999999999999999E-2</c:v>
                </c:pt>
                <c:pt idx="94">
                  <c:v>0.123</c:v>
                </c:pt>
                <c:pt idx="95">
                  <c:v>1.7999999999999999E-2</c:v>
                </c:pt>
                <c:pt idx="96">
                  <c:v>0.27300000000000002</c:v>
                </c:pt>
                <c:pt idx="97">
                  <c:v>0.42399999999999999</c:v>
                </c:pt>
                <c:pt idx="98">
                  <c:v>-3.4000000000000002E-2</c:v>
                </c:pt>
                <c:pt idx="99">
                  <c:v>0.123</c:v>
                </c:pt>
                <c:pt idx="100">
                  <c:v>-4.1000000000000002E-2</c:v>
                </c:pt>
                <c:pt idx="101">
                  <c:v>9.5000000000000001E-2</c:v>
                </c:pt>
                <c:pt idx="102">
                  <c:v>-6.7000000000000004E-2</c:v>
                </c:pt>
                <c:pt idx="103">
                  <c:v>-0.13900000000000001</c:v>
                </c:pt>
                <c:pt idx="104">
                  <c:v>9.8000000000000004E-2</c:v>
                </c:pt>
                <c:pt idx="105">
                  <c:v>-0.23599999999999999</c:v>
                </c:pt>
                <c:pt idx="106">
                  <c:v>-0.16900000000000001</c:v>
                </c:pt>
                <c:pt idx="107">
                  <c:v>-0.23799999999999999</c:v>
                </c:pt>
                <c:pt idx="108">
                  <c:v>-6.7000000000000004E-2</c:v>
                </c:pt>
                <c:pt idx="109">
                  <c:v>-1.0999999999999999E-2</c:v>
                </c:pt>
                <c:pt idx="110">
                  <c:v>-5.2999999999999999E-2</c:v>
                </c:pt>
                <c:pt idx="111">
                  <c:v>-0.2</c:v>
                </c:pt>
                <c:pt idx="112">
                  <c:v>-8.9999999999999993E-3</c:v>
                </c:pt>
                <c:pt idx="113">
                  <c:v>3.4000000000000002E-2</c:v>
                </c:pt>
                <c:pt idx="114">
                  <c:v>6.0999999999999999E-2</c:v>
                </c:pt>
                <c:pt idx="115">
                  <c:v>3.6999999999999998E-2</c:v>
                </c:pt>
                <c:pt idx="116">
                  <c:v>-3.5999999999999997E-2</c:v>
                </c:pt>
                <c:pt idx="117">
                  <c:v>0.218</c:v>
                </c:pt>
                <c:pt idx="118">
                  <c:v>0.122</c:v>
                </c:pt>
                <c:pt idx="119">
                  <c:v>0.05</c:v>
                </c:pt>
                <c:pt idx="120">
                  <c:v>0.28699999999999998</c:v>
                </c:pt>
                <c:pt idx="121">
                  <c:v>-0.20100000000000001</c:v>
                </c:pt>
                <c:pt idx="122">
                  <c:v>-7.2999999999999995E-2</c:v>
                </c:pt>
                <c:pt idx="123">
                  <c:v>-0.14899999999999999</c:v>
                </c:pt>
                <c:pt idx="124">
                  <c:v>-0.16300000000000001</c:v>
                </c:pt>
                <c:pt idx="125">
                  <c:v>0.50900000000000001</c:v>
                </c:pt>
                <c:pt idx="126">
                  <c:v>-0.16700000000000001</c:v>
                </c:pt>
                <c:pt idx="127">
                  <c:v>4.1000000000000002E-2</c:v>
                </c:pt>
                <c:pt idx="128">
                  <c:v>7.9000000000000001E-2</c:v>
                </c:pt>
                <c:pt idx="129">
                  <c:v>-0.185</c:v>
                </c:pt>
                <c:pt idx="130">
                  <c:v>8.2000000000000003E-2</c:v>
                </c:pt>
                <c:pt idx="131">
                  <c:v>-0.182</c:v>
                </c:pt>
                <c:pt idx="132">
                  <c:v>8.2000000000000003E-2</c:v>
                </c:pt>
                <c:pt idx="133">
                  <c:v>-0.106</c:v>
                </c:pt>
                <c:pt idx="134">
                  <c:v>-5.0000000000000001E-3</c:v>
                </c:pt>
                <c:pt idx="135">
                  <c:v>3.2000000000000001E-2</c:v>
                </c:pt>
                <c:pt idx="136">
                  <c:v>6.0999999999999999E-2</c:v>
                </c:pt>
                <c:pt idx="137">
                  <c:v>8.4000000000000005E-2</c:v>
                </c:pt>
                <c:pt idx="138">
                  <c:v>8.8999999999999996E-2</c:v>
                </c:pt>
                <c:pt idx="139">
                  <c:v>-2.4E-2</c:v>
                </c:pt>
                <c:pt idx="140">
                  <c:v>-0.14699999999999999</c:v>
                </c:pt>
                <c:pt idx="141">
                  <c:v>0.183</c:v>
                </c:pt>
                <c:pt idx="142">
                  <c:v>0.42199999999999999</c:v>
                </c:pt>
                <c:pt idx="143">
                  <c:v>3.7999999999999999E-2</c:v>
                </c:pt>
                <c:pt idx="144">
                  <c:v>-0.13100000000000001</c:v>
                </c:pt>
                <c:pt idx="145">
                  <c:v>-0.246</c:v>
                </c:pt>
                <c:pt idx="146">
                  <c:v>6.0999999999999999E-2</c:v>
                </c:pt>
                <c:pt idx="147">
                  <c:v>-4.7E-2</c:v>
                </c:pt>
                <c:pt idx="148">
                  <c:v>-0.10199999999999999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E0-492F-9FDA-32EC211F35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370559"/>
        <c:axId val="91386879"/>
      </c:scatterChart>
      <c:valAx>
        <c:axId val="91370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l-SI"/>
                  <a:t>Ladder</a:t>
                </a:r>
                <a:r>
                  <a:rPr lang="en-US"/>
                  <a:t> </a:t>
                </a:r>
                <a:r>
                  <a:rPr lang="sl-SI"/>
                  <a:t>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386879"/>
        <c:crosses val="autoZero"/>
        <c:crossBetween val="midCat"/>
      </c:valAx>
      <c:valAx>
        <c:axId val="91386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l-SI"/>
                  <a:t>Generosity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3705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Sheet5!$I$1</c:f>
              <c:strCache>
                <c:ptCount val="1"/>
                <c:pt idx="0">
                  <c:v>Perceptions of corruption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6"/>
            <c:dispRSqr val="1"/>
            <c:dispEq val="1"/>
            <c:trendlineLbl>
              <c:layout>
                <c:manualLayout>
                  <c:x val="5.5728783902012247E-2"/>
                  <c:y val="9.244313210848652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Sheet5!$C$2:$C$150</c:f>
              <c:numCache>
                <c:formatCode>General</c:formatCode>
                <c:ptCount val="149"/>
                <c:pt idx="0">
                  <c:v>7.8419999999999996</c:v>
                </c:pt>
                <c:pt idx="1">
                  <c:v>7.62</c:v>
                </c:pt>
                <c:pt idx="2">
                  <c:v>7.5709999999999997</c:v>
                </c:pt>
                <c:pt idx="3">
                  <c:v>7.5540000000000003</c:v>
                </c:pt>
                <c:pt idx="4">
                  <c:v>7.4640000000000004</c:v>
                </c:pt>
                <c:pt idx="5">
                  <c:v>7.3920000000000003</c:v>
                </c:pt>
                <c:pt idx="6">
                  <c:v>7.3630000000000004</c:v>
                </c:pt>
                <c:pt idx="7">
                  <c:v>7.3239999999999998</c:v>
                </c:pt>
                <c:pt idx="8">
                  <c:v>7.2770000000000001</c:v>
                </c:pt>
                <c:pt idx="9">
                  <c:v>7.2679999999999998</c:v>
                </c:pt>
                <c:pt idx="10">
                  <c:v>7.1829999999999998</c:v>
                </c:pt>
                <c:pt idx="11">
                  <c:v>7.157</c:v>
                </c:pt>
                <c:pt idx="12">
                  <c:v>7.1550000000000002</c:v>
                </c:pt>
                <c:pt idx="13">
                  <c:v>7.1029999999999998</c:v>
                </c:pt>
                <c:pt idx="14">
                  <c:v>7.085</c:v>
                </c:pt>
                <c:pt idx="15">
                  <c:v>7.069</c:v>
                </c:pt>
                <c:pt idx="16">
                  <c:v>7.0640000000000001</c:v>
                </c:pt>
                <c:pt idx="17">
                  <c:v>6.9649999999999999</c:v>
                </c:pt>
                <c:pt idx="18">
                  <c:v>6.9509999999999996</c:v>
                </c:pt>
                <c:pt idx="19">
                  <c:v>6.8339999999999996</c:v>
                </c:pt>
                <c:pt idx="20">
                  <c:v>6.69</c:v>
                </c:pt>
                <c:pt idx="21">
                  <c:v>6.6470000000000002</c:v>
                </c:pt>
                <c:pt idx="22">
                  <c:v>6.6020000000000003</c:v>
                </c:pt>
                <c:pt idx="23">
                  <c:v>6.5839999999999996</c:v>
                </c:pt>
                <c:pt idx="24">
                  <c:v>6.5609999999999999</c:v>
                </c:pt>
                <c:pt idx="25">
                  <c:v>6.4939999999999998</c:v>
                </c:pt>
                <c:pt idx="26">
                  <c:v>6.4909999999999997</c:v>
                </c:pt>
                <c:pt idx="27">
                  <c:v>6.4829999999999997</c:v>
                </c:pt>
                <c:pt idx="28">
                  <c:v>6.4610000000000003</c:v>
                </c:pt>
                <c:pt idx="29">
                  <c:v>6.4349999999999996</c:v>
                </c:pt>
                <c:pt idx="30">
                  <c:v>6.431</c:v>
                </c:pt>
                <c:pt idx="31">
                  <c:v>6.3769999999999998</c:v>
                </c:pt>
                <c:pt idx="32">
                  <c:v>6.3719999999999999</c:v>
                </c:pt>
                <c:pt idx="33">
                  <c:v>6.3310000000000004</c:v>
                </c:pt>
                <c:pt idx="34">
                  <c:v>6.33</c:v>
                </c:pt>
                <c:pt idx="35">
                  <c:v>6.3170000000000002</c:v>
                </c:pt>
                <c:pt idx="36">
                  <c:v>6.3090000000000002</c:v>
                </c:pt>
                <c:pt idx="37">
                  <c:v>6.2549999999999999</c:v>
                </c:pt>
                <c:pt idx="38">
                  <c:v>6.2229999999999999</c:v>
                </c:pt>
                <c:pt idx="39">
                  <c:v>6.1890000000000001</c:v>
                </c:pt>
                <c:pt idx="40">
                  <c:v>6.18</c:v>
                </c:pt>
                <c:pt idx="41">
                  <c:v>6.1790000000000003</c:v>
                </c:pt>
                <c:pt idx="42">
                  <c:v>6.1719999999999997</c:v>
                </c:pt>
                <c:pt idx="43">
                  <c:v>6.1660000000000004</c:v>
                </c:pt>
                <c:pt idx="44">
                  <c:v>6.1520000000000001</c:v>
                </c:pt>
                <c:pt idx="45">
                  <c:v>6.14</c:v>
                </c:pt>
                <c:pt idx="46">
                  <c:v>6.1059999999999999</c:v>
                </c:pt>
                <c:pt idx="47">
                  <c:v>6.0780000000000003</c:v>
                </c:pt>
                <c:pt idx="48">
                  <c:v>6.0609999999999999</c:v>
                </c:pt>
                <c:pt idx="49">
                  <c:v>6.0490000000000004</c:v>
                </c:pt>
                <c:pt idx="50">
                  <c:v>6.032</c:v>
                </c:pt>
                <c:pt idx="51">
                  <c:v>6.0119999999999996</c:v>
                </c:pt>
                <c:pt idx="52">
                  <c:v>5.992</c:v>
                </c:pt>
                <c:pt idx="53">
                  <c:v>5.9850000000000003</c:v>
                </c:pt>
                <c:pt idx="54">
                  <c:v>5.9720000000000004</c:v>
                </c:pt>
                <c:pt idx="55">
                  <c:v>5.94</c:v>
                </c:pt>
                <c:pt idx="56">
                  <c:v>5.9290000000000003</c:v>
                </c:pt>
                <c:pt idx="57">
                  <c:v>5.9290000000000003</c:v>
                </c:pt>
                <c:pt idx="58">
                  <c:v>5.9189999999999996</c:v>
                </c:pt>
                <c:pt idx="59">
                  <c:v>5.8819999999999997</c:v>
                </c:pt>
                <c:pt idx="60">
                  <c:v>5.88</c:v>
                </c:pt>
                <c:pt idx="61">
                  <c:v>5.8449999999999998</c:v>
                </c:pt>
                <c:pt idx="62">
                  <c:v>5.84</c:v>
                </c:pt>
                <c:pt idx="63">
                  <c:v>5.8129999999999997</c:v>
                </c:pt>
                <c:pt idx="64">
                  <c:v>5.766</c:v>
                </c:pt>
                <c:pt idx="65">
                  <c:v>5.7640000000000002</c:v>
                </c:pt>
                <c:pt idx="66">
                  <c:v>5.7439999999999998</c:v>
                </c:pt>
                <c:pt idx="67">
                  <c:v>5.7229999999999999</c:v>
                </c:pt>
                <c:pt idx="68">
                  <c:v>5.7160000000000002</c:v>
                </c:pt>
                <c:pt idx="69">
                  <c:v>5.6769999999999996</c:v>
                </c:pt>
                <c:pt idx="70">
                  <c:v>5.6529999999999996</c:v>
                </c:pt>
                <c:pt idx="71">
                  <c:v>5.5810000000000004</c:v>
                </c:pt>
                <c:pt idx="72">
                  <c:v>5.5449999999999999</c:v>
                </c:pt>
                <c:pt idx="73">
                  <c:v>5.5359999999999996</c:v>
                </c:pt>
                <c:pt idx="74">
                  <c:v>5.5339999999999998</c:v>
                </c:pt>
                <c:pt idx="75">
                  <c:v>5.4770000000000003</c:v>
                </c:pt>
                <c:pt idx="76">
                  <c:v>5.4770000000000003</c:v>
                </c:pt>
                <c:pt idx="77">
                  <c:v>5.4660000000000002</c:v>
                </c:pt>
                <c:pt idx="78">
                  <c:v>5.4109999999999996</c:v>
                </c:pt>
                <c:pt idx="79">
                  <c:v>5.41</c:v>
                </c:pt>
                <c:pt idx="80">
                  <c:v>5.3840000000000003</c:v>
                </c:pt>
                <c:pt idx="81">
                  <c:v>5.3449999999999998</c:v>
                </c:pt>
                <c:pt idx="82">
                  <c:v>5.3419999999999996</c:v>
                </c:pt>
                <c:pt idx="83">
                  <c:v>5.3390000000000004</c:v>
                </c:pt>
                <c:pt idx="84">
                  <c:v>5.306</c:v>
                </c:pt>
                <c:pt idx="85">
                  <c:v>5.2830000000000004</c:v>
                </c:pt>
                <c:pt idx="86">
                  <c:v>5.2690000000000001</c:v>
                </c:pt>
                <c:pt idx="87">
                  <c:v>5.266</c:v>
                </c:pt>
                <c:pt idx="88">
                  <c:v>5.1980000000000004</c:v>
                </c:pt>
                <c:pt idx="89">
                  <c:v>5.1710000000000003</c:v>
                </c:pt>
                <c:pt idx="90">
                  <c:v>5.1420000000000003</c:v>
                </c:pt>
                <c:pt idx="91">
                  <c:v>5.1319999999999997</c:v>
                </c:pt>
                <c:pt idx="92">
                  <c:v>5.117</c:v>
                </c:pt>
                <c:pt idx="93">
                  <c:v>5.101</c:v>
                </c:pt>
                <c:pt idx="94">
                  <c:v>5.0880000000000001</c:v>
                </c:pt>
                <c:pt idx="95">
                  <c:v>5.0739999999999998</c:v>
                </c:pt>
                <c:pt idx="96">
                  <c:v>5.0659999999999998</c:v>
                </c:pt>
                <c:pt idx="97">
                  <c:v>5.0510000000000002</c:v>
                </c:pt>
                <c:pt idx="98">
                  <c:v>5.0449999999999999</c:v>
                </c:pt>
                <c:pt idx="99">
                  <c:v>5.03</c:v>
                </c:pt>
                <c:pt idx="100">
                  <c:v>5.0250000000000004</c:v>
                </c:pt>
                <c:pt idx="101">
                  <c:v>4.984</c:v>
                </c:pt>
                <c:pt idx="102">
                  <c:v>4.9560000000000004</c:v>
                </c:pt>
                <c:pt idx="103">
                  <c:v>4.9480000000000004</c:v>
                </c:pt>
                <c:pt idx="104">
                  <c:v>4.9340000000000002</c:v>
                </c:pt>
                <c:pt idx="105">
                  <c:v>4.9180000000000001</c:v>
                </c:pt>
                <c:pt idx="106">
                  <c:v>4.8920000000000003</c:v>
                </c:pt>
                <c:pt idx="107">
                  <c:v>4.891</c:v>
                </c:pt>
                <c:pt idx="108">
                  <c:v>4.8869999999999996</c:v>
                </c:pt>
                <c:pt idx="109">
                  <c:v>4.875</c:v>
                </c:pt>
                <c:pt idx="110">
                  <c:v>4.8540000000000001</c:v>
                </c:pt>
                <c:pt idx="111">
                  <c:v>4.8520000000000003</c:v>
                </c:pt>
                <c:pt idx="112">
                  <c:v>4.8339999999999996</c:v>
                </c:pt>
                <c:pt idx="113">
                  <c:v>4.83</c:v>
                </c:pt>
                <c:pt idx="114">
                  <c:v>4.7939999999999996</c:v>
                </c:pt>
                <c:pt idx="115">
                  <c:v>4.7590000000000003</c:v>
                </c:pt>
                <c:pt idx="116">
                  <c:v>4.7229999999999999</c:v>
                </c:pt>
                <c:pt idx="117">
                  <c:v>4.7210000000000001</c:v>
                </c:pt>
                <c:pt idx="118">
                  <c:v>4.6360000000000001</c:v>
                </c:pt>
                <c:pt idx="119">
                  <c:v>4.625</c:v>
                </c:pt>
                <c:pt idx="120">
                  <c:v>4.6070000000000002</c:v>
                </c:pt>
                <c:pt idx="121">
                  <c:v>4.5960000000000001</c:v>
                </c:pt>
                <c:pt idx="122">
                  <c:v>4.5839999999999996</c:v>
                </c:pt>
                <c:pt idx="123">
                  <c:v>4.5739999999999998</c:v>
                </c:pt>
                <c:pt idx="124">
                  <c:v>4.5170000000000003</c:v>
                </c:pt>
                <c:pt idx="125">
                  <c:v>4.4260000000000002</c:v>
                </c:pt>
                <c:pt idx="126">
                  <c:v>4.3949999999999996</c:v>
                </c:pt>
                <c:pt idx="127">
                  <c:v>4.3550000000000004</c:v>
                </c:pt>
                <c:pt idx="128">
                  <c:v>4.3250000000000002</c:v>
                </c:pt>
                <c:pt idx="129">
                  <c:v>4.3079999999999998</c:v>
                </c:pt>
                <c:pt idx="130">
                  <c:v>4.2889999999999997</c:v>
                </c:pt>
                <c:pt idx="131">
                  <c:v>4.2830000000000004</c:v>
                </c:pt>
                <c:pt idx="132">
                  <c:v>4.2750000000000004</c:v>
                </c:pt>
                <c:pt idx="133">
                  <c:v>4.2270000000000003</c:v>
                </c:pt>
                <c:pt idx="134">
                  <c:v>4.2080000000000002</c:v>
                </c:pt>
                <c:pt idx="135">
                  <c:v>4.1070000000000002</c:v>
                </c:pt>
                <c:pt idx="136">
                  <c:v>4.0730000000000004</c:v>
                </c:pt>
                <c:pt idx="137">
                  <c:v>3.8490000000000002</c:v>
                </c:pt>
                <c:pt idx="138">
                  <c:v>3.819</c:v>
                </c:pt>
                <c:pt idx="139">
                  <c:v>3.7749999999999999</c:v>
                </c:pt>
                <c:pt idx="140">
                  <c:v>3.6579999999999999</c:v>
                </c:pt>
                <c:pt idx="141">
                  <c:v>3.6230000000000002</c:v>
                </c:pt>
                <c:pt idx="142">
                  <c:v>3.6150000000000002</c:v>
                </c:pt>
                <c:pt idx="143">
                  <c:v>3.6</c:v>
                </c:pt>
                <c:pt idx="144">
                  <c:v>3.512</c:v>
                </c:pt>
                <c:pt idx="145">
                  <c:v>3.4670000000000001</c:v>
                </c:pt>
                <c:pt idx="146">
                  <c:v>3.415</c:v>
                </c:pt>
                <c:pt idx="147">
                  <c:v>3.145</c:v>
                </c:pt>
                <c:pt idx="148">
                  <c:v>2.5230000000000001</c:v>
                </c:pt>
              </c:numCache>
            </c:numRef>
          </c:xVal>
          <c:yVal>
            <c:numRef>
              <c:f>Sheet5!$I$2:$I$150</c:f>
              <c:numCache>
                <c:formatCode>General</c:formatCode>
                <c:ptCount val="149"/>
                <c:pt idx="0">
                  <c:v>0.186</c:v>
                </c:pt>
                <c:pt idx="1">
                  <c:v>0.17899999999999999</c:v>
                </c:pt>
                <c:pt idx="2">
                  <c:v>0.29199999999999998</c:v>
                </c:pt>
                <c:pt idx="3">
                  <c:v>0.67300000000000004</c:v>
                </c:pt>
                <c:pt idx="4">
                  <c:v>0.33800000000000002</c:v>
                </c:pt>
                <c:pt idx="5">
                  <c:v>0.27</c:v>
                </c:pt>
                <c:pt idx="6">
                  <c:v>0.23699999999999999</c:v>
                </c:pt>
                <c:pt idx="7">
                  <c:v>0.38600000000000001</c:v>
                </c:pt>
                <c:pt idx="8">
                  <c:v>0.24199999999999999</c:v>
                </c:pt>
                <c:pt idx="9">
                  <c:v>0.48099999999999998</c:v>
                </c:pt>
                <c:pt idx="10">
                  <c:v>0.442</c:v>
                </c:pt>
                <c:pt idx="11">
                  <c:v>0.753</c:v>
                </c:pt>
                <c:pt idx="12">
                  <c:v>0.46</c:v>
                </c:pt>
                <c:pt idx="13">
                  <c:v>0.41499999999999998</c:v>
                </c:pt>
                <c:pt idx="14">
                  <c:v>0.36299999999999999</c:v>
                </c:pt>
                <c:pt idx="15">
                  <c:v>0.80900000000000005</c:v>
                </c:pt>
                <c:pt idx="16">
                  <c:v>0.45900000000000002</c:v>
                </c:pt>
                <c:pt idx="17">
                  <c:v>0.86799999999999999</c:v>
                </c:pt>
                <c:pt idx="18">
                  <c:v>0.69799999999999995</c:v>
                </c:pt>
                <c:pt idx="19">
                  <c:v>0.64600000000000002</c:v>
                </c:pt>
                <c:pt idx="20">
                  <c:v>0.57099999999999995</c:v>
                </c:pt>
                <c:pt idx="21">
                  <c:v>0.72199999999999998</c:v>
                </c:pt>
                <c:pt idx="22">
                  <c:v>0.65300000000000002</c:v>
                </c:pt>
                <c:pt idx="23">
                  <c:v>0.72099999999999997</c:v>
                </c:pt>
                <c:pt idx="24">
                  <c:v>0.58899999999999997</c:v>
                </c:pt>
                <c:pt idx="25">
                  <c:v>0.68400000000000005</c:v>
                </c:pt>
                <c:pt idx="26">
                  <c:v>0.745</c:v>
                </c:pt>
                <c:pt idx="27">
                  <c:v>0.86599999999999999</c:v>
                </c:pt>
                <c:pt idx="28">
                  <c:v>0.80600000000000005</c:v>
                </c:pt>
                <c:pt idx="29">
                  <c:v>0.77500000000000002</c:v>
                </c:pt>
                <c:pt idx="30">
                  <c:v>0.59</c:v>
                </c:pt>
                <c:pt idx="31">
                  <c:v>8.2000000000000003E-2</c:v>
                </c:pt>
                <c:pt idx="32">
                  <c:v>0.91700000000000004</c:v>
                </c:pt>
                <c:pt idx="33">
                  <c:v>0.91100000000000003</c:v>
                </c:pt>
                <c:pt idx="34">
                  <c:v>0.75600000000000001</c:v>
                </c:pt>
                <c:pt idx="35">
                  <c:v>0.79900000000000004</c:v>
                </c:pt>
                <c:pt idx="36">
                  <c:v>0.88400000000000001</c:v>
                </c:pt>
                <c:pt idx="37">
                  <c:v>0.82599999999999996</c:v>
                </c:pt>
                <c:pt idx="38">
                  <c:v>0.84399999999999997</c:v>
                </c:pt>
                <c:pt idx="39">
                  <c:v>0.52700000000000002</c:v>
                </c:pt>
                <c:pt idx="40">
                  <c:v>0.85599999999999998</c:v>
                </c:pt>
                <c:pt idx="41">
                  <c:v>0.51500000000000001</c:v>
                </c:pt>
                <c:pt idx="42">
                  <c:v>0.83</c:v>
                </c:pt>
                <c:pt idx="43">
                  <c:v>0.73499999999999999</c:v>
                </c:pt>
                <c:pt idx="44">
                  <c:v>0.73299999999999998</c:v>
                </c:pt>
                <c:pt idx="45">
                  <c:v>0.93799999999999994</c:v>
                </c:pt>
                <c:pt idx="46">
                  <c:v>0.73599999999999999</c:v>
                </c:pt>
                <c:pt idx="47">
                  <c:v>0.83499999999999996</c:v>
                </c:pt>
                <c:pt idx="48">
                  <c:v>0.68799999999999994</c:v>
                </c:pt>
                <c:pt idx="49">
                  <c:v>0.78900000000000003</c:v>
                </c:pt>
                <c:pt idx="50">
                  <c:v>0.8</c:v>
                </c:pt>
                <c:pt idx="51">
                  <c:v>0.84099999999999997</c:v>
                </c:pt>
                <c:pt idx="52">
                  <c:v>0.876</c:v>
                </c:pt>
                <c:pt idx="53">
                  <c:v>0.89500000000000002</c:v>
                </c:pt>
                <c:pt idx="54">
                  <c:v>0.66400000000000003</c:v>
                </c:pt>
                <c:pt idx="55">
                  <c:v>0.63800000000000001</c:v>
                </c:pt>
                <c:pt idx="56">
                  <c:v>0.83399999999999996</c:v>
                </c:pt>
                <c:pt idx="57">
                  <c:v>0.88700000000000001</c:v>
                </c:pt>
                <c:pt idx="58">
                  <c:v>0.80900000000000005</c:v>
                </c:pt>
                <c:pt idx="59">
                  <c:v>0.93899999999999995</c:v>
                </c:pt>
                <c:pt idx="60">
                  <c:v>0.74199999999999999</c:v>
                </c:pt>
                <c:pt idx="61">
                  <c:v>0.72699999999999998</c:v>
                </c:pt>
                <c:pt idx="62">
                  <c:v>0.89100000000000001</c:v>
                </c:pt>
                <c:pt idx="63">
                  <c:v>0.93100000000000005</c:v>
                </c:pt>
                <c:pt idx="64">
                  <c:v>0.91800000000000004</c:v>
                </c:pt>
                <c:pt idx="65">
                  <c:v>0.84299999999999997</c:v>
                </c:pt>
                <c:pt idx="66">
                  <c:v>0.90800000000000003</c:v>
                </c:pt>
                <c:pt idx="67">
                  <c:v>0.82299999999999995</c:v>
                </c:pt>
                <c:pt idx="68">
                  <c:v>0.83899999999999997</c:v>
                </c:pt>
                <c:pt idx="69">
                  <c:v>0.85599999999999998</c:v>
                </c:pt>
                <c:pt idx="70">
                  <c:v>0.88200000000000001</c:v>
                </c:pt>
                <c:pt idx="71">
                  <c:v>0.81200000000000006</c:v>
                </c:pt>
                <c:pt idx="72">
                  <c:v>0.71399999999999997</c:v>
                </c:pt>
                <c:pt idx="73">
                  <c:v>0.626</c:v>
                </c:pt>
                <c:pt idx="74">
                  <c:v>0.627</c:v>
                </c:pt>
                <c:pt idx="75">
                  <c:v>0.84499999999999997</c:v>
                </c:pt>
                <c:pt idx="76">
                  <c:v>0.40300000000000002</c:v>
                </c:pt>
                <c:pt idx="77">
                  <c:v>0.55300000000000005</c:v>
                </c:pt>
                <c:pt idx="78">
                  <c:v>0.79600000000000004</c:v>
                </c:pt>
                <c:pt idx="79">
                  <c:v>0.66700000000000004</c:v>
                </c:pt>
                <c:pt idx="80">
                  <c:v>0.83899999999999997</c:v>
                </c:pt>
                <c:pt idx="81">
                  <c:v>0.86699999999999999</c:v>
                </c:pt>
                <c:pt idx="82">
                  <c:v>0.745</c:v>
                </c:pt>
                <c:pt idx="83">
                  <c:v>0.755</c:v>
                </c:pt>
                <c:pt idx="84">
                  <c:v>0.79400000000000004</c:v>
                </c:pt>
                <c:pt idx="85">
                  <c:v>0.629</c:v>
                </c:pt>
                <c:pt idx="86">
                  <c:v>0.72699999999999998</c:v>
                </c:pt>
                <c:pt idx="87">
                  <c:v>0.93200000000000005</c:v>
                </c:pt>
                <c:pt idx="88">
                  <c:v>0.82499999999999996</c:v>
                </c:pt>
                <c:pt idx="89">
                  <c:v>0.50600000000000001</c:v>
                </c:pt>
                <c:pt idx="90">
                  <c:v>0.84799999999999998</c:v>
                </c:pt>
                <c:pt idx="91">
                  <c:v>0.80100000000000005</c:v>
                </c:pt>
                <c:pt idx="92">
                  <c:v>0.90100000000000002</c:v>
                </c:pt>
                <c:pt idx="93">
                  <c:v>0.90500000000000003</c:v>
                </c:pt>
                <c:pt idx="94">
                  <c:v>0.84799999999999998</c:v>
                </c:pt>
                <c:pt idx="95">
                  <c:v>0.69299999999999995</c:v>
                </c:pt>
                <c:pt idx="96">
                  <c:v>0.88800000000000001</c:v>
                </c:pt>
                <c:pt idx="97">
                  <c:v>0.746</c:v>
                </c:pt>
                <c:pt idx="98">
                  <c:v>0.66100000000000003</c:v>
                </c:pt>
                <c:pt idx="99">
                  <c:v>0.65800000000000003</c:v>
                </c:pt>
                <c:pt idx="100">
                  <c:v>0.68200000000000005</c:v>
                </c:pt>
                <c:pt idx="101">
                  <c:v>0.76600000000000001</c:v>
                </c:pt>
                <c:pt idx="102">
                  <c:v>0.86</c:v>
                </c:pt>
                <c:pt idx="103">
                  <c:v>0.77600000000000002</c:v>
                </c:pt>
                <c:pt idx="104">
                  <c:v>0.78700000000000003</c:v>
                </c:pt>
                <c:pt idx="105">
                  <c:v>0.80100000000000005</c:v>
                </c:pt>
                <c:pt idx="106">
                  <c:v>0.82699999999999996</c:v>
                </c:pt>
                <c:pt idx="107">
                  <c:v>0.65500000000000003</c:v>
                </c:pt>
                <c:pt idx="108">
                  <c:v>0.752</c:v>
                </c:pt>
                <c:pt idx="109">
                  <c:v>0.92400000000000004</c:v>
                </c:pt>
                <c:pt idx="110">
                  <c:v>0.875</c:v>
                </c:pt>
                <c:pt idx="111">
                  <c:v>0.84</c:v>
                </c:pt>
                <c:pt idx="112">
                  <c:v>0.748</c:v>
                </c:pt>
                <c:pt idx="113">
                  <c:v>0.84299999999999997</c:v>
                </c:pt>
                <c:pt idx="114">
                  <c:v>0.68400000000000005</c:v>
                </c:pt>
                <c:pt idx="115">
                  <c:v>0.878</c:v>
                </c:pt>
                <c:pt idx="116">
                  <c:v>0.82699999999999996</c:v>
                </c:pt>
                <c:pt idx="117">
                  <c:v>0.71399999999999997</c:v>
                </c:pt>
                <c:pt idx="118">
                  <c:v>0.85499999999999998</c:v>
                </c:pt>
                <c:pt idx="119">
                  <c:v>0.85</c:v>
                </c:pt>
                <c:pt idx="120">
                  <c:v>0.82499999999999996</c:v>
                </c:pt>
                <c:pt idx="121">
                  <c:v>0.87</c:v>
                </c:pt>
                <c:pt idx="122">
                  <c:v>0.89800000000000002</c:v>
                </c:pt>
                <c:pt idx="123">
                  <c:v>0.84699999999999998</c:v>
                </c:pt>
                <c:pt idx="124">
                  <c:v>0.82099999999999995</c:v>
                </c:pt>
                <c:pt idx="125">
                  <c:v>0.66</c:v>
                </c:pt>
                <c:pt idx="126">
                  <c:v>0.70499999999999996</c:v>
                </c:pt>
                <c:pt idx="127">
                  <c:v>0.80700000000000005</c:v>
                </c:pt>
                <c:pt idx="128">
                  <c:v>0.86299999999999999</c:v>
                </c:pt>
                <c:pt idx="129">
                  <c:v>0.70799999999999996</c:v>
                </c:pt>
                <c:pt idx="130">
                  <c:v>0.78100000000000003</c:v>
                </c:pt>
                <c:pt idx="131">
                  <c:v>0.79500000000000004</c:v>
                </c:pt>
                <c:pt idx="132">
                  <c:v>0.76100000000000001</c:v>
                </c:pt>
                <c:pt idx="133">
                  <c:v>0.73099999999999998</c:v>
                </c:pt>
                <c:pt idx="134">
                  <c:v>0.80300000000000005</c:v>
                </c:pt>
                <c:pt idx="135">
                  <c:v>0.77200000000000002</c:v>
                </c:pt>
                <c:pt idx="136">
                  <c:v>0.82299999999999995</c:v>
                </c:pt>
                <c:pt idx="137">
                  <c:v>0.86599999999999999</c:v>
                </c:pt>
                <c:pt idx="138">
                  <c:v>0.77400000000000002</c:v>
                </c:pt>
                <c:pt idx="139">
                  <c:v>0.60699999999999998</c:v>
                </c:pt>
                <c:pt idx="140">
                  <c:v>0.8</c:v>
                </c:pt>
                <c:pt idx="141">
                  <c:v>0.57699999999999996</c:v>
                </c:pt>
                <c:pt idx="142">
                  <c:v>0.72099999999999997</c:v>
                </c:pt>
                <c:pt idx="143">
                  <c:v>0.72899999999999998</c:v>
                </c:pt>
                <c:pt idx="144">
                  <c:v>0.91500000000000004</c:v>
                </c:pt>
                <c:pt idx="145">
                  <c:v>0.80100000000000005</c:v>
                </c:pt>
                <c:pt idx="146">
                  <c:v>0.16700000000000001</c:v>
                </c:pt>
                <c:pt idx="147">
                  <c:v>0.82099999999999995</c:v>
                </c:pt>
                <c:pt idx="148">
                  <c:v>0.92400000000000004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35E-476F-BEE9-BD5C583CDD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413279"/>
        <c:axId val="91393599"/>
      </c:scatterChart>
      <c:valAx>
        <c:axId val="91413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l-SI"/>
                  <a:t>Ladder score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393599"/>
        <c:crosses val="autoZero"/>
        <c:crossBetween val="midCat"/>
      </c:valAx>
      <c:valAx>
        <c:axId val="91393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l-SI"/>
                  <a:t>Corruption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413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Sheet5!$D$1</c:f>
              <c:strCache>
                <c:ptCount val="1"/>
                <c:pt idx="0">
                  <c:v>Logged GDP per capita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Sheet5!$C$2:$C$150</c:f>
              <c:numCache>
                <c:formatCode>General</c:formatCode>
                <c:ptCount val="149"/>
                <c:pt idx="0">
                  <c:v>7.8419999999999996</c:v>
                </c:pt>
                <c:pt idx="1">
                  <c:v>7.62</c:v>
                </c:pt>
                <c:pt idx="2">
                  <c:v>7.5709999999999997</c:v>
                </c:pt>
                <c:pt idx="3">
                  <c:v>7.5540000000000003</c:v>
                </c:pt>
                <c:pt idx="4">
                  <c:v>7.4640000000000004</c:v>
                </c:pt>
                <c:pt idx="5">
                  <c:v>7.3920000000000003</c:v>
                </c:pt>
                <c:pt idx="6">
                  <c:v>7.3630000000000004</c:v>
                </c:pt>
                <c:pt idx="7">
                  <c:v>7.3239999999999998</c:v>
                </c:pt>
                <c:pt idx="8">
                  <c:v>7.2770000000000001</c:v>
                </c:pt>
                <c:pt idx="9">
                  <c:v>7.2679999999999998</c:v>
                </c:pt>
                <c:pt idx="10">
                  <c:v>7.1829999999999998</c:v>
                </c:pt>
                <c:pt idx="11">
                  <c:v>7.157</c:v>
                </c:pt>
                <c:pt idx="12">
                  <c:v>7.1550000000000002</c:v>
                </c:pt>
                <c:pt idx="13">
                  <c:v>7.1029999999999998</c:v>
                </c:pt>
                <c:pt idx="14">
                  <c:v>7.085</c:v>
                </c:pt>
                <c:pt idx="15">
                  <c:v>7.069</c:v>
                </c:pt>
                <c:pt idx="16">
                  <c:v>7.0640000000000001</c:v>
                </c:pt>
                <c:pt idx="17">
                  <c:v>6.9649999999999999</c:v>
                </c:pt>
                <c:pt idx="18">
                  <c:v>6.9509999999999996</c:v>
                </c:pt>
                <c:pt idx="19">
                  <c:v>6.8339999999999996</c:v>
                </c:pt>
                <c:pt idx="20">
                  <c:v>6.69</c:v>
                </c:pt>
                <c:pt idx="21">
                  <c:v>6.6470000000000002</c:v>
                </c:pt>
                <c:pt idx="22">
                  <c:v>6.6020000000000003</c:v>
                </c:pt>
                <c:pt idx="23">
                  <c:v>6.5839999999999996</c:v>
                </c:pt>
                <c:pt idx="24">
                  <c:v>6.5609999999999999</c:v>
                </c:pt>
                <c:pt idx="25">
                  <c:v>6.4939999999999998</c:v>
                </c:pt>
                <c:pt idx="26">
                  <c:v>6.4909999999999997</c:v>
                </c:pt>
                <c:pt idx="27">
                  <c:v>6.4829999999999997</c:v>
                </c:pt>
                <c:pt idx="28">
                  <c:v>6.4610000000000003</c:v>
                </c:pt>
                <c:pt idx="29">
                  <c:v>6.4349999999999996</c:v>
                </c:pt>
                <c:pt idx="30">
                  <c:v>6.431</c:v>
                </c:pt>
                <c:pt idx="31">
                  <c:v>6.3769999999999998</c:v>
                </c:pt>
                <c:pt idx="32">
                  <c:v>6.3719999999999999</c:v>
                </c:pt>
                <c:pt idx="33">
                  <c:v>6.3310000000000004</c:v>
                </c:pt>
                <c:pt idx="34">
                  <c:v>6.33</c:v>
                </c:pt>
                <c:pt idx="35">
                  <c:v>6.3170000000000002</c:v>
                </c:pt>
                <c:pt idx="36">
                  <c:v>6.3090000000000002</c:v>
                </c:pt>
                <c:pt idx="37">
                  <c:v>6.2549999999999999</c:v>
                </c:pt>
                <c:pt idx="38">
                  <c:v>6.2229999999999999</c:v>
                </c:pt>
                <c:pt idx="39">
                  <c:v>6.1890000000000001</c:v>
                </c:pt>
                <c:pt idx="40">
                  <c:v>6.18</c:v>
                </c:pt>
                <c:pt idx="41">
                  <c:v>6.1790000000000003</c:v>
                </c:pt>
                <c:pt idx="42">
                  <c:v>6.1719999999999997</c:v>
                </c:pt>
                <c:pt idx="43">
                  <c:v>6.1660000000000004</c:v>
                </c:pt>
                <c:pt idx="44">
                  <c:v>6.1520000000000001</c:v>
                </c:pt>
                <c:pt idx="45">
                  <c:v>6.14</c:v>
                </c:pt>
                <c:pt idx="46">
                  <c:v>6.1059999999999999</c:v>
                </c:pt>
                <c:pt idx="47">
                  <c:v>6.0780000000000003</c:v>
                </c:pt>
                <c:pt idx="48">
                  <c:v>6.0609999999999999</c:v>
                </c:pt>
                <c:pt idx="49">
                  <c:v>6.0490000000000004</c:v>
                </c:pt>
                <c:pt idx="50">
                  <c:v>6.032</c:v>
                </c:pt>
                <c:pt idx="51">
                  <c:v>6.0119999999999996</c:v>
                </c:pt>
                <c:pt idx="52">
                  <c:v>5.992</c:v>
                </c:pt>
                <c:pt idx="53">
                  <c:v>5.9850000000000003</c:v>
                </c:pt>
                <c:pt idx="54">
                  <c:v>5.9720000000000004</c:v>
                </c:pt>
                <c:pt idx="55">
                  <c:v>5.94</c:v>
                </c:pt>
                <c:pt idx="56">
                  <c:v>5.9290000000000003</c:v>
                </c:pt>
                <c:pt idx="57">
                  <c:v>5.9290000000000003</c:v>
                </c:pt>
                <c:pt idx="58">
                  <c:v>5.9189999999999996</c:v>
                </c:pt>
                <c:pt idx="59">
                  <c:v>5.8819999999999997</c:v>
                </c:pt>
                <c:pt idx="60">
                  <c:v>5.88</c:v>
                </c:pt>
                <c:pt idx="61">
                  <c:v>5.8449999999999998</c:v>
                </c:pt>
                <c:pt idx="62">
                  <c:v>5.84</c:v>
                </c:pt>
                <c:pt idx="63">
                  <c:v>5.8129999999999997</c:v>
                </c:pt>
                <c:pt idx="64">
                  <c:v>5.766</c:v>
                </c:pt>
                <c:pt idx="65">
                  <c:v>5.7640000000000002</c:v>
                </c:pt>
                <c:pt idx="66">
                  <c:v>5.7439999999999998</c:v>
                </c:pt>
                <c:pt idx="67">
                  <c:v>5.7229999999999999</c:v>
                </c:pt>
                <c:pt idx="68">
                  <c:v>5.7160000000000002</c:v>
                </c:pt>
                <c:pt idx="69">
                  <c:v>5.6769999999999996</c:v>
                </c:pt>
                <c:pt idx="70">
                  <c:v>5.6529999999999996</c:v>
                </c:pt>
                <c:pt idx="71">
                  <c:v>5.5810000000000004</c:v>
                </c:pt>
                <c:pt idx="72">
                  <c:v>5.5449999999999999</c:v>
                </c:pt>
                <c:pt idx="73">
                  <c:v>5.5359999999999996</c:v>
                </c:pt>
                <c:pt idx="74">
                  <c:v>5.5339999999999998</c:v>
                </c:pt>
                <c:pt idx="75">
                  <c:v>5.4770000000000003</c:v>
                </c:pt>
                <c:pt idx="76">
                  <c:v>5.4770000000000003</c:v>
                </c:pt>
                <c:pt idx="77">
                  <c:v>5.4660000000000002</c:v>
                </c:pt>
                <c:pt idx="78">
                  <c:v>5.4109999999999996</c:v>
                </c:pt>
                <c:pt idx="79">
                  <c:v>5.41</c:v>
                </c:pt>
                <c:pt idx="80">
                  <c:v>5.3840000000000003</c:v>
                </c:pt>
                <c:pt idx="81">
                  <c:v>5.3449999999999998</c:v>
                </c:pt>
                <c:pt idx="82">
                  <c:v>5.3419999999999996</c:v>
                </c:pt>
                <c:pt idx="83">
                  <c:v>5.3390000000000004</c:v>
                </c:pt>
                <c:pt idx="84">
                  <c:v>5.306</c:v>
                </c:pt>
                <c:pt idx="85">
                  <c:v>5.2830000000000004</c:v>
                </c:pt>
                <c:pt idx="86">
                  <c:v>5.2690000000000001</c:v>
                </c:pt>
                <c:pt idx="87">
                  <c:v>5.266</c:v>
                </c:pt>
                <c:pt idx="88">
                  <c:v>5.1980000000000004</c:v>
                </c:pt>
                <c:pt idx="89">
                  <c:v>5.1710000000000003</c:v>
                </c:pt>
                <c:pt idx="90">
                  <c:v>5.1420000000000003</c:v>
                </c:pt>
                <c:pt idx="91">
                  <c:v>5.1319999999999997</c:v>
                </c:pt>
                <c:pt idx="92">
                  <c:v>5.117</c:v>
                </c:pt>
                <c:pt idx="93">
                  <c:v>5.101</c:v>
                </c:pt>
                <c:pt idx="94">
                  <c:v>5.0880000000000001</c:v>
                </c:pt>
                <c:pt idx="95">
                  <c:v>5.0739999999999998</c:v>
                </c:pt>
                <c:pt idx="96">
                  <c:v>5.0659999999999998</c:v>
                </c:pt>
                <c:pt idx="97">
                  <c:v>5.0510000000000002</c:v>
                </c:pt>
                <c:pt idx="98">
                  <c:v>5.0449999999999999</c:v>
                </c:pt>
                <c:pt idx="99">
                  <c:v>5.03</c:v>
                </c:pt>
                <c:pt idx="100">
                  <c:v>5.0250000000000004</c:v>
                </c:pt>
                <c:pt idx="101">
                  <c:v>4.984</c:v>
                </c:pt>
                <c:pt idx="102">
                  <c:v>4.9560000000000004</c:v>
                </c:pt>
                <c:pt idx="103">
                  <c:v>4.9480000000000004</c:v>
                </c:pt>
                <c:pt idx="104">
                  <c:v>4.9340000000000002</c:v>
                </c:pt>
                <c:pt idx="105">
                  <c:v>4.9180000000000001</c:v>
                </c:pt>
                <c:pt idx="106">
                  <c:v>4.8920000000000003</c:v>
                </c:pt>
                <c:pt idx="107">
                  <c:v>4.891</c:v>
                </c:pt>
                <c:pt idx="108">
                  <c:v>4.8869999999999996</c:v>
                </c:pt>
                <c:pt idx="109">
                  <c:v>4.875</c:v>
                </c:pt>
                <c:pt idx="110">
                  <c:v>4.8540000000000001</c:v>
                </c:pt>
                <c:pt idx="111">
                  <c:v>4.8520000000000003</c:v>
                </c:pt>
                <c:pt idx="112">
                  <c:v>4.8339999999999996</c:v>
                </c:pt>
                <c:pt idx="113">
                  <c:v>4.83</c:v>
                </c:pt>
                <c:pt idx="114">
                  <c:v>4.7939999999999996</c:v>
                </c:pt>
                <c:pt idx="115">
                  <c:v>4.7590000000000003</c:v>
                </c:pt>
                <c:pt idx="116">
                  <c:v>4.7229999999999999</c:v>
                </c:pt>
                <c:pt idx="117">
                  <c:v>4.7210000000000001</c:v>
                </c:pt>
                <c:pt idx="118">
                  <c:v>4.6360000000000001</c:v>
                </c:pt>
                <c:pt idx="119">
                  <c:v>4.625</c:v>
                </c:pt>
                <c:pt idx="120">
                  <c:v>4.6070000000000002</c:v>
                </c:pt>
                <c:pt idx="121">
                  <c:v>4.5960000000000001</c:v>
                </c:pt>
                <c:pt idx="122">
                  <c:v>4.5839999999999996</c:v>
                </c:pt>
                <c:pt idx="123">
                  <c:v>4.5739999999999998</c:v>
                </c:pt>
                <c:pt idx="124">
                  <c:v>4.5170000000000003</c:v>
                </c:pt>
                <c:pt idx="125">
                  <c:v>4.4260000000000002</c:v>
                </c:pt>
                <c:pt idx="126">
                  <c:v>4.3949999999999996</c:v>
                </c:pt>
                <c:pt idx="127">
                  <c:v>4.3550000000000004</c:v>
                </c:pt>
                <c:pt idx="128">
                  <c:v>4.3250000000000002</c:v>
                </c:pt>
                <c:pt idx="129">
                  <c:v>4.3079999999999998</c:v>
                </c:pt>
                <c:pt idx="130">
                  <c:v>4.2889999999999997</c:v>
                </c:pt>
                <c:pt idx="131">
                  <c:v>4.2830000000000004</c:v>
                </c:pt>
                <c:pt idx="132">
                  <c:v>4.2750000000000004</c:v>
                </c:pt>
                <c:pt idx="133">
                  <c:v>4.2270000000000003</c:v>
                </c:pt>
                <c:pt idx="134">
                  <c:v>4.2080000000000002</c:v>
                </c:pt>
                <c:pt idx="135">
                  <c:v>4.1070000000000002</c:v>
                </c:pt>
                <c:pt idx="136">
                  <c:v>4.0730000000000004</c:v>
                </c:pt>
                <c:pt idx="137">
                  <c:v>3.8490000000000002</c:v>
                </c:pt>
                <c:pt idx="138">
                  <c:v>3.819</c:v>
                </c:pt>
                <c:pt idx="139">
                  <c:v>3.7749999999999999</c:v>
                </c:pt>
                <c:pt idx="140">
                  <c:v>3.6579999999999999</c:v>
                </c:pt>
                <c:pt idx="141">
                  <c:v>3.6230000000000002</c:v>
                </c:pt>
                <c:pt idx="142">
                  <c:v>3.6150000000000002</c:v>
                </c:pt>
                <c:pt idx="143">
                  <c:v>3.6</c:v>
                </c:pt>
                <c:pt idx="144">
                  <c:v>3.512</c:v>
                </c:pt>
                <c:pt idx="145">
                  <c:v>3.4670000000000001</c:v>
                </c:pt>
                <c:pt idx="146">
                  <c:v>3.415</c:v>
                </c:pt>
                <c:pt idx="147">
                  <c:v>3.145</c:v>
                </c:pt>
                <c:pt idx="148">
                  <c:v>2.5230000000000001</c:v>
                </c:pt>
              </c:numCache>
            </c:numRef>
          </c:xVal>
          <c:yVal>
            <c:numRef>
              <c:f>Sheet5!$D$2:$D$150</c:f>
              <c:numCache>
                <c:formatCode>General</c:formatCode>
                <c:ptCount val="149"/>
                <c:pt idx="0">
                  <c:v>10.775</c:v>
                </c:pt>
                <c:pt idx="1">
                  <c:v>10.933</c:v>
                </c:pt>
                <c:pt idx="2">
                  <c:v>11.117000000000001</c:v>
                </c:pt>
                <c:pt idx="3">
                  <c:v>10.878</c:v>
                </c:pt>
                <c:pt idx="4">
                  <c:v>10.932</c:v>
                </c:pt>
                <c:pt idx="5">
                  <c:v>11.053000000000001</c:v>
                </c:pt>
                <c:pt idx="6">
                  <c:v>10.867000000000001</c:v>
                </c:pt>
                <c:pt idx="7">
                  <c:v>11.647</c:v>
                </c:pt>
                <c:pt idx="8">
                  <c:v>10.643000000000001</c:v>
                </c:pt>
                <c:pt idx="9">
                  <c:v>10.906000000000001</c:v>
                </c:pt>
                <c:pt idx="10">
                  <c:v>10.795999999999999</c:v>
                </c:pt>
                <c:pt idx="11">
                  <c:v>10.574999999999999</c:v>
                </c:pt>
                <c:pt idx="12">
                  <c:v>10.872999999999999</c:v>
                </c:pt>
                <c:pt idx="13">
                  <c:v>10.776</c:v>
                </c:pt>
                <c:pt idx="14">
                  <c:v>11.342000000000001</c:v>
                </c:pt>
                <c:pt idx="15">
                  <c:v>9.8800000000000008</c:v>
                </c:pt>
                <c:pt idx="16">
                  <c:v>10.707000000000001</c:v>
                </c:pt>
                <c:pt idx="17">
                  <c:v>10.555999999999999</c:v>
                </c:pt>
                <c:pt idx="18">
                  <c:v>11.023</c:v>
                </c:pt>
                <c:pt idx="19">
                  <c:v>10.823</c:v>
                </c:pt>
                <c:pt idx="20">
                  <c:v>10.704000000000001</c:v>
                </c:pt>
                <c:pt idx="21">
                  <c:v>10.669</c:v>
                </c:pt>
                <c:pt idx="22">
                  <c:v>10.673999999999999</c:v>
                </c:pt>
                <c:pt idx="23">
                  <c:v>10.871</c:v>
                </c:pt>
                <c:pt idx="24">
                  <c:v>11.085000000000001</c:v>
                </c:pt>
                <c:pt idx="25">
                  <c:v>10.743</c:v>
                </c:pt>
                <c:pt idx="26">
                  <c:v>10.571</c:v>
                </c:pt>
                <c:pt idx="27">
                  <c:v>10.622999999999999</c:v>
                </c:pt>
                <c:pt idx="28">
                  <c:v>10.529</c:v>
                </c:pt>
                <c:pt idx="29">
                  <c:v>9.0530000000000008</c:v>
                </c:pt>
                <c:pt idx="30">
                  <c:v>9.9659999999999993</c:v>
                </c:pt>
                <c:pt idx="31">
                  <c:v>11.488</c:v>
                </c:pt>
                <c:pt idx="32">
                  <c:v>9.3179999999999996</c:v>
                </c:pt>
                <c:pt idx="33">
                  <c:v>10.369</c:v>
                </c:pt>
                <c:pt idx="34">
                  <c:v>9.577</c:v>
                </c:pt>
                <c:pt idx="35">
                  <c:v>9.859</c:v>
                </c:pt>
                <c:pt idx="36">
                  <c:v>9.1859999999999999</c:v>
                </c:pt>
                <c:pt idx="37">
                  <c:v>10.499000000000001</c:v>
                </c:pt>
                <c:pt idx="38">
                  <c:v>10.576000000000001</c:v>
                </c:pt>
                <c:pt idx="39">
                  <c:v>10.481</c:v>
                </c:pt>
                <c:pt idx="40">
                  <c:v>10.35</c:v>
                </c:pt>
                <c:pt idx="41">
                  <c:v>8.8360000000000003</c:v>
                </c:pt>
                <c:pt idx="42">
                  <c:v>10.071</c:v>
                </c:pt>
                <c:pt idx="43">
                  <c:v>10.382</c:v>
                </c:pt>
                <c:pt idx="44">
                  <c:v>10.154999999999999</c:v>
                </c:pt>
                <c:pt idx="45">
                  <c:v>10.284000000000001</c:v>
                </c:pt>
                <c:pt idx="46">
                  <c:v>10.817</c:v>
                </c:pt>
                <c:pt idx="47">
                  <c:v>9.7870000000000008</c:v>
                </c:pt>
                <c:pt idx="48">
                  <c:v>9.0540000000000003</c:v>
                </c:pt>
                <c:pt idx="49">
                  <c:v>10.007999999999999</c:v>
                </c:pt>
                <c:pt idx="50">
                  <c:v>10.315</c:v>
                </c:pt>
                <c:pt idx="51">
                  <c:v>9.5570000000000004</c:v>
                </c:pt>
                <c:pt idx="52">
                  <c:v>10.358000000000001</c:v>
                </c:pt>
                <c:pt idx="53">
                  <c:v>9.8049999999999997</c:v>
                </c:pt>
                <c:pt idx="54">
                  <c:v>8.6199999999999992</c:v>
                </c:pt>
                <c:pt idx="55">
                  <c:v>10.611000000000001</c:v>
                </c:pt>
                <c:pt idx="56">
                  <c:v>9.9619999999999997</c:v>
                </c:pt>
                <c:pt idx="57">
                  <c:v>10.420999999999999</c:v>
                </c:pt>
                <c:pt idx="58">
                  <c:v>8.6479999999999997</c:v>
                </c:pt>
                <c:pt idx="59">
                  <c:v>10.217000000000001</c:v>
                </c:pt>
                <c:pt idx="60">
                  <c:v>9.0760000000000005</c:v>
                </c:pt>
                <c:pt idx="61">
                  <c:v>10.651</c:v>
                </c:pt>
                <c:pt idx="62">
                  <c:v>9.4580000000000002</c:v>
                </c:pt>
                <c:pt idx="63">
                  <c:v>9.59</c:v>
                </c:pt>
                <c:pt idx="64">
                  <c:v>9.4540000000000006</c:v>
                </c:pt>
                <c:pt idx="65">
                  <c:v>9.3130000000000006</c:v>
                </c:pt>
                <c:pt idx="66">
                  <c:v>8.5380000000000003</c:v>
                </c:pt>
                <c:pt idx="67">
                  <c:v>10.279</c:v>
                </c:pt>
                <c:pt idx="68">
                  <c:v>9.0459999999999994</c:v>
                </c:pt>
                <c:pt idx="69">
                  <c:v>9.4</c:v>
                </c:pt>
                <c:pt idx="70">
                  <c:v>9.4480000000000004</c:v>
                </c:pt>
                <c:pt idx="71">
                  <c:v>9.94</c:v>
                </c:pt>
                <c:pt idx="72">
                  <c:v>9.8019999999999996</c:v>
                </c:pt>
                <c:pt idx="73">
                  <c:v>10.576000000000001</c:v>
                </c:pt>
                <c:pt idx="74">
                  <c:v>9.8529999999999998</c:v>
                </c:pt>
                <c:pt idx="75">
                  <c:v>10.189</c:v>
                </c:pt>
                <c:pt idx="76">
                  <c:v>11</c:v>
                </c:pt>
                <c:pt idx="77">
                  <c:v>8.0909999999999993</c:v>
                </c:pt>
                <c:pt idx="78">
                  <c:v>8.9730000000000008</c:v>
                </c:pt>
                <c:pt idx="79">
                  <c:v>9.6219999999999999</c:v>
                </c:pt>
                <c:pt idx="80">
                  <c:v>10.238</c:v>
                </c:pt>
                <c:pt idx="81">
                  <c:v>9.3650000000000002</c:v>
                </c:pt>
                <c:pt idx="82">
                  <c:v>8.1170000000000009</c:v>
                </c:pt>
                <c:pt idx="83">
                  <c:v>9.673</c:v>
                </c:pt>
                <c:pt idx="84">
                  <c:v>8.5510000000000002</c:v>
                </c:pt>
                <c:pt idx="85">
                  <c:v>9.4870000000000001</c:v>
                </c:pt>
                <c:pt idx="86">
                  <c:v>8.1199999999999992</c:v>
                </c:pt>
                <c:pt idx="87">
                  <c:v>10.016</c:v>
                </c:pt>
                <c:pt idx="88">
                  <c:v>9.8260000000000005</c:v>
                </c:pt>
                <c:pt idx="89">
                  <c:v>9.5690000000000008</c:v>
                </c:pt>
                <c:pt idx="90">
                  <c:v>8.1890000000000001</c:v>
                </c:pt>
                <c:pt idx="91">
                  <c:v>8.1180000000000003</c:v>
                </c:pt>
                <c:pt idx="92">
                  <c:v>9.52</c:v>
                </c:pt>
                <c:pt idx="93">
                  <c:v>9.6929999999999996</c:v>
                </c:pt>
                <c:pt idx="94">
                  <c:v>8.58</c:v>
                </c:pt>
                <c:pt idx="95">
                  <c:v>7.0979999999999999</c:v>
                </c:pt>
                <c:pt idx="96">
                  <c:v>9.6289999999999996</c:v>
                </c:pt>
                <c:pt idx="97">
                  <c:v>7.6859999999999999</c:v>
                </c:pt>
                <c:pt idx="98">
                  <c:v>8.0869999999999997</c:v>
                </c:pt>
                <c:pt idx="99">
                  <c:v>8.9469999999999992</c:v>
                </c:pt>
                <c:pt idx="100">
                  <c:v>8.4540000000000006</c:v>
                </c:pt>
                <c:pt idx="101">
                  <c:v>7.8380000000000001</c:v>
                </c:pt>
                <c:pt idx="102">
                  <c:v>9.4030000000000005</c:v>
                </c:pt>
                <c:pt idx="103">
                  <c:v>10.24</c:v>
                </c:pt>
                <c:pt idx="104">
                  <c:v>8.4580000000000002</c:v>
                </c:pt>
                <c:pt idx="105">
                  <c:v>8.9030000000000005</c:v>
                </c:pt>
                <c:pt idx="106">
                  <c:v>9.0730000000000004</c:v>
                </c:pt>
                <c:pt idx="107">
                  <c:v>9.5850000000000009</c:v>
                </c:pt>
                <c:pt idx="108">
                  <c:v>9.3420000000000005</c:v>
                </c:pt>
                <c:pt idx="109">
                  <c:v>9.4359999999999999</c:v>
                </c:pt>
                <c:pt idx="110">
                  <c:v>9.24</c:v>
                </c:pt>
                <c:pt idx="111">
                  <c:v>9.6029999999999998</c:v>
                </c:pt>
                <c:pt idx="112">
                  <c:v>7.6779999999999999</c:v>
                </c:pt>
                <c:pt idx="113">
                  <c:v>8.36</c:v>
                </c:pt>
                <c:pt idx="114">
                  <c:v>7.1580000000000004</c:v>
                </c:pt>
                <c:pt idx="115">
                  <c:v>8.5329999999999995</c:v>
                </c:pt>
                <c:pt idx="116">
                  <c:v>7.7439999999999998</c:v>
                </c:pt>
                <c:pt idx="117">
                  <c:v>9.5839999999999996</c:v>
                </c:pt>
                <c:pt idx="118">
                  <c:v>7.6769999999999996</c:v>
                </c:pt>
                <c:pt idx="119">
                  <c:v>7.2880000000000003</c:v>
                </c:pt>
                <c:pt idx="120">
                  <c:v>8.3610000000000007</c:v>
                </c:pt>
                <c:pt idx="121">
                  <c:v>9.266</c:v>
                </c:pt>
                <c:pt idx="122">
                  <c:v>9.6259999999999994</c:v>
                </c:pt>
                <c:pt idx="123">
                  <c:v>9.1609999999999996</c:v>
                </c:pt>
                <c:pt idx="124">
                  <c:v>8.4849999999999994</c:v>
                </c:pt>
                <c:pt idx="125">
                  <c:v>8.5410000000000004</c:v>
                </c:pt>
                <c:pt idx="126">
                  <c:v>9.1820000000000004</c:v>
                </c:pt>
                <c:pt idx="127">
                  <c:v>7.3639999999999999</c:v>
                </c:pt>
                <c:pt idx="128">
                  <c:v>9.4700000000000006</c:v>
                </c:pt>
                <c:pt idx="129">
                  <c:v>9.0649999999999995</c:v>
                </c:pt>
                <c:pt idx="130">
                  <c:v>8.0310000000000006</c:v>
                </c:pt>
                <c:pt idx="131">
                  <c:v>9.3670000000000009</c:v>
                </c:pt>
                <c:pt idx="132">
                  <c:v>7.694</c:v>
                </c:pt>
                <c:pt idx="133">
                  <c:v>8.5419999999999998</c:v>
                </c:pt>
                <c:pt idx="134">
                  <c:v>7.3959999999999999</c:v>
                </c:pt>
                <c:pt idx="135">
                  <c:v>7.3620000000000001</c:v>
                </c:pt>
                <c:pt idx="136">
                  <c:v>8.1449999999999996</c:v>
                </c:pt>
                <c:pt idx="137">
                  <c:v>7.4340000000000002</c:v>
                </c:pt>
                <c:pt idx="138">
                  <c:v>8.7550000000000008</c:v>
                </c:pt>
                <c:pt idx="139">
                  <c:v>6.6349999999999998</c:v>
                </c:pt>
                <c:pt idx="140">
                  <c:v>7.5780000000000003</c:v>
                </c:pt>
                <c:pt idx="141">
                  <c:v>7.8760000000000003</c:v>
                </c:pt>
                <c:pt idx="142">
                  <c:v>7.4770000000000003</c:v>
                </c:pt>
                <c:pt idx="143">
                  <c:v>6.9580000000000002</c:v>
                </c:pt>
                <c:pt idx="144">
                  <c:v>7.9260000000000002</c:v>
                </c:pt>
                <c:pt idx="145">
                  <c:v>9.782</c:v>
                </c:pt>
                <c:pt idx="146">
                  <c:v>7.6760000000000002</c:v>
                </c:pt>
                <c:pt idx="147">
                  <c:v>7.9429999999999996</c:v>
                </c:pt>
                <c:pt idx="148">
                  <c:v>7.6950000000000003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B02-467D-B5A3-CD2247886468}"/>
            </c:ext>
          </c:extLst>
        </c:ser>
        <c:ser>
          <c:idx val="1"/>
          <c:order val="1"/>
          <c:tx>
            <c:strRef>
              <c:f>Sheet5!$E$1</c:f>
              <c:strCache>
                <c:ptCount val="1"/>
                <c:pt idx="0">
                  <c:v>Social support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Sheet5!$C$2:$C$150</c:f>
              <c:numCache>
                <c:formatCode>General</c:formatCode>
                <c:ptCount val="149"/>
                <c:pt idx="0">
                  <c:v>7.8419999999999996</c:v>
                </c:pt>
                <c:pt idx="1">
                  <c:v>7.62</c:v>
                </c:pt>
                <c:pt idx="2">
                  <c:v>7.5709999999999997</c:v>
                </c:pt>
                <c:pt idx="3">
                  <c:v>7.5540000000000003</c:v>
                </c:pt>
                <c:pt idx="4">
                  <c:v>7.4640000000000004</c:v>
                </c:pt>
                <c:pt idx="5">
                  <c:v>7.3920000000000003</c:v>
                </c:pt>
                <c:pt idx="6">
                  <c:v>7.3630000000000004</c:v>
                </c:pt>
                <c:pt idx="7">
                  <c:v>7.3239999999999998</c:v>
                </c:pt>
                <c:pt idx="8">
                  <c:v>7.2770000000000001</c:v>
                </c:pt>
                <c:pt idx="9">
                  <c:v>7.2679999999999998</c:v>
                </c:pt>
                <c:pt idx="10">
                  <c:v>7.1829999999999998</c:v>
                </c:pt>
                <c:pt idx="11">
                  <c:v>7.157</c:v>
                </c:pt>
                <c:pt idx="12">
                  <c:v>7.1550000000000002</c:v>
                </c:pt>
                <c:pt idx="13">
                  <c:v>7.1029999999999998</c:v>
                </c:pt>
                <c:pt idx="14">
                  <c:v>7.085</c:v>
                </c:pt>
                <c:pt idx="15">
                  <c:v>7.069</c:v>
                </c:pt>
                <c:pt idx="16">
                  <c:v>7.0640000000000001</c:v>
                </c:pt>
                <c:pt idx="17">
                  <c:v>6.9649999999999999</c:v>
                </c:pt>
                <c:pt idx="18">
                  <c:v>6.9509999999999996</c:v>
                </c:pt>
                <c:pt idx="19">
                  <c:v>6.8339999999999996</c:v>
                </c:pt>
                <c:pt idx="20">
                  <c:v>6.69</c:v>
                </c:pt>
                <c:pt idx="21">
                  <c:v>6.6470000000000002</c:v>
                </c:pt>
                <c:pt idx="22">
                  <c:v>6.6020000000000003</c:v>
                </c:pt>
                <c:pt idx="23">
                  <c:v>6.5839999999999996</c:v>
                </c:pt>
                <c:pt idx="24">
                  <c:v>6.5609999999999999</c:v>
                </c:pt>
                <c:pt idx="25">
                  <c:v>6.4939999999999998</c:v>
                </c:pt>
                <c:pt idx="26">
                  <c:v>6.4909999999999997</c:v>
                </c:pt>
                <c:pt idx="27">
                  <c:v>6.4829999999999997</c:v>
                </c:pt>
                <c:pt idx="28">
                  <c:v>6.4610000000000003</c:v>
                </c:pt>
                <c:pt idx="29">
                  <c:v>6.4349999999999996</c:v>
                </c:pt>
                <c:pt idx="30">
                  <c:v>6.431</c:v>
                </c:pt>
                <c:pt idx="31">
                  <c:v>6.3769999999999998</c:v>
                </c:pt>
                <c:pt idx="32">
                  <c:v>6.3719999999999999</c:v>
                </c:pt>
                <c:pt idx="33">
                  <c:v>6.3310000000000004</c:v>
                </c:pt>
                <c:pt idx="34">
                  <c:v>6.33</c:v>
                </c:pt>
                <c:pt idx="35">
                  <c:v>6.3170000000000002</c:v>
                </c:pt>
                <c:pt idx="36">
                  <c:v>6.3090000000000002</c:v>
                </c:pt>
                <c:pt idx="37">
                  <c:v>6.2549999999999999</c:v>
                </c:pt>
                <c:pt idx="38">
                  <c:v>6.2229999999999999</c:v>
                </c:pt>
                <c:pt idx="39">
                  <c:v>6.1890000000000001</c:v>
                </c:pt>
                <c:pt idx="40">
                  <c:v>6.18</c:v>
                </c:pt>
                <c:pt idx="41">
                  <c:v>6.1790000000000003</c:v>
                </c:pt>
                <c:pt idx="42">
                  <c:v>6.1719999999999997</c:v>
                </c:pt>
                <c:pt idx="43">
                  <c:v>6.1660000000000004</c:v>
                </c:pt>
                <c:pt idx="44">
                  <c:v>6.1520000000000001</c:v>
                </c:pt>
                <c:pt idx="45">
                  <c:v>6.14</c:v>
                </c:pt>
                <c:pt idx="46">
                  <c:v>6.1059999999999999</c:v>
                </c:pt>
                <c:pt idx="47">
                  <c:v>6.0780000000000003</c:v>
                </c:pt>
                <c:pt idx="48">
                  <c:v>6.0609999999999999</c:v>
                </c:pt>
                <c:pt idx="49">
                  <c:v>6.0490000000000004</c:v>
                </c:pt>
                <c:pt idx="50">
                  <c:v>6.032</c:v>
                </c:pt>
                <c:pt idx="51">
                  <c:v>6.0119999999999996</c:v>
                </c:pt>
                <c:pt idx="52">
                  <c:v>5.992</c:v>
                </c:pt>
                <c:pt idx="53">
                  <c:v>5.9850000000000003</c:v>
                </c:pt>
                <c:pt idx="54">
                  <c:v>5.9720000000000004</c:v>
                </c:pt>
                <c:pt idx="55">
                  <c:v>5.94</c:v>
                </c:pt>
                <c:pt idx="56">
                  <c:v>5.9290000000000003</c:v>
                </c:pt>
                <c:pt idx="57">
                  <c:v>5.9290000000000003</c:v>
                </c:pt>
                <c:pt idx="58">
                  <c:v>5.9189999999999996</c:v>
                </c:pt>
                <c:pt idx="59">
                  <c:v>5.8819999999999997</c:v>
                </c:pt>
                <c:pt idx="60">
                  <c:v>5.88</c:v>
                </c:pt>
                <c:pt idx="61">
                  <c:v>5.8449999999999998</c:v>
                </c:pt>
                <c:pt idx="62">
                  <c:v>5.84</c:v>
                </c:pt>
                <c:pt idx="63">
                  <c:v>5.8129999999999997</c:v>
                </c:pt>
                <c:pt idx="64">
                  <c:v>5.766</c:v>
                </c:pt>
                <c:pt idx="65">
                  <c:v>5.7640000000000002</c:v>
                </c:pt>
                <c:pt idx="66">
                  <c:v>5.7439999999999998</c:v>
                </c:pt>
                <c:pt idx="67">
                  <c:v>5.7229999999999999</c:v>
                </c:pt>
                <c:pt idx="68">
                  <c:v>5.7160000000000002</c:v>
                </c:pt>
                <c:pt idx="69">
                  <c:v>5.6769999999999996</c:v>
                </c:pt>
                <c:pt idx="70">
                  <c:v>5.6529999999999996</c:v>
                </c:pt>
                <c:pt idx="71">
                  <c:v>5.5810000000000004</c:v>
                </c:pt>
                <c:pt idx="72">
                  <c:v>5.5449999999999999</c:v>
                </c:pt>
                <c:pt idx="73">
                  <c:v>5.5359999999999996</c:v>
                </c:pt>
                <c:pt idx="74">
                  <c:v>5.5339999999999998</c:v>
                </c:pt>
                <c:pt idx="75">
                  <c:v>5.4770000000000003</c:v>
                </c:pt>
                <c:pt idx="76">
                  <c:v>5.4770000000000003</c:v>
                </c:pt>
                <c:pt idx="77">
                  <c:v>5.4660000000000002</c:v>
                </c:pt>
                <c:pt idx="78">
                  <c:v>5.4109999999999996</c:v>
                </c:pt>
                <c:pt idx="79">
                  <c:v>5.41</c:v>
                </c:pt>
                <c:pt idx="80">
                  <c:v>5.3840000000000003</c:v>
                </c:pt>
                <c:pt idx="81">
                  <c:v>5.3449999999999998</c:v>
                </c:pt>
                <c:pt idx="82">
                  <c:v>5.3419999999999996</c:v>
                </c:pt>
                <c:pt idx="83">
                  <c:v>5.3390000000000004</c:v>
                </c:pt>
                <c:pt idx="84">
                  <c:v>5.306</c:v>
                </c:pt>
                <c:pt idx="85">
                  <c:v>5.2830000000000004</c:v>
                </c:pt>
                <c:pt idx="86">
                  <c:v>5.2690000000000001</c:v>
                </c:pt>
                <c:pt idx="87">
                  <c:v>5.266</c:v>
                </c:pt>
                <c:pt idx="88">
                  <c:v>5.1980000000000004</c:v>
                </c:pt>
                <c:pt idx="89">
                  <c:v>5.1710000000000003</c:v>
                </c:pt>
                <c:pt idx="90">
                  <c:v>5.1420000000000003</c:v>
                </c:pt>
                <c:pt idx="91">
                  <c:v>5.1319999999999997</c:v>
                </c:pt>
                <c:pt idx="92">
                  <c:v>5.117</c:v>
                </c:pt>
                <c:pt idx="93">
                  <c:v>5.101</c:v>
                </c:pt>
                <c:pt idx="94">
                  <c:v>5.0880000000000001</c:v>
                </c:pt>
                <c:pt idx="95">
                  <c:v>5.0739999999999998</c:v>
                </c:pt>
                <c:pt idx="96">
                  <c:v>5.0659999999999998</c:v>
                </c:pt>
                <c:pt idx="97">
                  <c:v>5.0510000000000002</c:v>
                </c:pt>
                <c:pt idx="98">
                  <c:v>5.0449999999999999</c:v>
                </c:pt>
                <c:pt idx="99">
                  <c:v>5.03</c:v>
                </c:pt>
                <c:pt idx="100">
                  <c:v>5.0250000000000004</c:v>
                </c:pt>
                <c:pt idx="101">
                  <c:v>4.984</c:v>
                </c:pt>
                <c:pt idx="102">
                  <c:v>4.9560000000000004</c:v>
                </c:pt>
                <c:pt idx="103">
                  <c:v>4.9480000000000004</c:v>
                </c:pt>
                <c:pt idx="104">
                  <c:v>4.9340000000000002</c:v>
                </c:pt>
                <c:pt idx="105">
                  <c:v>4.9180000000000001</c:v>
                </c:pt>
                <c:pt idx="106">
                  <c:v>4.8920000000000003</c:v>
                </c:pt>
                <c:pt idx="107">
                  <c:v>4.891</c:v>
                </c:pt>
                <c:pt idx="108">
                  <c:v>4.8869999999999996</c:v>
                </c:pt>
                <c:pt idx="109">
                  <c:v>4.875</c:v>
                </c:pt>
                <c:pt idx="110">
                  <c:v>4.8540000000000001</c:v>
                </c:pt>
                <c:pt idx="111">
                  <c:v>4.8520000000000003</c:v>
                </c:pt>
                <c:pt idx="112">
                  <c:v>4.8339999999999996</c:v>
                </c:pt>
                <c:pt idx="113">
                  <c:v>4.83</c:v>
                </c:pt>
                <c:pt idx="114">
                  <c:v>4.7939999999999996</c:v>
                </c:pt>
                <c:pt idx="115">
                  <c:v>4.7590000000000003</c:v>
                </c:pt>
                <c:pt idx="116">
                  <c:v>4.7229999999999999</c:v>
                </c:pt>
                <c:pt idx="117">
                  <c:v>4.7210000000000001</c:v>
                </c:pt>
                <c:pt idx="118">
                  <c:v>4.6360000000000001</c:v>
                </c:pt>
                <c:pt idx="119">
                  <c:v>4.625</c:v>
                </c:pt>
                <c:pt idx="120">
                  <c:v>4.6070000000000002</c:v>
                </c:pt>
                <c:pt idx="121">
                  <c:v>4.5960000000000001</c:v>
                </c:pt>
                <c:pt idx="122">
                  <c:v>4.5839999999999996</c:v>
                </c:pt>
                <c:pt idx="123">
                  <c:v>4.5739999999999998</c:v>
                </c:pt>
                <c:pt idx="124">
                  <c:v>4.5170000000000003</c:v>
                </c:pt>
                <c:pt idx="125">
                  <c:v>4.4260000000000002</c:v>
                </c:pt>
                <c:pt idx="126">
                  <c:v>4.3949999999999996</c:v>
                </c:pt>
                <c:pt idx="127">
                  <c:v>4.3550000000000004</c:v>
                </c:pt>
                <c:pt idx="128">
                  <c:v>4.3250000000000002</c:v>
                </c:pt>
                <c:pt idx="129">
                  <c:v>4.3079999999999998</c:v>
                </c:pt>
                <c:pt idx="130">
                  <c:v>4.2889999999999997</c:v>
                </c:pt>
                <c:pt idx="131">
                  <c:v>4.2830000000000004</c:v>
                </c:pt>
                <c:pt idx="132">
                  <c:v>4.2750000000000004</c:v>
                </c:pt>
                <c:pt idx="133">
                  <c:v>4.2270000000000003</c:v>
                </c:pt>
                <c:pt idx="134">
                  <c:v>4.2080000000000002</c:v>
                </c:pt>
                <c:pt idx="135">
                  <c:v>4.1070000000000002</c:v>
                </c:pt>
                <c:pt idx="136">
                  <c:v>4.0730000000000004</c:v>
                </c:pt>
                <c:pt idx="137">
                  <c:v>3.8490000000000002</c:v>
                </c:pt>
                <c:pt idx="138">
                  <c:v>3.819</c:v>
                </c:pt>
                <c:pt idx="139">
                  <c:v>3.7749999999999999</c:v>
                </c:pt>
                <c:pt idx="140">
                  <c:v>3.6579999999999999</c:v>
                </c:pt>
                <c:pt idx="141">
                  <c:v>3.6230000000000002</c:v>
                </c:pt>
                <c:pt idx="142">
                  <c:v>3.6150000000000002</c:v>
                </c:pt>
                <c:pt idx="143">
                  <c:v>3.6</c:v>
                </c:pt>
                <c:pt idx="144">
                  <c:v>3.512</c:v>
                </c:pt>
                <c:pt idx="145">
                  <c:v>3.4670000000000001</c:v>
                </c:pt>
                <c:pt idx="146">
                  <c:v>3.415</c:v>
                </c:pt>
                <c:pt idx="147">
                  <c:v>3.145</c:v>
                </c:pt>
                <c:pt idx="148">
                  <c:v>2.5230000000000001</c:v>
                </c:pt>
              </c:numCache>
            </c:numRef>
          </c:xVal>
          <c:yVal>
            <c:numRef>
              <c:f>Sheet5!$E$2:$E$150</c:f>
              <c:numCache>
                <c:formatCode>General</c:formatCode>
                <c:ptCount val="149"/>
                <c:pt idx="0">
                  <c:v>0.95399999999999996</c:v>
                </c:pt>
                <c:pt idx="1">
                  <c:v>0.95399999999999996</c:v>
                </c:pt>
                <c:pt idx="2">
                  <c:v>0.94199999999999995</c:v>
                </c:pt>
                <c:pt idx="3">
                  <c:v>0.98299999999999998</c:v>
                </c:pt>
                <c:pt idx="4">
                  <c:v>0.94199999999999995</c:v>
                </c:pt>
                <c:pt idx="5">
                  <c:v>0.95399999999999996</c:v>
                </c:pt>
                <c:pt idx="6">
                  <c:v>0.93400000000000005</c:v>
                </c:pt>
                <c:pt idx="7">
                  <c:v>0.90800000000000003</c:v>
                </c:pt>
                <c:pt idx="8">
                  <c:v>0.94799999999999995</c:v>
                </c:pt>
                <c:pt idx="9">
                  <c:v>0.93400000000000005</c:v>
                </c:pt>
                <c:pt idx="10">
                  <c:v>0.94</c:v>
                </c:pt>
                <c:pt idx="11">
                  <c:v>0.93899999999999995</c:v>
                </c:pt>
                <c:pt idx="12">
                  <c:v>0.90300000000000002</c:v>
                </c:pt>
                <c:pt idx="13">
                  <c:v>0.92600000000000005</c:v>
                </c:pt>
                <c:pt idx="14">
                  <c:v>0.94699999999999995</c:v>
                </c:pt>
                <c:pt idx="15">
                  <c:v>0.89100000000000001</c:v>
                </c:pt>
                <c:pt idx="16">
                  <c:v>0.93400000000000005</c:v>
                </c:pt>
                <c:pt idx="17">
                  <c:v>0.94699999999999995</c:v>
                </c:pt>
                <c:pt idx="18">
                  <c:v>0.92</c:v>
                </c:pt>
                <c:pt idx="19">
                  <c:v>0.90600000000000003</c:v>
                </c:pt>
                <c:pt idx="20">
                  <c:v>0.94199999999999995</c:v>
                </c:pt>
                <c:pt idx="21">
                  <c:v>0.86199999999999999</c:v>
                </c:pt>
                <c:pt idx="22">
                  <c:v>0.93100000000000005</c:v>
                </c:pt>
                <c:pt idx="23">
                  <c:v>0.89800000000000002</c:v>
                </c:pt>
                <c:pt idx="24">
                  <c:v>0.84399999999999997</c:v>
                </c:pt>
                <c:pt idx="25">
                  <c:v>0.89100000000000001</c:v>
                </c:pt>
                <c:pt idx="26">
                  <c:v>0.93200000000000005</c:v>
                </c:pt>
                <c:pt idx="27">
                  <c:v>0.88</c:v>
                </c:pt>
                <c:pt idx="28">
                  <c:v>0.94799999999999995</c:v>
                </c:pt>
                <c:pt idx="29">
                  <c:v>0.81299999999999994</c:v>
                </c:pt>
                <c:pt idx="30">
                  <c:v>0.92500000000000004</c:v>
                </c:pt>
                <c:pt idx="31">
                  <c:v>0.91500000000000004</c:v>
                </c:pt>
                <c:pt idx="32">
                  <c:v>0.82099999999999995</c:v>
                </c:pt>
                <c:pt idx="33">
                  <c:v>0.93600000000000005</c:v>
                </c:pt>
                <c:pt idx="34">
                  <c:v>0.88200000000000001</c:v>
                </c:pt>
                <c:pt idx="35">
                  <c:v>0.83099999999999996</c:v>
                </c:pt>
                <c:pt idx="36">
                  <c:v>0.877</c:v>
                </c:pt>
                <c:pt idx="37">
                  <c:v>0.93500000000000005</c:v>
                </c:pt>
                <c:pt idx="38">
                  <c:v>0.80200000000000005</c:v>
                </c:pt>
                <c:pt idx="39">
                  <c:v>0.94099999999999995</c:v>
                </c:pt>
                <c:pt idx="40">
                  <c:v>0.89600000000000002</c:v>
                </c:pt>
                <c:pt idx="41">
                  <c:v>0.91800000000000004</c:v>
                </c:pt>
                <c:pt idx="42">
                  <c:v>0.88200000000000001</c:v>
                </c:pt>
                <c:pt idx="43">
                  <c:v>0.89800000000000002</c:v>
                </c:pt>
                <c:pt idx="44">
                  <c:v>0.95199999999999996</c:v>
                </c:pt>
                <c:pt idx="45">
                  <c:v>0.83199999999999996</c:v>
                </c:pt>
                <c:pt idx="46">
                  <c:v>0.84299999999999997</c:v>
                </c:pt>
                <c:pt idx="47">
                  <c:v>0.873</c:v>
                </c:pt>
                <c:pt idx="48">
                  <c:v>0.76200000000000001</c:v>
                </c:pt>
                <c:pt idx="49">
                  <c:v>0.90500000000000003</c:v>
                </c:pt>
                <c:pt idx="50">
                  <c:v>0.92700000000000005</c:v>
                </c:pt>
                <c:pt idx="51">
                  <c:v>0.84699999999999998</c:v>
                </c:pt>
                <c:pt idx="52">
                  <c:v>0.94299999999999995</c:v>
                </c:pt>
                <c:pt idx="53">
                  <c:v>0.88800000000000001</c:v>
                </c:pt>
                <c:pt idx="54">
                  <c:v>0.86399999999999999</c:v>
                </c:pt>
                <c:pt idx="55">
                  <c:v>0.88400000000000001</c:v>
                </c:pt>
                <c:pt idx="56">
                  <c:v>0.89800000000000002</c:v>
                </c:pt>
                <c:pt idx="57">
                  <c:v>0.879</c:v>
                </c:pt>
                <c:pt idx="58">
                  <c:v>0.81200000000000006</c:v>
                </c:pt>
                <c:pt idx="59">
                  <c:v>0.92400000000000004</c:v>
                </c:pt>
                <c:pt idx="60">
                  <c:v>0.83</c:v>
                </c:pt>
                <c:pt idx="61">
                  <c:v>0.79900000000000004</c:v>
                </c:pt>
                <c:pt idx="62">
                  <c:v>0.83199999999999996</c:v>
                </c:pt>
                <c:pt idx="63">
                  <c:v>0.87</c:v>
                </c:pt>
                <c:pt idx="64">
                  <c:v>0.85699999999999998</c:v>
                </c:pt>
                <c:pt idx="65">
                  <c:v>0.82099999999999995</c:v>
                </c:pt>
                <c:pt idx="66">
                  <c:v>0.89300000000000002</c:v>
                </c:pt>
                <c:pt idx="67">
                  <c:v>0.82299999999999995</c:v>
                </c:pt>
                <c:pt idx="68">
                  <c:v>0.81</c:v>
                </c:pt>
                <c:pt idx="69">
                  <c:v>0.93500000000000005</c:v>
                </c:pt>
                <c:pt idx="70">
                  <c:v>0.89300000000000002</c:v>
                </c:pt>
                <c:pt idx="71">
                  <c:v>0.85799999999999998</c:v>
                </c:pt>
                <c:pt idx="72">
                  <c:v>0.85299999999999998</c:v>
                </c:pt>
                <c:pt idx="73">
                  <c:v>0.82</c:v>
                </c:pt>
                <c:pt idx="74">
                  <c:v>0.91</c:v>
                </c:pt>
                <c:pt idx="75">
                  <c:v>0.90300000000000002</c:v>
                </c:pt>
                <c:pt idx="76">
                  <c:v>0.83599999999999997</c:v>
                </c:pt>
                <c:pt idx="77">
                  <c:v>0.86</c:v>
                </c:pt>
                <c:pt idx="78">
                  <c:v>0.85</c:v>
                </c:pt>
                <c:pt idx="79">
                  <c:v>0.82699999999999996</c:v>
                </c:pt>
                <c:pt idx="80">
                  <c:v>0.81699999999999995</c:v>
                </c:pt>
                <c:pt idx="81">
                  <c:v>0.81100000000000005</c:v>
                </c:pt>
                <c:pt idx="82">
                  <c:v>0.63600000000000001</c:v>
                </c:pt>
                <c:pt idx="83">
                  <c:v>0.81100000000000005</c:v>
                </c:pt>
                <c:pt idx="84">
                  <c:v>0.64400000000000002</c:v>
                </c:pt>
                <c:pt idx="85">
                  <c:v>0.79900000000000004</c:v>
                </c:pt>
                <c:pt idx="86">
                  <c:v>0.77400000000000002</c:v>
                </c:pt>
                <c:pt idx="87">
                  <c:v>0.93100000000000005</c:v>
                </c:pt>
                <c:pt idx="88">
                  <c:v>0.91300000000000003</c:v>
                </c:pt>
                <c:pt idx="89">
                  <c:v>0.83599999999999997</c:v>
                </c:pt>
                <c:pt idx="90">
                  <c:v>0.71</c:v>
                </c:pt>
                <c:pt idx="91">
                  <c:v>0.71</c:v>
                </c:pt>
                <c:pt idx="92">
                  <c:v>0.69699999999999995</c:v>
                </c:pt>
                <c:pt idx="93">
                  <c:v>0.80500000000000005</c:v>
                </c:pt>
                <c:pt idx="94">
                  <c:v>0.72699999999999998</c:v>
                </c:pt>
                <c:pt idx="95">
                  <c:v>0.64100000000000001</c:v>
                </c:pt>
                <c:pt idx="96">
                  <c:v>0.98299999999999998</c:v>
                </c:pt>
                <c:pt idx="97">
                  <c:v>0.69</c:v>
                </c:pt>
                <c:pt idx="98">
                  <c:v>0.48899999999999999</c:v>
                </c:pt>
                <c:pt idx="99">
                  <c:v>0.72799999999999998</c:v>
                </c:pt>
                <c:pt idx="100">
                  <c:v>0.69299999999999995</c:v>
                </c:pt>
                <c:pt idx="101">
                  <c:v>0.63900000000000001</c:v>
                </c:pt>
                <c:pt idx="102">
                  <c:v>0.86</c:v>
                </c:pt>
                <c:pt idx="103">
                  <c:v>0.82199999999999995</c:v>
                </c:pt>
                <c:pt idx="104">
                  <c:v>0.65100000000000002</c:v>
                </c:pt>
                <c:pt idx="105">
                  <c:v>0.56000000000000005</c:v>
                </c:pt>
                <c:pt idx="106">
                  <c:v>0.86099999999999999</c:v>
                </c:pt>
                <c:pt idx="107">
                  <c:v>0.67100000000000004</c:v>
                </c:pt>
                <c:pt idx="108">
                  <c:v>0.80200000000000005</c:v>
                </c:pt>
                <c:pt idx="109">
                  <c:v>0.88800000000000001</c:v>
                </c:pt>
                <c:pt idx="110">
                  <c:v>0.746</c:v>
                </c:pt>
                <c:pt idx="111">
                  <c:v>0.77600000000000002</c:v>
                </c:pt>
                <c:pt idx="112">
                  <c:v>0.67200000000000004</c:v>
                </c:pt>
                <c:pt idx="113">
                  <c:v>0.76500000000000001</c:v>
                </c:pt>
                <c:pt idx="114">
                  <c:v>0.74399999999999999</c:v>
                </c:pt>
                <c:pt idx="115">
                  <c:v>0.74</c:v>
                </c:pt>
                <c:pt idx="116">
                  <c:v>0.72399999999999998</c:v>
                </c:pt>
                <c:pt idx="117">
                  <c:v>0.71</c:v>
                </c:pt>
                <c:pt idx="118">
                  <c:v>0.78100000000000003</c:v>
                </c:pt>
                <c:pt idx="119">
                  <c:v>0.72</c:v>
                </c:pt>
                <c:pt idx="120">
                  <c:v>0.68799999999999994</c:v>
                </c:pt>
                <c:pt idx="121">
                  <c:v>0.69099999999999995</c:v>
                </c:pt>
                <c:pt idx="122">
                  <c:v>0.84799999999999998</c:v>
                </c:pt>
                <c:pt idx="123">
                  <c:v>0.81799999999999995</c:v>
                </c:pt>
                <c:pt idx="124">
                  <c:v>0.82599999999999996</c:v>
                </c:pt>
                <c:pt idx="125">
                  <c:v>0.77900000000000003</c:v>
                </c:pt>
                <c:pt idx="126">
                  <c:v>0.76700000000000002</c:v>
                </c:pt>
                <c:pt idx="127">
                  <c:v>0.61899999999999999</c:v>
                </c:pt>
                <c:pt idx="128">
                  <c:v>0.82699999999999996</c:v>
                </c:pt>
                <c:pt idx="129">
                  <c:v>0.77</c:v>
                </c:pt>
                <c:pt idx="130">
                  <c:v>0.626</c:v>
                </c:pt>
                <c:pt idx="131">
                  <c:v>0.75</c:v>
                </c:pt>
                <c:pt idx="132">
                  <c:v>0.76400000000000001</c:v>
                </c:pt>
                <c:pt idx="133">
                  <c:v>0.79500000000000004</c:v>
                </c:pt>
                <c:pt idx="134">
                  <c:v>0.68600000000000005</c:v>
                </c:pt>
                <c:pt idx="135">
                  <c:v>0.56899999999999995</c:v>
                </c:pt>
                <c:pt idx="136">
                  <c:v>0.70799999999999996</c:v>
                </c:pt>
                <c:pt idx="137">
                  <c:v>0.63</c:v>
                </c:pt>
                <c:pt idx="138">
                  <c:v>0.60299999999999998</c:v>
                </c:pt>
                <c:pt idx="139">
                  <c:v>0.49</c:v>
                </c:pt>
                <c:pt idx="140">
                  <c:v>0.83199999999999996</c:v>
                </c:pt>
                <c:pt idx="141">
                  <c:v>0.70199999999999996</c:v>
                </c:pt>
                <c:pt idx="142">
                  <c:v>0.54</c:v>
                </c:pt>
                <c:pt idx="143">
                  <c:v>0.53700000000000003</c:v>
                </c:pt>
                <c:pt idx="144">
                  <c:v>0.78700000000000003</c:v>
                </c:pt>
                <c:pt idx="145">
                  <c:v>0.78400000000000003</c:v>
                </c:pt>
                <c:pt idx="146">
                  <c:v>0.55200000000000005</c:v>
                </c:pt>
                <c:pt idx="147">
                  <c:v>0.75</c:v>
                </c:pt>
                <c:pt idx="148">
                  <c:v>0.46300000000000002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4B02-467D-B5A3-CD2247886468}"/>
            </c:ext>
          </c:extLst>
        </c:ser>
        <c:ser>
          <c:idx val="2"/>
          <c:order val="2"/>
          <c:tx>
            <c:strRef>
              <c:f>Sheet5!$F$1</c:f>
              <c:strCache>
                <c:ptCount val="1"/>
                <c:pt idx="0">
                  <c:v>Healthy life expectancy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Sheet5!$C$2:$C$150</c:f>
              <c:numCache>
                <c:formatCode>General</c:formatCode>
                <c:ptCount val="149"/>
                <c:pt idx="0">
                  <c:v>7.8419999999999996</c:v>
                </c:pt>
                <c:pt idx="1">
                  <c:v>7.62</c:v>
                </c:pt>
                <c:pt idx="2">
                  <c:v>7.5709999999999997</c:v>
                </c:pt>
                <c:pt idx="3">
                  <c:v>7.5540000000000003</c:v>
                </c:pt>
                <c:pt idx="4">
                  <c:v>7.4640000000000004</c:v>
                </c:pt>
                <c:pt idx="5">
                  <c:v>7.3920000000000003</c:v>
                </c:pt>
                <c:pt idx="6">
                  <c:v>7.3630000000000004</c:v>
                </c:pt>
                <c:pt idx="7">
                  <c:v>7.3239999999999998</c:v>
                </c:pt>
                <c:pt idx="8">
                  <c:v>7.2770000000000001</c:v>
                </c:pt>
                <c:pt idx="9">
                  <c:v>7.2679999999999998</c:v>
                </c:pt>
                <c:pt idx="10">
                  <c:v>7.1829999999999998</c:v>
                </c:pt>
                <c:pt idx="11">
                  <c:v>7.157</c:v>
                </c:pt>
                <c:pt idx="12">
                  <c:v>7.1550000000000002</c:v>
                </c:pt>
                <c:pt idx="13">
                  <c:v>7.1029999999999998</c:v>
                </c:pt>
                <c:pt idx="14">
                  <c:v>7.085</c:v>
                </c:pt>
                <c:pt idx="15">
                  <c:v>7.069</c:v>
                </c:pt>
                <c:pt idx="16">
                  <c:v>7.0640000000000001</c:v>
                </c:pt>
                <c:pt idx="17">
                  <c:v>6.9649999999999999</c:v>
                </c:pt>
                <c:pt idx="18">
                  <c:v>6.9509999999999996</c:v>
                </c:pt>
                <c:pt idx="19">
                  <c:v>6.8339999999999996</c:v>
                </c:pt>
                <c:pt idx="20">
                  <c:v>6.69</c:v>
                </c:pt>
                <c:pt idx="21">
                  <c:v>6.6470000000000002</c:v>
                </c:pt>
                <c:pt idx="22">
                  <c:v>6.6020000000000003</c:v>
                </c:pt>
                <c:pt idx="23">
                  <c:v>6.5839999999999996</c:v>
                </c:pt>
                <c:pt idx="24">
                  <c:v>6.5609999999999999</c:v>
                </c:pt>
                <c:pt idx="25">
                  <c:v>6.4939999999999998</c:v>
                </c:pt>
                <c:pt idx="26">
                  <c:v>6.4909999999999997</c:v>
                </c:pt>
                <c:pt idx="27">
                  <c:v>6.4829999999999997</c:v>
                </c:pt>
                <c:pt idx="28">
                  <c:v>6.4610000000000003</c:v>
                </c:pt>
                <c:pt idx="29">
                  <c:v>6.4349999999999996</c:v>
                </c:pt>
                <c:pt idx="30">
                  <c:v>6.431</c:v>
                </c:pt>
                <c:pt idx="31">
                  <c:v>6.3769999999999998</c:v>
                </c:pt>
                <c:pt idx="32">
                  <c:v>6.3719999999999999</c:v>
                </c:pt>
                <c:pt idx="33">
                  <c:v>6.3310000000000004</c:v>
                </c:pt>
                <c:pt idx="34">
                  <c:v>6.33</c:v>
                </c:pt>
                <c:pt idx="35">
                  <c:v>6.3170000000000002</c:v>
                </c:pt>
                <c:pt idx="36">
                  <c:v>6.3090000000000002</c:v>
                </c:pt>
                <c:pt idx="37">
                  <c:v>6.2549999999999999</c:v>
                </c:pt>
                <c:pt idx="38">
                  <c:v>6.2229999999999999</c:v>
                </c:pt>
                <c:pt idx="39">
                  <c:v>6.1890000000000001</c:v>
                </c:pt>
                <c:pt idx="40">
                  <c:v>6.18</c:v>
                </c:pt>
                <c:pt idx="41">
                  <c:v>6.1790000000000003</c:v>
                </c:pt>
                <c:pt idx="42">
                  <c:v>6.1719999999999997</c:v>
                </c:pt>
                <c:pt idx="43">
                  <c:v>6.1660000000000004</c:v>
                </c:pt>
                <c:pt idx="44">
                  <c:v>6.1520000000000001</c:v>
                </c:pt>
                <c:pt idx="45">
                  <c:v>6.14</c:v>
                </c:pt>
                <c:pt idx="46">
                  <c:v>6.1059999999999999</c:v>
                </c:pt>
                <c:pt idx="47">
                  <c:v>6.0780000000000003</c:v>
                </c:pt>
                <c:pt idx="48">
                  <c:v>6.0609999999999999</c:v>
                </c:pt>
                <c:pt idx="49">
                  <c:v>6.0490000000000004</c:v>
                </c:pt>
                <c:pt idx="50">
                  <c:v>6.032</c:v>
                </c:pt>
                <c:pt idx="51">
                  <c:v>6.0119999999999996</c:v>
                </c:pt>
                <c:pt idx="52">
                  <c:v>5.992</c:v>
                </c:pt>
                <c:pt idx="53">
                  <c:v>5.9850000000000003</c:v>
                </c:pt>
                <c:pt idx="54">
                  <c:v>5.9720000000000004</c:v>
                </c:pt>
                <c:pt idx="55">
                  <c:v>5.94</c:v>
                </c:pt>
                <c:pt idx="56">
                  <c:v>5.9290000000000003</c:v>
                </c:pt>
                <c:pt idx="57">
                  <c:v>5.9290000000000003</c:v>
                </c:pt>
                <c:pt idx="58">
                  <c:v>5.9189999999999996</c:v>
                </c:pt>
                <c:pt idx="59">
                  <c:v>5.8819999999999997</c:v>
                </c:pt>
                <c:pt idx="60">
                  <c:v>5.88</c:v>
                </c:pt>
                <c:pt idx="61">
                  <c:v>5.8449999999999998</c:v>
                </c:pt>
                <c:pt idx="62">
                  <c:v>5.84</c:v>
                </c:pt>
                <c:pt idx="63">
                  <c:v>5.8129999999999997</c:v>
                </c:pt>
                <c:pt idx="64">
                  <c:v>5.766</c:v>
                </c:pt>
                <c:pt idx="65">
                  <c:v>5.7640000000000002</c:v>
                </c:pt>
                <c:pt idx="66">
                  <c:v>5.7439999999999998</c:v>
                </c:pt>
                <c:pt idx="67">
                  <c:v>5.7229999999999999</c:v>
                </c:pt>
                <c:pt idx="68">
                  <c:v>5.7160000000000002</c:v>
                </c:pt>
                <c:pt idx="69">
                  <c:v>5.6769999999999996</c:v>
                </c:pt>
                <c:pt idx="70">
                  <c:v>5.6529999999999996</c:v>
                </c:pt>
                <c:pt idx="71">
                  <c:v>5.5810000000000004</c:v>
                </c:pt>
                <c:pt idx="72">
                  <c:v>5.5449999999999999</c:v>
                </c:pt>
                <c:pt idx="73">
                  <c:v>5.5359999999999996</c:v>
                </c:pt>
                <c:pt idx="74">
                  <c:v>5.5339999999999998</c:v>
                </c:pt>
                <c:pt idx="75">
                  <c:v>5.4770000000000003</c:v>
                </c:pt>
                <c:pt idx="76">
                  <c:v>5.4770000000000003</c:v>
                </c:pt>
                <c:pt idx="77">
                  <c:v>5.4660000000000002</c:v>
                </c:pt>
                <c:pt idx="78">
                  <c:v>5.4109999999999996</c:v>
                </c:pt>
                <c:pt idx="79">
                  <c:v>5.41</c:v>
                </c:pt>
                <c:pt idx="80">
                  <c:v>5.3840000000000003</c:v>
                </c:pt>
                <c:pt idx="81">
                  <c:v>5.3449999999999998</c:v>
                </c:pt>
                <c:pt idx="82">
                  <c:v>5.3419999999999996</c:v>
                </c:pt>
                <c:pt idx="83">
                  <c:v>5.3390000000000004</c:v>
                </c:pt>
                <c:pt idx="84">
                  <c:v>5.306</c:v>
                </c:pt>
                <c:pt idx="85">
                  <c:v>5.2830000000000004</c:v>
                </c:pt>
                <c:pt idx="86">
                  <c:v>5.2690000000000001</c:v>
                </c:pt>
                <c:pt idx="87">
                  <c:v>5.266</c:v>
                </c:pt>
                <c:pt idx="88">
                  <c:v>5.1980000000000004</c:v>
                </c:pt>
                <c:pt idx="89">
                  <c:v>5.1710000000000003</c:v>
                </c:pt>
                <c:pt idx="90">
                  <c:v>5.1420000000000003</c:v>
                </c:pt>
                <c:pt idx="91">
                  <c:v>5.1319999999999997</c:v>
                </c:pt>
                <c:pt idx="92">
                  <c:v>5.117</c:v>
                </c:pt>
                <c:pt idx="93">
                  <c:v>5.101</c:v>
                </c:pt>
                <c:pt idx="94">
                  <c:v>5.0880000000000001</c:v>
                </c:pt>
                <c:pt idx="95">
                  <c:v>5.0739999999999998</c:v>
                </c:pt>
                <c:pt idx="96">
                  <c:v>5.0659999999999998</c:v>
                </c:pt>
                <c:pt idx="97">
                  <c:v>5.0510000000000002</c:v>
                </c:pt>
                <c:pt idx="98">
                  <c:v>5.0449999999999999</c:v>
                </c:pt>
                <c:pt idx="99">
                  <c:v>5.03</c:v>
                </c:pt>
                <c:pt idx="100">
                  <c:v>5.0250000000000004</c:v>
                </c:pt>
                <c:pt idx="101">
                  <c:v>4.984</c:v>
                </c:pt>
                <c:pt idx="102">
                  <c:v>4.9560000000000004</c:v>
                </c:pt>
                <c:pt idx="103">
                  <c:v>4.9480000000000004</c:v>
                </c:pt>
                <c:pt idx="104">
                  <c:v>4.9340000000000002</c:v>
                </c:pt>
                <c:pt idx="105">
                  <c:v>4.9180000000000001</c:v>
                </c:pt>
                <c:pt idx="106">
                  <c:v>4.8920000000000003</c:v>
                </c:pt>
                <c:pt idx="107">
                  <c:v>4.891</c:v>
                </c:pt>
                <c:pt idx="108">
                  <c:v>4.8869999999999996</c:v>
                </c:pt>
                <c:pt idx="109">
                  <c:v>4.875</c:v>
                </c:pt>
                <c:pt idx="110">
                  <c:v>4.8540000000000001</c:v>
                </c:pt>
                <c:pt idx="111">
                  <c:v>4.8520000000000003</c:v>
                </c:pt>
                <c:pt idx="112">
                  <c:v>4.8339999999999996</c:v>
                </c:pt>
                <c:pt idx="113">
                  <c:v>4.83</c:v>
                </c:pt>
                <c:pt idx="114">
                  <c:v>4.7939999999999996</c:v>
                </c:pt>
                <c:pt idx="115">
                  <c:v>4.7590000000000003</c:v>
                </c:pt>
                <c:pt idx="116">
                  <c:v>4.7229999999999999</c:v>
                </c:pt>
                <c:pt idx="117">
                  <c:v>4.7210000000000001</c:v>
                </c:pt>
                <c:pt idx="118">
                  <c:v>4.6360000000000001</c:v>
                </c:pt>
                <c:pt idx="119">
                  <c:v>4.625</c:v>
                </c:pt>
                <c:pt idx="120">
                  <c:v>4.6070000000000002</c:v>
                </c:pt>
                <c:pt idx="121">
                  <c:v>4.5960000000000001</c:v>
                </c:pt>
                <c:pt idx="122">
                  <c:v>4.5839999999999996</c:v>
                </c:pt>
                <c:pt idx="123">
                  <c:v>4.5739999999999998</c:v>
                </c:pt>
                <c:pt idx="124">
                  <c:v>4.5170000000000003</c:v>
                </c:pt>
                <c:pt idx="125">
                  <c:v>4.4260000000000002</c:v>
                </c:pt>
                <c:pt idx="126">
                  <c:v>4.3949999999999996</c:v>
                </c:pt>
                <c:pt idx="127">
                  <c:v>4.3550000000000004</c:v>
                </c:pt>
                <c:pt idx="128">
                  <c:v>4.3250000000000002</c:v>
                </c:pt>
                <c:pt idx="129">
                  <c:v>4.3079999999999998</c:v>
                </c:pt>
                <c:pt idx="130">
                  <c:v>4.2889999999999997</c:v>
                </c:pt>
                <c:pt idx="131">
                  <c:v>4.2830000000000004</c:v>
                </c:pt>
                <c:pt idx="132">
                  <c:v>4.2750000000000004</c:v>
                </c:pt>
                <c:pt idx="133">
                  <c:v>4.2270000000000003</c:v>
                </c:pt>
                <c:pt idx="134">
                  <c:v>4.2080000000000002</c:v>
                </c:pt>
                <c:pt idx="135">
                  <c:v>4.1070000000000002</c:v>
                </c:pt>
                <c:pt idx="136">
                  <c:v>4.0730000000000004</c:v>
                </c:pt>
                <c:pt idx="137">
                  <c:v>3.8490000000000002</c:v>
                </c:pt>
                <c:pt idx="138">
                  <c:v>3.819</c:v>
                </c:pt>
                <c:pt idx="139">
                  <c:v>3.7749999999999999</c:v>
                </c:pt>
                <c:pt idx="140">
                  <c:v>3.6579999999999999</c:v>
                </c:pt>
                <c:pt idx="141">
                  <c:v>3.6230000000000002</c:v>
                </c:pt>
                <c:pt idx="142">
                  <c:v>3.6150000000000002</c:v>
                </c:pt>
                <c:pt idx="143">
                  <c:v>3.6</c:v>
                </c:pt>
                <c:pt idx="144">
                  <c:v>3.512</c:v>
                </c:pt>
                <c:pt idx="145">
                  <c:v>3.4670000000000001</c:v>
                </c:pt>
                <c:pt idx="146">
                  <c:v>3.415</c:v>
                </c:pt>
                <c:pt idx="147">
                  <c:v>3.145</c:v>
                </c:pt>
                <c:pt idx="148">
                  <c:v>2.5230000000000001</c:v>
                </c:pt>
              </c:numCache>
            </c:numRef>
          </c:xVal>
          <c:yVal>
            <c:numRef>
              <c:f>Sheet5!$F$2:$F$150</c:f>
              <c:numCache>
                <c:formatCode>General</c:formatCode>
                <c:ptCount val="149"/>
                <c:pt idx="0">
                  <c:v>72</c:v>
                </c:pt>
                <c:pt idx="1">
                  <c:v>72.7</c:v>
                </c:pt>
                <c:pt idx="2">
                  <c:v>74.400000000000006</c:v>
                </c:pt>
                <c:pt idx="3">
                  <c:v>73</c:v>
                </c:pt>
                <c:pt idx="4">
                  <c:v>72.400000000000006</c:v>
                </c:pt>
                <c:pt idx="5">
                  <c:v>73.3</c:v>
                </c:pt>
                <c:pt idx="6">
                  <c:v>72.7</c:v>
                </c:pt>
                <c:pt idx="7">
                  <c:v>72.599999999999994</c:v>
                </c:pt>
                <c:pt idx="8">
                  <c:v>73.400000000000006</c:v>
                </c:pt>
                <c:pt idx="9">
                  <c:v>73.3</c:v>
                </c:pt>
                <c:pt idx="10">
                  <c:v>73.900000000000006</c:v>
                </c:pt>
                <c:pt idx="11">
                  <c:v>73.503</c:v>
                </c:pt>
                <c:pt idx="12">
                  <c:v>72.5</c:v>
                </c:pt>
                <c:pt idx="13">
                  <c:v>73.8</c:v>
                </c:pt>
                <c:pt idx="14">
                  <c:v>72.400000000000006</c:v>
                </c:pt>
                <c:pt idx="15">
                  <c:v>71.400000000000006</c:v>
                </c:pt>
                <c:pt idx="16">
                  <c:v>72.5</c:v>
                </c:pt>
                <c:pt idx="17">
                  <c:v>70.807000000000002</c:v>
                </c:pt>
                <c:pt idx="18">
                  <c:v>68.2</c:v>
                </c:pt>
                <c:pt idx="19">
                  <c:v>72.198999999999998</c:v>
                </c:pt>
                <c:pt idx="20">
                  <c:v>74</c:v>
                </c:pt>
                <c:pt idx="21">
                  <c:v>69.495000000000005</c:v>
                </c:pt>
                <c:pt idx="22">
                  <c:v>72.2</c:v>
                </c:pt>
                <c:pt idx="23">
                  <c:v>69.599999999999994</c:v>
                </c:pt>
                <c:pt idx="24">
                  <c:v>67.332999999999998</c:v>
                </c:pt>
                <c:pt idx="25">
                  <c:v>66.602999999999994</c:v>
                </c:pt>
                <c:pt idx="26">
                  <c:v>74.7</c:v>
                </c:pt>
                <c:pt idx="27">
                  <c:v>73.8</c:v>
                </c:pt>
                <c:pt idx="28">
                  <c:v>71.400000000000006</c:v>
                </c:pt>
                <c:pt idx="29">
                  <c:v>64.957999999999998</c:v>
                </c:pt>
                <c:pt idx="30">
                  <c:v>69.099999999999994</c:v>
                </c:pt>
                <c:pt idx="31">
                  <c:v>76.953000000000003</c:v>
                </c:pt>
                <c:pt idx="32">
                  <c:v>63.813000000000002</c:v>
                </c:pt>
                <c:pt idx="33">
                  <c:v>69.200999999999993</c:v>
                </c:pt>
                <c:pt idx="34">
                  <c:v>66.600999999999999</c:v>
                </c:pt>
                <c:pt idx="35">
                  <c:v>68.596999999999994</c:v>
                </c:pt>
                <c:pt idx="36">
                  <c:v>67.5</c:v>
                </c:pt>
                <c:pt idx="37">
                  <c:v>67.906000000000006</c:v>
                </c:pt>
                <c:pt idx="38">
                  <c:v>73.897999999999996</c:v>
                </c:pt>
                <c:pt idx="39">
                  <c:v>68.8</c:v>
                </c:pt>
                <c:pt idx="40">
                  <c:v>69.652000000000001</c:v>
                </c:pt>
                <c:pt idx="41">
                  <c:v>65.254999999999995</c:v>
                </c:pt>
                <c:pt idx="42">
                  <c:v>70</c:v>
                </c:pt>
                <c:pt idx="43">
                  <c:v>69.701999999999998</c:v>
                </c:pt>
                <c:pt idx="44">
                  <c:v>65.2</c:v>
                </c:pt>
                <c:pt idx="45">
                  <c:v>67.355000000000004</c:v>
                </c:pt>
                <c:pt idx="46">
                  <c:v>66.900000000000006</c:v>
                </c:pt>
                <c:pt idx="47">
                  <c:v>68.599999999999994</c:v>
                </c:pt>
                <c:pt idx="48">
                  <c:v>66.402000000000001</c:v>
                </c:pt>
                <c:pt idx="49">
                  <c:v>66.700999999999993</c:v>
                </c:pt>
                <c:pt idx="50">
                  <c:v>67.099999999999994</c:v>
                </c:pt>
                <c:pt idx="51">
                  <c:v>68.001000000000005</c:v>
                </c:pt>
                <c:pt idx="52">
                  <c:v>68</c:v>
                </c:pt>
                <c:pt idx="53">
                  <c:v>67.400999999999996</c:v>
                </c:pt>
                <c:pt idx="54">
                  <c:v>67.656999999999996</c:v>
                </c:pt>
                <c:pt idx="55">
                  <c:v>75.099999999999994</c:v>
                </c:pt>
                <c:pt idx="56">
                  <c:v>69</c:v>
                </c:pt>
                <c:pt idx="57">
                  <c:v>72.599999999999994</c:v>
                </c:pt>
                <c:pt idx="58">
                  <c:v>67.3</c:v>
                </c:pt>
                <c:pt idx="59">
                  <c:v>70.799000000000007</c:v>
                </c:pt>
                <c:pt idx="60">
                  <c:v>62</c:v>
                </c:pt>
                <c:pt idx="61">
                  <c:v>73.900000000000006</c:v>
                </c:pt>
                <c:pt idx="62">
                  <c:v>68.25</c:v>
                </c:pt>
                <c:pt idx="63">
                  <c:v>68.097999999999999</c:v>
                </c:pt>
                <c:pt idx="64">
                  <c:v>65.698999999999998</c:v>
                </c:pt>
                <c:pt idx="65">
                  <c:v>68.8</c:v>
                </c:pt>
                <c:pt idx="66">
                  <c:v>64.400999999999996</c:v>
                </c:pt>
                <c:pt idx="67">
                  <c:v>72.599999999999994</c:v>
                </c:pt>
                <c:pt idx="68">
                  <c:v>63.901000000000003</c:v>
                </c:pt>
                <c:pt idx="69">
                  <c:v>62.5</c:v>
                </c:pt>
                <c:pt idx="70">
                  <c:v>65.900000000000006</c:v>
                </c:pt>
                <c:pt idx="71">
                  <c:v>68.698999999999998</c:v>
                </c:pt>
                <c:pt idx="72">
                  <c:v>66.102000000000004</c:v>
                </c:pt>
                <c:pt idx="73">
                  <c:v>73.897999999999996</c:v>
                </c:pt>
                <c:pt idx="74">
                  <c:v>66.253</c:v>
                </c:pt>
                <c:pt idx="75">
                  <c:v>64.703000000000003</c:v>
                </c:pt>
                <c:pt idx="76">
                  <c:v>76.819999999999993</c:v>
                </c:pt>
                <c:pt idx="77">
                  <c:v>64.281000000000006</c:v>
                </c:pt>
                <c:pt idx="78">
                  <c:v>68.034000000000006</c:v>
                </c:pt>
                <c:pt idx="79">
                  <c:v>62.3</c:v>
                </c:pt>
                <c:pt idx="80">
                  <c:v>67.102000000000004</c:v>
                </c:pt>
                <c:pt idx="81">
                  <c:v>62.235999999999997</c:v>
                </c:pt>
                <c:pt idx="82">
                  <c:v>58.220999999999997</c:v>
                </c:pt>
                <c:pt idx="83">
                  <c:v>69.593000000000004</c:v>
                </c:pt>
                <c:pt idx="84">
                  <c:v>50.113999999999997</c:v>
                </c:pt>
                <c:pt idx="85">
                  <c:v>67.055000000000007</c:v>
                </c:pt>
                <c:pt idx="86">
                  <c:v>64.233000000000004</c:v>
                </c:pt>
                <c:pt idx="87">
                  <c:v>67</c:v>
                </c:pt>
                <c:pt idx="88">
                  <c:v>70.599999999999994</c:v>
                </c:pt>
                <c:pt idx="89">
                  <c:v>65.656000000000006</c:v>
                </c:pt>
                <c:pt idx="90">
                  <c:v>53.515000000000001</c:v>
                </c:pt>
                <c:pt idx="91">
                  <c:v>59.802</c:v>
                </c:pt>
                <c:pt idx="92">
                  <c:v>68.998999999999995</c:v>
                </c:pt>
                <c:pt idx="93">
                  <c:v>65.474000000000004</c:v>
                </c:pt>
                <c:pt idx="94">
                  <c:v>57.585999999999999</c:v>
                </c:pt>
                <c:pt idx="95">
                  <c:v>53.78</c:v>
                </c:pt>
                <c:pt idx="96">
                  <c:v>62.408999999999999</c:v>
                </c:pt>
                <c:pt idx="97">
                  <c:v>55.16</c:v>
                </c:pt>
                <c:pt idx="98">
                  <c:v>54.713000000000001</c:v>
                </c:pt>
                <c:pt idx="99">
                  <c:v>58.968000000000004</c:v>
                </c:pt>
                <c:pt idx="100">
                  <c:v>64.8</c:v>
                </c:pt>
                <c:pt idx="101">
                  <c:v>55.008000000000003</c:v>
                </c:pt>
                <c:pt idx="102">
                  <c:v>56.904000000000003</c:v>
                </c:pt>
                <c:pt idx="103">
                  <c:v>67.198999999999998</c:v>
                </c:pt>
                <c:pt idx="104">
                  <c:v>58.709000000000003</c:v>
                </c:pt>
                <c:pt idx="105">
                  <c:v>66.207999999999998</c:v>
                </c:pt>
                <c:pt idx="106">
                  <c:v>66.7</c:v>
                </c:pt>
                <c:pt idx="107">
                  <c:v>64.3</c:v>
                </c:pt>
                <c:pt idx="108">
                  <c:v>66.004999999999995</c:v>
                </c:pt>
                <c:pt idx="109">
                  <c:v>64.902000000000001</c:v>
                </c:pt>
                <c:pt idx="110">
                  <c:v>60.582999999999998</c:v>
                </c:pt>
                <c:pt idx="111">
                  <c:v>59.962000000000003</c:v>
                </c:pt>
                <c:pt idx="112">
                  <c:v>54.151000000000003</c:v>
                </c:pt>
                <c:pt idx="113">
                  <c:v>62</c:v>
                </c:pt>
                <c:pt idx="114">
                  <c:v>54.706000000000003</c:v>
                </c:pt>
                <c:pt idx="115">
                  <c:v>50.101999999999997</c:v>
                </c:pt>
                <c:pt idx="116">
                  <c:v>51.969000000000001</c:v>
                </c:pt>
                <c:pt idx="117">
                  <c:v>66.3</c:v>
                </c:pt>
                <c:pt idx="118">
                  <c:v>56.100999999999999</c:v>
                </c:pt>
                <c:pt idx="119">
                  <c:v>56.497999999999998</c:v>
                </c:pt>
                <c:pt idx="120">
                  <c:v>60.704000000000001</c:v>
                </c:pt>
                <c:pt idx="121">
                  <c:v>67.200999999999993</c:v>
                </c:pt>
                <c:pt idx="122">
                  <c:v>67.355000000000004</c:v>
                </c:pt>
                <c:pt idx="123">
                  <c:v>56.798999999999999</c:v>
                </c:pt>
                <c:pt idx="124">
                  <c:v>62.25</c:v>
                </c:pt>
                <c:pt idx="125">
                  <c:v>59.302</c:v>
                </c:pt>
                <c:pt idx="126">
                  <c:v>67</c:v>
                </c:pt>
                <c:pt idx="127">
                  <c:v>48.478000000000002</c:v>
                </c:pt>
                <c:pt idx="128">
                  <c:v>67.299000000000007</c:v>
                </c:pt>
                <c:pt idx="129">
                  <c:v>50.832999999999998</c:v>
                </c:pt>
                <c:pt idx="130">
                  <c:v>57.348999999999997</c:v>
                </c:pt>
                <c:pt idx="131">
                  <c:v>61.997999999999998</c:v>
                </c:pt>
                <c:pt idx="132">
                  <c:v>59</c:v>
                </c:pt>
                <c:pt idx="133">
                  <c:v>57.161000000000001</c:v>
                </c:pt>
                <c:pt idx="134">
                  <c:v>59.305</c:v>
                </c:pt>
                <c:pt idx="135">
                  <c:v>54.914000000000001</c:v>
                </c:pt>
                <c:pt idx="136">
                  <c:v>55.808999999999997</c:v>
                </c:pt>
                <c:pt idx="137">
                  <c:v>51.651000000000003</c:v>
                </c:pt>
                <c:pt idx="138">
                  <c:v>60.633000000000003</c:v>
                </c:pt>
                <c:pt idx="139">
                  <c:v>53.4</c:v>
                </c:pt>
                <c:pt idx="140">
                  <c:v>57.122</c:v>
                </c:pt>
                <c:pt idx="141">
                  <c:v>57.999000000000002</c:v>
                </c:pt>
                <c:pt idx="142">
                  <c:v>55.7</c:v>
                </c:pt>
                <c:pt idx="143">
                  <c:v>57.948</c:v>
                </c:pt>
                <c:pt idx="144">
                  <c:v>48.7</c:v>
                </c:pt>
                <c:pt idx="145">
                  <c:v>59.268999999999998</c:v>
                </c:pt>
                <c:pt idx="146">
                  <c:v>61.4</c:v>
                </c:pt>
                <c:pt idx="147">
                  <c:v>56.201000000000001</c:v>
                </c:pt>
                <c:pt idx="148">
                  <c:v>52.493000000000002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4B02-467D-B5A3-CD2247886468}"/>
            </c:ext>
          </c:extLst>
        </c:ser>
        <c:ser>
          <c:idx val="3"/>
          <c:order val="3"/>
          <c:tx>
            <c:strRef>
              <c:f>Sheet5!$G$1</c:f>
              <c:strCache>
                <c:ptCount val="1"/>
                <c:pt idx="0">
                  <c:v>Freedom to make life choices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Sheet5!$C$2:$C$150</c:f>
              <c:numCache>
                <c:formatCode>General</c:formatCode>
                <c:ptCount val="149"/>
                <c:pt idx="0">
                  <c:v>7.8419999999999996</c:v>
                </c:pt>
                <c:pt idx="1">
                  <c:v>7.62</c:v>
                </c:pt>
                <c:pt idx="2">
                  <c:v>7.5709999999999997</c:v>
                </c:pt>
                <c:pt idx="3">
                  <c:v>7.5540000000000003</c:v>
                </c:pt>
                <c:pt idx="4">
                  <c:v>7.4640000000000004</c:v>
                </c:pt>
                <c:pt idx="5">
                  <c:v>7.3920000000000003</c:v>
                </c:pt>
                <c:pt idx="6">
                  <c:v>7.3630000000000004</c:v>
                </c:pt>
                <c:pt idx="7">
                  <c:v>7.3239999999999998</c:v>
                </c:pt>
                <c:pt idx="8">
                  <c:v>7.2770000000000001</c:v>
                </c:pt>
                <c:pt idx="9">
                  <c:v>7.2679999999999998</c:v>
                </c:pt>
                <c:pt idx="10">
                  <c:v>7.1829999999999998</c:v>
                </c:pt>
                <c:pt idx="11">
                  <c:v>7.157</c:v>
                </c:pt>
                <c:pt idx="12">
                  <c:v>7.1550000000000002</c:v>
                </c:pt>
                <c:pt idx="13">
                  <c:v>7.1029999999999998</c:v>
                </c:pt>
                <c:pt idx="14">
                  <c:v>7.085</c:v>
                </c:pt>
                <c:pt idx="15">
                  <c:v>7.069</c:v>
                </c:pt>
                <c:pt idx="16">
                  <c:v>7.0640000000000001</c:v>
                </c:pt>
                <c:pt idx="17">
                  <c:v>6.9649999999999999</c:v>
                </c:pt>
                <c:pt idx="18">
                  <c:v>6.9509999999999996</c:v>
                </c:pt>
                <c:pt idx="19">
                  <c:v>6.8339999999999996</c:v>
                </c:pt>
                <c:pt idx="20">
                  <c:v>6.69</c:v>
                </c:pt>
                <c:pt idx="21">
                  <c:v>6.6470000000000002</c:v>
                </c:pt>
                <c:pt idx="22">
                  <c:v>6.6020000000000003</c:v>
                </c:pt>
                <c:pt idx="23">
                  <c:v>6.5839999999999996</c:v>
                </c:pt>
                <c:pt idx="24">
                  <c:v>6.5609999999999999</c:v>
                </c:pt>
                <c:pt idx="25">
                  <c:v>6.4939999999999998</c:v>
                </c:pt>
                <c:pt idx="26">
                  <c:v>6.4909999999999997</c:v>
                </c:pt>
                <c:pt idx="27">
                  <c:v>6.4829999999999997</c:v>
                </c:pt>
                <c:pt idx="28">
                  <c:v>6.4610000000000003</c:v>
                </c:pt>
                <c:pt idx="29">
                  <c:v>6.4349999999999996</c:v>
                </c:pt>
                <c:pt idx="30">
                  <c:v>6.431</c:v>
                </c:pt>
                <c:pt idx="31">
                  <c:v>6.3769999999999998</c:v>
                </c:pt>
                <c:pt idx="32">
                  <c:v>6.3719999999999999</c:v>
                </c:pt>
                <c:pt idx="33">
                  <c:v>6.3310000000000004</c:v>
                </c:pt>
                <c:pt idx="34">
                  <c:v>6.33</c:v>
                </c:pt>
                <c:pt idx="35">
                  <c:v>6.3170000000000002</c:v>
                </c:pt>
                <c:pt idx="36">
                  <c:v>6.3090000000000002</c:v>
                </c:pt>
                <c:pt idx="37">
                  <c:v>6.2549999999999999</c:v>
                </c:pt>
                <c:pt idx="38">
                  <c:v>6.2229999999999999</c:v>
                </c:pt>
                <c:pt idx="39">
                  <c:v>6.1890000000000001</c:v>
                </c:pt>
                <c:pt idx="40">
                  <c:v>6.18</c:v>
                </c:pt>
                <c:pt idx="41">
                  <c:v>6.1790000000000003</c:v>
                </c:pt>
                <c:pt idx="42">
                  <c:v>6.1719999999999997</c:v>
                </c:pt>
                <c:pt idx="43">
                  <c:v>6.1660000000000004</c:v>
                </c:pt>
                <c:pt idx="44">
                  <c:v>6.1520000000000001</c:v>
                </c:pt>
                <c:pt idx="45">
                  <c:v>6.14</c:v>
                </c:pt>
                <c:pt idx="46">
                  <c:v>6.1059999999999999</c:v>
                </c:pt>
                <c:pt idx="47">
                  <c:v>6.0780000000000003</c:v>
                </c:pt>
                <c:pt idx="48">
                  <c:v>6.0609999999999999</c:v>
                </c:pt>
                <c:pt idx="49">
                  <c:v>6.0490000000000004</c:v>
                </c:pt>
                <c:pt idx="50">
                  <c:v>6.032</c:v>
                </c:pt>
                <c:pt idx="51">
                  <c:v>6.0119999999999996</c:v>
                </c:pt>
                <c:pt idx="52">
                  <c:v>5.992</c:v>
                </c:pt>
                <c:pt idx="53">
                  <c:v>5.9850000000000003</c:v>
                </c:pt>
                <c:pt idx="54">
                  <c:v>5.9720000000000004</c:v>
                </c:pt>
                <c:pt idx="55">
                  <c:v>5.94</c:v>
                </c:pt>
                <c:pt idx="56">
                  <c:v>5.9290000000000003</c:v>
                </c:pt>
                <c:pt idx="57">
                  <c:v>5.9290000000000003</c:v>
                </c:pt>
                <c:pt idx="58">
                  <c:v>5.9189999999999996</c:v>
                </c:pt>
                <c:pt idx="59">
                  <c:v>5.8819999999999997</c:v>
                </c:pt>
                <c:pt idx="60">
                  <c:v>5.88</c:v>
                </c:pt>
                <c:pt idx="61">
                  <c:v>5.8449999999999998</c:v>
                </c:pt>
                <c:pt idx="62">
                  <c:v>5.84</c:v>
                </c:pt>
                <c:pt idx="63">
                  <c:v>5.8129999999999997</c:v>
                </c:pt>
                <c:pt idx="64">
                  <c:v>5.766</c:v>
                </c:pt>
                <c:pt idx="65">
                  <c:v>5.7640000000000002</c:v>
                </c:pt>
                <c:pt idx="66">
                  <c:v>5.7439999999999998</c:v>
                </c:pt>
                <c:pt idx="67">
                  <c:v>5.7229999999999999</c:v>
                </c:pt>
                <c:pt idx="68">
                  <c:v>5.7160000000000002</c:v>
                </c:pt>
                <c:pt idx="69">
                  <c:v>5.6769999999999996</c:v>
                </c:pt>
                <c:pt idx="70">
                  <c:v>5.6529999999999996</c:v>
                </c:pt>
                <c:pt idx="71">
                  <c:v>5.5810000000000004</c:v>
                </c:pt>
                <c:pt idx="72">
                  <c:v>5.5449999999999999</c:v>
                </c:pt>
                <c:pt idx="73">
                  <c:v>5.5359999999999996</c:v>
                </c:pt>
                <c:pt idx="74">
                  <c:v>5.5339999999999998</c:v>
                </c:pt>
                <c:pt idx="75">
                  <c:v>5.4770000000000003</c:v>
                </c:pt>
                <c:pt idx="76">
                  <c:v>5.4770000000000003</c:v>
                </c:pt>
                <c:pt idx="77">
                  <c:v>5.4660000000000002</c:v>
                </c:pt>
                <c:pt idx="78">
                  <c:v>5.4109999999999996</c:v>
                </c:pt>
                <c:pt idx="79">
                  <c:v>5.41</c:v>
                </c:pt>
                <c:pt idx="80">
                  <c:v>5.3840000000000003</c:v>
                </c:pt>
                <c:pt idx="81">
                  <c:v>5.3449999999999998</c:v>
                </c:pt>
                <c:pt idx="82">
                  <c:v>5.3419999999999996</c:v>
                </c:pt>
                <c:pt idx="83">
                  <c:v>5.3390000000000004</c:v>
                </c:pt>
                <c:pt idx="84">
                  <c:v>5.306</c:v>
                </c:pt>
                <c:pt idx="85">
                  <c:v>5.2830000000000004</c:v>
                </c:pt>
                <c:pt idx="86">
                  <c:v>5.2690000000000001</c:v>
                </c:pt>
                <c:pt idx="87">
                  <c:v>5.266</c:v>
                </c:pt>
                <c:pt idx="88">
                  <c:v>5.1980000000000004</c:v>
                </c:pt>
                <c:pt idx="89">
                  <c:v>5.1710000000000003</c:v>
                </c:pt>
                <c:pt idx="90">
                  <c:v>5.1420000000000003</c:v>
                </c:pt>
                <c:pt idx="91">
                  <c:v>5.1319999999999997</c:v>
                </c:pt>
                <c:pt idx="92">
                  <c:v>5.117</c:v>
                </c:pt>
                <c:pt idx="93">
                  <c:v>5.101</c:v>
                </c:pt>
                <c:pt idx="94">
                  <c:v>5.0880000000000001</c:v>
                </c:pt>
                <c:pt idx="95">
                  <c:v>5.0739999999999998</c:v>
                </c:pt>
                <c:pt idx="96">
                  <c:v>5.0659999999999998</c:v>
                </c:pt>
                <c:pt idx="97">
                  <c:v>5.0510000000000002</c:v>
                </c:pt>
                <c:pt idx="98">
                  <c:v>5.0449999999999999</c:v>
                </c:pt>
                <c:pt idx="99">
                  <c:v>5.03</c:v>
                </c:pt>
                <c:pt idx="100">
                  <c:v>5.0250000000000004</c:v>
                </c:pt>
                <c:pt idx="101">
                  <c:v>4.984</c:v>
                </c:pt>
                <c:pt idx="102">
                  <c:v>4.9560000000000004</c:v>
                </c:pt>
                <c:pt idx="103">
                  <c:v>4.9480000000000004</c:v>
                </c:pt>
                <c:pt idx="104">
                  <c:v>4.9340000000000002</c:v>
                </c:pt>
                <c:pt idx="105">
                  <c:v>4.9180000000000001</c:v>
                </c:pt>
                <c:pt idx="106">
                  <c:v>4.8920000000000003</c:v>
                </c:pt>
                <c:pt idx="107">
                  <c:v>4.891</c:v>
                </c:pt>
                <c:pt idx="108">
                  <c:v>4.8869999999999996</c:v>
                </c:pt>
                <c:pt idx="109">
                  <c:v>4.875</c:v>
                </c:pt>
                <c:pt idx="110">
                  <c:v>4.8540000000000001</c:v>
                </c:pt>
                <c:pt idx="111">
                  <c:v>4.8520000000000003</c:v>
                </c:pt>
                <c:pt idx="112">
                  <c:v>4.8339999999999996</c:v>
                </c:pt>
                <c:pt idx="113">
                  <c:v>4.83</c:v>
                </c:pt>
                <c:pt idx="114">
                  <c:v>4.7939999999999996</c:v>
                </c:pt>
                <c:pt idx="115">
                  <c:v>4.7590000000000003</c:v>
                </c:pt>
                <c:pt idx="116">
                  <c:v>4.7229999999999999</c:v>
                </c:pt>
                <c:pt idx="117">
                  <c:v>4.7210000000000001</c:v>
                </c:pt>
                <c:pt idx="118">
                  <c:v>4.6360000000000001</c:v>
                </c:pt>
                <c:pt idx="119">
                  <c:v>4.625</c:v>
                </c:pt>
                <c:pt idx="120">
                  <c:v>4.6070000000000002</c:v>
                </c:pt>
                <c:pt idx="121">
                  <c:v>4.5960000000000001</c:v>
                </c:pt>
                <c:pt idx="122">
                  <c:v>4.5839999999999996</c:v>
                </c:pt>
                <c:pt idx="123">
                  <c:v>4.5739999999999998</c:v>
                </c:pt>
                <c:pt idx="124">
                  <c:v>4.5170000000000003</c:v>
                </c:pt>
                <c:pt idx="125">
                  <c:v>4.4260000000000002</c:v>
                </c:pt>
                <c:pt idx="126">
                  <c:v>4.3949999999999996</c:v>
                </c:pt>
                <c:pt idx="127">
                  <c:v>4.3550000000000004</c:v>
                </c:pt>
                <c:pt idx="128">
                  <c:v>4.3250000000000002</c:v>
                </c:pt>
                <c:pt idx="129">
                  <c:v>4.3079999999999998</c:v>
                </c:pt>
                <c:pt idx="130">
                  <c:v>4.2889999999999997</c:v>
                </c:pt>
                <c:pt idx="131">
                  <c:v>4.2830000000000004</c:v>
                </c:pt>
                <c:pt idx="132">
                  <c:v>4.2750000000000004</c:v>
                </c:pt>
                <c:pt idx="133">
                  <c:v>4.2270000000000003</c:v>
                </c:pt>
                <c:pt idx="134">
                  <c:v>4.2080000000000002</c:v>
                </c:pt>
                <c:pt idx="135">
                  <c:v>4.1070000000000002</c:v>
                </c:pt>
                <c:pt idx="136">
                  <c:v>4.0730000000000004</c:v>
                </c:pt>
                <c:pt idx="137">
                  <c:v>3.8490000000000002</c:v>
                </c:pt>
                <c:pt idx="138">
                  <c:v>3.819</c:v>
                </c:pt>
                <c:pt idx="139">
                  <c:v>3.7749999999999999</c:v>
                </c:pt>
                <c:pt idx="140">
                  <c:v>3.6579999999999999</c:v>
                </c:pt>
                <c:pt idx="141">
                  <c:v>3.6230000000000002</c:v>
                </c:pt>
                <c:pt idx="142">
                  <c:v>3.6150000000000002</c:v>
                </c:pt>
                <c:pt idx="143">
                  <c:v>3.6</c:v>
                </c:pt>
                <c:pt idx="144">
                  <c:v>3.512</c:v>
                </c:pt>
                <c:pt idx="145">
                  <c:v>3.4670000000000001</c:v>
                </c:pt>
                <c:pt idx="146">
                  <c:v>3.415</c:v>
                </c:pt>
                <c:pt idx="147">
                  <c:v>3.145</c:v>
                </c:pt>
                <c:pt idx="148">
                  <c:v>2.5230000000000001</c:v>
                </c:pt>
              </c:numCache>
            </c:numRef>
          </c:xVal>
          <c:yVal>
            <c:numRef>
              <c:f>Sheet5!$G$2:$G$150</c:f>
              <c:numCache>
                <c:formatCode>General</c:formatCode>
                <c:ptCount val="149"/>
                <c:pt idx="0">
                  <c:v>0.94899999999999995</c:v>
                </c:pt>
                <c:pt idx="1">
                  <c:v>0.94599999999999995</c:v>
                </c:pt>
                <c:pt idx="2">
                  <c:v>0.91900000000000004</c:v>
                </c:pt>
                <c:pt idx="3">
                  <c:v>0.95499999999999996</c:v>
                </c:pt>
                <c:pt idx="4">
                  <c:v>0.91300000000000003</c:v>
                </c:pt>
                <c:pt idx="5">
                  <c:v>0.96</c:v>
                </c:pt>
                <c:pt idx="6">
                  <c:v>0.94499999999999995</c:v>
                </c:pt>
                <c:pt idx="7">
                  <c:v>0.90700000000000003</c:v>
                </c:pt>
                <c:pt idx="8">
                  <c:v>0.92900000000000005</c:v>
                </c:pt>
                <c:pt idx="9">
                  <c:v>0.90800000000000003</c:v>
                </c:pt>
                <c:pt idx="10">
                  <c:v>0.91400000000000003</c:v>
                </c:pt>
                <c:pt idx="11">
                  <c:v>0.8</c:v>
                </c:pt>
                <c:pt idx="12">
                  <c:v>0.875</c:v>
                </c:pt>
                <c:pt idx="13">
                  <c:v>0.91500000000000004</c:v>
                </c:pt>
                <c:pt idx="14">
                  <c:v>0.879</c:v>
                </c:pt>
                <c:pt idx="15">
                  <c:v>0.93400000000000005</c:v>
                </c:pt>
                <c:pt idx="16">
                  <c:v>0.85899999999999999</c:v>
                </c:pt>
                <c:pt idx="17">
                  <c:v>0.85799999999999998</c:v>
                </c:pt>
                <c:pt idx="18">
                  <c:v>0.83699999999999997</c:v>
                </c:pt>
                <c:pt idx="19">
                  <c:v>0.78300000000000003</c:v>
                </c:pt>
                <c:pt idx="20">
                  <c:v>0.82199999999999995</c:v>
                </c:pt>
                <c:pt idx="21">
                  <c:v>0.92500000000000004</c:v>
                </c:pt>
                <c:pt idx="22">
                  <c:v>0.92700000000000005</c:v>
                </c:pt>
                <c:pt idx="23">
                  <c:v>0.78400000000000003</c:v>
                </c:pt>
                <c:pt idx="24">
                  <c:v>0.93200000000000005</c:v>
                </c:pt>
                <c:pt idx="25">
                  <c:v>0.877</c:v>
                </c:pt>
                <c:pt idx="26">
                  <c:v>0.76100000000000001</c:v>
                </c:pt>
                <c:pt idx="27">
                  <c:v>0.69299999999999995</c:v>
                </c:pt>
                <c:pt idx="28">
                  <c:v>0.94899999999999995</c:v>
                </c:pt>
                <c:pt idx="29">
                  <c:v>0.90600000000000003</c:v>
                </c:pt>
                <c:pt idx="30">
                  <c:v>0.89600000000000002</c:v>
                </c:pt>
                <c:pt idx="31">
                  <c:v>0.92700000000000005</c:v>
                </c:pt>
                <c:pt idx="32">
                  <c:v>0.86899999999999999</c:v>
                </c:pt>
                <c:pt idx="33">
                  <c:v>0.76600000000000001</c:v>
                </c:pt>
                <c:pt idx="34">
                  <c:v>0.80400000000000005</c:v>
                </c:pt>
                <c:pt idx="35">
                  <c:v>0.86199999999999999</c:v>
                </c:pt>
                <c:pt idx="36">
                  <c:v>0.89</c:v>
                </c:pt>
                <c:pt idx="37">
                  <c:v>0.77300000000000002</c:v>
                </c:pt>
                <c:pt idx="38">
                  <c:v>0.76300000000000001</c:v>
                </c:pt>
                <c:pt idx="39">
                  <c:v>0.90900000000000003</c:v>
                </c:pt>
                <c:pt idx="40">
                  <c:v>0.872</c:v>
                </c:pt>
                <c:pt idx="41">
                  <c:v>0.97</c:v>
                </c:pt>
                <c:pt idx="42">
                  <c:v>0.74199999999999999</c:v>
                </c:pt>
                <c:pt idx="43">
                  <c:v>0.84099999999999997</c:v>
                </c:pt>
                <c:pt idx="44">
                  <c:v>0.85299999999999998</c:v>
                </c:pt>
                <c:pt idx="45">
                  <c:v>0.84499999999999997</c:v>
                </c:pt>
                <c:pt idx="46">
                  <c:v>0.86699999999999999</c:v>
                </c:pt>
                <c:pt idx="47">
                  <c:v>0.77800000000000002</c:v>
                </c:pt>
                <c:pt idx="48">
                  <c:v>0.88800000000000001</c:v>
                </c:pt>
                <c:pt idx="49">
                  <c:v>0.86699999999999999</c:v>
                </c:pt>
                <c:pt idx="50">
                  <c:v>0.71499999999999997</c:v>
                </c:pt>
                <c:pt idx="51">
                  <c:v>0.83699999999999997</c:v>
                </c:pt>
                <c:pt idx="52">
                  <c:v>0.755</c:v>
                </c:pt>
                <c:pt idx="53">
                  <c:v>0.88400000000000001</c:v>
                </c:pt>
                <c:pt idx="54">
                  <c:v>0.83599999999999997</c:v>
                </c:pt>
                <c:pt idx="55">
                  <c:v>0.79600000000000004</c:v>
                </c:pt>
                <c:pt idx="56">
                  <c:v>0.82799999999999996</c:v>
                </c:pt>
                <c:pt idx="57">
                  <c:v>0.89200000000000002</c:v>
                </c:pt>
                <c:pt idx="58">
                  <c:v>0.85699999999999998</c:v>
                </c:pt>
                <c:pt idx="59">
                  <c:v>0.754</c:v>
                </c:pt>
                <c:pt idx="60">
                  <c:v>0.91700000000000004</c:v>
                </c:pt>
                <c:pt idx="61">
                  <c:v>0.67200000000000004</c:v>
                </c:pt>
                <c:pt idx="62">
                  <c:v>0.82199999999999995</c:v>
                </c:pt>
                <c:pt idx="63">
                  <c:v>0.70599999999999996</c:v>
                </c:pt>
                <c:pt idx="64">
                  <c:v>0.82199999999999995</c:v>
                </c:pt>
                <c:pt idx="65">
                  <c:v>0.84199999999999997</c:v>
                </c:pt>
                <c:pt idx="66">
                  <c:v>0.93500000000000005</c:v>
                </c:pt>
                <c:pt idx="67">
                  <c:v>0.58199999999999996</c:v>
                </c:pt>
                <c:pt idx="68">
                  <c:v>0.875</c:v>
                </c:pt>
                <c:pt idx="69">
                  <c:v>0.70799999999999996</c:v>
                </c:pt>
                <c:pt idx="70">
                  <c:v>0.876</c:v>
                </c:pt>
                <c:pt idx="71">
                  <c:v>0.70799999999999996</c:v>
                </c:pt>
                <c:pt idx="72">
                  <c:v>0.86</c:v>
                </c:pt>
                <c:pt idx="73">
                  <c:v>0.79500000000000004</c:v>
                </c:pt>
                <c:pt idx="74">
                  <c:v>0.65</c:v>
                </c:pt>
                <c:pt idx="75">
                  <c:v>0.71799999999999997</c:v>
                </c:pt>
                <c:pt idx="76">
                  <c:v>0.71699999999999997</c:v>
                </c:pt>
                <c:pt idx="77">
                  <c:v>0.83199999999999996</c:v>
                </c:pt>
                <c:pt idx="78">
                  <c:v>0.94</c:v>
                </c:pt>
                <c:pt idx="79">
                  <c:v>0.77100000000000002</c:v>
                </c:pt>
                <c:pt idx="80">
                  <c:v>0.89500000000000002</c:v>
                </c:pt>
                <c:pt idx="81">
                  <c:v>0.873</c:v>
                </c:pt>
                <c:pt idx="82">
                  <c:v>0.69499999999999995</c:v>
                </c:pt>
                <c:pt idx="83">
                  <c:v>0.90400000000000003</c:v>
                </c:pt>
                <c:pt idx="84">
                  <c:v>0.74099999999999999</c:v>
                </c:pt>
                <c:pt idx="85">
                  <c:v>0.82499999999999996</c:v>
                </c:pt>
                <c:pt idx="86">
                  <c:v>0.78200000000000003</c:v>
                </c:pt>
                <c:pt idx="87">
                  <c:v>0.78800000000000003</c:v>
                </c:pt>
                <c:pt idx="88">
                  <c:v>0.85399999999999998</c:v>
                </c:pt>
                <c:pt idx="89">
                  <c:v>0.81399999999999995</c:v>
                </c:pt>
                <c:pt idx="90">
                  <c:v>0.73099999999999998</c:v>
                </c:pt>
                <c:pt idx="91">
                  <c:v>0.69499999999999995</c:v>
                </c:pt>
                <c:pt idx="92">
                  <c:v>0.78500000000000003</c:v>
                </c:pt>
                <c:pt idx="93">
                  <c:v>0.751</c:v>
                </c:pt>
                <c:pt idx="94">
                  <c:v>0.80700000000000005</c:v>
                </c:pt>
                <c:pt idx="95">
                  <c:v>0.80600000000000005</c:v>
                </c:pt>
                <c:pt idx="96">
                  <c:v>0.877</c:v>
                </c:pt>
                <c:pt idx="97">
                  <c:v>0.69699999999999995</c:v>
                </c:pt>
                <c:pt idx="98">
                  <c:v>0.75700000000000001</c:v>
                </c:pt>
                <c:pt idx="99">
                  <c:v>0.91</c:v>
                </c:pt>
                <c:pt idx="100">
                  <c:v>0.877</c:v>
                </c:pt>
                <c:pt idx="101">
                  <c:v>0.69699999999999995</c:v>
                </c:pt>
                <c:pt idx="102">
                  <c:v>0.749</c:v>
                </c:pt>
                <c:pt idx="103">
                  <c:v>0.57599999999999996</c:v>
                </c:pt>
                <c:pt idx="104">
                  <c:v>0.72599999999999998</c:v>
                </c:pt>
                <c:pt idx="105">
                  <c:v>0.77400000000000002</c:v>
                </c:pt>
                <c:pt idx="106">
                  <c:v>0.61499999999999999</c:v>
                </c:pt>
                <c:pt idx="107">
                  <c:v>0.78300000000000003</c:v>
                </c:pt>
                <c:pt idx="108">
                  <c:v>0.48</c:v>
                </c:pt>
                <c:pt idx="109">
                  <c:v>0.72399999999999998</c:v>
                </c:pt>
                <c:pt idx="110">
                  <c:v>0.63</c:v>
                </c:pt>
                <c:pt idx="111">
                  <c:v>0.73099999999999998</c:v>
                </c:pt>
                <c:pt idx="112">
                  <c:v>0.69499999999999995</c:v>
                </c:pt>
                <c:pt idx="113">
                  <c:v>0.95899999999999996</c:v>
                </c:pt>
                <c:pt idx="114">
                  <c:v>0.88200000000000001</c:v>
                </c:pt>
                <c:pt idx="115">
                  <c:v>0.73699999999999999</c:v>
                </c:pt>
                <c:pt idx="116">
                  <c:v>0.69699999999999995</c:v>
                </c:pt>
                <c:pt idx="117">
                  <c:v>0.60799999999999998</c:v>
                </c:pt>
                <c:pt idx="118">
                  <c:v>0.70899999999999996</c:v>
                </c:pt>
                <c:pt idx="119">
                  <c:v>0.73499999999999999</c:v>
                </c:pt>
                <c:pt idx="120">
                  <c:v>0.77900000000000003</c:v>
                </c:pt>
                <c:pt idx="121">
                  <c:v>0.65600000000000003</c:v>
                </c:pt>
                <c:pt idx="122">
                  <c:v>0.52500000000000002</c:v>
                </c:pt>
                <c:pt idx="123">
                  <c:v>0.71899999999999997</c:v>
                </c:pt>
                <c:pt idx="124">
                  <c:v>0.65300000000000002</c:v>
                </c:pt>
                <c:pt idx="125">
                  <c:v>0.876</c:v>
                </c:pt>
                <c:pt idx="126">
                  <c:v>0.755</c:v>
                </c:pt>
                <c:pt idx="127">
                  <c:v>0.57899999999999996</c:v>
                </c:pt>
                <c:pt idx="128">
                  <c:v>0.84099999999999997</c:v>
                </c:pt>
                <c:pt idx="129">
                  <c:v>0.64700000000000002</c:v>
                </c:pt>
                <c:pt idx="130">
                  <c:v>0.54800000000000004</c:v>
                </c:pt>
                <c:pt idx="131">
                  <c:v>0.749</c:v>
                </c:pt>
                <c:pt idx="132">
                  <c:v>0.752</c:v>
                </c:pt>
                <c:pt idx="133">
                  <c:v>0.56100000000000005</c:v>
                </c:pt>
                <c:pt idx="134">
                  <c:v>0.55200000000000005</c:v>
                </c:pt>
                <c:pt idx="135">
                  <c:v>0.61899999999999999</c:v>
                </c:pt>
                <c:pt idx="136">
                  <c:v>0.78200000000000003</c:v>
                </c:pt>
                <c:pt idx="137">
                  <c:v>0.71699999999999997</c:v>
                </c:pt>
                <c:pt idx="138">
                  <c:v>0.89300000000000002</c:v>
                </c:pt>
                <c:pt idx="139">
                  <c:v>0.626</c:v>
                </c:pt>
                <c:pt idx="140">
                  <c:v>0.60199999999999998</c:v>
                </c:pt>
                <c:pt idx="141">
                  <c:v>0.83299999999999996</c:v>
                </c:pt>
                <c:pt idx="142">
                  <c:v>0.59299999999999997</c:v>
                </c:pt>
                <c:pt idx="143">
                  <c:v>0.78</c:v>
                </c:pt>
                <c:pt idx="144">
                  <c:v>0.71499999999999997</c:v>
                </c:pt>
                <c:pt idx="145">
                  <c:v>0.82399999999999995</c:v>
                </c:pt>
                <c:pt idx="146">
                  <c:v>0.89700000000000002</c:v>
                </c:pt>
                <c:pt idx="147">
                  <c:v>0.67700000000000005</c:v>
                </c:pt>
                <c:pt idx="148">
                  <c:v>0.38200000000000001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4B02-467D-B5A3-CD2247886468}"/>
            </c:ext>
          </c:extLst>
        </c:ser>
        <c:ser>
          <c:idx val="4"/>
          <c:order val="4"/>
          <c:tx>
            <c:strRef>
              <c:f>Sheet5!$H$1</c:f>
              <c:strCache>
                <c:ptCount val="1"/>
                <c:pt idx="0">
                  <c:v>Generosity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Sheet5!$C$2:$C$150</c:f>
              <c:numCache>
                <c:formatCode>General</c:formatCode>
                <c:ptCount val="149"/>
                <c:pt idx="0">
                  <c:v>7.8419999999999996</c:v>
                </c:pt>
                <c:pt idx="1">
                  <c:v>7.62</c:v>
                </c:pt>
                <c:pt idx="2">
                  <c:v>7.5709999999999997</c:v>
                </c:pt>
                <c:pt idx="3">
                  <c:v>7.5540000000000003</c:v>
                </c:pt>
                <c:pt idx="4">
                  <c:v>7.4640000000000004</c:v>
                </c:pt>
                <c:pt idx="5">
                  <c:v>7.3920000000000003</c:v>
                </c:pt>
                <c:pt idx="6">
                  <c:v>7.3630000000000004</c:v>
                </c:pt>
                <c:pt idx="7">
                  <c:v>7.3239999999999998</c:v>
                </c:pt>
                <c:pt idx="8">
                  <c:v>7.2770000000000001</c:v>
                </c:pt>
                <c:pt idx="9">
                  <c:v>7.2679999999999998</c:v>
                </c:pt>
                <c:pt idx="10">
                  <c:v>7.1829999999999998</c:v>
                </c:pt>
                <c:pt idx="11">
                  <c:v>7.157</c:v>
                </c:pt>
                <c:pt idx="12">
                  <c:v>7.1550000000000002</c:v>
                </c:pt>
                <c:pt idx="13">
                  <c:v>7.1029999999999998</c:v>
                </c:pt>
                <c:pt idx="14">
                  <c:v>7.085</c:v>
                </c:pt>
                <c:pt idx="15">
                  <c:v>7.069</c:v>
                </c:pt>
                <c:pt idx="16">
                  <c:v>7.0640000000000001</c:v>
                </c:pt>
                <c:pt idx="17">
                  <c:v>6.9649999999999999</c:v>
                </c:pt>
                <c:pt idx="18">
                  <c:v>6.9509999999999996</c:v>
                </c:pt>
                <c:pt idx="19">
                  <c:v>6.8339999999999996</c:v>
                </c:pt>
                <c:pt idx="20">
                  <c:v>6.69</c:v>
                </c:pt>
                <c:pt idx="21">
                  <c:v>6.6470000000000002</c:v>
                </c:pt>
                <c:pt idx="22">
                  <c:v>6.6020000000000003</c:v>
                </c:pt>
                <c:pt idx="23">
                  <c:v>6.5839999999999996</c:v>
                </c:pt>
                <c:pt idx="24">
                  <c:v>6.5609999999999999</c:v>
                </c:pt>
                <c:pt idx="25">
                  <c:v>6.4939999999999998</c:v>
                </c:pt>
                <c:pt idx="26">
                  <c:v>6.4909999999999997</c:v>
                </c:pt>
                <c:pt idx="27">
                  <c:v>6.4829999999999997</c:v>
                </c:pt>
                <c:pt idx="28">
                  <c:v>6.4610000000000003</c:v>
                </c:pt>
                <c:pt idx="29">
                  <c:v>6.4349999999999996</c:v>
                </c:pt>
                <c:pt idx="30">
                  <c:v>6.431</c:v>
                </c:pt>
                <c:pt idx="31">
                  <c:v>6.3769999999999998</c:v>
                </c:pt>
                <c:pt idx="32">
                  <c:v>6.3719999999999999</c:v>
                </c:pt>
                <c:pt idx="33">
                  <c:v>6.3310000000000004</c:v>
                </c:pt>
                <c:pt idx="34">
                  <c:v>6.33</c:v>
                </c:pt>
                <c:pt idx="35">
                  <c:v>6.3170000000000002</c:v>
                </c:pt>
                <c:pt idx="36">
                  <c:v>6.3090000000000002</c:v>
                </c:pt>
                <c:pt idx="37">
                  <c:v>6.2549999999999999</c:v>
                </c:pt>
                <c:pt idx="38">
                  <c:v>6.2229999999999999</c:v>
                </c:pt>
                <c:pt idx="39">
                  <c:v>6.1890000000000001</c:v>
                </c:pt>
                <c:pt idx="40">
                  <c:v>6.18</c:v>
                </c:pt>
                <c:pt idx="41">
                  <c:v>6.1790000000000003</c:v>
                </c:pt>
                <c:pt idx="42">
                  <c:v>6.1719999999999997</c:v>
                </c:pt>
                <c:pt idx="43">
                  <c:v>6.1660000000000004</c:v>
                </c:pt>
                <c:pt idx="44">
                  <c:v>6.1520000000000001</c:v>
                </c:pt>
                <c:pt idx="45">
                  <c:v>6.14</c:v>
                </c:pt>
                <c:pt idx="46">
                  <c:v>6.1059999999999999</c:v>
                </c:pt>
                <c:pt idx="47">
                  <c:v>6.0780000000000003</c:v>
                </c:pt>
                <c:pt idx="48">
                  <c:v>6.0609999999999999</c:v>
                </c:pt>
                <c:pt idx="49">
                  <c:v>6.0490000000000004</c:v>
                </c:pt>
                <c:pt idx="50">
                  <c:v>6.032</c:v>
                </c:pt>
                <c:pt idx="51">
                  <c:v>6.0119999999999996</c:v>
                </c:pt>
                <c:pt idx="52">
                  <c:v>5.992</c:v>
                </c:pt>
                <c:pt idx="53">
                  <c:v>5.9850000000000003</c:v>
                </c:pt>
                <c:pt idx="54">
                  <c:v>5.9720000000000004</c:v>
                </c:pt>
                <c:pt idx="55">
                  <c:v>5.94</c:v>
                </c:pt>
                <c:pt idx="56">
                  <c:v>5.9290000000000003</c:v>
                </c:pt>
                <c:pt idx="57">
                  <c:v>5.9290000000000003</c:v>
                </c:pt>
                <c:pt idx="58">
                  <c:v>5.9189999999999996</c:v>
                </c:pt>
                <c:pt idx="59">
                  <c:v>5.8819999999999997</c:v>
                </c:pt>
                <c:pt idx="60">
                  <c:v>5.88</c:v>
                </c:pt>
                <c:pt idx="61">
                  <c:v>5.8449999999999998</c:v>
                </c:pt>
                <c:pt idx="62">
                  <c:v>5.84</c:v>
                </c:pt>
                <c:pt idx="63">
                  <c:v>5.8129999999999997</c:v>
                </c:pt>
                <c:pt idx="64">
                  <c:v>5.766</c:v>
                </c:pt>
                <c:pt idx="65">
                  <c:v>5.7640000000000002</c:v>
                </c:pt>
                <c:pt idx="66">
                  <c:v>5.7439999999999998</c:v>
                </c:pt>
                <c:pt idx="67">
                  <c:v>5.7229999999999999</c:v>
                </c:pt>
                <c:pt idx="68">
                  <c:v>5.7160000000000002</c:v>
                </c:pt>
                <c:pt idx="69">
                  <c:v>5.6769999999999996</c:v>
                </c:pt>
                <c:pt idx="70">
                  <c:v>5.6529999999999996</c:v>
                </c:pt>
                <c:pt idx="71">
                  <c:v>5.5810000000000004</c:v>
                </c:pt>
                <c:pt idx="72">
                  <c:v>5.5449999999999999</c:v>
                </c:pt>
                <c:pt idx="73">
                  <c:v>5.5359999999999996</c:v>
                </c:pt>
                <c:pt idx="74">
                  <c:v>5.5339999999999998</c:v>
                </c:pt>
                <c:pt idx="75">
                  <c:v>5.4770000000000003</c:v>
                </c:pt>
                <c:pt idx="76">
                  <c:v>5.4770000000000003</c:v>
                </c:pt>
                <c:pt idx="77">
                  <c:v>5.4660000000000002</c:v>
                </c:pt>
                <c:pt idx="78">
                  <c:v>5.4109999999999996</c:v>
                </c:pt>
                <c:pt idx="79">
                  <c:v>5.41</c:v>
                </c:pt>
                <c:pt idx="80">
                  <c:v>5.3840000000000003</c:v>
                </c:pt>
                <c:pt idx="81">
                  <c:v>5.3449999999999998</c:v>
                </c:pt>
                <c:pt idx="82">
                  <c:v>5.3419999999999996</c:v>
                </c:pt>
                <c:pt idx="83">
                  <c:v>5.3390000000000004</c:v>
                </c:pt>
                <c:pt idx="84">
                  <c:v>5.306</c:v>
                </c:pt>
                <c:pt idx="85">
                  <c:v>5.2830000000000004</c:v>
                </c:pt>
                <c:pt idx="86">
                  <c:v>5.2690000000000001</c:v>
                </c:pt>
                <c:pt idx="87">
                  <c:v>5.266</c:v>
                </c:pt>
                <c:pt idx="88">
                  <c:v>5.1980000000000004</c:v>
                </c:pt>
                <c:pt idx="89">
                  <c:v>5.1710000000000003</c:v>
                </c:pt>
                <c:pt idx="90">
                  <c:v>5.1420000000000003</c:v>
                </c:pt>
                <c:pt idx="91">
                  <c:v>5.1319999999999997</c:v>
                </c:pt>
                <c:pt idx="92">
                  <c:v>5.117</c:v>
                </c:pt>
                <c:pt idx="93">
                  <c:v>5.101</c:v>
                </c:pt>
                <c:pt idx="94">
                  <c:v>5.0880000000000001</c:v>
                </c:pt>
                <c:pt idx="95">
                  <c:v>5.0739999999999998</c:v>
                </c:pt>
                <c:pt idx="96">
                  <c:v>5.0659999999999998</c:v>
                </c:pt>
                <c:pt idx="97">
                  <c:v>5.0510000000000002</c:v>
                </c:pt>
                <c:pt idx="98">
                  <c:v>5.0449999999999999</c:v>
                </c:pt>
                <c:pt idx="99">
                  <c:v>5.03</c:v>
                </c:pt>
                <c:pt idx="100">
                  <c:v>5.0250000000000004</c:v>
                </c:pt>
                <c:pt idx="101">
                  <c:v>4.984</c:v>
                </c:pt>
                <c:pt idx="102">
                  <c:v>4.9560000000000004</c:v>
                </c:pt>
                <c:pt idx="103">
                  <c:v>4.9480000000000004</c:v>
                </c:pt>
                <c:pt idx="104">
                  <c:v>4.9340000000000002</c:v>
                </c:pt>
                <c:pt idx="105">
                  <c:v>4.9180000000000001</c:v>
                </c:pt>
                <c:pt idx="106">
                  <c:v>4.8920000000000003</c:v>
                </c:pt>
                <c:pt idx="107">
                  <c:v>4.891</c:v>
                </c:pt>
                <c:pt idx="108">
                  <c:v>4.8869999999999996</c:v>
                </c:pt>
                <c:pt idx="109">
                  <c:v>4.875</c:v>
                </c:pt>
                <c:pt idx="110">
                  <c:v>4.8540000000000001</c:v>
                </c:pt>
                <c:pt idx="111">
                  <c:v>4.8520000000000003</c:v>
                </c:pt>
                <c:pt idx="112">
                  <c:v>4.8339999999999996</c:v>
                </c:pt>
                <c:pt idx="113">
                  <c:v>4.83</c:v>
                </c:pt>
                <c:pt idx="114">
                  <c:v>4.7939999999999996</c:v>
                </c:pt>
                <c:pt idx="115">
                  <c:v>4.7590000000000003</c:v>
                </c:pt>
                <c:pt idx="116">
                  <c:v>4.7229999999999999</c:v>
                </c:pt>
                <c:pt idx="117">
                  <c:v>4.7210000000000001</c:v>
                </c:pt>
                <c:pt idx="118">
                  <c:v>4.6360000000000001</c:v>
                </c:pt>
                <c:pt idx="119">
                  <c:v>4.625</c:v>
                </c:pt>
                <c:pt idx="120">
                  <c:v>4.6070000000000002</c:v>
                </c:pt>
                <c:pt idx="121">
                  <c:v>4.5960000000000001</c:v>
                </c:pt>
                <c:pt idx="122">
                  <c:v>4.5839999999999996</c:v>
                </c:pt>
                <c:pt idx="123">
                  <c:v>4.5739999999999998</c:v>
                </c:pt>
                <c:pt idx="124">
                  <c:v>4.5170000000000003</c:v>
                </c:pt>
                <c:pt idx="125">
                  <c:v>4.4260000000000002</c:v>
                </c:pt>
                <c:pt idx="126">
                  <c:v>4.3949999999999996</c:v>
                </c:pt>
                <c:pt idx="127">
                  <c:v>4.3550000000000004</c:v>
                </c:pt>
                <c:pt idx="128">
                  <c:v>4.3250000000000002</c:v>
                </c:pt>
                <c:pt idx="129">
                  <c:v>4.3079999999999998</c:v>
                </c:pt>
                <c:pt idx="130">
                  <c:v>4.2889999999999997</c:v>
                </c:pt>
                <c:pt idx="131">
                  <c:v>4.2830000000000004</c:v>
                </c:pt>
                <c:pt idx="132">
                  <c:v>4.2750000000000004</c:v>
                </c:pt>
                <c:pt idx="133">
                  <c:v>4.2270000000000003</c:v>
                </c:pt>
                <c:pt idx="134">
                  <c:v>4.2080000000000002</c:v>
                </c:pt>
                <c:pt idx="135">
                  <c:v>4.1070000000000002</c:v>
                </c:pt>
                <c:pt idx="136">
                  <c:v>4.0730000000000004</c:v>
                </c:pt>
                <c:pt idx="137">
                  <c:v>3.8490000000000002</c:v>
                </c:pt>
                <c:pt idx="138">
                  <c:v>3.819</c:v>
                </c:pt>
                <c:pt idx="139">
                  <c:v>3.7749999999999999</c:v>
                </c:pt>
                <c:pt idx="140">
                  <c:v>3.6579999999999999</c:v>
                </c:pt>
                <c:pt idx="141">
                  <c:v>3.6230000000000002</c:v>
                </c:pt>
                <c:pt idx="142">
                  <c:v>3.6150000000000002</c:v>
                </c:pt>
                <c:pt idx="143">
                  <c:v>3.6</c:v>
                </c:pt>
                <c:pt idx="144">
                  <c:v>3.512</c:v>
                </c:pt>
                <c:pt idx="145">
                  <c:v>3.4670000000000001</c:v>
                </c:pt>
                <c:pt idx="146">
                  <c:v>3.415</c:v>
                </c:pt>
                <c:pt idx="147">
                  <c:v>3.145</c:v>
                </c:pt>
                <c:pt idx="148">
                  <c:v>2.5230000000000001</c:v>
                </c:pt>
              </c:numCache>
            </c:numRef>
          </c:xVal>
          <c:yVal>
            <c:numRef>
              <c:f>Sheet5!$H$2:$H$150</c:f>
              <c:numCache>
                <c:formatCode>General</c:formatCode>
                <c:ptCount val="149"/>
                <c:pt idx="0">
                  <c:v>-9.8000000000000004E-2</c:v>
                </c:pt>
                <c:pt idx="1">
                  <c:v>0.03</c:v>
                </c:pt>
                <c:pt idx="2">
                  <c:v>2.5000000000000001E-2</c:v>
                </c:pt>
                <c:pt idx="3">
                  <c:v>0.16</c:v>
                </c:pt>
                <c:pt idx="4">
                  <c:v>0.17499999999999999</c:v>
                </c:pt>
                <c:pt idx="5">
                  <c:v>9.2999999999999999E-2</c:v>
                </c:pt>
                <c:pt idx="6">
                  <c:v>8.5999999999999993E-2</c:v>
                </c:pt>
                <c:pt idx="7">
                  <c:v>-3.4000000000000002E-2</c:v>
                </c:pt>
                <c:pt idx="8">
                  <c:v>0.13400000000000001</c:v>
                </c:pt>
                <c:pt idx="9">
                  <c:v>4.2000000000000003E-2</c:v>
                </c:pt>
                <c:pt idx="10">
                  <c:v>0.159</c:v>
                </c:pt>
                <c:pt idx="11">
                  <c:v>3.1E-2</c:v>
                </c:pt>
                <c:pt idx="12">
                  <c:v>1.0999999999999999E-2</c:v>
                </c:pt>
                <c:pt idx="13">
                  <c:v>8.8999999999999996E-2</c:v>
                </c:pt>
                <c:pt idx="14">
                  <c:v>7.6999999999999999E-2</c:v>
                </c:pt>
                <c:pt idx="15">
                  <c:v>-0.126</c:v>
                </c:pt>
                <c:pt idx="16">
                  <c:v>0.23300000000000001</c:v>
                </c:pt>
                <c:pt idx="17">
                  <c:v>-0.20799999999999999</c:v>
                </c:pt>
                <c:pt idx="18">
                  <c:v>9.8000000000000004E-2</c:v>
                </c:pt>
                <c:pt idx="19">
                  <c:v>-0.153</c:v>
                </c:pt>
                <c:pt idx="20">
                  <c:v>-0.14699999999999999</c:v>
                </c:pt>
                <c:pt idx="21">
                  <c:v>8.8999999999999996E-2</c:v>
                </c:pt>
                <c:pt idx="22">
                  <c:v>0.13300000000000001</c:v>
                </c:pt>
                <c:pt idx="23">
                  <c:v>-7.0000000000000007E-2</c:v>
                </c:pt>
                <c:pt idx="24">
                  <c:v>7.3999999999999996E-2</c:v>
                </c:pt>
                <c:pt idx="25">
                  <c:v>-0.14899999999999999</c:v>
                </c:pt>
                <c:pt idx="26">
                  <c:v>-8.1000000000000003E-2</c:v>
                </c:pt>
                <c:pt idx="27">
                  <c:v>-8.4000000000000005E-2</c:v>
                </c:pt>
                <c:pt idx="28">
                  <c:v>-0.10100000000000001</c:v>
                </c:pt>
                <c:pt idx="29">
                  <c:v>-3.7999999999999999E-2</c:v>
                </c:pt>
                <c:pt idx="30">
                  <c:v>-9.1999999999999998E-2</c:v>
                </c:pt>
                <c:pt idx="31">
                  <c:v>-1.7999999999999999E-2</c:v>
                </c:pt>
                <c:pt idx="32">
                  <c:v>0.25700000000000001</c:v>
                </c:pt>
                <c:pt idx="33">
                  <c:v>-0.124</c:v>
                </c:pt>
                <c:pt idx="34">
                  <c:v>-7.0999999999999994E-2</c:v>
                </c:pt>
                <c:pt idx="35">
                  <c:v>-0.14699999999999999</c:v>
                </c:pt>
                <c:pt idx="36">
                  <c:v>-0.13700000000000001</c:v>
                </c:pt>
                <c:pt idx="37">
                  <c:v>-0.20300000000000001</c:v>
                </c:pt>
                <c:pt idx="38">
                  <c:v>-1.4999999999999999E-2</c:v>
                </c:pt>
                <c:pt idx="39">
                  <c:v>-0.106</c:v>
                </c:pt>
                <c:pt idx="40">
                  <c:v>-0.16600000000000001</c:v>
                </c:pt>
                <c:pt idx="41">
                  <c:v>0.311</c:v>
                </c:pt>
                <c:pt idx="42">
                  <c:v>-4.3999999999999997E-2</c:v>
                </c:pt>
                <c:pt idx="43">
                  <c:v>-0.16500000000000001</c:v>
                </c:pt>
                <c:pt idx="44">
                  <c:v>-6.9000000000000006E-2</c:v>
                </c:pt>
                <c:pt idx="45">
                  <c:v>-0.219</c:v>
                </c:pt>
                <c:pt idx="46">
                  <c:v>-0.104</c:v>
                </c:pt>
                <c:pt idx="47">
                  <c:v>2E-3</c:v>
                </c:pt>
                <c:pt idx="48">
                  <c:v>-0.11</c:v>
                </c:pt>
                <c:pt idx="49">
                  <c:v>-5.3999999999999999E-2</c:v>
                </c:pt>
                <c:pt idx="50">
                  <c:v>-0.16200000000000001</c:v>
                </c:pt>
                <c:pt idx="51">
                  <c:v>-0.13500000000000001</c:v>
                </c:pt>
                <c:pt idx="52">
                  <c:v>-0.186</c:v>
                </c:pt>
                <c:pt idx="53">
                  <c:v>0.28699999999999998</c:v>
                </c:pt>
                <c:pt idx="54">
                  <c:v>0.02</c:v>
                </c:pt>
                <c:pt idx="55">
                  <c:v>-0.25800000000000001</c:v>
                </c:pt>
                <c:pt idx="56">
                  <c:v>-0.182</c:v>
                </c:pt>
                <c:pt idx="57">
                  <c:v>-0.24399999999999999</c:v>
                </c:pt>
                <c:pt idx="58">
                  <c:v>8.1000000000000003E-2</c:v>
                </c:pt>
                <c:pt idx="59">
                  <c:v>-0.11799999999999999</c:v>
                </c:pt>
                <c:pt idx="60">
                  <c:v>-9.7000000000000003E-2</c:v>
                </c:pt>
                <c:pt idx="61">
                  <c:v>-8.3000000000000004E-2</c:v>
                </c:pt>
                <c:pt idx="62">
                  <c:v>-0.154</c:v>
                </c:pt>
                <c:pt idx="63">
                  <c:v>0.113</c:v>
                </c:pt>
                <c:pt idx="64">
                  <c:v>-7.9000000000000001E-2</c:v>
                </c:pt>
                <c:pt idx="65">
                  <c:v>-0.124</c:v>
                </c:pt>
                <c:pt idx="66">
                  <c:v>0.11899999999999999</c:v>
                </c:pt>
                <c:pt idx="67">
                  <c:v>-0.28799999999999998</c:v>
                </c:pt>
                <c:pt idx="68">
                  <c:v>-7.6999999999999999E-2</c:v>
                </c:pt>
                <c:pt idx="69">
                  <c:v>0.11600000000000001</c:v>
                </c:pt>
                <c:pt idx="70">
                  <c:v>2.8000000000000001E-2</c:v>
                </c:pt>
                <c:pt idx="71">
                  <c:v>-3.4000000000000002E-2</c:v>
                </c:pt>
                <c:pt idx="72">
                  <c:v>-0.13300000000000001</c:v>
                </c:pt>
                <c:pt idx="73">
                  <c:v>1.2E-2</c:v>
                </c:pt>
                <c:pt idx="74">
                  <c:v>-0.18</c:v>
                </c:pt>
                <c:pt idx="75">
                  <c:v>-0.111</c:v>
                </c:pt>
                <c:pt idx="76">
                  <c:v>6.7000000000000004E-2</c:v>
                </c:pt>
                <c:pt idx="77">
                  <c:v>-5.6000000000000001E-2</c:v>
                </c:pt>
                <c:pt idx="78">
                  <c:v>-9.8000000000000004E-2</c:v>
                </c:pt>
                <c:pt idx="79">
                  <c:v>-8.6999999999999994E-2</c:v>
                </c:pt>
                <c:pt idx="80">
                  <c:v>0.125</c:v>
                </c:pt>
                <c:pt idx="81">
                  <c:v>0.54200000000000004</c:v>
                </c:pt>
                <c:pt idx="82">
                  <c:v>-6.8000000000000005E-2</c:v>
                </c:pt>
                <c:pt idx="83">
                  <c:v>-0.14599999999999999</c:v>
                </c:pt>
                <c:pt idx="84">
                  <c:v>-1.6E-2</c:v>
                </c:pt>
                <c:pt idx="85">
                  <c:v>-0.16800000000000001</c:v>
                </c:pt>
                <c:pt idx="86">
                  <c:v>0.152</c:v>
                </c:pt>
                <c:pt idx="87">
                  <c:v>-9.6000000000000002E-2</c:v>
                </c:pt>
                <c:pt idx="88">
                  <c:v>2.4E-2</c:v>
                </c:pt>
                <c:pt idx="89">
                  <c:v>-0.223</c:v>
                </c:pt>
                <c:pt idx="90">
                  <c:v>2.5999999999999999E-2</c:v>
                </c:pt>
                <c:pt idx="91">
                  <c:v>-4.5999999999999999E-2</c:v>
                </c:pt>
                <c:pt idx="92">
                  <c:v>-0.03</c:v>
                </c:pt>
                <c:pt idx="93">
                  <c:v>3.7999999999999999E-2</c:v>
                </c:pt>
                <c:pt idx="94">
                  <c:v>0.123</c:v>
                </c:pt>
                <c:pt idx="95">
                  <c:v>1.7999999999999999E-2</c:v>
                </c:pt>
                <c:pt idx="96">
                  <c:v>0.27300000000000002</c:v>
                </c:pt>
                <c:pt idx="97">
                  <c:v>0.42399999999999999</c:v>
                </c:pt>
                <c:pt idx="98">
                  <c:v>-3.4000000000000002E-2</c:v>
                </c:pt>
                <c:pt idx="99">
                  <c:v>0.123</c:v>
                </c:pt>
                <c:pt idx="100">
                  <c:v>-4.1000000000000002E-2</c:v>
                </c:pt>
                <c:pt idx="101">
                  <c:v>9.5000000000000001E-2</c:v>
                </c:pt>
                <c:pt idx="102">
                  <c:v>-6.7000000000000004E-2</c:v>
                </c:pt>
                <c:pt idx="103">
                  <c:v>-0.13900000000000001</c:v>
                </c:pt>
                <c:pt idx="104">
                  <c:v>9.8000000000000004E-2</c:v>
                </c:pt>
                <c:pt idx="105">
                  <c:v>-0.23599999999999999</c:v>
                </c:pt>
                <c:pt idx="106">
                  <c:v>-0.16900000000000001</c:v>
                </c:pt>
                <c:pt idx="107">
                  <c:v>-0.23799999999999999</c:v>
                </c:pt>
                <c:pt idx="108">
                  <c:v>-6.7000000000000004E-2</c:v>
                </c:pt>
                <c:pt idx="109">
                  <c:v>-1.0999999999999999E-2</c:v>
                </c:pt>
                <c:pt idx="110">
                  <c:v>-5.2999999999999999E-2</c:v>
                </c:pt>
                <c:pt idx="111">
                  <c:v>-0.2</c:v>
                </c:pt>
                <c:pt idx="112">
                  <c:v>-8.9999999999999993E-3</c:v>
                </c:pt>
                <c:pt idx="113">
                  <c:v>3.4000000000000002E-2</c:v>
                </c:pt>
                <c:pt idx="114">
                  <c:v>6.0999999999999999E-2</c:v>
                </c:pt>
                <c:pt idx="115">
                  <c:v>3.6999999999999998E-2</c:v>
                </c:pt>
                <c:pt idx="116">
                  <c:v>-3.5999999999999997E-2</c:v>
                </c:pt>
                <c:pt idx="117">
                  <c:v>0.218</c:v>
                </c:pt>
                <c:pt idx="118">
                  <c:v>0.122</c:v>
                </c:pt>
                <c:pt idx="119">
                  <c:v>0.05</c:v>
                </c:pt>
                <c:pt idx="120">
                  <c:v>0.28699999999999998</c:v>
                </c:pt>
                <c:pt idx="121">
                  <c:v>-0.20100000000000001</c:v>
                </c:pt>
                <c:pt idx="122">
                  <c:v>-7.2999999999999995E-2</c:v>
                </c:pt>
                <c:pt idx="123">
                  <c:v>-0.14899999999999999</c:v>
                </c:pt>
                <c:pt idx="124">
                  <c:v>-0.16300000000000001</c:v>
                </c:pt>
                <c:pt idx="125">
                  <c:v>0.50900000000000001</c:v>
                </c:pt>
                <c:pt idx="126">
                  <c:v>-0.16700000000000001</c:v>
                </c:pt>
                <c:pt idx="127">
                  <c:v>4.1000000000000002E-2</c:v>
                </c:pt>
                <c:pt idx="128">
                  <c:v>7.9000000000000001E-2</c:v>
                </c:pt>
                <c:pt idx="129">
                  <c:v>-0.185</c:v>
                </c:pt>
                <c:pt idx="130">
                  <c:v>8.2000000000000003E-2</c:v>
                </c:pt>
                <c:pt idx="131">
                  <c:v>-0.182</c:v>
                </c:pt>
                <c:pt idx="132">
                  <c:v>8.2000000000000003E-2</c:v>
                </c:pt>
                <c:pt idx="133">
                  <c:v>-0.106</c:v>
                </c:pt>
                <c:pt idx="134">
                  <c:v>-5.0000000000000001E-3</c:v>
                </c:pt>
                <c:pt idx="135">
                  <c:v>3.2000000000000001E-2</c:v>
                </c:pt>
                <c:pt idx="136">
                  <c:v>6.0999999999999999E-2</c:v>
                </c:pt>
                <c:pt idx="137">
                  <c:v>8.4000000000000005E-2</c:v>
                </c:pt>
                <c:pt idx="138">
                  <c:v>8.8999999999999996E-2</c:v>
                </c:pt>
                <c:pt idx="139">
                  <c:v>-2.4E-2</c:v>
                </c:pt>
                <c:pt idx="140">
                  <c:v>-0.14699999999999999</c:v>
                </c:pt>
                <c:pt idx="141">
                  <c:v>0.183</c:v>
                </c:pt>
                <c:pt idx="142">
                  <c:v>0.42199999999999999</c:v>
                </c:pt>
                <c:pt idx="143">
                  <c:v>3.7999999999999999E-2</c:v>
                </c:pt>
                <c:pt idx="144">
                  <c:v>-0.13100000000000001</c:v>
                </c:pt>
                <c:pt idx="145">
                  <c:v>-0.246</c:v>
                </c:pt>
                <c:pt idx="146">
                  <c:v>6.0999999999999999E-2</c:v>
                </c:pt>
                <c:pt idx="147">
                  <c:v>-4.7E-2</c:v>
                </c:pt>
                <c:pt idx="148">
                  <c:v>-0.10199999999999999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4B02-467D-B5A3-CD2247886468}"/>
            </c:ext>
          </c:extLst>
        </c:ser>
        <c:ser>
          <c:idx val="5"/>
          <c:order val="5"/>
          <c:tx>
            <c:strRef>
              <c:f>Sheet5!$I$1</c:f>
              <c:strCache>
                <c:ptCount val="1"/>
                <c:pt idx="0">
                  <c:v>Perceptions of corruption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Sheet5!$C$2:$C$150</c:f>
              <c:numCache>
                <c:formatCode>General</c:formatCode>
                <c:ptCount val="149"/>
                <c:pt idx="0">
                  <c:v>7.8419999999999996</c:v>
                </c:pt>
                <c:pt idx="1">
                  <c:v>7.62</c:v>
                </c:pt>
                <c:pt idx="2">
                  <c:v>7.5709999999999997</c:v>
                </c:pt>
                <c:pt idx="3">
                  <c:v>7.5540000000000003</c:v>
                </c:pt>
                <c:pt idx="4">
                  <c:v>7.4640000000000004</c:v>
                </c:pt>
                <c:pt idx="5">
                  <c:v>7.3920000000000003</c:v>
                </c:pt>
                <c:pt idx="6">
                  <c:v>7.3630000000000004</c:v>
                </c:pt>
                <c:pt idx="7">
                  <c:v>7.3239999999999998</c:v>
                </c:pt>
                <c:pt idx="8">
                  <c:v>7.2770000000000001</c:v>
                </c:pt>
                <c:pt idx="9">
                  <c:v>7.2679999999999998</c:v>
                </c:pt>
                <c:pt idx="10">
                  <c:v>7.1829999999999998</c:v>
                </c:pt>
                <c:pt idx="11">
                  <c:v>7.157</c:v>
                </c:pt>
                <c:pt idx="12">
                  <c:v>7.1550000000000002</c:v>
                </c:pt>
                <c:pt idx="13">
                  <c:v>7.1029999999999998</c:v>
                </c:pt>
                <c:pt idx="14">
                  <c:v>7.085</c:v>
                </c:pt>
                <c:pt idx="15">
                  <c:v>7.069</c:v>
                </c:pt>
                <c:pt idx="16">
                  <c:v>7.0640000000000001</c:v>
                </c:pt>
                <c:pt idx="17">
                  <c:v>6.9649999999999999</c:v>
                </c:pt>
                <c:pt idx="18">
                  <c:v>6.9509999999999996</c:v>
                </c:pt>
                <c:pt idx="19">
                  <c:v>6.8339999999999996</c:v>
                </c:pt>
                <c:pt idx="20">
                  <c:v>6.69</c:v>
                </c:pt>
                <c:pt idx="21">
                  <c:v>6.6470000000000002</c:v>
                </c:pt>
                <c:pt idx="22">
                  <c:v>6.6020000000000003</c:v>
                </c:pt>
                <c:pt idx="23">
                  <c:v>6.5839999999999996</c:v>
                </c:pt>
                <c:pt idx="24">
                  <c:v>6.5609999999999999</c:v>
                </c:pt>
                <c:pt idx="25">
                  <c:v>6.4939999999999998</c:v>
                </c:pt>
                <c:pt idx="26">
                  <c:v>6.4909999999999997</c:v>
                </c:pt>
                <c:pt idx="27">
                  <c:v>6.4829999999999997</c:v>
                </c:pt>
                <c:pt idx="28">
                  <c:v>6.4610000000000003</c:v>
                </c:pt>
                <c:pt idx="29">
                  <c:v>6.4349999999999996</c:v>
                </c:pt>
                <c:pt idx="30">
                  <c:v>6.431</c:v>
                </c:pt>
                <c:pt idx="31">
                  <c:v>6.3769999999999998</c:v>
                </c:pt>
                <c:pt idx="32">
                  <c:v>6.3719999999999999</c:v>
                </c:pt>
                <c:pt idx="33">
                  <c:v>6.3310000000000004</c:v>
                </c:pt>
                <c:pt idx="34">
                  <c:v>6.33</c:v>
                </c:pt>
                <c:pt idx="35">
                  <c:v>6.3170000000000002</c:v>
                </c:pt>
                <c:pt idx="36">
                  <c:v>6.3090000000000002</c:v>
                </c:pt>
                <c:pt idx="37">
                  <c:v>6.2549999999999999</c:v>
                </c:pt>
                <c:pt idx="38">
                  <c:v>6.2229999999999999</c:v>
                </c:pt>
                <c:pt idx="39">
                  <c:v>6.1890000000000001</c:v>
                </c:pt>
                <c:pt idx="40">
                  <c:v>6.18</c:v>
                </c:pt>
                <c:pt idx="41">
                  <c:v>6.1790000000000003</c:v>
                </c:pt>
                <c:pt idx="42">
                  <c:v>6.1719999999999997</c:v>
                </c:pt>
                <c:pt idx="43">
                  <c:v>6.1660000000000004</c:v>
                </c:pt>
                <c:pt idx="44">
                  <c:v>6.1520000000000001</c:v>
                </c:pt>
                <c:pt idx="45">
                  <c:v>6.14</c:v>
                </c:pt>
                <c:pt idx="46">
                  <c:v>6.1059999999999999</c:v>
                </c:pt>
                <c:pt idx="47">
                  <c:v>6.0780000000000003</c:v>
                </c:pt>
                <c:pt idx="48">
                  <c:v>6.0609999999999999</c:v>
                </c:pt>
                <c:pt idx="49">
                  <c:v>6.0490000000000004</c:v>
                </c:pt>
                <c:pt idx="50">
                  <c:v>6.032</c:v>
                </c:pt>
                <c:pt idx="51">
                  <c:v>6.0119999999999996</c:v>
                </c:pt>
                <c:pt idx="52">
                  <c:v>5.992</c:v>
                </c:pt>
                <c:pt idx="53">
                  <c:v>5.9850000000000003</c:v>
                </c:pt>
                <c:pt idx="54">
                  <c:v>5.9720000000000004</c:v>
                </c:pt>
                <c:pt idx="55">
                  <c:v>5.94</c:v>
                </c:pt>
                <c:pt idx="56">
                  <c:v>5.9290000000000003</c:v>
                </c:pt>
                <c:pt idx="57">
                  <c:v>5.9290000000000003</c:v>
                </c:pt>
                <c:pt idx="58">
                  <c:v>5.9189999999999996</c:v>
                </c:pt>
                <c:pt idx="59">
                  <c:v>5.8819999999999997</c:v>
                </c:pt>
                <c:pt idx="60">
                  <c:v>5.88</c:v>
                </c:pt>
                <c:pt idx="61">
                  <c:v>5.8449999999999998</c:v>
                </c:pt>
                <c:pt idx="62">
                  <c:v>5.84</c:v>
                </c:pt>
                <c:pt idx="63">
                  <c:v>5.8129999999999997</c:v>
                </c:pt>
                <c:pt idx="64">
                  <c:v>5.766</c:v>
                </c:pt>
                <c:pt idx="65">
                  <c:v>5.7640000000000002</c:v>
                </c:pt>
                <c:pt idx="66">
                  <c:v>5.7439999999999998</c:v>
                </c:pt>
                <c:pt idx="67">
                  <c:v>5.7229999999999999</c:v>
                </c:pt>
                <c:pt idx="68">
                  <c:v>5.7160000000000002</c:v>
                </c:pt>
                <c:pt idx="69">
                  <c:v>5.6769999999999996</c:v>
                </c:pt>
                <c:pt idx="70">
                  <c:v>5.6529999999999996</c:v>
                </c:pt>
                <c:pt idx="71">
                  <c:v>5.5810000000000004</c:v>
                </c:pt>
                <c:pt idx="72">
                  <c:v>5.5449999999999999</c:v>
                </c:pt>
                <c:pt idx="73">
                  <c:v>5.5359999999999996</c:v>
                </c:pt>
                <c:pt idx="74">
                  <c:v>5.5339999999999998</c:v>
                </c:pt>
                <c:pt idx="75">
                  <c:v>5.4770000000000003</c:v>
                </c:pt>
                <c:pt idx="76">
                  <c:v>5.4770000000000003</c:v>
                </c:pt>
                <c:pt idx="77">
                  <c:v>5.4660000000000002</c:v>
                </c:pt>
                <c:pt idx="78">
                  <c:v>5.4109999999999996</c:v>
                </c:pt>
                <c:pt idx="79">
                  <c:v>5.41</c:v>
                </c:pt>
                <c:pt idx="80">
                  <c:v>5.3840000000000003</c:v>
                </c:pt>
                <c:pt idx="81">
                  <c:v>5.3449999999999998</c:v>
                </c:pt>
                <c:pt idx="82">
                  <c:v>5.3419999999999996</c:v>
                </c:pt>
                <c:pt idx="83">
                  <c:v>5.3390000000000004</c:v>
                </c:pt>
                <c:pt idx="84">
                  <c:v>5.306</c:v>
                </c:pt>
                <c:pt idx="85">
                  <c:v>5.2830000000000004</c:v>
                </c:pt>
                <c:pt idx="86">
                  <c:v>5.2690000000000001</c:v>
                </c:pt>
                <c:pt idx="87">
                  <c:v>5.266</c:v>
                </c:pt>
                <c:pt idx="88">
                  <c:v>5.1980000000000004</c:v>
                </c:pt>
                <c:pt idx="89">
                  <c:v>5.1710000000000003</c:v>
                </c:pt>
                <c:pt idx="90">
                  <c:v>5.1420000000000003</c:v>
                </c:pt>
                <c:pt idx="91">
                  <c:v>5.1319999999999997</c:v>
                </c:pt>
                <c:pt idx="92">
                  <c:v>5.117</c:v>
                </c:pt>
                <c:pt idx="93">
                  <c:v>5.101</c:v>
                </c:pt>
                <c:pt idx="94">
                  <c:v>5.0880000000000001</c:v>
                </c:pt>
                <c:pt idx="95">
                  <c:v>5.0739999999999998</c:v>
                </c:pt>
                <c:pt idx="96">
                  <c:v>5.0659999999999998</c:v>
                </c:pt>
                <c:pt idx="97">
                  <c:v>5.0510000000000002</c:v>
                </c:pt>
                <c:pt idx="98">
                  <c:v>5.0449999999999999</c:v>
                </c:pt>
                <c:pt idx="99">
                  <c:v>5.03</c:v>
                </c:pt>
                <c:pt idx="100">
                  <c:v>5.0250000000000004</c:v>
                </c:pt>
                <c:pt idx="101">
                  <c:v>4.984</c:v>
                </c:pt>
                <c:pt idx="102">
                  <c:v>4.9560000000000004</c:v>
                </c:pt>
                <c:pt idx="103">
                  <c:v>4.9480000000000004</c:v>
                </c:pt>
                <c:pt idx="104">
                  <c:v>4.9340000000000002</c:v>
                </c:pt>
                <c:pt idx="105">
                  <c:v>4.9180000000000001</c:v>
                </c:pt>
                <c:pt idx="106">
                  <c:v>4.8920000000000003</c:v>
                </c:pt>
                <c:pt idx="107">
                  <c:v>4.891</c:v>
                </c:pt>
                <c:pt idx="108">
                  <c:v>4.8869999999999996</c:v>
                </c:pt>
                <c:pt idx="109">
                  <c:v>4.875</c:v>
                </c:pt>
                <c:pt idx="110">
                  <c:v>4.8540000000000001</c:v>
                </c:pt>
                <c:pt idx="111">
                  <c:v>4.8520000000000003</c:v>
                </c:pt>
                <c:pt idx="112">
                  <c:v>4.8339999999999996</c:v>
                </c:pt>
                <c:pt idx="113">
                  <c:v>4.83</c:v>
                </c:pt>
                <c:pt idx="114">
                  <c:v>4.7939999999999996</c:v>
                </c:pt>
                <c:pt idx="115">
                  <c:v>4.7590000000000003</c:v>
                </c:pt>
                <c:pt idx="116">
                  <c:v>4.7229999999999999</c:v>
                </c:pt>
                <c:pt idx="117">
                  <c:v>4.7210000000000001</c:v>
                </c:pt>
                <c:pt idx="118">
                  <c:v>4.6360000000000001</c:v>
                </c:pt>
                <c:pt idx="119">
                  <c:v>4.625</c:v>
                </c:pt>
                <c:pt idx="120">
                  <c:v>4.6070000000000002</c:v>
                </c:pt>
                <c:pt idx="121">
                  <c:v>4.5960000000000001</c:v>
                </c:pt>
                <c:pt idx="122">
                  <c:v>4.5839999999999996</c:v>
                </c:pt>
                <c:pt idx="123">
                  <c:v>4.5739999999999998</c:v>
                </c:pt>
                <c:pt idx="124">
                  <c:v>4.5170000000000003</c:v>
                </c:pt>
                <c:pt idx="125">
                  <c:v>4.4260000000000002</c:v>
                </c:pt>
                <c:pt idx="126">
                  <c:v>4.3949999999999996</c:v>
                </c:pt>
                <c:pt idx="127">
                  <c:v>4.3550000000000004</c:v>
                </c:pt>
                <c:pt idx="128">
                  <c:v>4.3250000000000002</c:v>
                </c:pt>
                <c:pt idx="129">
                  <c:v>4.3079999999999998</c:v>
                </c:pt>
                <c:pt idx="130">
                  <c:v>4.2889999999999997</c:v>
                </c:pt>
                <c:pt idx="131">
                  <c:v>4.2830000000000004</c:v>
                </c:pt>
                <c:pt idx="132">
                  <c:v>4.2750000000000004</c:v>
                </c:pt>
                <c:pt idx="133">
                  <c:v>4.2270000000000003</c:v>
                </c:pt>
                <c:pt idx="134">
                  <c:v>4.2080000000000002</c:v>
                </c:pt>
                <c:pt idx="135">
                  <c:v>4.1070000000000002</c:v>
                </c:pt>
                <c:pt idx="136">
                  <c:v>4.0730000000000004</c:v>
                </c:pt>
                <c:pt idx="137">
                  <c:v>3.8490000000000002</c:v>
                </c:pt>
                <c:pt idx="138">
                  <c:v>3.819</c:v>
                </c:pt>
                <c:pt idx="139">
                  <c:v>3.7749999999999999</c:v>
                </c:pt>
                <c:pt idx="140">
                  <c:v>3.6579999999999999</c:v>
                </c:pt>
                <c:pt idx="141">
                  <c:v>3.6230000000000002</c:v>
                </c:pt>
                <c:pt idx="142">
                  <c:v>3.6150000000000002</c:v>
                </c:pt>
                <c:pt idx="143">
                  <c:v>3.6</c:v>
                </c:pt>
                <c:pt idx="144">
                  <c:v>3.512</c:v>
                </c:pt>
                <c:pt idx="145">
                  <c:v>3.4670000000000001</c:v>
                </c:pt>
                <c:pt idx="146">
                  <c:v>3.415</c:v>
                </c:pt>
                <c:pt idx="147">
                  <c:v>3.145</c:v>
                </c:pt>
                <c:pt idx="148">
                  <c:v>2.5230000000000001</c:v>
                </c:pt>
              </c:numCache>
            </c:numRef>
          </c:xVal>
          <c:yVal>
            <c:numRef>
              <c:f>Sheet5!$I$2:$I$150</c:f>
              <c:numCache>
                <c:formatCode>General</c:formatCode>
                <c:ptCount val="149"/>
                <c:pt idx="0">
                  <c:v>0.186</c:v>
                </c:pt>
                <c:pt idx="1">
                  <c:v>0.17899999999999999</c:v>
                </c:pt>
                <c:pt idx="2">
                  <c:v>0.29199999999999998</c:v>
                </c:pt>
                <c:pt idx="3">
                  <c:v>0.67300000000000004</c:v>
                </c:pt>
                <c:pt idx="4">
                  <c:v>0.33800000000000002</c:v>
                </c:pt>
                <c:pt idx="5">
                  <c:v>0.27</c:v>
                </c:pt>
                <c:pt idx="6">
                  <c:v>0.23699999999999999</c:v>
                </c:pt>
                <c:pt idx="7">
                  <c:v>0.38600000000000001</c:v>
                </c:pt>
                <c:pt idx="8">
                  <c:v>0.24199999999999999</c:v>
                </c:pt>
                <c:pt idx="9">
                  <c:v>0.48099999999999998</c:v>
                </c:pt>
                <c:pt idx="10">
                  <c:v>0.442</c:v>
                </c:pt>
                <c:pt idx="11">
                  <c:v>0.753</c:v>
                </c:pt>
                <c:pt idx="12">
                  <c:v>0.46</c:v>
                </c:pt>
                <c:pt idx="13">
                  <c:v>0.41499999999999998</c:v>
                </c:pt>
                <c:pt idx="14">
                  <c:v>0.36299999999999999</c:v>
                </c:pt>
                <c:pt idx="15">
                  <c:v>0.80900000000000005</c:v>
                </c:pt>
                <c:pt idx="16">
                  <c:v>0.45900000000000002</c:v>
                </c:pt>
                <c:pt idx="17">
                  <c:v>0.86799999999999999</c:v>
                </c:pt>
                <c:pt idx="18">
                  <c:v>0.69799999999999995</c:v>
                </c:pt>
                <c:pt idx="19">
                  <c:v>0.64600000000000002</c:v>
                </c:pt>
                <c:pt idx="20">
                  <c:v>0.57099999999999995</c:v>
                </c:pt>
                <c:pt idx="21">
                  <c:v>0.72199999999999998</c:v>
                </c:pt>
                <c:pt idx="22">
                  <c:v>0.65300000000000002</c:v>
                </c:pt>
                <c:pt idx="23">
                  <c:v>0.72099999999999997</c:v>
                </c:pt>
                <c:pt idx="24">
                  <c:v>0.58899999999999997</c:v>
                </c:pt>
                <c:pt idx="25">
                  <c:v>0.68400000000000005</c:v>
                </c:pt>
                <c:pt idx="26">
                  <c:v>0.745</c:v>
                </c:pt>
                <c:pt idx="27">
                  <c:v>0.86599999999999999</c:v>
                </c:pt>
                <c:pt idx="28">
                  <c:v>0.80600000000000005</c:v>
                </c:pt>
                <c:pt idx="29">
                  <c:v>0.77500000000000002</c:v>
                </c:pt>
                <c:pt idx="30">
                  <c:v>0.59</c:v>
                </c:pt>
                <c:pt idx="31">
                  <c:v>8.2000000000000003E-2</c:v>
                </c:pt>
                <c:pt idx="32">
                  <c:v>0.91700000000000004</c:v>
                </c:pt>
                <c:pt idx="33">
                  <c:v>0.91100000000000003</c:v>
                </c:pt>
                <c:pt idx="34">
                  <c:v>0.75600000000000001</c:v>
                </c:pt>
                <c:pt idx="35">
                  <c:v>0.79900000000000004</c:v>
                </c:pt>
                <c:pt idx="36">
                  <c:v>0.88400000000000001</c:v>
                </c:pt>
                <c:pt idx="37">
                  <c:v>0.82599999999999996</c:v>
                </c:pt>
                <c:pt idx="38">
                  <c:v>0.84399999999999997</c:v>
                </c:pt>
                <c:pt idx="39">
                  <c:v>0.52700000000000002</c:v>
                </c:pt>
                <c:pt idx="40">
                  <c:v>0.85599999999999998</c:v>
                </c:pt>
                <c:pt idx="41">
                  <c:v>0.51500000000000001</c:v>
                </c:pt>
                <c:pt idx="42">
                  <c:v>0.83</c:v>
                </c:pt>
                <c:pt idx="43">
                  <c:v>0.73499999999999999</c:v>
                </c:pt>
                <c:pt idx="44">
                  <c:v>0.73299999999999998</c:v>
                </c:pt>
                <c:pt idx="45">
                  <c:v>0.93799999999999994</c:v>
                </c:pt>
                <c:pt idx="46">
                  <c:v>0.73599999999999999</c:v>
                </c:pt>
                <c:pt idx="47">
                  <c:v>0.83499999999999996</c:v>
                </c:pt>
                <c:pt idx="48">
                  <c:v>0.68799999999999994</c:v>
                </c:pt>
                <c:pt idx="49">
                  <c:v>0.78900000000000003</c:v>
                </c:pt>
                <c:pt idx="50">
                  <c:v>0.8</c:v>
                </c:pt>
                <c:pt idx="51">
                  <c:v>0.84099999999999997</c:v>
                </c:pt>
                <c:pt idx="52">
                  <c:v>0.876</c:v>
                </c:pt>
                <c:pt idx="53">
                  <c:v>0.89500000000000002</c:v>
                </c:pt>
                <c:pt idx="54">
                  <c:v>0.66400000000000003</c:v>
                </c:pt>
                <c:pt idx="55">
                  <c:v>0.63800000000000001</c:v>
                </c:pt>
                <c:pt idx="56">
                  <c:v>0.83399999999999996</c:v>
                </c:pt>
                <c:pt idx="57">
                  <c:v>0.88700000000000001</c:v>
                </c:pt>
                <c:pt idx="58">
                  <c:v>0.80900000000000005</c:v>
                </c:pt>
                <c:pt idx="59">
                  <c:v>0.93899999999999995</c:v>
                </c:pt>
                <c:pt idx="60">
                  <c:v>0.74199999999999999</c:v>
                </c:pt>
                <c:pt idx="61">
                  <c:v>0.72699999999999998</c:v>
                </c:pt>
                <c:pt idx="62">
                  <c:v>0.89100000000000001</c:v>
                </c:pt>
                <c:pt idx="63">
                  <c:v>0.93100000000000005</c:v>
                </c:pt>
                <c:pt idx="64">
                  <c:v>0.91800000000000004</c:v>
                </c:pt>
                <c:pt idx="65">
                  <c:v>0.84299999999999997</c:v>
                </c:pt>
                <c:pt idx="66">
                  <c:v>0.90800000000000003</c:v>
                </c:pt>
                <c:pt idx="67">
                  <c:v>0.82299999999999995</c:v>
                </c:pt>
                <c:pt idx="68">
                  <c:v>0.83899999999999997</c:v>
                </c:pt>
                <c:pt idx="69">
                  <c:v>0.85599999999999998</c:v>
                </c:pt>
                <c:pt idx="70">
                  <c:v>0.88200000000000001</c:v>
                </c:pt>
                <c:pt idx="71">
                  <c:v>0.81200000000000006</c:v>
                </c:pt>
                <c:pt idx="72">
                  <c:v>0.71399999999999997</c:v>
                </c:pt>
                <c:pt idx="73">
                  <c:v>0.626</c:v>
                </c:pt>
                <c:pt idx="74">
                  <c:v>0.627</c:v>
                </c:pt>
                <c:pt idx="75">
                  <c:v>0.84499999999999997</c:v>
                </c:pt>
                <c:pt idx="76">
                  <c:v>0.40300000000000002</c:v>
                </c:pt>
                <c:pt idx="77">
                  <c:v>0.55300000000000005</c:v>
                </c:pt>
                <c:pt idx="78">
                  <c:v>0.79600000000000004</c:v>
                </c:pt>
                <c:pt idx="79">
                  <c:v>0.66700000000000004</c:v>
                </c:pt>
                <c:pt idx="80">
                  <c:v>0.83899999999999997</c:v>
                </c:pt>
                <c:pt idx="81">
                  <c:v>0.86699999999999999</c:v>
                </c:pt>
                <c:pt idx="82">
                  <c:v>0.745</c:v>
                </c:pt>
                <c:pt idx="83">
                  <c:v>0.755</c:v>
                </c:pt>
                <c:pt idx="84">
                  <c:v>0.79400000000000004</c:v>
                </c:pt>
                <c:pt idx="85">
                  <c:v>0.629</c:v>
                </c:pt>
                <c:pt idx="86">
                  <c:v>0.72699999999999998</c:v>
                </c:pt>
                <c:pt idx="87">
                  <c:v>0.93200000000000005</c:v>
                </c:pt>
                <c:pt idx="88">
                  <c:v>0.82499999999999996</c:v>
                </c:pt>
                <c:pt idx="89">
                  <c:v>0.50600000000000001</c:v>
                </c:pt>
                <c:pt idx="90">
                  <c:v>0.84799999999999998</c:v>
                </c:pt>
                <c:pt idx="91">
                  <c:v>0.80100000000000005</c:v>
                </c:pt>
                <c:pt idx="92">
                  <c:v>0.90100000000000002</c:v>
                </c:pt>
                <c:pt idx="93">
                  <c:v>0.90500000000000003</c:v>
                </c:pt>
                <c:pt idx="94">
                  <c:v>0.84799999999999998</c:v>
                </c:pt>
                <c:pt idx="95">
                  <c:v>0.69299999999999995</c:v>
                </c:pt>
                <c:pt idx="96">
                  <c:v>0.88800000000000001</c:v>
                </c:pt>
                <c:pt idx="97">
                  <c:v>0.746</c:v>
                </c:pt>
                <c:pt idx="98">
                  <c:v>0.66100000000000003</c:v>
                </c:pt>
                <c:pt idx="99">
                  <c:v>0.65800000000000003</c:v>
                </c:pt>
                <c:pt idx="100">
                  <c:v>0.68200000000000005</c:v>
                </c:pt>
                <c:pt idx="101">
                  <c:v>0.76600000000000001</c:v>
                </c:pt>
                <c:pt idx="102">
                  <c:v>0.86</c:v>
                </c:pt>
                <c:pt idx="103">
                  <c:v>0.77600000000000002</c:v>
                </c:pt>
                <c:pt idx="104">
                  <c:v>0.78700000000000003</c:v>
                </c:pt>
                <c:pt idx="105">
                  <c:v>0.80100000000000005</c:v>
                </c:pt>
                <c:pt idx="106">
                  <c:v>0.82699999999999996</c:v>
                </c:pt>
                <c:pt idx="107">
                  <c:v>0.65500000000000003</c:v>
                </c:pt>
                <c:pt idx="108">
                  <c:v>0.752</c:v>
                </c:pt>
                <c:pt idx="109">
                  <c:v>0.92400000000000004</c:v>
                </c:pt>
                <c:pt idx="110">
                  <c:v>0.875</c:v>
                </c:pt>
                <c:pt idx="111">
                  <c:v>0.84</c:v>
                </c:pt>
                <c:pt idx="112">
                  <c:v>0.748</c:v>
                </c:pt>
                <c:pt idx="113">
                  <c:v>0.84299999999999997</c:v>
                </c:pt>
                <c:pt idx="114">
                  <c:v>0.68400000000000005</c:v>
                </c:pt>
                <c:pt idx="115">
                  <c:v>0.878</c:v>
                </c:pt>
                <c:pt idx="116">
                  <c:v>0.82699999999999996</c:v>
                </c:pt>
                <c:pt idx="117">
                  <c:v>0.71399999999999997</c:v>
                </c:pt>
                <c:pt idx="118">
                  <c:v>0.85499999999999998</c:v>
                </c:pt>
                <c:pt idx="119">
                  <c:v>0.85</c:v>
                </c:pt>
                <c:pt idx="120">
                  <c:v>0.82499999999999996</c:v>
                </c:pt>
                <c:pt idx="121">
                  <c:v>0.87</c:v>
                </c:pt>
                <c:pt idx="122">
                  <c:v>0.89800000000000002</c:v>
                </c:pt>
                <c:pt idx="123">
                  <c:v>0.84699999999999998</c:v>
                </c:pt>
                <c:pt idx="124">
                  <c:v>0.82099999999999995</c:v>
                </c:pt>
                <c:pt idx="125">
                  <c:v>0.66</c:v>
                </c:pt>
                <c:pt idx="126">
                  <c:v>0.70499999999999996</c:v>
                </c:pt>
                <c:pt idx="127">
                  <c:v>0.80700000000000005</c:v>
                </c:pt>
                <c:pt idx="128">
                  <c:v>0.86299999999999999</c:v>
                </c:pt>
                <c:pt idx="129">
                  <c:v>0.70799999999999996</c:v>
                </c:pt>
                <c:pt idx="130">
                  <c:v>0.78100000000000003</c:v>
                </c:pt>
                <c:pt idx="131">
                  <c:v>0.79500000000000004</c:v>
                </c:pt>
                <c:pt idx="132">
                  <c:v>0.76100000000000001</c:v>
                </c:pt>
                <c:pt idx="133">
                  <c:v>0.73099999999999998</c:v>
                </c:pt>
                <c:pt idx="134">
                  <c:v>0.80300000000000005</c:v>
                </c:pt>
                <c:pt idx="135">
                  <c:v>0.77200000000000002</c:v>
                </c:pt>
                <c:pt idx="136">
                  <c:v>0.82299999999999995</c:v>
                </c:pt>
                <c:pt idx="137">
                  <c:v>0.86599999999999999</c:v>
                </c:pt>
                <c:pt idx="138">
                  <c:v>0.77400000000000002</c:v>
                </c:pt>
                <c:pt idx="139">
                  <c:v>0.60699999999999998</c:v>
                </c:pt>
                <c:pt idx="140">
                  <c:v>0.8</c:v>
                </c:pt>
                <c:pt idx="141">
                  <c:v>0.57699999999999996</c:v>
                </c:pt>
                <c:pt idx="142">
                  <c:v>0.72099999999999997</c:v>
                </c:pt>
                <c:pt idx="143">
                  <c:v>0.72899999999999998</c:v>
                </c:pt>
                <c:pt idx="144">
                  <c:v>0.91500000000000004</c:v>
                </c:pt>
                <c:pt idx="145">
                  <c:v>0.80100000000000005</c:v>
                </c:pt>
                <c:pt idx="146">
                  <c:v>0.16700000000000001</c:v>
                </c:pt>
                <c:pt idx="147">
                  <c:v>0.82099999999999995</c:v>
                </c:pt>
                <c:pt idx="148">
                  <c:v>0.92400000000000004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4B02-467D-B5A3-CD22478864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394559"/>
        <c:axId val="91420959"/>
      </c:scatterChart>
      <c:valAx>
        <c:axId val="91394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420959"/>
        <c:crosses val="autoZero"/>
        <c:crossBetween val="midCat"/>
      </c:valAx>
      <c:valAx>
        <c:axId val="91420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3945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Sheet5!$C$1</c:f>
              <c:strCache>
                <c:ptCount val="1"/>
                <c:pt idx="0">
                  <c:v>Ladder score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Sheet5!$C$2:$C$150</c:f>
              <c:numCache>
                <c:formatCode>General</c:formatCode>
                <c:ptCount val="149"/>
                <c:pt idx="0">
                  <c:v>7.8419999999999996</c:v>
                </c:pt>
                <c:pt idx="1">
                  <c:v>7.62</c:v>
                </c:pt>
                <c:pt idx="2">
                  <c:v>7.5709999999999997</c:v>
                </c:pt>
                <c:pt idx="3">
                  <c:v>7.5540000000000003</c:v>
                </c:pt>
                <c:pt idx="4">
                  <c:v>7.4640000000000004</c:v>
                </c:pt>
                <c:pt idx="5">
                  <c:v>7.3920000000000003</c:v>
                </c:pt>
                <c:pt idx="6">
                  <c:v>7.3630000000000004</c:v>
                </c:pt>
                <c:pt idx="7">
                  <c:v>7.3239999999999998</c:v>
                </c:pt>
                <c:pt idx="8">
                  <c:v>7.2770000000000001</c:v>
                </c:pt>
                <c:pt idx="9">
                  <c:v>7.2679999999999998</c:v>
                </c:pt>
                <c:pt idx="10">
                  <c:v>7.1829999999999998</c:v>
                </c:pt>
                <c:pt idx="11">
                  <c:v>7.157</c:v>
                </c:pt>
                <c:pt idx="12">
                  <c:v>7.1550000000000002</c:v>
                </c:pt>
                <c:pt idx="13">
                  <c:v>7.1029999999999998</c:v>
                </c:pt>
                <c:pt idx="14">
                  <c:v>7.085</c:v>
                </c:pt>
                <c:pt idx="15">
                  <c:v>7.069</c:v>
                </c:pt>
                <c:pt idx="16">
                  <c:v>7.0640000000000001</c:v>
                </c:pt>
                <c:pt idx="17">
                  <c:v>6.9649999999999999</c:v>
                </c:pt>
                <c:pt idx="18">
                  <c:v>6.9509999999999996</c:v>
                </c:pt>
                <c:pt idx="19">
                  <c:v>6.8339999999999996</c:v>
                </c:pt>
                <c:pt idx="20">
                  <c:v>6.69</c:v>
                </c:pt>
                <c:pt idx="21">
                  <c:v>6.6470000000000002</c:v>
                </c:pt>
                <c:pt idx="22">
                  <c:v>6.6020000000000003</c:v>
                </c:pt>
                <c:pt idx="23">
                  <c:v>6.5839999999999996</c:v>
                </c:pt>
                <c:pt idx="24">
                  <c:v>6.5609999999999999</c:v>
                </c:pt>
                <c:pt idx="25">
                  <c:v>6.4939999999999998</c:v>
                </c:pt>
                <c:pt idx="26">
                  <c:v>6.4909999999999997</c:v>
                </c:pt>
                <c:pt idx="27">
                  <c:v>6.4829999999999997</c:v>
                </c:pt>
                <c:pt idx="28">
                  <c:v>6.4610000000000003</c:v>
                </c:pt>
                <c:pt idx="29">
                  <c:v>6.4349999999999996</c:v>
                </c:pt>
                <c:pt idx="30">
                  <c:v>6.431</c:v>
                </c:pt>
                <c:pt idx="31">
                  <c:v>6.3769999999999998</c:v>
                </c:pt>
                <c:pt idx="32">
                  <c:v>6.3719999999999999</c:v>
                </c:pt>
                <c:pt idx="33">
                  <c:v>6.3310000000000004</c:v>
                </c:pt>
                <c:pt idx="34">
                  <c:v>6.33</c:v>
                </c:pt>
                <c:pt idx="35">
                  <c:v>6.3170000000000002</c:v>
                </c:pt>
                <c:pt idx="36">
                  <c:v>6.3090000000000002</c:v>
                </c:pt>
                <c:pt idx="37">
                  <c:v>6.2549999999999999</c:v>
                </c:pt>
                <c:pt idx="38">
                  <c:v>6.2229999999999999</c:v>
                </c:pt>
                <c:pt idx="39">
                  <c:v>6.1890000000000001</c:v>
                </c:pt>
                <c:pt idx="40">
                  <c:v>6.18</c:v>
                </c:pt>
                <c:pt idx="41">
                  <c:v>6.1790000000000003</c:v>
                </c:pt>
                <c:pt idx="42">
                  <c:v>6.1719999999999997</c:v>
                </c:pt>
                <c:pt idx="43">
                  <c:v>6.1660000000000004</c:v>
                </c:pt>
                <c:pt idx="44">
                  <c:v>6.1520000000000001</c:v>
                </c:pt>
                <c:pt idx="45">
                  <c:v>6.14</c:v>
                </c:pt>
                <c:pt idx="46">
                  <c:v>6.1059999999999999</c:v>
                </c:pt>
                <c:pt idx="47">
                  <c:v>6.0780000000000003</c:v>
                </c:pt>
                <c:pt idx="48">
                  <c:v>6.0609999999999999</c:v>
                </c:pt>
                <c:pt idx="49">
                  <c:v>6.0490000000000004</c:v>
                </c:pt>
                <c:pt idx="50">
                  <c:v>6.032</c:v>
                </c:pt>
                <c:pt idx="51">
                  <c:v>6.0119999999999996</c:v>
                </c:pt>
                <c:pt idx="52">
                  <c:v>5.992</c:v>
                </c:pt>
                <c:pt idx="53">
                  <c:v>5.9850000000000003</c:v>
                </c:pt>
                <c:pt idx="54">
                  <c:v>5.9720000000000004</c:v>
                </c:pt>
                <c:pt idx="55">
                  <c:v>5.94</c:v>
                </c:pt>
                <c:pt idx="56">
                  <c:v>5.9290000000000003</c:v>
                </c:pt>
                <c:pt idx="57">
                  <c:v>5.9290000000000003</c:v>
                </c:pt>
                <c:pt idx="58">
                  <c:v>5.9189999999999996</c:v>
                </c:pt>
                <c:pt idx="59">
                  <c:v>5.8819999999999997</c:v>
                </c:pt>
                <c:pt idx="60">
                  <c:v>5.88</c:v>
                </c:pt>
                <c:pt idx="61">
                  <c:v>5.8449999999999998</c:v>
                </c:pt>
                <c:pt idx="62">
                  <c:v>5.84</c:v>
                </c:pt>
                <c:pt idx="63">
                  <c:v>5.8129999999999997</c:v>
                </c:pt>
                <c:pt idx="64">
                  <c:v>5.766</c:v>
                </c:pt>
                <c:pt idx="65">
                  <c:v>5.7640000000000002</c:v>
                </c:pt>
                <c:pt idx="66">
                  <c:v>5.7439999999999998</c:v>
                </c:pt>
                <c:pt idx="67">
                  <c:v>5.7229999999999999</c:v>
                </c:pt>
                <c:pt idx="68">
                  <c:v>5.7160000000000002</c:v>
                </c:pt>
                <c:pt idx="69">
                  <c:v>5.6769999999999996</c:v>
                </c:pt>
                <c:pt idx="70">
                  <c:v>5.6529999999999996</c:v>
                </c:pt>
                <c:pt idx="71">
                  <c:v>5.5810000000000004</c:v>
                </c:pt>
                <c:pt idx="72">
                  <c:v>5.5449999999999999</c:v>
                </c:pt>
                <c:pt idx="73">
                  <c:v>5.5359999999999996</c:v>
                </c:pt>
                <c:pt idx="74">
                  <c:v>5.5339999999999998</c:v>
                </c:pt>
                <c:pt idx="75">
                  <c:v>5.4770000000000003</c:v>
                </c:pt>
                <c:pt idx="76">
                  <c:v>5.4770000000000003</c:v>
                </c:pt>
                <c:pt idx="77">
                  <c:v>5.4660000000000002</c:v>
                </c:pt>
                <c:pt idx="78">
                  <c:v>5.4109999999999996</c:v>
                </c:pt>
                <c:pt idx="79">
                  <c:v>5.41</c:v>
                </c:pt>
                <c:pt idx="80">
                  <c:v>5.3840000000000003</c:v>
                </c:pt>
                <c:pt idx="81">
                  <c:v>5.3449999999999998</c:v>
                </c:pt>
                <c:pt idx="82">
                  <c:v>5.3419999999999996</c:v>
                </c:pt>
                <c:pt idx="83">
                  <c:v>5.3390000000000004</c:v>
                </c:pt>
                <c:pt idx="84">
                  <c:v>5.306</c:v>
                </c:pt>
                <c:pt idx="85">
                  <c:v>5.2830000000000004</c:v>
                </c:pt>
                <c:pt idx="86">
                  <c:v>5.2690000000000001</c:v>
                </c:pt>
                <c:pt idx="87">
                  <c:v>5.266</c:v>
                </c:pt>
                <c:pt idx="88">
                  <c:v>5.1980000000000004</c:v>
                </c:pt>
                <c:pt idx="89">
                  <c:v>5.1710000000000003</c:v>
                </c:pt>
                <c:pt idx="90">
                  <c:v>5.1420000000000003</c:v>
                </c:pt>
                <c:pt idx="91">
                  <c:v>5.1319999999999997</c:v>
                </c:pt>
                <c:pt idx="92">
                  <c:v>5.117</c:v>
                </c:pt>
                <c:pt idx="93">
                  <c:v>5.101</c:v>
                </c:pt>
                <c:pt idx="94">
                  <c:v>5.0880000000000001</c:v>
                </c:pt>
                <c:pt idx="95">
                  <c:v>5.0739999999999998</c:v>
                </c:pt>
                <c:pt idx="96">
                  <c:v>5.0659999999999998</c:v>
                </c:pt>
                <c:pt idx="97">
                  <c:v>5.0510000000000002</c:v>
                </c:pt>
                <c:pt idx="98">
                  <c:v>5.0449999999999999</c:v>
                </c:pt>
                <c:pt idx="99">
                  <c:v>5.03</c:v>
                </c:pt>
                <c:pt idx="100">
                  <c:v>5.0250000000000004</c:v>
                </c:pt>
                <c:pt idx="101">
                  <c:v>4.984</c:v>
                </c:pt>
                <c:pt idx="102">
                  <c:v>4.9560000000000004</c:v>
                </c:pt>
                <c:pt idx="103">
                  <c:v>4.9480000000000004</c:v>
                </c:pt>
                <c:pt idx="104">
                  <c:v>4.9340000000000002</c:v>
                </c:pt>
                <c:pt idx="105">
                  <c:v>4.9180000000000001</c:v>
                </c:pt>
                <c:pt idx="106">
                  <c:v>4.8920000000000003</c:v>
                </c:pt>
                <c:pt idx="107">
                  <c:v>4.891</c:v>
                </c:pt>
                <c:pt idx="108">
                  <c:v>4.8869999999999996</c:v>
                </c:pt>
                <c:pt idx="109">
                  <c:v>4.875</c:v>
                </c:pt>
                <c:pt idx="110">
                  <c:v>4.8540000000000001</c:v>
                </c:pt>
                <c:pt idx="111">
                  <c:v>4.8520000000000003</c:v>
                </c:pt>
                <c:pt idx="112">
                  <c:v>4.8339999999999996</c:v>
                </c:pt>
                <c:pt idx="113">
                  <c:v>4.83</c:v>
                </c:pt>
                <c:pt idx="114">
                  <c:v>4.7939999999999996</c:v>
                </c:pt>
                <c:pt idx="115">
                  <c:v>4.7590000000000003</c:v>
                </c:pt>
                <c:pt idx="116">
                  <c:v>4.7229999999999999</c:v>
                </c:pt>
                <c:pt idx="117">
                  <c:v>4.7210000000000001</c:v>
                </c:pt>
                <c:pt idx="118">
                  <c:v>4.6360000000000001</c:v>
                </c:pt>
                <c:pt idx="119">
                  <c:v>4.625</c:v>
                </c:pt>
                <c:pt idx="120">
                  <c:v>4.6070000000000002</c:v>
                </c:pt>
                <c:pt idx="121">
                  <c:v>4.5960000000000001</c:v>
                </c:pt>
                <c:pt idx="122">
                  <c:v>4.5839999999999996</c:v>
                </c:pt>
                <c:pt idx="123">
                  <c:v>4.5739999999999998</c:v>
                </c:pt>
                <c:pt idx="124">
                  <c:v>4.5170000000000003</c:v>
                </c:pt>
                <c:pt idx="125">
                  <c:v>4.4260000000000002</c:v>
                </c:pt>
                <c:pt idx="126">
                  <c:v>4.3949999999999996</c:v>
                </c:pt>
                <c:pt idx="127">
                  <c:v>4.3550000000000004</c:v>
                </c:pt>
                <c:pt idx="128">
                  <c:v>4.3250000000000002</c:v>
                </c:pt>
                <c:pt idx="129">
                  <c:v>4.3079999999999998</c:v>
                </c:pt>
                <c:pt idx="130">
                  <c:v>4.2889999999999997</c:v>
                </c:pt>
                <c:pt idx="131">
                  <c:v>4.2830000000000004</c:v>
                </c:pt>
                <c:pt idx="132">
                  <c:v>4.2750000000000004</c:v>
                </c:pt>
                <c:pt idx="133">
                  <c:v>4.2270000000000003</c:v>
                </c:pt>
                <c:pt idx="134">
                  <c:v>4.2080000000000002</c:v>
                </c:pt>
                <c:pt idx="135">
                  <c:v>4.1070000000000002</c:v>
                </c:pt>
                <c:pt idx="136">
                  <c:v>4.0730000000000004</c:v>
                </c:pt>
                <c:pt idx="137">
                  <c:v>3.8490000000000002</c:v>
                </c:pt>
                <c:pt idx="138">
                  <c:v>3.819</c:v>
                </c:pt>
                <c:pt idx="139">
                  <c:v>3.7749999999999999</c:v>
                </c:pt>
                <c:pt idx="140">
                  <c:v>3.6579999999999999</c:v>
                </c:pt>
                <c:pt idx="141">
                  <c:v>3.6230000000000002</c:v>
                </c:pt>
                <c:pt idx="142">
                  <c:v>3.6150000000000002</c:v>
                </c:pt>
                <c:pt idx="143">
                  <c:v>3.6</c:v>
                </c:pt>
                <c:pt idx="144">
                  <c:v>3.512</c:v>
                </c:pt>
                <c:pt idx="145">
                  <c:v>3.4670000000000001</c:v>
                </c:pt>
                <c:pt idx="146">
                  <c:v>3.415</c:v>
                </c:pt>
                <c:pt idx="147">
                  <c:v>3.145</c:v>
                </c:pt>
                <c:pt idx="148">
                  <c:v>2.5230000000000001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68-43FA-863D-D333FFB15853}"/>
            </c:ext>
          </c:extLst>
        </c:ser>
        <c:ser>
          <c:idx val="1"/>
          <c:order val="1"/>
          <c:tx>
            <c:strRef>
              <c:f>Sheet5!$J$1</c:f>
              <c:strCache>
                <c:ptCount val="1"/>
                <c:pt idx="0">
                  <c:v>Calculated happiness score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Sheet5!$J$2:$J$150</c:f>
              <c:numCache>
                <c:formatCode>General</c:formatCode>
                <c:ptCount val="149"/>
                <c:pt idx="0">
                  <c:v>7.0780120000000011</c:v>
                </c:pt>
                <c:pt idx="1">
                  <c:v>7.1882304000000001</c:v>
                </c:pt>
                <c:pt idx="2">
                  <c:v>7.1369721999999998</c:v>
                </c:pt>
                <c:pt idx="3">
                  <c:v>7.0203047999999999</c:v>
                </c:pt>
                <c:pt idx="4">
                  <c:v>7.0394271000000002</c:v>
                </c:pt>
                <c:pt idx="5">
                  <c:v>7.2359905000000015</c:v>
                </c:pt>
                <c:pt idx="6">
                  <c:v>7.1035595000000002</c:v>
                </c:pt>
                <c:pt idx="7">
                  <c:v>7.0438714000000013</c:v>
                </c:pt>
                <c:pt idx="8">
                  <c:v>7.0791260000000014</c:v>
                </c:pt>
                <c:pt idx="9">
                  <c:v>6.8945735000000008</c:v>
                </c:pt>
                <c:pt idx="10">
                  <c:v>6.9751624000000003</c:v>
                </c:pt>
                <c:pt idx="11">
                  <c:v>6.4348612999999997</c:v>
                </c:pt>
                <c:pt idx="12">
                  <c:v>6.7194119999999993</c:v>
                </c:pt>
                <c:pt idx="13">
                  <c:v>6.9247157999999986</c:v>
                </c:pt>
                <c:pt idx="14">
                  <c:v>7.0472074000000013</c:v>
                </c:pt>
                <c:pt idx="15">
                  <c:v>6.2363409000000001</c:v>
                </c:pt>
                <c:pt idx="16">
                  <c:v>6.7991110999999993</c:v>
                </c:pt>
                <c:pt idx="17">
                  <c:v>6.3276024999999994</c:v>
                </c:pt>
                <c:pt idx="18">
                  <c:v>6.4844324000000002</c:v>
                </c:pt>
                <c:pt idx="19">
                  <c:v>6.3464691000000011</c:v>
                </c:pt>
                <c:pt idx="20">
                  <c:v>6.5829005000000009</c:v>
                </c:pt>
                <c:pt idx="21">
                  <c:v>6.4402302999999996</c:v>
                </c:pt>
                <c:pt idx="22">
                  <c:v>6.7562536000000009</c:v>
                </c:pt>
                <c:pt idx="23">
                  <c:v>6.2481989999999996</c:v>
                </c:pt>
                <c:pt idx="24">
                  <c:v>6.5355078999999998</c:v>
                </c:pt>
                <c:pt idx="25">
                  <c:v>6.2848581000000001</c:v>
                </c:pt>
                <c:pt idx="26">
                  <c:v>6.3382975000000004</c:v>
                </c:pt>
                <c:pt idx="27">
                  <c:v>5.9857747999999997</c:v>
                </c:pt>
                <c:pt idx="28">
                  <c:v>6.5999626000000005</c:v>
                </c:pt>
                <c:pt idx="29">
                  <c:v>5.6132047999999992</c:v>
                </c:pt>
                <c:pt idx="30">
                  <c:v>6.3433861999999994</c:v>
                </c:pt>
                <c:pt idx="31">
                  <c:v>7.3786510000000005</c:v>
                </c:pt>
                <c:pt idx="32">
                  <c:v>5.6195736999999992</c:v>
                </c:pt>
                <c:pt idx="33">
                  <c:v>6.0190603000000005</c:v>
                </c:pt>
                <c:pt idx="34">
                  <c:v>5.7747041999999995</c:v>
                </c:pt>
                <c:pt idx="35">
                  <c:v>5.8506111000000001</c:v>
                </c:pt>
                <c:pt idx="36">
                  <c:v>5.7516781999999997</c:v>
                </c:pt>
                <c:pt idx="37">
                  <c:v>6.0504000000000007</c:v>
                </c:pt>
                <c:pt idx="38">
                  <c:v>5.961654900000001</c:v>
                </c:pt>
                <c:pt idx="39">
                  <c:v>6.5770140999999995</c:v>
                </c:pt>
                <c:pt idx="40">
                  <c:v>6.1594557999999999</c:v>
                </c:pt>
                <c:pt idx="41">
                  <c:v>6.2347270000000004</c:v>
                </c:pt>
                <c:pt idx="42">
                  <c:v>5.8561773000000006</c:v>
                </c:pt>
                <c:pt idx="43">
                  <c:v>6.186123199999999</c:v>
                </c:pt>
                <c:pt idx="44">
                  <c:v>6.1802995000000003</c:v>
                </c:pt>
                <c:pt idx="45">
                  <c:v>5.7897180000000006</c:v>
                </c:pt>
                <c:pt idx="46">
                  <c:v>6.1605104000000006</c:v>
                </c:pt>
                <c:pt idx="47">
                  <c:v>5.7982084</c:v>
                </c:pt>
                <c:pt idx="48">
                  <c:v>5.5211691999999992</c:v>
                </c:pt>
                <c:pt idx="49">
                  <c:v>6.0680393000000006</c:v>
                </c:pt>
                <c:pt idx="50">
                  <c:v>5.8688045999999998</c:v>
                </c:pt>
                <c:pt idx="51">
                  <c:v>5.7164586000000002</c:v>
                </c:pt>
                <c:pt idx="52">
                  <c:v>5.9733991</c:v>
                </c:pt>
                <c:pt idx="53">
                  <c:v>6.0847137000000009</c:v>
                </c:pt>
                <c:pt idx="54">
                  <c:v>5.6478134999999998</c:v>
                </c:pt>
                <c:pt idx="55">
                  <c:v>6.3133543000000003</c:v>
                </c:pt>
                <c:pt idx="56">
                  <c:v>5.9552264000000008</c:v>
                </c:pt>
                <c:pt idx="57">
                  <c:v>6.2195579999999993</c:v>
                </c:pt>
                <c:pt idx="58">
                  <c:v>5.4927694000000002</c:v>
                </c:pt>
                <c:pt idx="59">
                  <c:v>5.9563989000000008</c:v>
                </c:pt>
                <c:pt idx="60">
                  <c:v>5.5926855</c:v>
                </c:pt>
                <c:pt idx="61">
                  <c:v>5.8383114000000003</c:v>
                </c:pt>
                <c:pt idx="62">
                  <c:v>5.5918536999999997</c:v>
                </c:pt>
                <c:pt idx="63">
                  <c:v>5.5581104999999997</c:v>
                </c:pt>
                <c:pt idx="64">
                  <c:v>5.5863376999999996</c:v>
                </c:pt>
                <c:pt idx="65">
                  <c:v>5.6209397999999995</c:v>
                </c:pt>
                <c:pt idx="66">
                  <c:v>5.6855182000000015</c:v>
                </c:pt>
                <c:pt idx="67">
                  <c:v>5.4406396000000008</c:v>
                </c:pt>
                <c:pt idx="68">
                  <c:v>5.4565290999999991</c:v>
                </c:pt>
                <c:pt idx="69">
                  <c:v>5.5468358000000002</c:v>
                </c:pt>
                <c:pt idx="70">
                  <c:v>5.849235600000001</c:v>
                </c:pt>
                <c:pt idx="71">
                  <c:v>5.6668925000000012</c:v>
                </c:pt>
                <c:pt idx="72">
                  <c:v>5.8660715999999997</c:v>
                </c:pt>
                <c:pt idx="73">
                  <c:v>6.2123131000000003</c:v>
                </c:pt>
                <c:pt idx="74">
                  <c:v>5.6393567000000004</c:v>
                </c:pt>
                <c:pt idx="75">
                  <c:v>5.6989160999999999</c:v>
                </c:pt>
                <c:pt idx="76">
                  <c:v>6.4571371999999991</c:v>
                </c:pt>
                <c:pt idx="77">
                  <c:v>5.4191900999999998</c:v>
                </c:pt>
                <c:pt idx="78">
                  <c:v>5.8094529000000001</c:v>
                </c:pt>
                <c:pt idx="79">
                  <c:v>5.5024474000000003</c:v>
                </c:pt>
                <c:pt idx="80">
                  <c:v>6.0178355999999997</c:v>
                </c:pt>
                <c:pt idx="81">
                  <c:v>5.7023161</c:v>
                </c:pt>
                <c:pt idx="82">
                  <c:v>4.2921798000000004</c:v>
                </c:pt>
                <c:pt idx="83">
                  <c:v>5.8907087000000011</c:v>
                </c:pt>
                <c:pt idx="84">
                  <c:v>4.2694321999999998</c:v>
                </c:pt>
                <c:pt idx="85">
                  <c:v>5.6415022000000006</c:v>
                </c:pt>
                <c:pt idx="86">
                  <c:v>5.0828708000000002</c:v>
                </c:pt>
                <c:pt idx="87">
                  <c:v>5.8830526000000001</c:v>
                </c:pt>
                <c:pt idx="88">
                  <c:v>6.1356227000000008</c:v>
                </c:pt>
                <c:pt idx="89">
                  <c:v>5.7459207000000001</c:v>
                </c:pt>
                <c:pt idx="90">
                  <c:v>4.3972571</c:v>
                </c:pt>
                <c:pt idx="91">
                  <c:v>4.4977335999999992</c:v>
                </c:pt>
                <c:pt idx="92">
                  <c:v>5.2623364999999991</c:v>
                </c:pt>
                <c:pt idx="93">
                  <c:v>5.4253138999999999</c:v>
                </c:pt>
                <c:pt idx="94">
                  <c:v>4.8601331000000005</c:v>
                </c:pt>
                <c:pt idx="95">
                  <c:v>4.1711570999999994</c:v>
                </c:pt>
                <c:pt idx="96">
                  <c:v>6.1045636999999999</c:v>
                </c:pt>
                <c:pt idx="97">
                  <c:v>4.3953825000000002</c:v>
                </c:pt>
                <c:pt idx="98">
                  <c:v>4.0013699999999996</c:v>
                </c:pt>
                <c:pt idx="99">
                  <c:v>5.3291109000000008</c:v>
                </c:pt>
                <c:pt idx="100">
                  <c:v>5.1407295</c:v>
                </c:pt>
                <c:pt idx="101">
                  <c:v>4.1749851000000007</c:v>
                </c:pt>
                <c:pt idx="102">
                  <c:v>5.2057253999999995</c:v>
                </c:pt>
                <c:pt idx="103">
                  <c:v>5.3342849000000001</c:v>
                </c:pt>
                <c:pt idx="104">
                  <c:v>4.5368203999999999</c:v>
                </c:pt>
                <c:pt idx="105">
                  <c:v>4.6294064000000006</c:v>
                </c:pt>
                <c:pt idx="106">
                  <c:v>5.126177900000001</c:v>
                </c:pt>
                <c:pt idx="107">
                  <c:v>5.1427814999999999</c:v>
                </c:pt>
                <c:pt idx="108">
                  <c:v>4.8453429000000003</c:v>
                </c:pt>
                <c:pt idx="109">
                  <c:v>5.4580393999999997</c:v>
                </c:pt>
                <c:pt idx="110">
                  <c:v>4.7461294000000001</c:v>
                </c:pt>
                <c:pt idx="111">
                  <c:v>5.0737298000000015</c:v>
                </c:pt>
                <c:pt idx="112">
                  <c:v>4.1549857999999995</c:v>
                </c:pt>
                <c:pt idx="113">
                  <c:v>5.302672799999999</c:v>
                </c:pt>
                <c:pt idx="114">
                  <c:v>4.6449466000000008</c:v>
                </c:pt>
                <c:pt idx="115">
                  <c:v>4.4621956000000003</c:v>
                </c:pt>
                <c:pt idx="116">
                  <c:v>4.1824599000000005</c:v>
                </c:pt>
                <c:pt idx="117">
                  <c:v>5.0783018000000002</c:v>
                </c:pt>
                <c:pt idx="118">
                  <c:v>4.4948348000000005</c:v>
                </c:pt>
                <c:pt idx="119">
                  <c:v>4.2761519000000003</c:v>
                </c:pt>
                <c:pt idx="120">
                  <c:v>4.8142111000000005</c:v>
                </c:pt>
                <c:pt idx="121">
                  <c:v>4.8190981000000006</c:v>
                </c:pt>
                <c:pt idx="122">
                  <c:v>5.0794725999999999</c:v>
                </c:pt>
                <c:pt idx="123">
                  <c:v>4.9485749999999999</c:v>
                </c:pt>
                <c:pt idx="124">
                  <c:v>4.8225458999999997</c:v>
                </c:pt>
                <c:pt idx="125">
                  <c:v>5.4231315000000011</c:v>
                </c:pt>
                <c:pt idx="126">
                  <c:v>5.2889915999999992</c:v>
                </c:pt>
                <c:pt idx="127">
                  <c:v>3.5133934</c:v>
                </c:pt>
                <c:pt idx="128">
                  <c:v>5.6940589000000008</c:v>
                </c:pt>
                <c:pt idx="129">
                  <c:v>4.5483500999999995</c:v>
                </c:pt>
                <c:pt idx="130">
                  <c:v>3.9542921000000004</c:v>
                </c:pt>
                <c:pt idx="131">
                  <c:v>5.075055100000001</c:v>
                </c:pt>
                <c:pt idx="132">
                  <c:v>4.6740855000000003</c:v>
                </c:pt>
                <c:pt idx="133">
                  <c:v>4.4977822999999999</c:v>
                </c:pt>
                <c:pt idx="134">
                  <c:v>3.9476754000000005</c:v>
                </c:pt>
                <c:pt idx="135">
                  <c:v>3.6823540999999995</c:v>
                </c:pt>
                <c:pt idx="136">
                  <c:v>4.5799319000000009</c:v>
                </c:pt>
                <c:pt idx="137">
                  <c:v>3.9137558000000001</c:v>
                </c:pt>
                <c:pt idx="138">
                  <c:v>4.8996117000000003</c:v>
                </c:pt>
                <c:pt idx="139">
                  <c:v>3.3311721999999997</c:v>
                </c:pt>
                <c:pt idx="140">
                  <c:v>4.3445202000000016</c:v>
                </c:pt>
                <c:pt idx="141">
                  <c:v>4.8520931000000012</c:v>
                </c:pt>
                <c:pt idx="142">
                  <c:v>3.7872057000000003</c:v>
                </c:pt>
                <c:pt idx="143">
                  <c:v>3.9340240999999994</c:v>
                </c:pt>
                <c:pt idx="144">
                  <c:v>4.2386010000000001</c:v>
                </c:pt>
                <c:pt idx="145">
                  <c:v>5.3163849999999995</c:v>
                </c:pt>
                <c:pt idx="146">
                  <c:v>4.8601196</c:v>
                </c:pt>
                <c:pt idx="147">
                  <c:v>4.3901034000000001</c:v>
                </c:pt>
                <c:pt idx="148">
                  <c:v>2.8223008000000003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68-43FA-863D-D333FFB158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425279"/>
        <c:axId val="91427679"/>
      </c:lineChart>
      <c:catAx>
        <c:axId val="9142527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427679"/>
        <c:crosses val="autoZero"/>
        <c:auto val="1"/>
        <c:lblAlgn val="ctr"/>
        <c:lblOffset val="100"/>
        <c:noMultiLvlLbl val="0"/>
      </c:catAx>
      <c:valAx>
        <c:axId val="91427679"/>
        <c:scaling>
          <c:orientation val="minMax"/>
          <c:max val="8000"/>
          <c:min val="2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425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l-SI"/>
              <a:t>Comparison</a:t>
            </a:r>
            <a:r>
              <a:rPr lang="sl-SI" baseline="0"/>
              <a:t> between top 5 and bottom 5 countries sorted by ladder score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Sheet6!$B$175</c:f>
              <c:strCache>
                <c:ptCount val="1"/>
                <c:pt idx="0">
                  <c:v>Top 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Sheet6!$C$174:$J$174</c:f>
              <c:strCache>
                <c:ptCount val="8"/>
                <c:pt idx="0">
                  <c:v>Ladder score</c:v>
                </c:pt>
                <c:pt idx="1">
                  <c:v>Standard error of ladder score</c:v>
                </c:pt>
                <c:pt idx="2">
                  <c:v>Logged GDP per capita</c:v>
                </c:pt>
                <c:pt idx="3">
                  <c:v>Social support</c:v>
                </c:pt>
                <c:pt idx="4">
                  <c:v>Healthy life expectancy</c:v>
                </c:pt>
                <c:pt idx="5">
                  <c:v>Freedom to make life choices</c:v>
                </c:pt>
                <c:pt idx="6">
                  <c:v>Generosity</c:v>
                </c:pt>
                <c:pt idx="7">
                  <c:v>Perceptions of corruption</c:v>
                </c:pt>
              </c:strCache>
            </c:strRef>
          </c:cat>
          <c:val>
            <c:numRef>
              <c:f>Sheet6!$C$175:$J$175</c:f>
              <c:numCache>
                <c:formatCode>General</c:formatCode>
                <c:ptCount val="8"/>
                <c:pt idx="0">
                  <c:v>7.6102000000000007</c:v>
                </c:pt>
                <c:pt idx="1">
                  <c:v>3.78E-2</c:v>
                </c:pt>
                <c:pt idx="2" formatCode="#,##0">
                  <c:v>10.927000000000001</c:v>
                </c:pt>
                <c:pt idx="3">
                  <c:v>0.95499999999999985</c:v>
                </c:pt>
                <c:pt idx="4">
                  <c:v>72.900000000000006</c:v>
                </c:pt>
                <c:pt idx="5">
                  <c:v>0.93640000000000012</c:v>
                </c:pt>
                <c:pt idx="6">
                  <c:v>5.8399999999999994E-2</c:v>
                </c:pt>
                <c:pt idx="7">
                  <c:v>0.33360000000000001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7A-4F4B-8C69-5CF72B645B63}"/>
            </c:ext>
          </c:extLst>
        </c:ser>
        <c:ser>
          <c:idx val="1"/>
          <c:order val="1"/>
          <c:tx>
            <c:strRef>
              <c:f>Sheet6!$B$176</c:f>
              <c:strCache>
                <c:ptCount val="1"/>
                <c:pt idx="0">
                  <c:v>Bottom 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Sheet6!$C$174:$J$174</c:f>
              <c:strCache>
                <c:ptCount val="8"/>
                <c:pt idx="0">
                  <c:v>Ladder score</c:v>
                </c:pt>
                <c:pt idx="1">
                  <c:v>Standard error of ladder score</c:v>
                </c:pt>
                <c:pt idx="2">
                  <c:v>Logged GDP per capita</c:v>
                </c:pt>
                <c:pt idx="3">
                  <c:v>Social support</c:v>
                </c:pt>
                <c:pt idx="4">
                  <c:v>Healthy life expectancy</c:v>
                </c:pt>
                <c:pt idx="5">
                  <c:v>Freedom to make life choices</c:v>
                </c:pt>
                <c:pt idx="6">
                  <c:v>Generosity</c:v>
                </c:pt>
                <c:pt idx="7">
                  <c:v>Perceptions of corruption</c:v>
                </c:pt>
              </c:strCache>
            </c:strRef>
          </c:cat>
          <c:val>
            <c:numRef>
              <c:f>Sheet6!$C$176:$J$176</c:f>
              <c:numCache>
                <c:formatCode>General</c:formatCode>
                <c:ptCount val="8"/>
                <c:pt idx="0">
                  <c:v>3.2124000000000001</c:v>
                </c:pt>
                <c:pt idx="1">
                  <c:v>7.1599999999999997E-2</c:v>
                </c:pt>
                <c:pt idx="2" formatCode="#,##0">
                  <c:v>8.2043999999999997</c:v>
                </c:pt>
                <c:pt idx="3">
                  <c:v>0.66720000000000002</c:v>
                </c:pt>
                <c:pt idx="4">
                  <c:v>55.6126</c:v>
                </c:pt>
                <c:pt idx="5">
                  <c:v>0.69900000000000007</c:v>
                </c:pt>
                <c:pt idx="6">
                  <c:v>-9.2999999999999999E-2</c:v>
                </c:pt>
                <c:pt idx="7">
                  <c:v>0.72560000000000002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7A-4F4B-8C69-5CF72B645B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1327839"/>
        <c:axId val="91324479"/>
      </c:barChart>
      <c:catAx>
        <c:axId val="913278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324479"/>
        <c:crosses val="autoZero"/>
        <c:auto val="1"/>
        <c:lblAlgn val="ctr"/>
        <c:lblOffset val="100"/>
        <c:noMultiLvlLbl val="0"/>
      </c:catAx>
      <c:valAx>
        <c:axId val="91324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327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_xlchart.v5.3</cx:f>
        <cx:nf>_xlchart.v5.2</cx:nf>
      </cx:strDim>
      <cx:strDim type="colorStr">
        <cx:f>_xlchart.v5.1</cx:f>
      </cx:strDim>
    </cx:data>
  </cx:chartData>
  <cx:chart>
    <cx:title pos="t" align="ctr" overlay="0"/>
    <cx:plotArea>
      <cx:plotAreaRegion>
        <cx:series layoutId="regionMap" uniqueId="{9C52026A-48BF-4C5C-92F2-2E7AC259BBA7}">
          <cx:tx>
            <cx:txData>
              <cx:f>_xlchart.v5.0</cx:f>
              <cx:v>Regional indicator</cx:v>
            </cx:txData>
          </cx:tx>
          <cx:dataId val="0"/>
          <cx:layoutPr>
            <cx:geography cultureLanguage="en-US" cultureRegion="SI" attribution="Powered by Bing">
              <cx:geoCache provider="{E9337A44-BEBE-4D9F-B70C-5C5E7DAFC167}">
                <cx:binary>7H1bc9tIsuZfUfhldyMWatwvE9MTYYDUxbq0ZEnubr8waIkGQNxI3InfdR737fyx/UACJJAum/Qa
E2TEDk7EnJkqpZH8spCVmZWZ9c/X8h+v/mwan5WBHyb/eC1/f+ek6eIfv/2WvDqzYJqcB+5rHCXR
1/T8NQp+i75+dV9nv73F08IN7d9EXpB/e3WmcTor3/3rn/jX7Fl0G71OUzcKH7NZvPo4SzI/TX4w
x5w6e42yMK3JbfxLv7+zqtmrc/Zxtsi++O7ru7NZmLrp6nm1mP3+rven785+o//gNy8/88Ffmr2B
VjbONVkyeFkQ+PUjvTvzo9BupgXlXJJ0gVcFdTMttK++nwYgX7PlTttBFj9rbqZvb/EsSc6a/98h
7DHfGXeTyNpAYEU1o9bn9S/7rQ/xv/5JBvBbyUhHChSYfVNUCC9xZmfT1Y9+7c+hz0niua4piiIJ
fdw5RT3nsbgUiZeN9aO3b90AfwArbOC3hAT47TgF/uXv4wN/Hc/8afjWQsBaZj8HvALcVUUwVFHa
rGuxt+w57dzQDFkxtGbZ82TdH8AQG/4tIYF/O07hvx4fH/4nP8pn4Y8/85/DX1bPBcEAwljgLLUj
n+tY+3jUzeo3WtFvVv8hDLHx31ESAewmqASero8vATOLs/DNbVH49Q+Ak85lUZVlg1cahAFxR/GL
xrkhibIiiEr70g30B3DCRn5LSIDfjlPczRPA/e9ZMAtbAH4ddUE9l2RNEGW+AR1avQO6rJ3rhqCI
iqhttdJmo99gv5cbNvINGcG9GaWo/30C+uYqC+1pvBoOdwAr6IKm6Lq2AV7r4S4Y5wqv8oYEpb95
2ldvcD+AHzbyW0KC/Xacon/1cnxd8+C4vrtYuOEsaWEYZOUbUOi82t9oBVE4l+pdWFTbd20gP5AJ
Nuw9YgJ9b47C/3B1fPjHSRoNutcq+rmmiJKmKo0x0xeBWJv4gsFrInuvPYAfthS2hEQC23GK/vgE
VM/NtJp6TpJOB9T6sn4u8IJoKHKDcF/7qOq5pum8Lukbpc+THfcwltgy6NISMXSnqCRuTsDZOsC1
/Emb8z+u7joWsV4pNExBXd0bhDzyqNXJv67/ZfFc0VUDKkjcmjYdy0fkzw1eFERRab4B4m/tZ+c7
67/5GXTtN8MIlZBowTcD/9aAwscomA6q62Xl3NAVUZBFkWXoiPK5qiuGKKpwvtZPK+HNrnsAP2yc
t4QE6O041TAf/zj+Tlu7fFNvULcWWy0iaYqk9fdYGJiyIuoq3NnN+ibL+xBO2MDvKAnyuwkK/dPN
8aG/dVMnG3bpK7Bj6liZLjfOUz+iJkqwgvqr/SAm2LB3SAnunRkK/O3z8YG/m5Xu64B6HbAakqQY
Ug1uR6FzAg+Nzxtq/X992PezwMa8pSOAt8MU7bu/jo/2QzR42FIUALasNfvkN2pGkGTo/iaoRqOW
+9lhI9/SEeTbYYr8w+3xkbfiCGccPzyY+EnrEepFVXRZ1pqdtR8vw0GJqsDN+iZedgAjbNC3hAT1
7TiF/erj8WF/msVfBkVdPsduii0VtmNrsHS0DMxGRRFwfiV+Z1/dyw4b+/ZnEOjbYYr8x6fjI387
TfMhkccBlC7zqqyrzQFUf73DktRg5uAMhZgy+/lgQ97SEcjbYQr57afjQ/4wi7N2a/t1D4kD4Fjk
KgyYxgeS+zuqppzzsgLrXm1C9pjvRof3scPGfUNFUN8MUswfxsfH3IwSOExnOAw8u5rF1cyOcjcc
Us3L5xIPjVMfiq+ffoRe0M4VQxWw/xLwf54vtji+9+8QAX3vz6jIzPfHF9ldFKazcGbHA5qdCCcY
uqrrCt+PpdWRfEHnDV2H9d/9OA5jgi2TLi2RQ3eKYn93Ap/LVRS+ZfF0yEA+jmZhYCqq2Lc9OV3F
p6FhH0Y2yfqBZLoSOIQVNv47SoL+boJif3V//HX/voL1MXXng4aSeRyXSKrEtydVffWEcy5N1xBE
U5ooG9mcD2OJLYUuLZFDd4pK4v0JhJJfqi8zzx04qI+DKxyqID+nCTcA6o5lqsIvRsSnjur3P4PD
eGGLoEtLRNCdoiJ4OQERWNNw+jbgPq0iuqBJ2AN4pifMGeq5yiNxDebSRhtBW3W10X5+2CJo6Qj8
7TCF3jqB/dfMfJymD+kbYPdV+Rp9gzgFyrmsK6oqyiTkcwgLbLx3lATx3QTF3Lw8vu6/w2K3p8nr
NG6X3QAOgqCfG6IM85Pvw45kKlkWVFlss9WI1j+MGTb+XVoige4UlcHdCcjgvf9l2AizLJzXukRU
21hEXwywPWuPQRV0dsrmAfywZbAlJALYjlP0359AAO45C91kSKUjSQhISIYMxdPbaXG0wvOCVFue
m4fYnQcwwoZ9S0hg345T2J9PweiM7XqbG9Il5iQZCxthIGynG58YCHdMHU7FvKqJutImiRPf6/0h
PLFl0CElUujMUDm8P4FA6O00GtLp0s9lQ5Z5AYHOzdOTgMDjcEvFOYyoQyV1zZx9bLBR31ARwDeD
FOvbEzBw7qM4dc7upq+zt2Ezp6DwVQHpmkiUZcGO3DVNUGHhtxE7su/+BF9sOXzzDxCRfDNPpXN3
Ake9d5H/hnP2dl3+uh0EJ1dEHieS2Zimv6ifK6rGGzJxvA7ggy2FLSFBfzv+Deqj4xug7317NqjN
D1jr7fV7xg/icXh0sa2XoEePB/DDRn9LSNDfjlP0Ryfh7QZforchrR8B/q4MBS+oUDKdzVfg61IJ
5PELIrF7rOl+HtiQ7ygJ5rsJCvrN1fGX/M0qtlfV4FEehddx4I6td/30420aTsHqZH5eaRLHkQTR
3X4PY4kthS4tkUN36htJnIDndTV1U7dF4tcVPhwroT6NURRieGriuaRA1SNzdiMdAv9ePtjIN2QE
9GaU4n31fPyVb0V+FAx77n5eIyrApuxpGw6IG7yuI8ukSVYmgZ5DOGGDvqMkuO8mKPTWCeQQmihM
jLMBTX2lLsyqq1HaGqC+BETtXDU0oc642ni7JK55AD9s/LeEBP7tOEXf/Pv4C/956hbT8Owhrk+B
X2dn0dczyznA+SVJv/vqgDc13Gvc9uVNf8ySQaMe8K1V5I3iRJPpexs48JFRQ6kZ7DD3fnbYq6Gl
I4uhHaZr4ePL8dfCKArc0H3Fchi+Sh47EE7cZF78ZgfCeRyPYx4cA20+R+IC/hxTbFmw/g0iF9af
UBmNTkBbXs6i2B7SLK49dByy1UcOvY1KllE+r2u6oOOMon6IM3gAI2xhbAmJBLbjFPbLE8gCeJ7O
3aHPPyX9XBVRUynpzUbU90s0vq7gVpEBvMuj6VrGh7HElkGXloihO0Ul8fzh+EoKHtQsjqIhi8sQ
ohIVJJ62hxJ9D0WQ6gRKRefVb93DvZyw4d/9BgL+boJCb90dH/qX0E1nb2fv4+mXs3HgxtN0yPpW
5EPW0RFZM9p6+p4+glUHJSTrddOD9UP00c8yx5YM+18hUmL/EZXY+xNQW0iusiN/0O0COZYwriVU
2W+26/6uUcfR68M7dGQhcfRDWGHLZEdJ5LCboNjfncQ5EhofDAo9Xx9RqIgfNp9A35fHhq1qkqrW
wZT1A7enu1+8j/fyw8Z/S0jg345T9N+fgK5CYL8Yss+QgqNpAd1UeL5x2/ubtQDZ4JtA6nEf9P1s
sDFv6Qjk7TBF/P4ELFOkEtpnN/V/PJ2/P/94fgKu5PM0rIZNYECKuYItShDbj4zv6z9JqdMHdRlV
usxd6hCO2CtiR0nWxG6CrornE4jjP2exV+udYYPKknGOyok6aNk47f0QDz5WFLSg+ZS+K2TsqsJD
mfqOJHo/iUqjN/mNRE5AM7548RSdSVo99evBZTTAk3VNMLDwN2u+vy9JwrmoCbokwJNhGm77+WHL
YftDiAi24xT9l/fHt6E/TBfTAX0XCUmaiiwgrs9Oa5DqNmxoW0J7UO1lgw15Q0YAb0Yp3B8ejg/3
XRRHr0NW62I1C0jUEWHoblYzzNzOYSLa3qHjmijr7axBnMYDGGJDvyUk4G/HKfx3J7Dan6IMeSU3
UTybDqdvsOZlCRUUOtI4W0O3IwIc457ryOPReJq/cCA3bPx7xEQGvTkqh5sTyKV6mMbTgftuomxd
ElBHJwnM7H0OPZPqwy+U25EDrkN4YYtgR0nw301Q8B9O4IjloPOUflPWH/WbxfKHcy1hw2WmVK0z
2dAnTK4PHrtGz1422KA3ZATxZpTCbZ2A3/2AOolgQHWDZCjYNji3aPR97eJ11A2n8+c4z1WQW9J4
hkof9/38sIFv6Qjy7TCF/uEE1L0Vwcw/+4gjpBaCX7cu4XcjMRn7bRudJRuujvp2A002ESXf7AYE
/sN4YougS0vE0J2iorBOQONfZojOBlN/QEnUDRoQm+URYup/AQaO8JBEgjSSXYpPV/McxAtbAh1S
IoDODMX/8vn4hqcZTyvXH+4zQDcYWJb1wyNfoat/EBjfOMFt7QrNZ9jLCRv69hcQ3NthCrp5Aov+
AxT/oMoH9UKitE7IZJ5JcBrMfRWmPtKXN7sDvozuyj+AITb4W0KC/nacwv/hBCILMAr8AeMKHHwt
TUXQVRPbvbe/8jUUkAq6hlweYmLuZYQNekNGIG9GKeDWCVQIjf2zp6mfT9+iuF13v77h4rxTkxCx
UUieLKfraK+hIYOW1iYeyAYb9B4xgb43RwXw9On4Wv4TujJUGRLYhoO/ThLHosZlEo292Y+mceh1
Ws/huoNmnpw4HMQSWxQdUiKIzgwVw6fx8cVwF1VI1XaX2ZDaBxlL2GvRVxlZS+tH6GmfuqSrzhrH
sU8r/E0HyMOYYUugS0tE0J2iMrg7gUD/PTbedZChRWMATYQrJmRZUiSVrf91tPNB32W0K2k+BbIN
HMQSWxAdUiKHzgwVw/318T+F+mhjthpOBkhSQpE6D4z7ZicOuupiCkUWGz1E4pzP//1/Ys9d/fCD
ZEO/oyTI7yYo8M8nYHtevw58wUpdE6rLKIWuy1K6Bj+MUgF3TvCoq2vWfSvujQI6gBM28ltCAvx2
nOJ+/XT8BX/rflkNuP2KdX4LOkCqbfJ4f9nX2MMjQMlKE23AptA1+Pdyw0a+ISO4N6MU9dsTiGmO
X7NhrU4Otjwuj1BVjQQXNGzDat0vQGyOegniB3DCxnxLSFDfjlPcx9bxV7uJbK5BmxRy6MfGK0iQ
N9rjWRJfq9UQSuPE+tqJ7ko/gBM27ltCgvt2nOJunkByy3UST2cDhnOkOrlXRJlKJ0+ko+NhXKLJ
uIw7DZqHxPL3s8PGvqUj0LfDFPnrE/BxzalT5yu0i+/XrUpoeJyXA/y2CWQ/nq+gIWqt/wXUi6wf
Av0B/LCx3xIS8LfjFH3z6vj65iYrUIk4IPgGkkGg6HFr2dZ26ax7FKbDo8LCVxuTnliV+9lhY9/S
EejbYYr8zZ/HR/4BffWHTZrChWQ16MgU6ds0KuI69VVxqEncrHiywx7CCRv2HSUBfjdBoX84gX4L
T9PszV2nuQ+Zvov8dgG7KAo++hYO8nYVpLUjn3p3kN7daA/lhi2CPjURQ3+SiuLp/fG/gut4uhxO
+6ABEg/Vgy48Ss+lggggFVifUtMPg3wB+7hgQ7+hIpBvBinU148nAfWAuyyuZVXR4xdXNjV6vm9W
Klj0KkI7aDvF1DmA6YfMfBdxUH2LOAa/QfwEQga3M7RXG7KSCesbbtL6rLy3vhGs0XF3XF3jtN11
uyrmAEbYgG8JCebbcQr7rXn8hf4w9WcJGny5KHR9nsWxm0axu7+S6d9X8fxUzN6GvCMT6c9wo+uc
lSYptG/hCvj2RLT1xLXJzNWwnx32YmjpyFpoh+lSeDqBg4MPUfz2Y0Xzc1dc1NmhCGHgLvA+5MjZ
MtBfUmwvHeGJU7GfDzbkLR2BvB2mkH84AU96bK8WQzoUyIbDKQ0S0Ju+Sdi6Ow4FbF69vk9Kbz1p
EsXYyw0b94aMwN6MUtTHl8fXefez4uzzDOlAQ14BzqF2vDaYkOy8653QAR+J0sjERWNVrPzWiNuE
qA9khw1+j5iIoDdHBXF/Asdk77MkjaeDlmRyuH8UKelId8Zh2ObpfQNoNQOvGscFSApdG1vEuj2I
JbYoOqREEJ0ZKob3L8f/HpoS3qd02Bpm1CWhNlbB1Re7wqPOB8EZ6IKBUhikDDW5u3AFu4bYwWyx
xUHIiUjILBXLy9PxxXI/W0wHjLKi456IC6fQybD5LvpOiA5zGaEmA5UEm3kSbdrLDVsKDRlBvxml
qN+fQpHM1H9z8/0W8OE56vx5fVqDHPSNc4f/7G/LGnIWEeKDU9KYoOQ7uDuAIzb4O0qC/26CiuDu
BBKJzGlo+9O3WeK0CmGAQDdK8aGJEPFgxlqRtYvjB1GrxbB+YLJ2ddFhLLGl0KUlcuhOUUmYo+Or
oKfYPbudht60RePXBYEbj1AeYMhSU69UW/+dXQEFBEhh1FCzRPJXDmKFLYAOKcG/M0Phvz2B2Ot1
OGjTT7Hub1g3g0NbhNb26UC/PlzGcT727M002QH2csNGvyEjyDejFPXr++Mv+vdfbQeF8sOeNyAa
hXMc9BjGnb3rB+B2sEcioyih43l9r/v6QUy2q38O5IktgR4xkUNvjkrj/cXxpfHkhvZ0gaLJFpBf
V0HIrlC0+oQBG21HBut2LXUhmYrq7PohrsFBnLAl0CEl+HdmKPpPJ+AqPztTd1g/GQE3HR0nybEb
NoO6ThVemUBW/iEcsEHfURLMdxMU8uer4y/4T+4sRdHegMtdwumDjDMdpR+Hw21G5yhIxb2b7Q0j
7Ts3cYkDGGEDvyUkuG/HKeyfTkDrwySergbttVmf6tQXWUOrbx6qbkTY/XW2UdPskaibQxhi47+j
JALYTVAJ3J1AGh1MgiicDSoCjkfaKI+rpXCJI1sIUEeCgHM3pU3d7X8DB/HElkKHlIihM0PlcH0C
Rv/dahoGQ940hWuVEZVGVkWrZ/qRB9yttq4ckNpudmQHOIAftgS2hAT/7ThF/+4E6sbuphkO4dwh
e0BzEABOWww0YmKeCyjwyWqrX0fcdP18o4kOYOk7Itj9GiqE3cw3Yng5/i5s1c0Cz/5nXeBZTXPX
92f/q9UMv26AQi1puAQGPu5WLWHNd01RVBfLyIJRJHaeb9uSuG4rljqzszW3P+KPLZ3v/DNEUt/5
Kyo16wTM1es8ildAY5qkP0Lj584x0TUIFiuC2G1Xob7rxin1BTH4uOorZNYPOc+0/vu/0tnZ2/8A
c+6P3Ri2lCg9EQ+d/kYu18f/mp7qC5uHDGZj20ZCDdra1+WXnQ+Hqydw0o9M4rZFQrsQNkbtAZyw
pbAlJPBvxynuTydg1F4ikDFg7A7lmMhQEnXkrG6evkWLsoW6ISSKRZrp+j7PbhRjLzts6BsyAnwz
SmG/PAEX7t7FbUntT//17QJVCVp9QzZJ1EMGK2JGiGm3D9m293LBRrshI2g3oxTt+/HxlctlXe46
4CpHzXd9CTNuJGdaSxxaf9RnOUiZb0W8US3P2Ij388IGvUtLkO9OUfgvT8BgNWfhkBUJODRG+xpZ
kxvLh+8rePjMOMTErZ3tZkwPavZxw8a/+REE+maUom6eQOf3ywxtK4dc9LVJioxstIojGyomkNTy
3QS5/YywEW/pCOTtMMX88gR206d1A7/3X+NB26pwOJjHfaiw9DUkBnVsGWSy8Oh9IIsGttnuNnoo
H2zg+9QE/v4kFcLn98fX9nUMq3BbQH59c+Wg7uGHaSKPa3HWD7bRjhTqNGIJ17XJneBFVxj7+WGL
oaUjAmiHKfR3fx4f+svplyETtOEF14ftKLZsM7Xq/qAd6IX6NhbU6MCk3EqmC/1eftjIN2QE+GaU
4n55Akv+ARfSZoO6T0jNUtG2FTcT9BFHx1YDE+hd3Fr4mO9CfggrbNR3lAT43QTF/uH5+GveRAsJ
3AB2djFNohaKX1c6uH6Tx7kLr+n9uA88KBXZuRJ6qbQv29iWh7LBxr5PTfDvT1IZmCdwBLz2PYa0
8LH6oVDgUjWJicSxwkeAB22622kijAP4YcthS0hEsB2n6N9fHv8LwI404HYrqGhWX2P/nU65sO/h
W8Gv3Wh8/Nf+h7CPGzbwGyqC+maQQn53AmXeLzZS04c07lHFLaHiadO9D8gSEwego1JDQQLiBnUS
wNzPDhv1lo7g3g5T5F9OYLGjy8iw91wjG72+AainSzomDlc39FB0nD625UckZHYAQ2zwt4QE/e04
hf/24/F1zc0sHLJ/jXCOvAcYNFLfsUIbJ6QfSgZqMjeBSmLk7OWCjXhDRvBuRinaNycQOINp4Q4a
OePQB12EosH14a1J3zfo0SFUxDEvjwvk1g9R7gcwxIZ+S0jA345T+O9PwKy3nOlbu7kNYFLiyBDF
LQI6F2yw7ev4+srRuotlfY61fjDdNez3McPGfUNFQN8MUsSfR8dXL09F3Yd42LIvdFBBaB73V5O7
rVH9CB9KwI0ARLuMk2JaF9y2+LNEz0Z7R0kQ301Q1J9OoMrLigJcPJL86Pf+3IEsB/dJ5GWYkK1B
01/r6GCAMyqEzdpWiUQCBzDEFsCWkOC/Hafw35xAfH6cOm60GNJ9QvdtEWWMdRuynnqv73BFVb2g
t2kNRMccwgkb+B0lQX43QaEfPx9f32xyeYa9dK3O5VFkHiUS/YMRWJJ1CpuoNnWNDM+pzuLZxwwb
/+4PIRLoTlEZ3J2ASfkc2QMGbnTcaAdkkU+72UVJ9QoOwGH44I6pZpamkO9jho3+horgvhmkiD+f
gA/1eeDz2Dqno25ri16TfX2Du43Qv8bAfSNEwe/ngA10S0egbocp2J9PQLs/uWjaMT27nSF1drgd
FoocC1zabqD1CVTXa0VkHpWk+A7ofUaHssPGv09NpNCfpLJ4OoGwze0siVJnQG3DoWODirvVRHT+
7wkAR4Zws+pjEXaW0wGcsCWwJSTgb8cp7rdPx99mzSiFTT1kolPtyAoqupPp6EnZukudDwDtyxRU
SqOkgoTKDmGFjfyOkkC/m6DYm38eH/uPAH7IUCVOQBCXUdV1HVAHcfQI5bHrIky2E0jXf93PBxv2
lo6A3g5TyD+eAOSf3eDL9EsxoLrn0MlZrqtyFR3ruYM69I8mq2i8LZN1fggPbMB3lATy3QQF/fMJ
gH7hhsMGDlSEyrC/wlbcxcK6yCvoXoY7pFr9Qy3JA/hh478lJPBvxyn6F9fH1zKjWV2R4g1n4Cg1
vCo0PJp/rZ++ZVln5MCNNei1gQfwwUZ9S0hQ345T1EcnUH7+VLhpNYuHXfcyesqjyhkX1DVxyr7G
qe+YQu72th8xvTL2QJ7YUugRE0n05qg0rFNIKp6h0mMtjGTA7wCRNJQFSaIAF6qjfhBMFlUD6Wft
ZSPkWOr+MGbYYugREzH05qgY7k/ByM/KWfAlymJ7OCng0nBsBDruUWh68/QLdVU0asUHg+YAG11F
94Lbg1hiy6JLS0TRnaKSuH05/qaw7qo1ZFwTDbeR5lr3Beh/DHWNKPom6ciC3QiAxDUPYIQN/paQ
IL8dp7C/P4Gg5uUsDqbharjVryBqhssy66aF2+PYjiqq73rUUVeitW0LCfoH8MNGf0tI0N+OU/RH
J3Bm2/Qtu0FXjLcoGFAIdfsvCacmbeJfXwVxIkJtuBpD5tvQJgymrv91OF9sYVB6IhM6TUVzaR5f
H5kz33azIWXC12E4Ay0CdnkKnQ9DPldVQUTr2jZXivhoB/DDlsWWkAhhO07RN0/gw7iIp+HrgD4x
7NTNsS65cUqEp6xL2K2/Yxnt54MNektHMG+HKeQXH4+/4JFAl05bNcA6xv65Y926Mbeu4/iwvWOw
7xnUlZ0y7r7WqVO2lw024A0ZwbsZpXDfncDG+7QY9OoXGftq7YThcpfNQzS+BI0v47YppOswrZ69
7LBhb8gI7M0ohX38dPxVfp1O/QGtHRm4imiBx9cHKPXTj+wjtUFYRzhbpU6snb3csFFvyAjqzShF
/foEFru1WsRD9sCobyjFXXa8hDLa9dNXLqjyEZBQgkIfdnh5Pzts3Fs6Anw7TJG3/j7+er+MZ7Mh
N9L60kx03UQlTz9hQUSkv76vGhbMVv90Lcr9fLAhb+kI5O0whfzyBDbSexT4OGftotiA8L399N93
88LuStEfc3B459v/3Jfqp+tFas+i2+gVaX9R+JjN0KKELE7aw2MoAfyndQkb/4+zJDtQNN/pfjOU
hP7TCugf9OP4gXB+MEU/qW7bhKGE9Z/OEPHqJ0SwS0seSgDc/w/Z1t/f4ZN2MxlN0+k4TN10td5O
NjL58ex3SJsgHtPa2Ejt+u33d7hFa22Ybrb++u294N+2BxKhmKEP1+/vOGSLIZWMxyGGIiPNAF3o
3p0VuHWqnkLIXcTN3uimYiCZG+2p352FtTX0+ztUCuIESl5fZmPoOKKCf5rUHRgwhUbWgmygBYiK
toK6iCzM9uc9RP7KjsItFs3/Pguz4CFywzT5/R2C+4vNX9U/TUESOU4beQ3RHrR9wc1EYGHxOv2I
CCv+WPjf0SR0y1UweVRdTvhLjSX/JdMlP7YiObVVS0718ktUapPLDkKMtyKD7pu3IssFt5QAAPQe
qLnqvFXT7ZW7DI3HHNevmvoqcJ+WK9vdnApvxMB4CYD99iWGJKDQFRf9SfW19d2XLMXJUrdT/dGz
Zfkvaa4HnxIuNfNJ8IdcxKu3H/8iyOObl9XFJYgq1AU+dd1D92WZPlnGmawDx4n9HHLK38ZEjcfR
XC0eZd3Nx7ZR8Fd8qG1KFr77GxXWa9G7GSsI/YNFESeV3dd6c6HQqkx7FDxhecOX0pNdCMptkumF
+ePfx5IY2ka3L5LwSXRfpIaGmPGF9lj4sTBykJ9t8jHnWT9+CWsxapIswTVa9+wlElPtJA8cR30M
JrrxEX+U22ZZVNUHv1pwFytj7vuWrNrO6MdvrU97v5Wdho4A+EBVHLeQ1/rzyl05vv6YBFI8KuTY
UcxlKsujiaNIF1VkeE9ZbEzGoeZrf+pzdzEucsm4tN1CvnJtVZuY0iQrTcWv5Ju5mOkfCscXJiM/
DEJ3jxSYnMJlxFlFXQDC01UWx9nSmGuPUbZMLiTPq2RLn8uaFfC6+1WUKuNhgQz5qx/jwxB9nfaN
9cWjIQUSL/uiX2WOIzuF+FjOU+GDGBfGqAonzp6PlfkSNMBGwSL0pGYg8tNdXzEX584q4x+NIPes
VIl5s8r14vLHvwSJ09+IWquvFMYN57juQpOouls49jyOF+5tWeWaMo4VpfjLmOt+9CHWAz0aubrh
BaYvzLVslItCNh8LYZVHpryUhOxqxfPLr6hnndijKgjzwkw0eaGbRQiRXMZVogWjeexMbtVlpRuj
Iiq5ueVWhvrRK1b+ykTnp8lDNQ9Tzlw6aZmahuEuXjQ1WLzEcqAWZl4u469OnqSZqdg6n5sKJyWC
aVelJ5git5D+LPM4D81STOfP6YKH8ANZuEZGiZSObT4TPIt33UQcIb2hGifpMhRMfLblrc0V0uOi
1CfiKIxcb6oIc7e0ZK2aC1aE9NtLfSlJL5NCDnVzxRnSx1haSuVFEi4kz4yFOHicc/gOLz0MiOaq
iGPHTAql+KwKi9Xc9Jchz5vKchHE1jJZ6IEVrVz8yTKdpDPZCZec5Qkp92pnYvk1ns/laz1MtflI
KRQlt/SYc56Ao3EtlmFgXAtVYMiWoif2jbqMouA6WjnpMy954vzCDtPJdchrBWctEjGMzERxlvZ4
4kWFcxlGQh6NbDXxvuq2FKxMG7VU9thdplV0KxaulJgu9NjKTB3Fdk07iblZXOYrbxRDMVwZqjfX
PkwyudAvShQtfw4nqluagVFW0UhecpJqxrrjLU0lDY0nyVWWD3ZgL++jAG+w5p7mP4dz1UjMSOf0
l2W5si/xr/OOqS/U4m+dK7JbXfd1abSUvPihyhPlZskb9tQxtGBuzudOKFyqcen9hdsZwvmF6ym5
aiVymd26epJ7YzFfxL7lVIticsnztrcYBZpReCPHKBajucPLublQVY670PR4KYwU1Q6nrpAvClPi
3IQzhapYfAmSiZabyUqJ7gVVTueW5JVlYGaGIxVmNddCiLfy7FclL13XlMOF5ll2GK9e+WKZGWaQ
aO5YKj3xT22RqcGocubl3NRkfVJZ0bKQlqM4Eib3kZeJ/t2yKLTQDJQiKka6pxdPqeult0spkr6i
/5y6evAUobgRba+4j+bSUjDDTFzJIy8MqqXpr5yqMINM8AMzrAwvvQx9ZeKYRjERuIu5UvmeaciF
zFtFios9zTxYRaVVpRn/cSkEIT4xPi4yS8gLcTLKjSjPzJVd6pVp8472tdBDPjOXua5ecAmP7yZZ
KryLzcXV9ZG/5Ofz8UTKyle3FOQX0fOTz0W6dJ+0Qgs8K5+rK9USuUyaFsuV/yJrgfLoSZX7xSgD
PR+5spHEo7kReddRidV8bQROeb8s8elduqEcXWdBxJUWfuviiysWEFClK8EXnp/Yf4OD5M8w11LV
UsNK+5CLwdIb6UJkfDZ8aaKYqzxWF9bCSIN4JFfZ6u9JmFbOWAS2tpnahueNNI7n73yPjz+7clUI
VlgG89kKYpibEyHMnwVxHr2qHjf5Ww/15cKMCtH+vEgE+VMpyQvX9Ix5+Mc8tHPe5A2PKywlijzX
EmVsh1YCiT/onCJyJhdq7t8TznHuxER0QkviJopqakXlqBeTqIqLiyJYSvYoCqVFOOJsTXmJ5Dx/
5v16DZZ89qlM5pxtrRLe4E3BXVT4BeVyxVt2JRefhFKdPC5XC9+7XOK+EteshMxzLwPkLSZWWOTO
HS+5amJqnK6sRlGSy77lTUJbt/KlLcwvPMUVvhZxpjimA7VcjlZxYhsjbGBuajqiWDykC9t/LKLV
yrFchRNuVZjvC1PJU4kfZ4q4XJklZ9iGmfihVwCm3H/0sO51s9QXfjiOU1l5SIqAkyw7tasXwZZD
+UM+L7zrvFI0/a6EJl98DrI4qhxLFt0Jd2GEnAANtIxCVFJZaqQE7q0ex3ZiilDHYWouCiXIKjPT
4kJ6UoJYhynOJ+J9GsMgh3KWnGDE5bohfuAMxUnuEt+bc6MwDfHlKgtxYVga/vtkXH8VpakZ+gIL
wqiW9WZnx1CbYrEa6QUqhcc5p4k3guRqX8MoM+SxX86ry0oqFrYlu8soMX15ubCKfJL7V4qb8zdc
OBdLk5ds9e9Y8Ve38oLXc5Ov1Dy0Mknl3nKPSz75+cRQLpJyVaWwf3n3cxYE3gMf+vmMcxRhBptc
rswydCH6Rew4xXU2sZ35iIsSvxxzS11+XIiOE46lSJR54ZPuJvzzcrWc+6PFKrHdq6Ve2um4UlyP
txZS5Dkm58Sr0nQWwcofpaWv2BeaP5felHIurEacFnvllarIytwqtbknWlUx4csryV943FjVY+3e
T0pbu0p1fy6MV9Iyyi3eWHLuOF94vmTlgbz8cz5PtXIkpkbw54TXV/AjtHmW3kwMLJ8RZ+jYKEO5
XlmyulQMaxksVM2UJWeijqIyF00pDNVpGRdeOJ6IhbawZC/Jl5ZhF5lrxmo68S1ltQzyi1IOVtji
00SwTUn1FtyYn8uOPZazTMVS5Eu1NHXHn7xKpSybaeHzoelMYnw7QoyN6AKmhz8Zr8SJMzdhzcSS
pRlwDS15rjgTUwukVWEqbhEklpdXamAZWZQLpgvfIjUL1y6WVuFi1Y81b5KJIzitnmw6gW8vrTnn
YJtX40myvOPFskgvEqHQ88tJEmGnUn19Nb9yJ6HK3fJ+lDsfSmwFxjhSvHl5HSSR9GedBnitOkmQ
j1JOjf/iYSoUZsqv7ImleJrujHLbTSZWyE1i4znAfaLh4o9KWPquGQSx8lgFgvZZXBb5wpwYyxXs
kyrlLF3wJh42ISnwYTEV3jIwl8sEv6yS4DeYibDi/hBVX1hZeiLNlxCKCsNBKvIAcE5ymb+ws1QI
LOxG2dxaZqG7NGNNDiszkYrSNrW5LRSjWJoIX8tMyrIrcZL4cExwtnMpriZc+eCupHl5ATfeqUwu
KhfcVSHMgyeVkzL9Kl4VGmctXV0DUWJEYv4hRpqR8zJZTTzDlJXKCC5jQ7ArK8MmEl74aZylELFT
yKMFn2JXS2JXd19zfRVF7sgpJiI8EMFI+Mtlbi/lyDSWkmaYYpUuSu8iw90/3h+ruXcblV74Ibcj
Lr8uKznOLMMIAtsqbFEKsRzsxSwB0B5YcGLFjLJQiSyXKxcxVL3iC5aUrYTbbKHOc1OFpZJZsIEz
wUqDhR2YFbeEN5amlfrHXMD+agaTyn/xKmNumE5ZcdDLoiA7lyUHO7vUHe65VAQ1vgnUPE+vF3PD
y0eV787/ytxc86/Xdn4TG2pc/02U4zVarGLXdlLyP/91576i7j76mv6zJtv+2TpUsvtffyxm4VOK
Q7/0brqgf9kjxL/fvL+OAPX+xzfBqDYew4xUfWfysFgUbofruDzfxKJuptXUc7qXd9VRnjXRJhyl
owkJyipw1wH8R+xBtQO0iUYh5Uc26lRolLyIaJUhIJTQBKNQLyCjI219sawCPSnWaelNMAp5FPUl
LvDXJRxxok2k/P8ejNIEBafUCrJNdVxFCD+1Tj7qOoGhIwdZmubVRWTHDgJD5cSbCQtFCs2FzIk3
qRIo97JbwDLtgNQsl24QrB9Fad5bM68hKKVpddfd7ntdp1hOsCdUF4k6wYa2kCcXsVwtrsTCVzft
cL8bsOkHpTavMuB9ommGjr4ZAvFzA1jMVQaVdwHDXPvgS9knI63SC7GqcjMUuc0dod99W9/dbd6G
U/11GyCUFhDXvVgaBj9Py9UFp+X6hacJ9ijnfXW0NFL3YlEUhWW7S8EK1GiTi/LdFzN+Jnpq1ckz
KOBEIU+NeCfA5xaCFM0jDpLUtch0EpX/Cn9hNXbnlTBO/CTaE6NgvQ/FcXXrNAT6EMrpvy/2V6oz
8bLqInD8oDTtOTfXRnZc5Y9qrOfGhRz4abBn1fRDFjW4BtYrGu5jweLDobG3RE3V/0vZlzXZiWtL
/yIiBEIIXhn2UIOrXOWp/EK07bIYhJAACYlf/+W+5+Hr7uh7Ou6Dw1HDLkBIa+XKzCUN+c6Wkxu3
4TxkYHvyOc7/hbP4+1VAHTN4srHlBxYutkb824SJltRn6cL3E8tl1uR66y5mGLJ/Yd7+vgJwFZ7g
gbDjLo5JwUY6fx2/Ll0jAJTdn0CPqqOi0vdfB615X+7pQf4Tnv/XyfFPF6MFDmPHhcAn/X1Wbl2s
aZsJfyKt7s9Z5z+L5OAn2idv/31d/8PYcbDrCbwvGXYhu52u9udZqOmgVM8nf4oK/jRqtpxNV/h/
mXr/eBEw+4hbOLEEYeuvF8GMhnl73fyppelPmo7+Xhxt/i9h45+GDGoARut2wgA26/3rRYAjZSZy
PAkat9xZH8dLnxTzAzy52em/j9ltpfx/QQBb7cMTB6IXjHmK9FDcdhf485jtnTtCDMR+6vixpuXR
k3Z5odkQbx/nSa79xW+J5pU62oGVTs9Of5ll1PqX/9NtQNUosC0fFJAM9H2KyPzX28iSsKPKlPKe
NKok/7Jybx/+2zMmCQOXjX9YUTcX2p+fMYpWmh8+Hk8b2cfjWz5DKSi7PlkBgPyY6wtXHf3une6y
/9vUv43ubbskGM0xyrdDcP56ZXYEiCuHlae2z+U59IqdwpCHasHk+vTfR/CfHhJhA1kebDyw1u1F
/ykEp51TVBVkPJku4p8j0F0/EdPs1bUpyrxksi+jye1/dh7/X5f2P130tqSxCQ6FaJXeEtKfLtoO
Cem5W+Rp7mOlGsu37asrRn1V2eaX2ovEavAuM33/Pz4s4i8EM/SvoF+XAET87boJmdVI9HQShdhe
o4ybq+2Uelvlbs77audnlcj063+/6N9WPvQ6eOZwMAW2HsOBvkAsf71ouqNmV0U8nUyI84/7lu+y
puAZ3b9M178t/v9cBygrw+mc4Pxv7ch/HtSub4t9XaPpRKxoH9no0meNI68+diLM/7L6//7+bl41
dIXGECU5wQy95dk/vb+0k5kfhY2v3VZt3/un/z5gCfZ1xx/489IrgB+xpGMojTjkiRd/C8nUpnEP
uTM9O7CwvCHhQI3SjaSvdxmB6xtGp8GML1Nhaj4PyQgdJd9tiQAbq3KPRdaVco0ACWnKos9ch74o
/SCKb+nG0qhy3XqgoOar1KXLmRD1xBaBODYb/jan0t7JcQ6iorn37/EBfr221PVftKIbr3Skpsuw
Ky6qFaXznT2WlT3K5IjyjwJUXKXTnubnKcr2rxyEVl/24Cpe1Fhk38aVRW+tD+mHeNjYTx4Y/0Uc
UR9lNFha83XjbyB1xVZKQk1RjeJgS7kcuvBVt4LyqrTBndTZNocLdtpYWd2KlMhm4nH2ikXcfrAr
VIZ6Zfnm0NE8qo9LdtCpcsqlRbVSJ65sWxlraLz1a53G7Y346PUQl9FY8E/SrTZBMWZ8VrFYYPhR
I/j0orBAE9AEUfhBu5B86ySVRRlUPMmymMY+VKlIzN2AvBGaNt7YVmXWzvoUKQFeju9CfRN9u05N
GxH50fBMbxVwJb0XzOyilKBr20u7ZYKWBtzTVi1mjTvw807ay8iMEiVwzrzUbufrp3aUWK49JN26
CKglS7mQkYIhyAZ/gV6dE9TRW3GW9ECtvwPaXbmIuqQ22RaNp13m+lc7seOJ9QdJTjQsdLtGo5aP
uo9a+jwuYn8OEhQiauFx3h5sfyiPyL9bVu5hUeqS5jb+dfTZvDYgbuSbDwn9nsT9fivM832qBOYg
rzenuhXkX7To2rQCJELrpZweR9B64DK5200pcurmU9Zt9MWN49Kf0sOr34UboBzJNleq6oAf31re
z8mVz0IPz8tA/L1JZRGdcWossF7C/PQG0BfT8xz3w3oCgRytFylSs1dh7yYF2mnFHXq6L41bDxpd
NsByW9s1BMgm1kQlBU/MmnnM5I2lNxFpop4lvhomY3+Cu41BpZsAKs9Tl9zrLOn4SYNyBYFsIczh
dgYoIGS1umpbS6NqX03MK54dYG8Xo0Ebil3rufQ8258OFY+qwoZd4XshEp2WieB+bVLQ1evD2IZN
n6PeDKyJfETOJAl8raeYrXMjBj1NJyoFpB7eyW0rk/hYxcfIzm1ahyJN7jASYWhGoNT71i/FXLWz
jU2Vd0x+BufEuipSK1F3bRww5Q5bEFYd87BFDU7LhGQiacfDuTX9MZXdfoA3imyxxCVYBlMICHqi
RQ2B/TimJl25cBWoeqGrg2zix7K4ndWTkSw99cwnSWUkhfo0+WxTn4p0tnkN3nDLm/RwLanJloM+
6pZlImUn+f5tV4EfFaOd/RqbY2Gfd6b5l74XRJxGOoZfUbGxpDxSsqXX9QjHWurcg449aL/eeYMz
V6thnbO3dvLtdhVELuKm4i1fJeLbWLto3X/1LVO0DkxmUTn2Y2YRuUIUVdxYkK/c6nY/5fI4vqZA
/g8KYklomEq6vNEFzgYsAfpFetrJNG+Vyow8LyFEXcPcHFiJP5qKU6E7+3t3PoqruO/HD23CJn1i
qzzetVH4tTSx7IuOp9hW+awwBfRKo63mfOv+cEU3vzjeC3xYtsVSSkgMyf0Iak6V88T7ADo1W8AO
6tn7s846x66iLSLX+LGfUCsfB2JUFreLLQ/N9XS3ymAuU+7jtolQTUtwhAmBJJBk6rrt/zPV1smc
5vTY5qsYrUvqZGjTpIr9rGwtu6lNmqRL2+csXeVPN/rucQscvwY9yIHCO6ADgSBLN4ostbF3S7KI
PwhoBqICQ1UUIK9xKC5o80O7Bu+iw/eD6jtInI5mldxt1jeid56VMfJAdolNMbJzALgm5TTvbIYE
BlWyPALi0bQlmIprFOpxGtoy4Z61pZJKfdMLWxo5TJjnzG5R3bNCPUZu639MKf2FWmGvet6Sp+lG
X6p+12cKuawrZyCMJhPmhc4IP/UsSWdrQBf99j8kS6VkG4EiRlGLkR3X4nEFVMA9BW/uZeidPhfT
CnHCT+6upQPIQcAxBIYZaknxh4qSp5VNRaOm6ZeKlEM1PIPDjrZfzK7H656Mv7Gr0KkjyYX2+as0
dj6NgXwLi6g7Mn7bpuGS6uSFiXmuiFnXMuTD8Eg55MDuYJ/THJrfkYDpnyLzYMD534cRkW7usbQC
slzFWaTKZd/u0g26azbyMzxUcyXdtDwsji9f6LZ1dTpOz4x70cDL0ZbjusyVdr2tIIom1XITYyOh
1rsh4D1ZJU6RPsIVInj31E3cPexBH2uzdgh81TosaqkJw5pX+WzeoWLqX9k6Wd8M+TJ/WogzdxMP
eblOqO6qG1Q6r1kc1Ts2JP+5HnNy4Nkx10ojTPJ69O32kk4UOLYvwqc+XlroXhqE14AHOVu3k3Nc
qOEpNeL4kq7x92Js+QOdW/fksYJEBX6l/ya02HkZq1w+mbwVEfDUPvVQSrf0l8kmECTxZFvyaSnW
Lh0wIFnxeXfhj5bRaxvYS2a3oxzd9vmI2Fp2XfK65WSuxtUnL0qPzJd9G8w1c5S/8H6nv61bs1pQ
ERqydoAfPakPj6ykxn6+8cZxHzfLQpYfLaDsUK3J2oKOHz3ZqsMtpGEjVeD98V9U03ZPvtOVkoc5
iYa0hPNpuhi+YjXM+/qcoy205mEzHyKAnx9DGx37l20KO236qV1gBrCzHCpNTHg/ktXfBX+8z4zb
Zt6j7bEFA1C7eWJfnSD9L9kH9r66fKvNPAJY2G7+4qGMf/Q56JDbEsF0G0i2g0i3WpVmocmbJs5e
iz0l8Bn0332h6MfkoOo1bOECeCSbOIqj39E42Ye5aE0Vxvhbl5vla8qIq+Dyu4sNEXs57sIiTIlj
+QBd6DqYIq94WM1Hs+39UeY2VUAoxXTJaf7b+ZmUJrRT2fohacaNw+LBh7XWNoLMYfckfBqLVEM/
p6KByWo/Qw4aKhJ34X1AW+dzrg+4AIhJcOFYvWT9finI8ZRHhxzKEfuB3Rk2L3kt2ix7X7ugkEbn
SC2ljqT9Y2+ldBVd5r0BKr3pQNN2Cpkrmn0nsu4TetpbBs0r6ZNm2CfZhHZhfZ3zY7wSgLmu8szr
u/aYsGRj7U/GQhx2ULXq0bZsgaODJD/StM2qovNfWpuNrxqyLiCULsKdIXtaFi0Rjd9b9UZHG3/a
ijx+yIcAsDr67Hmwin5SvO1fyJC4FZkih2Og32JYioBun/pjHQ7sOIZJNeX7+JAip5V80fZOQ8A+
LzTd6+ywtvSBIqSwDUsuDDG7RFF7P0Z2anLnQoVn7k7+kGnZy3UFXtnGqoD5p4oXFfrSTlbdEbGu
TwCBS8UmSG2tZhle3JRF9wDX0VoFK9nzkE7uS6pXT0s69sZUbSa7c6uNf+uPOYcx0gXdTBIJ/XQc
iXgCm3sUlaNh4mUxOKg2yRwQNbb8uNvxlk5dEXdRBRCosY4CP20OKLBclKQAykfSQWTMovZo+LR3
qEMgBX0cGAD5Zegt+znFs+vvJ7jv6JVmSKeP7YyIKUpn3P5Apzw76sHbGYglVrQB/WvWJjcz8Ec+
IuX1cxR/SrtInaccwLY0vBOiGtP+2KHSkWM6Hb25ydgTSwKMBoeZb8qTHbJhe7KI+ksTpkyR614Y
ezUw8mAq5Ev3KdvMbD8akuqnfI3etSasDsHEDV0LUq2WRSdKZ2hb0JY/F8A472Yu7HQ2MuEvN+2o
mSEiP+3p8Gbhra3hsnnqI2uqrO9iJGnAsooLKMHQPjMUm0uu/RlxaLA1fDlwAAgLwAUDSeHfjtGm
W01Wqs5+D+PJI8nKKiyLQr2pkccN6leI21Ht1C3QZiA8OhHzq+riR3UMX0Uk0rsOkqdRdGgygJ87
2Wn+yIkRDy5SFsJhl6tzehy2muTUXURLKUjmRRkYmHRfbRIur2ctg37obTo2WDzJ8wKvQNZkOjPp
aSGiA/zJ8PN0zT4wH+s6YsvFRYB2xyAItMZeiGdUVLoU87KWoGfMJfJ4LSXZ5fA0TNHXRa/zmfIQ
/4SjJnxhdOxQlSSojlgEoXuadLiniE+8Bg+kTxiBL9AaiKmpQJtzqaBwzCdYd6a03OFnpKWQaYEC
UjN1BTTkZ7qYdChnNotzNnQPy5D/TA5RXFG6PKYqTEnppRMQ1ufeXXgffVVBb5/7OHIf8jYnz920
qmadR1rKw//IvJmedMymp8XM/hdm1hcwbQtiZtzNJde8e3B7kd3Bk3LOSedeoI5cOcTuvgqzwNha
sZNrrESoejW/dWK/5U3izzFMW9Aw4vj42HLQSyWMluR+EHlxocLCJI2gWCk1JV8BHvpPm7SwHy0Z
2PSyizahm2Fp5X4uYDL4lE9ZYW8LW3yQoh0xY4HsvyMzwoKiNg1nBsGOVNEEgMEhc8tYPHmi2mu+
ZObbrg3pqsFv6nMkZ4JhTbaksvDEvYo2dQ9rnrVwLvCJZ42Oe//QUWabDK6Mz7EKxJcjafMefgZ4
h3ZLvqX4+lXOMJ1Vu3R/hDX+DIYpPYmxPcrQwi/EKIOfSS3xCG/Ark8QsR961xpAdNcCW87cm5Kg
4C6h7pBP0Wb29971/UVM+uvKLHx6edRGAzQ1h0Q6cooPAXO862JBYKfdGNbHZfLafybLIn91TLcn
kMzqTfAl/Qo/E+1rutG+MUuX/+A+wIa7wKYuymMjMewyCwsnOJUM3rCayFNLEZPrvJ/fswEePx2L
6DGDQ2i6y5yIPsJKgNrBJfBNweE3AY0DRHxop6J1Z/BqamqmPbDPfRetKCuA7r6TXKT1AGPJe7Ka
8dG0efiyM0deaax5aUEY7bA4bIUss7mXos6T2Z1JFMsMC03lT0sYVFfqjd63HbXtqeuOpcC9JrDG
2dziR8MR1VpFtq2Ko+MAnxiOpGzXLSxl5NekaKYOb7+aepLfD3RL/AmmAZrUo3MKhjCbbV9sLgD1
/ayzu3Xl2de0G3lfddZkDhE7t0uzWsLwPoVXqnYHN4/cL5s4YYLIvS7kND0m2UiiUiebGqtltv0f
Ft6avur1Mj+3Ic88VCG0SgA8xfFQT0cIrt7jg/zsVwT1uvA668t4B41SSuwU8mkoiAQI1SSxtVdk
P+psDxGMLCwSccNNvr7sfkCrQbJuk6q4htetynEm5O8oJ9OG4d9ggWErN1lpfNuJMh8lGUrl3bAC
3wF/1Qb2hzMohVEjFQwZaSTn+ncLnXivWzdJXQnwTY8zxNiHIQSUwcMA306du+CeC3qMcd1i2j9H
rhjg4C5s58rdLCglgOX89lB44ZeLggJ9wC6rUBXCOzdXHWwjn5wcUaL41hy0WtyAuBdSe3wDYeO2
et3X7UHijat6bpl3Jz52DOPqmHgySODHefYEL3iKfAfkvhQcDlA456CrWBWDXuIwveRpaG2VrnBg
l1haFFElDUJdd9gi1+YYQMMAPcbsYd6npQAPxe1HgVQVgYjxKPBShFpfKs7lCAwqeXRvZOBDw5dN
63Lp5uWTlCv8RJmPwFRxL4sfLgZ1W9q0R+EB6s+B0aayZ3UxZ/qJDARJc9YDIlJGixlOG3iFtnrE
qbUdIJabvvfUGgRQ7yZXeWfZb6oF+2aKVMhy1cUQNbFkjpdZNFtWUUrCY1osOi7TlZonfvADTpzY
ih/4i9nvuUNDe9m6VbyxZMt/r9Qf6DyYlD/RaDJpBcNtGs6hGDsUfmHN0lJBdYSJtU+MbuZsB2cL
x+cG4yLcNv2psJx+C/BK0kpnEWGXzCg4lfsQZUONhhzwDiOx4YFtJt5uJBjYjRbGRNeA2XJPIgSf
V1EOo2fdF1GU1wYmFPDVbPJ5vQAVYdmryKBUW+PCXJU1goHxk+nHbsx6es3iTMKD6jp1Zu1Ahurw
RtsynqORP3M20KWKQG7JZthmaFKF6bESQMVlpJQ0C98579lnPHPx2udhBMRK4MarfF8sy52yDo+F
1pqAxMn1mN6bfRr9VY5b+o2YDlX9hjL2m9uAMpqjhQe3TrzNXvMhgeXMCFgrqtbFW3gSaoA5TcI8
/qVHn8dUZ8Wm0h8B21jRD3lU7OERqJeacph6/e5jG/eVPlyclDu2EksfNg2KvEpQT+S+pKC+0tqs
HVnP7WyS+xA7ikvMcXKdhsOn9DdQarTmcK8PbD2qrPU8hrt6zITs74s13ibkTOzWt88NcWvby9Ix
aJTbpR8xrFkFt+Ucics8M6kQoLScQ7WPczc/50jGe5mAdkc1rUeU7AlRRtYSok7WhOIYyTVH8w4I
JQpsXytC9VHrhVB3Sud1mr4SqpatnGPU52cxGscrW3jZ1pAM17jKwOvpEiY8+H7H0VggbgRrPPkW
k7xcBtnzu9Wh/K3cqMSNCj/40N5PI+Br0xop/DenTXxck23MBzCPKDXrznMw1Em0D10zRYezU7m0
einqNHXZGU5tOn/d0mEH/uhRWmP6Dyq5dpTMHYyZe3fckzS2sjE61vMfyCOW3ifjPP9ysTADWJUe
dVrYI4guoIRhYKCrQHnvNVDteczWXDX9MlLxFdzB0n4YbT4B7M6h8I2ixEQ1Q90TlehK0BQ0AUxo
72O66ujMl1yxRvuJFm+DXCGkjiZega9Yqrp6xBN1d5kaLNyUoEeqCAdhwwiJtNjXUTRs030UwkHv
3NTCQl3yW7X1dHQT1nMu2nwDd8XST5RpeRts6d83x8iLTpdsLl0fbPTQytZ/TQKcufe7s6Q/t7FX
xUM6gLhBUOv4XcSo503vHHfV6oose7bjLF7A+/YIx51fYaAnuk1m5MpcFJhTdleN6OYiKV0My8y3
VkVEPKTMpfY5BacwntECFAXYn1M2llpl4Q/K1ryHUVaTDJQZHAJNKgb+e9gt7OAluI2CnAAkUlSa
1mVp7TBPyJ1dWsM/moyjx6BdR0DsPc4gtZNt2ECKUpVHDfjsXlWyFX66aCzJ7dT6SavLzo3/Ddjd
p8gxrS0+9run/jva/HTbCB0TX8PXoeZmjPxG0ZoxopyvyMSp/JWIVgYAnUCLBlwmrHtk6lwoI1iZ
YRRM4+41h8cX2CYOB8yuDP0fVUeN7t7hL6I9PI90fS3aLqRlGnj8eqTjzEs+z9HrIUI8n2eVOY+u
HsHXc3JMfKsM99tQxzMRQ3kwM/TXbN/GulVJYe7X+DhSWF0P+jylOn2VOMtsrGIy2V+FgInp/oBy
1pdhMNGzpm5H/p2m7DVFMfwHS7p5eETzgPhNiXJRyUaho5c2z7OXSI0xPratRfEWKG39M+jU/TUU
icnudI62nfsi5VpcXEAN+WCjLh1hxyRzcaaU2xlpRR770CxyyNmTGXv5Ct+wi08rDQSO4GTpvhQ3
SgjF9MZQobf2FzgyVODH0h352S8gSE4toqX60HZWoJTHTHPVrXNsOnXqYGm1YnY/HWu7fAAOm1Aq
r/mizkarfDz3JGQ7HJkDMjy8Quytp32kUbmilG3i1qD6zFHKYk2aof0J6GLvpxnJFf0FUoS7fFk6
+ItF2r0KUyAzF4oAP0bbBJbcROlcrwfQaaOMGD+bdejh3kyOBSDFkujm2O4k2Jx48s0Ib9svLfwa
KtGRtq8YLGA9umSyNlL3iKlj8gFVMVQRAqp2w0KP6YltfvpNREG6Ot8KJjEtD0VPS0LcVK/QfuPr
GNDid2JWT7rK4hGSUolfn9xFHxK3mmnBD/ZA1QDQP2yO+6cxIg7E0myG7sR7uNZfFVpG9mZpjw36
R0AXRzUX+3JUJlHi26Ryhb6RCSJ1WWCquvsZ3SYWItawpeWYsFGiLLerrPqVDd/R+qPjekGn6vdp
ssAuZNxk12wL9BLAsw6WYyy6tt8/iDgLwMAF7cj9Nm7g2Fh6ZO/sIExXM74e6pbA1/s4btbzkh7U
kAadKNPdFqCZ1pRQ/yOdjuEeQt4IDW0dyf00pLB/h92bN5LNHAW0A28NWLh3n2OCxfmh6KBbQx8Y
wxmvBOpNi0mbNTGYQ14X0Xpc+k1mkPLbmYWqM0cRNbDjc/Gw4EGArmm6DiXA8GJAynS6uzOe0el8
oC8YPUkhzrazd6JLSvDKYP13olFBr8iJe2mjWXxP9gkKMLQP0Oxge8CjQOKMSOmsPD7PHVpp7ooh
zfe7tEUBej1yDnQo5k0vjWCRzZs17/Rwd9O/YfocQI+m2Qy2zxPujgtZJ3k03UY0pKd0Ry+cUz25
7HJX72RN4GbsYOc8AJM6mJQLrX2L1DvMl50JIORFB//Qon4WAHg4HwgEDTzU6GXwKahUBpB9mqHd
rlipBgC8VWkYGymLIqoQ5Mi31qCNBQFEHeJugtT9IxTCj81csBmE1rrd8BdYmKnpdZzFjz2Soz7B
wXoAiyL3viTZjoa6aQdyq6NgVHZGS2JXlH2BYI7sr+n+LJ3GjCRuMPEbtNrk02KRjihpo+KSHSxH
a5LoZISMdbC53oZx2l4WIBzoZu0UvR8hU+llxC1dpTLJF4CSkdUSaX2q/cDaz+mcoMENY30rSI8R
wSHEfWqrjbZpaPIRDvaL9S4NtUSz03QFSz+DLMzjvlsvI+bbVw71PZTDChKpganDeTj25ZaVk4y7
8bXnPIHEn6lk7+s+Y8dyOvaM4Rj7LWu3j8yQ/qHtUYk8WBzeJ6qDwk9Tmijp/T0IJPZdjT7e6huY
bK9Gp5AQDDCkOyXpzLJXNizFk02Y2xuZpOtLPg7BgsyRmoEG0/FSQW/UFMp1tn8aYxL2c0c2xu6W
CE1plwjuwOJi0YmG6liTgFYguh/uZFFAhyu/tcQ9jaYfcNMClfwHJ6fg62LcI8C8llD0b7Z20o2N
fAzKNbB8rg6h+MMg24WfuUUvxHdtRpJk1aTASDRDCkLnGywB63ffOW4rjCME+4HPmWkOa/jj2A7p
T2HE8OnA2/OyHEMSpQ8sw5pt4pXzD0GKA67+LMxgdHM7wCzD2smeewcm8DqPqPCh7DMwQA26OfYZ
6Y/wH2icQRvEpqXgJXr6EgWYNsx/iCiF21bB8VNUQWo7nB0yqblLZARa/DCwRd4dokvJ9zbu1vgB
PTqWBTB2LeVVqoNZv/AjAUn8gA3GvK9T3U7iC+8mIBF04wm/yXLI3ZpWO59Qf8VJP+333RHQXuG8
nOzJ8sysV+1vrQ9+RJnXcHt0+yVDTnMTjDZp8t5i/1Vd7x0dbw1YaMC9rhvouCrJ8+EnlTsEUr0I
Bquyz5bsfgdY+zUyNKPXvZGQGqVZGP9oj/5gr3zdd1mGbOm7ErLA+O5gkaCQI1CH3Y23q21LRH9B
4AQHs+xmNxe4VKw+g8xCl0QGiJ6hIYztd4tfEvuyJ86/QfrrZJOntEXTqXMGFD7p0t/rOEbRBywp
+XlFs+fnjmX/j7szW5LbSNvzFeE3lkwspwBqr17Z7CZ5giCbYgKJfV/uyNfhG/NTksYjUR5NTIQP
bCt0QEazGiggl+97t5y/eEMmHwd6L8raaWy+IWbSRTg7eLqiWcryaXKoB2JXtDP8gLc1aew1wBNh
kkCdhZltLT/cTifqwDv2+pNW0p531QIvfqfp1/mHdYFhCGZDfKEMA2+oJazrFaiTwgm5TZvhTynL
T/Zq8EeDrg/pdec7cFFZtqRQEV07mlFe2DrbWTxw97p6hvb3Naqw7g55ZNrR1DqdHVo8JZC6JZvs
PYLoXkVtOfasf22+tXv0fHo8GLUUxa4B9f/ULo6NRMkqofb82VE6cjlvpqKm9liG15Q94mgqldPP
SpeNLkvbJbii2natWOVVYR0pmpNPAA09VUFuWNvORVD43ZWlAV86uzWtcZeYOycv+2zvIuv62pdW
uz6m60rhbBiV2dlRMst2PRbBaG+XPq3zYef52P1CbEc1JOk6leq62naJmEx4s33ZikSA2M9NfVFA
7GWMnVY8BwaO+KgUQXXh7esgMlLFvp0n8/A9y/sKb55FTRsubbU1UZEFTYl0tM6MqMqAB6NsogqP
tqItuWuqOSCsjfd00cKi7q1wBCLFH/n0Kd0mLQ9GBZkZFfbYPLgDvroIS76N3bDNCyu29DzpUGBw
8iKj8+HzibBvr3MaGG1s+kX67ns9Xt5Njvmb169U+V3RJwMkNaxmpDtt36m0xYbNQ/uINkJuYSLy
4oclUMvsh9YHqJsXySvr5breY8EL7Af0veDQ3Bbe1SH38hBFQJ+FtjTcx2WiAoyrqp6/jMARduRT
OT0PzVxgJ/L8Fmtn7dgN/tFSFqFDw/M4qcq9H+AuXxnG6GJmPdc0gmppFa6tlCYLKMt5EaKrLWhi
hiRL+zDTYrt19egEwwJwVfi3kgaHaxa2rjl9Suj+69AIGtXf+NL+IZ3GYUEfljPA7KFo95krsDBL
Wz55Tu58bmUBXaONhOInAGN9yLelETuFYxpE0zvl87isb1Pqy6+zK9QvHhhoFcp6ENdkNEczborC
fjYXr0gfqqY1gA5JTWljDeD2bogyd+LO3zJaTlW67xJrsvHYBc5ghbmFGuoodOL+8EuNSc1wyn5f
oJBCBEXSAGXYamd37oLjK+pZGgIaSMNKzmM25u0Xt3c6wPREVyWsaI6VT9c9zHmZJ/0cWu2wQh5v
huk9LHnCNq567jFMZBKUCEzQEFwhTrwttvLemOImrzrmqphaTN5pI+/8XAoThYpHeYeqmCKj2waC
JZjCEyZAz+ljVDJDs0fX5Runrrbdm303A54plZj8WBSredS031PUlCBbd3KBA5oQ7QWRrT37mmod
zER5pPZjXVrmj8DKB2x406p5U6qv76QQGyvBtmw/ZJnnHw1EzFOoQfW/s52NqCkMLAzhIOZ52w1y
s/CJWoPuXkYMBzWxBFI53ztR6Pa63RDoH1mGB/W99dss35VlmnfRIHDGRUUZZN+gR0vc7/NYL6da
UQGHXjEhvkqDZb27YTRDXI6zvmsRP2lkpmadfbRHN6U66FO5HTwCJex31AXTuMvA57Y3fuPq7itz
oc1Jag/UE2JkKqJtrpDl1LVfolcZh3JfZbi+Y6MohrXEU9ev4sj3AAucZOPXpzLwFpD/PgHSL6Wi
1QjtrGsdO0LhjEatF4lWO6NLmRDge/BvsDbpGEkT7B6ZQuK+NW5SkkPjZ/l27fNtA2y8hV54Gp1P
KGU1L1FVNkF2siXqqw/kKQwXDJFeHud+JYCMmxFFlTkaWh2h/WQekyO05kccmUN+H2SLUcQYuRCu
CncD75CmMyXhKpVZUPRXqbFvHepQOjVtqzSaV/DpBsgXKC0JC0XB96UtvG07ToEyu9fJbGr7gQoH
H5ZmJyvf9SZkfS47S3Z3RrHMaXa3FrfjXiMrx2aZ0JnV/hZLNSn4zbxo7J1Pz+5fy7bmnhHq1dXV
UD5RUvAIa00QQGIM9Z01DsgGKZV8zDSNaxpmPAe+qXxcoYY3IoVNK8UmSQID694enk6LaBrmNZNU
EUZVI7JweWXvqWj1cG6cre8xmi4zLnHVLdU7tcjU7btF6s8tHmRMmc0Gj7AwQF7KCalIPEBBgdgb
S/fV3CpVPFooY7zdjFinvARGmpFCUs8EGAhXLOppredu/pRlljnerZVdj0f0fkW2q+YtQWm6ZLVp
H9bclJ+0Us6PnlFcRq0jkyVWtV3cSMlpqBF5IIs0QpP9kICCBAvnc8NU1JGNqnaOl82R8oq/W78x
fJfukECy/FK4ZZZcrH6Y0GaufQX0W9DwnRLtduggpHZ9phSSmkjPQuThKugyv5aL8kW8OZhjohQB
dGqyiZiQ/kbZsH9kE+PkXjheoulqk+ENIRvCN0fn0OECpa06JjZhCmFl8HbZO3Q5fpNjqVOkS1vj
oqVI3eoGdFTTuYL19lWEs83rj5vdSIMKeMoq7wlVSgkssQnnPQH31TcvNfk4E6q8MgTKUNkuSase
FaxZ4f8F8kbVRZqGicZrL7zJ+5RmDhIFXSIG2Ld5twiAaLeZzrIIqnXvqtqr9wNQSXlWFrzIMRF8
nbgpc9y+vpHrObaWtQ8A6Ead5aFa1qDfBXI1xoM3YBi4ICtsTGI9Bty3pbtWCITsEepyUCTtHJIA
edVnw1qoYOh/1u5or6WZXhBnV3acrq3XwJxkm9rBL/nbDrVjSW20gniGZUqj/jCag+tEBeCQidBr
6Po7YUt0kbxqU18Wex4E0sbxRozj85w/MBty6wV/942gLIzOpNjYjCdMx417tYzEFA9Tt7X4UH02
s1NrdKMVuuzoRgrOhBNKXtBsTMybtCqd6hMxWKq91HSnADhtaeS4+5M1o5NzwIBquzHKt77fwOnR
v6v+q6FhCR/zJqn7165GIHoNbL1iXgyapSkiqxaZ/z3rCINQoU4BxC3qsRKY2p7FAt83V1X11M+1
Nb6NyvHsCvuHMNDlbIk3bDtL5Hn/2QVWpMiDtPedCFdsoSsczdvM6J8ty/s0ozoh3oQVKelj206a
8YXxb05ZlJhFMExkZCx2eS9wLxSHaS0QBBnpuCpEQ8CPUxxkRteddN6U6rwWHmqOtWk6MAp4fP97
nfl19uZZhWmcRpc+7GkbuhX5SpvkqfWwzdY4oxDpt/FzPeSWfdeYt1ySZMu8drvJxVHJU8MqOGDS
H7ZhvdTKVXl+EbXqK/thCoppI5dIYO+Oqw2O5NCI0ijuQdm6+gplKbM310NGc8nqtF8f5r5GsUf4
To15m292LTczz8K+74MTkTnwPC4gKSLEQGsnyvzGO9IAQxxmVHEoQTrEirgaUAuGONvFezE06Aan
nM44DMB+L8EoaIKHiR9cRpMGy/COlIbKQ8EkkQYkh2FJlVgOyUy12nwIdAb0dNKjrmR1hAixy+6r
b2Y1MzIvUC2uF7+xsAZscurGp8k0RxssSZaFN7xOYC0OFFGZ62Z9J3mA7m/P0uaaw1ksU9r6+3kZ
gMnYwKRQsWNtmSj2U2GnFrKHbO3JxihXFyFo0xA0oADOJHqAvvdVy+ppwweyG6vONVDhpuXax/Wy
pfCQ6TCpINvNptO7z0lCBEMXQnH6Tn9CICaXx8KxTbaKiXsjQoisuPnYQaxssfJacs18MsO6cJ57
/zDUjn5t8xEaODOV+TQ7W/kjwxVDNpSe5S9sa5OgJG39N3JDki8BIt0xbJAVv+jRDw6LaW3dsbSN
/IvVtfKNSLrgU9pX6YQhpux1ve9SSoNwGuRS7HASWbhYsrqNtgp2+zd36e9++Mff/D0/GfB/+uv/
r378AIfbf/ujpf9P2ZDP/+O/kxdRV/84J+JXN/7tI7+58THW47WHuSTRLSB88Wbu/c2Nz0+w4t+O
mTdxe+JLx4j1uxvf4BB0YHYqKxYmlurAw8T1ux3fIFf8ZsSn1BL42QmO/I/CIX/NYfztbd7uFHMz
tTTplNZvbnxsWX+2g9n+hscZMiKu0C8Y9x4VTo1kqerplRfTxbO7Gog0RIlCPRJTMA1hAuYwX6xO
COqSyt3anZMEBMsYEyVbmGxV0J+sBSowmpCnFmfPMkhAaiQBVqHfzuAfuK4LL0YA7IIFdXQKVecZ
VTymQVWEwlrTnhrA674roQMnwr3iPA9MdfKQukYWAIIBYuRsHvujUDP4/+Q0n/rRrd+VkXnfRNXV
3399p//R8P5/LkhC4CL81wMX2df0Nf/n+WK/DtzbR34buDYnIrkSmzDv2BMBftZ/DFyCS32cnyZR
EcKzrMBiyPw+cDnoDYcSnmLLtlFZ/np88D9iJLz/8lCBe77tOy6fIYHhH3PqT6sLacm///2PcQ58
8DYw/zlwPW7IRWdApo9DnAUO2J8Gbt+veVcUzRQlXWmnn5O09roQN+yE62mytpwcpM7qQxW4WRZ1
VCLfffA2rEJWTC8HgZDlaxetQWL1kVGQ9LJhePiyUlSekKe3n+uZkL6stIJPqkyW11L3kJDm9iIb
TBylXMe4X5ryZTM6eZgnHH6r4+W/sP3pyyTy9NMMvfEMJINtYFLX0t+Mo9nmC9KcqXq3xYodEp3T
azP1klkhqb+awbg22qP1A+Zp99Kby6MNoh2trUvJPFTfOvP1JsrL1ZcC61YGyjzr6jHIH1Px2iRJ
+VRvU7uD3plOG0iJO843Es8pP1BALg+zCcQQ09IP9x4qym9qnezn0au3J0+n7if0g3kVEx1SHmwV
rMdSz+6TLpR7CiZ3OGuzK+gp/Vs3hIhdBjM6LUB0c9T+MalpC2BK3H2nTHdH4lB7nGeZfAomW9wn
ggSKqYn7cpkPE+bpfblqosdYfO7Ry34cvcagbWhVMe1c2pIrzPN8Ke0ZxgjnXDwKlV5H2ScH5NOR
28t3K5djPMwW/C6b7t3klNU1yW2UPMIoQgrIR9+B1yPmiwiCJtFPcx68AsZBJHZo7EY418grkOYT
SNqf66Rb4sbqzxgnmtjsxHfD52tnnaScc6sXQxryDiKuC8ca1MmTbnVdqJYj6Wj1NlMhAl4hb0fP
7H7UmfyM9l8+GkOSREbrOdca6OWQAMuCua9BE9KjicNate+JxnAwr6WDRXIzzjbQy87pnPrrWL66
fYOJFXbkyTVG+252BtbTYPjRBCy/ITC/9VCSLxRXbj3cLdwX3qSxj8mUMy/bQl/LYxiKZ19VIzKt
CdgyV9Vhuull1xVT1kQ+5SvZsvPrQg4m4pXVfHP67SOdw3QxvVJdpqpvzw2aoz1Y4ByrAhdNoxGN
tbYJ8tti95LdsEY2LcY5mWt77zqp+ALn1R6o3wIscY15twH/7pwh2w5gX/ZOrG7yoGu/vWsCXw/h
0OqS6Di9fK7sZT1Kqxgf6soTVHfrYsXTsL7BiSeoqJAzn0qHjA/2DXHEX+gdiwy+aWql99AFi1tH
Qx7Ur5XYVjjKGX+ZDyhub3Yaq8X2zmOAYgmrT7Prsiz5SMgRI1r368We7HafG0H3PgiCo4bG2lB9
KeujUE53SpLMtEJP+tW5g486WWbn7JXOP8/eYIbksmk03GDGhdLPSyCtW7zMHNDAyK+I4fKw35bx
nM51HTs97a5eqz6i666jHnb8kMImRb1ZK/wG7pfNT/WIZdoIIIUNiykC611ObXuB0Q1OswRVl157
005ubh5vwmMFyinKkQT1D9XcdB/KLJvOpkezDiiudzZCmIu0RHlJbEE21mwFL66e24tDVhwCFkgv
VCfoydzEpleZSf2z68Y+VvMoviJYSCOYTPjXBaNDYfXY/6B8L77d2B+MzLZ3KL6v9gaq57vZZyqh
Z9Tan0mjHHdNjUbAE0ZzhRJIseeqD1gd1x0Rlg80jlnke0C0NBlFaAOikwM84dHrSWeVLW6dbgWK
NgxoPbuueYM1do7ENpGQKcEeD3T3cemXDDm+8D5UPfBXiCj+Qk0ud3qc57BlI7pCzAjmxEA5j5R/
2dXNZJ5W13wkP5BoxqMQRr9bPXtvjOKLMo6uW6axC+qJX8PbL02LXQWektCZ+bqmY35MW5oOMIvM
eEbQtT2AeQNdN86JGMWd9IJmF9CvhPhIEU1iqNulnZXcooC6U1fYENH9/GbkEpzCLKGgdFSZicRw
uflRp/QjlWJIrhPeDjufLsqyK/pHQMtxqOxjsPUfhJ89QNpnUS0ne9fDkdyPuTE9EjKn3kyQ291o
G1/6dhvCRWEJAlBBgeGi95qST5X0Ti14AJFldnCeIU5d4Z9BzYcPJMXuYXthembv5A3tflCGefEC
/pSsCpOKqdwsVmtb75HNnxcn+OFo/SjtPN91LabCdVFfCTttdoY1W/c6a5szUZdY/EuJ3QKw/H2Y
Wh37PfNUYx8P7RTfjyvzq5GbQxraiSvDkgRXaJ3mR2fnn9NmQktslPYLFiW1Nwnqy4cF+blQSxh4
VnqcRFIAB5HFnZHree2b1NsZrreGohWXqVH+DttcW4QjaxX0ljzXbOUnjURhr7a8vfrNeLes3Xr2
yoAawXpiku0tN53zyEZ4GHrbvQUf/TDeokhdFH+gGZNzWoF685sut9/7EyEfC0Ixc+82NJdZUadY
v5Ppo7Sc5lgAYh88GPH7ei6+1L3tHDABeye3n1GKpt2PKUUO46c3Cc8S1P4HUBERVb7E89Jm6mL4
vXEgVoCYFtNTqKcI4HxuURHdq2BsHn1BBKEaKvSxflo+yyE3D3MJ0DNuQ3IHWefu23ZsTtta1JfU
StaTkc0qWmYErWWnjY9Ia2zImxnAftXsdsMGch2apIp+DFQGYu/7Tf+L8FcSF4K1teOunVc4q377
lt+sYJ4xiHNQ1UFUVMbwSvDV+KhxB2DJWufv1S27EdRFqIs2C3VX6tzfucYAhDNdPbtwCG1yj3I0
zX1RmO3JHNZm78FRCZ1+kE0tvudIwPcuW/apMJ3yOjnDtBtJzN2B9eF64uF7YVG47s7E3v6w6FUe
W4qsODVs/zgVvvrSGxulnn+y/QAobL24yGtyYezd1tyb8N9OI9sIl8Q5zzAkAe91gb6MBFABmbF4
z8Rx7lNd3MkGy61anTN0mYBkXPrYKZw4o3+/AvmLfdtXh3xczluQNE/r5MJVJ265X0roEVet7wZQ
UNIsiN5Ju1nWx3W4ZBilLCJjnUbHZBB+vlHnO7nUd2ZW3ftqwX1qrGSiETJdM5APo+zerHy7mwDu
BIxb6JpIWwhrjrZuiJJy+BqgNIiMfDIOdl/yu9vIM4tjaYhTAZCFtgtBfRC8p1C+caoZxMyRfVZS
9wHyBYfUV7sxn7+1xpehqVJIwNRa7ny2stjZOjSqwfq84h71k27vLjzJpUf2VWhx1WP+cSKNi5DI
+oUABYdrUXWp+uIjSSAU94GgB8jUTR56RaD0WpMkrW+Zr8NqAtOp6Xtn2XPszEMTmUbVhE7RhquD
V9GjBidcszwZdvJeT8GrdM+rPd6VlN5oei29M8zyGTqE7zBdHOSv08BzTgpc3KbHQpOCQc34bMLG
QebUBCQZryI7CGW95KBUlkaXAL6/PiTp8D2dl8sCyhPnGNV2s5e+DsLZ5eb4xanqD/VQfJ869SPJ
WzAgfUwrCOlm6g4d+FK45qsTOzJ7ShJw/Y2Qg6tBi7t3JorfcRqv6zoEMdqMM2kb+3RES9GmY7br
Z+prvAYOhmbpfwh433QEEGyuk2N9eUudBtuGZbWv26r2U5rdKziwcLGzyKt9lx26+FjVJGWsTfuq
PNITFpp31tRVlsPTolCmWeo0jKI+W61eHoxNzW/2bek0pihovhmD8zIhaicqwcquBrMZcx+OSV7T
Mh67rn1pJJZPa/AJe85khKdD3wPbdWfDquRxBdfTESMv+EQsQBf2pWH/KDYtvxRLgmXFiNK1PFPx
81LrYQcETDina0fF0tyDhgb0F0uKlEVkYZXe0l9k63W/oKrcbrEWBbHTjHRbiL3T4ohdsepTwFXG
/dxlTTy41je+3bkwjLtyGtzYc/vpAb+1/3EgSIubWcx7r5MJhdHm71rkAeSyjARk+KD+GHj7N0sj
dsDa8ECOgbVPt6I+TENrXPDTmZFHeOcdkRHuRz83y5DipTnYUAK7oXlenYXbDljs/FjehEraRtqB
IVUPXydEM0XgxzOvcDPd9epDcfcruSrCvq+T7NwgZfRDVWVnlMSHddKfETXXD/qWDFHn0xmTL6vT
OuV7TMS7YfbvMyswLzcud592rQXID0sq55lUbZLcmXd3qzd+yc3J3Ytlu+uDhE2PzLkT2uPhiLBC
n8bWf2QbsCFqksswD/WuqNvlTSTWDauZf6lGPDK+C8gthuQ8zeTdlZ0xh7OaJsr+bjnUqXOXZv3z
0BZ6TyfpMp3h1Wcv+1Tg+Ri2skfRSoLswwQr8alfUZMQ9cr6hkhph1nuG85GN/IdxfcqHG8fuIok
4fpFFOVrZeYs54H7Y7KCD3adP7MjxlWWods0vBPe1DrsbNf8iC0SL18pmMfFuqIEKdl4RZCE28x9
YjxzwnnYnsp5zvFhFV8JIG9YylYjzjVMSQ5duDOzzX6XtP0VnfyQ6SKaK3nAiHeu8rqIDWsqd8pv
FCLGpnyz3GDHsRbWuZcylvnYsBP7LK7ae0WjmOGjkOe89gkKCa6pPVOvBc5yahDnU0OwsG6p8TwR
YEimMWFDvkd675ggiSUCcy1kthsS7/NNNcx+4xZ3Xe2uuymz3+EQXymOHsbSTB7hUZ9smV1kJT7b
uhXEJlEBYbSNfT9JqEy0dUgt802Qs4vmpaI29+0EWx0S77yrX+tgQ42epuYdsDRCHTbgA2Vn84uf
lesZ0dbMQxxXmrqipL+X4/dRWz6jGO/eLde28E9rZehPte8Pd9LrobdwN2Ad3qDswOG9rwht7UPn
ChJmyiIvzjak2ifcDc7btvZrKDmB5pJhgkKKgHtLq7FG8662w5pyKEBHThLMO3MsKXsHN8gtpooF
nCJznayU7WrNogVh7xs8xyz2Y5B9SvUAMLCxSocARvivPRNZi9s6674mBPOlKcf3cenLk9J1eW5r
W0Z549vxRHI1NfzU4aWxVUQOTn01MiFw8wxe7A2192SbyMDMvDZPrHrZSyVdvafLM+4DdG8y9AaP
YwIS0d8Pjo2Q1jcN/PP58DQOQRUNJFX9wOU3nnOi9u5IzF1e2l5V6KIQzthSoh9tmaQoAXT7RlyI
eUQMRJh8u0wPTChbRJCAPnJoi/jkXpTJB0smhhPilq93blO1z3NX6y8jqZt0X508SjheRllvPNcB
InfytIhzRz8bdQ1+DacUWMDyxN8rMzEPvgbdHTAz7gGhCR5pmi19CuyC4rFzcbovVn3Bkk4sMSzH
t65xvIs19sGZp5jpKPU8PAP9xEW3nok4YR/bje3GNr5UAsdl4yPKDg0c1rxjvIxz4HT7dpz9S54v
vhmV09xT2XgEIOCDQagqc+sBkXC7mzzfMMIq6acLjjT3swsTetepYYjWSSJFaPP2nKvAiLvS6k92
hc66zPJk7wtbf0TG85V0o+xp8TAJGCCAtfCMQxuk3YkDPZy4CByykVOWq7ytxO0Vip3EXZ6bdeyq
MW6d8q6kQokzE5gu2U51XQGTYCgqafHdbZ/jeBtk+kLOBylReRo3CyFScvT8M4V+QA65RI5NvvlR
Nk1zSKvRPN3ODv1ctdgSK/R8ZlX2ZI84VJbgacYjTtkhiMRSpmfDJHkRTWvwXpt1cwzGzviGPCPb
D7DFB4h4FNID0UgfiSaXHypv+0UbAauVh1y3qpTzDPeOQR2EJpqXTj0aCRADu70RW6XfEa+xTI+L
NbdPgnDHN1aX4i2YZPai0sS7N80lPdR27zwno2INKCwD8NIOxGnLrOK1at17W5DAtRsWBAlxOSfz
h7wQVHQ+2rKA8speqkhmury3lsZ5c2Rq3S1+i/ouI8IKSA4r3ElUrfXACQSzh1tmza95PWLI18LQ
B89b60dlLvUzJ5QQK1LIYvw814IDiLJMqk8z2xYsBEvCh9TV+Cylb5gWMJOj7J3jquFSONr9LZXv
/xzqT2jiP4Om/2Uc9e16/+uf/d8RMi2hof41NRDVRV1++zM1cPvEb8yA4UIAgLtbkuRJ13dkAPT+
+3lnvvVfHlmsAbIOVjH/1x/9zg1Yt+PPXUgwG/jfJD+ET/2D0xL/ZXM0Dsed+YQsWtCl/xE5cEsw
/CczIPkPYsATjntjL5jAMBd/TDjM/IWAuLEnTBETFgrk67x4B4sDOorJev7Dc/nf8BB/uZRrWi6O
ZTYXx+Ob/ZR1mPSOM5ocQ8GJLPRSKXECmF7oCwhZ2f39lf5Md/CdfrrST7GN7nxryklb2U/O84xh
avn497/f+nMu5O0CSPst58ZSwi9CTP75qSFCzzhxpMsxReq0fVv7ybX3A8rP+s3PceLek8RSyz0L
a9L+KMkrcz+AxAfNKSfseXltiOEEjPC2eu0vTWkM07FeRg+B+Yp06LUMKsfZialLxn8TgH17xH96
2y5p574kSRahP2TVT3mkLBlGI9eS43Smj2v5SGBzWDXXv384f334lgt7RaSrSbolxNOfn02xOIQK
9FyDJo6Mm7Mkq+3vr2D9OTXz18fPXHJti0MFBJjiT5cgRlXbC1KvfSKH782vmkcie6jCZ7AkbMt4
CCxqhiQ2qn8zhv/65Tyf0QWdBwYifefnKzd14wXIt/ZDX1fpHbnB3TNBkHr5z87/YoAxFS3WDUjA
W9j8T3OlNooktTmBaZ/V41LEKyLoPOSxZ8u/mSp/HRE8DykdnwXAtiDR//y25t5uKf1bLqTEu1uO
HBfjmE40bpsX/f1b+8v098gi98HIabUg+H9OUmYdMiq/WY0dqhFUvO4OVLXK8sip/t1C8/NLcm3T
5n8hCZR3CQH6KR0awBcrSYLkqso6ul/80Eb899/lL1cQluSoSghdYVroCm7rwx9yYZXt0V6vRr5T
C6Aa0ldOrkCW/W/ejfVbUO8fJ6xL8DTfgIlk3Ujk27mXf7yQl08ZBH4GmJmo4t7Ba2OnD25fDauf
xZyqAs7keJKwpb4R3AnuThJRF2mUnEc06Pml2FS+xUXZARvm0txoGVXaTxHya4JdGm92f4AjOg9M
aeskK9ydBzX1FsGntZfCrSjzkS6wqePUU6Ufg5ySemJ6dARkaKFEFK3dUQHVSK2iAdERJQwpD8BI
1KAv1GHWGOrOtwhA2X4V993iEYJhlMvOHVdEefkw9kno6szcLhzGYnIiW6rVFlNft8urbglGR83t
BAvyILWBbaVWOnK8mJM69BHFgPSYRKll5Eby6alPOeIs3nSrHwtCHsmq2UTwsI3Z/OJDYNOu+QE9
U7oIbnEhl/lrO6qO/FS/wIuSJ0lP1puSxJqYhCQVHmwJVCy+yNgdi9468DDRwWZukTyMY4nvnrdX
NeRnYoXmDJcJL5Y0m+m7o2gD8CPM3r3bjFO1m8ha4kyWKnOfJhJORLRpWgDoIYtgRswO9X3FTTVR
wL75lrQOx5BkqXKQj9QmjpWsw0Wwz5aOgjjdXNeLSJ2Fqd9ImyO/hCOWrjUmYCLNfPrXdB2ICNwC
x8GbJmw4XlG2VYPyruFq86bI7MHDik0MoSjIsBvMzRfawBKKx1o9s+NQsML7YXOeEm7aDZV3OHrj
YHLSV18PiAQ0roySUhbmUHeGYpoZyWMOij7sUo+IvuxUeIiY9aEjoucraQqIyknPBUjwDIDxiPTY
JuAAtnW5C/ra7+OZAxh68l8mreJRy9rb9YhZjJhUHKxGOWhbqBeCPWMULuUHz9cg5cpBpb5Lm5xI
Bds0BMchVTMEq86qlXhIQn0+KnIMwTLE6GzX/8ncmS1XimzZ9lfqBzgGjoODWVk9bNidtNU3IekF
U6ih73u+/g4yq+7NUJwbYfFWT8eOWWYi2OC+fK05xxzQgLabsQ+q+KDsKXC21ogfaxsVvIF4LVKG
dUaJajgvRlBjLdC7tS+AQnuEAIqRpltI7AHi/ch4EJO4k1uvCjsS3Miuz02OOqXBL6w0xBJgCO74
phfr0NhwIbcJ//RrjoAOawc+grc+dkmBCEEaffJuLfUaIAllhGhNdJl52o104kSrM/+arEgd8bU7
2S40Tc2CXpPhXUCqkMw+jFgsn/2o189YMCdeb7dyNUaZTus81MLi86o7a9VRVqleHERdxZ039jpc
Px2ckeNHYnDPq4yR1WawBx3kY1E1y4U5kDOUoCJxgF912bRfddnRkQmZTblgmfpbC+ci3Op1pt3p
Joe8TRvFuubT6rM4OkNiAZS80NdmyF9Dyevwe2X7GDUzrNxyTmmp0aWIt1AP9OdUlMwPNDWpBzyT
w3NlJVXoh1gVt5qWp4OHsy7bFzD3Lh01Y3tuefQnkDYJVmar6x56Uwy3TlcMBs9xxUnVuT61e1ha
6Pe1Cr6Ikkr/EBO+R0x5rbpMKooj39TctkdzXk/TXTT1Wmj7HJus6FhHArcJHZTkM2V/1rcilWPg
8741gV8LFy6GMRh5s7VwBgrEjiEttQbgc7WZmxKApKv3NU2vPD+bwBPdWYWh3Yh2GHN/iDtNbIdS
sz4wWEr3CJYkag4ckW3szGEbd/7AhlNss05kE7PYmGHWqtnB71cvxqVo4yry3MLFBILsjN4ZRlGA
ShFGIGRguiosv88a3nQtWOcOwMzqZeuUCG/36BhCgWUW1z0NBZArIG/wR28ljuMetHAQrO1JEECd
iDP4DZEbvzRL7KZbV2pLfhmqNL/L+KJSIMH1vKBqaPrRg4zSsZgS+8j5doCz5S0LaC8vCcv2Nex7
Sd5RLjPzvJ+jkhlybUyRx/nc+RgJ+eBTS9pm5crVNo182Bz4/030BLshtpdvLowcw9NmHM2ewgB/
ypqKPk2fOxlXdrIMJpQxBOMFsWwYWmpMudFlHzoGxum8HzQfH1LFuBXWTcutC/mEwoPGlknL57Mm
wcve8qUHDiNjI0w5cw9O6CdOw9I+Lr0GyC4kJYuUQb39wPtJE6rWlhKKwjyZ11mUaIyzgXMwPUKN
a+MKn4N38CA0bSm66JhFcrQc345oLm4E7RxmMDEmKIZqhbXCA3GAbMSsoxUn7a2SQB3cGoUDyuNn
WyXMZCLTmAZUuCFSEq23BGJZIH7nLCgDL0aVd8wBNJTnNe2/uHGH57A3J9x1uTOzEVhJ1/tVUNOn
assmfkI+zcITMGl6D3qMu2xreWWcRZPt0LipE50Bj7JXA8QIoqekgL9fXLQv0Jct4z1xix4xe5ci
NUh4ozac8zTBTpCPV7D+8mhN0zPflypdqv1IFU1GWjC7g2/EDX3+Ke/j+3rQmTlpjWlKHx0wPWeQ
efI1twr1MSs3IAdyjHpFOROickAdQAGhomnelwx/4BFi8/3uqsWxNxU8ERANxozeBLnPzOplV+i/
oOAZBq16Pt3DhGBKizzTHrTnDnsz3bvWSE24kFXxopWqr3ER5VjyeOOSp042rLy6XVNzyKlJXmCM
sv7U9UJlxZ1UH4ONp57Gud4thy7DN+XVQ73QGNMt/dMeQKJt1CjxW7YcGokN1JfuuQFf28NzIU15
Q6XfP4LPJ20Wpf0ifSsxmjuS6FpjazOquQum3tW3gaTd6dkL65ziePcKfWr9OFQbSz4GGK3vCYYq
2syaXtkwIdBJV5cNnVFnz+5btrs+FvFrM+UG0TV8Use+SXoLeVRlfcvgT/YeGPHoogYTSz5i4y63
swqLzFOjYb8XXTS+xdYo8OLij6A/i2/+tmQ6xfsdjOoeV/vs66HpxLsYaVm3Qy+H3mIJmiGkSRlz
Nj7RR+xfhpoHckNfT30uHF0iBBh2jkZ/7DBvt8NgGHS6RrPdg2AszW05mvLk1jX1oGh0K/eqCGL9
Vuf88+B20Fr3phZaT2nfTaQulm0U7crGJgMUzwDOP3rjDlqGViErRzZHGz+X9RsOnaXzKw2vhG/h
xf2soxkY5NSUbrG1IbQ2G9JNh1NvWCS1VXSrz7BRA66JatyV55gbnHNednIIDDupG/r3lQvZNcSm
t7Xoon0GTtXYjCfJmCzjrpp3GTaDa33A7LadjRlpmun0Bpl4qJsw8TB/rj/JTtXmB0795oykBW/w
WaEn2ht5fl1pwTXvhpEZa+aOe43k4v4Av7G1n+tlqOzLCE7CeDEUulNdmjlerJuh621GVlEnxn1q
k8W9aYnvwqlD82Lb4gDTNl0JinVf43ju/CTl2/MS2vNUCmOC9Q8guopvHHwtDJEhRuk0Zgwgsgwk
0tyHqBW9qXBwPiYgrxiopjIy9hrKHvnYqSKovFxJ/Rke/hgeseEsjEzqdjHOaHSA20Q0GmYEHtNf
57fHaVZPp5ggBtfycrbr08LZl5IcfDfoXDXAE7f9xKDJ3bCmknu+hRM2Y0ycXHNLnO3y0hFf8WjS
eKj2KUecgaRUaC0XTEos5+B2Y9B4LN3kOWyg6kp3wpPXCYaXAE4ZYw9hGJ+qajbGo9aygCBaCJfk
jr2VLjMssizc42fIw6thGMwRYMLqbaDGV/mW6FTa2hbSmPHMdkvWcgMMICiPtgZJoypSO1nvAzdj
VQ3c+87Bfv9UhMX8pJkcJvFy0Ic+m8Alvbkzkp9Nnugjtn/gecRrZFYzIOch5tDaJwssZoCvsIp3
fb4Y5Za4j9m44WA+qEvBGN3dDkJjFdG7RsLsRTRLwx+3uLxNcp05GlSwXOWQXWT7wUCvmPYMpqfp
rAiYZJNcARUbtw+b8xUBTbnY14klrDtlM3f+NixNK3231Sz8e1WaptbRoTi0n2Odn8VfRtPGb0Yd
2l20es/q2/Vm27y69djRXZa6m27g1tf2LhOFDK/JIotWZ8zSw6xI9BSKW5+BDdFxgGIRXgQMRD1P
0SYWmt3y6Zhtia/JNvDicoRLA455FZ7eBiIAilfFuvPc9wFjt4JkkP62xqeanbrYLEmaD2pYhXau
lejYzAKpm94st4PbO9dT35rlPkcEggGZMeOZNZhpdkPS8vitDlE77lkNkOl2blMiTmjzzrjo9RKB
NMOAhR3PAsDwLMZZhnBABNjnIodmRyxCYBgI7uPiJS9FbOyFE7ifRrxU2ZlcOB9dtjo/la/4OfUz
lYrc3gGMCo0rAOzpchzyhsk2n3PLOJee6TQTaEuUwLjtOosAXLvoCWK3I7QlXqJS+W6aqVaf1VUQ
4ShgnFeN5+WCwo65rKyoBIFxM6eYwVle2iZYG4jzLS9bVwIf3hJQGllX5SoFPW+TaJk2GXgFx5M9
ZkoH5AvOnU2tBwZYUNIg+uAMM5gjH0upszVmVTB8B0hNEULsyyOUrxhRT20PD3prqeFOS8AHMYwb
YRIHnJh3i1u3b0JzVrFEMS9nmRPDB4MSu9yhLaxqD+1S+NHpcsStoOWZ+Y49aQgemzHJn+Y6iiCy
LXF14TJ/Rt5bpvBAEatyUpG0D94Z7kzJMdcLPNntQqx6gWu7fBKlbva+5YSqOEc5oz2jckvc40TK
MA4KlCYDZ5G4t8+LfoKzYxHq8SAL4NleOoqxuZaOiB6YqYQoQIgxT49F3iXaJtcH5xtkg/obmCoS
Zzii1sGms/Q6YKgscTMOliY0Ds8S5qcNPIHGho2J77CuUPlVN9jssaKpRrAdzUrXmycxnTKkAkTW
JpmFLZHdZSVcpmD1EIoZDxEebLDj/MfvUjSF4SZKrba7kMZkF3dT2xXxte42BSKWZSFIZCBuNcRj
ZaPBOFUgrL7jjMHfLrpqsLdgIovWB0WLNKAT2KTQJNjRTc55gQGvKmckZjFKFI8uHUO8wWo0bVvX
o1PT8hlm9pWyluIiLaLZOI9RvRPCCgrXPcy1g9+0AY3QnWbDKq77LHJQ5IQQC/Gu20CZNz1BMm9t
E9rXti3yYA8aedUENML4pO8y1yhQ267ZSyeJGJATFQYyv3ctVhS22Y6VwEQ4DjeWaRbEYrIoyrpf
BaNmUBPuQskJusKmXtmEM1wIBFUBOASbk+f1LMpmOWV9pKNhGbTcjp5BM1X3c2RqyQEMLocrTLop
7K/Z0tszRdLKuJk1QgM2mZhhK1CtI5VA35BN3oT7EZ1mEo7lZm3pv7SdM6SbRqOuAAHYm48jkZbP
dibEEwnZdXhE22WgU9VnPjCNJMbxkIQRMogKRWx2PTMG5gsw294frIX0WgaF9rKBXbPy0GaTCOdA
swWpP/Qr9CPzxggxE3SKtxJgK7EsdR5eiLgncLkNCgKJ+lp0yQEpjHUdNJp6CZYouLWBowbnMtKQ
+wV0e1eNBRIbiX6t8UlZcZwNZxlEeWBWcKtLMXVnbdpF1/FQRykImmLBgemCUcdmzA/EIYPjcsWz
loCPWtp5U7809/FAmBStuIK4Cd1u2xeCI6w7OajlLsjThT/cmJzWEzAskc4A8HitZDV9R5drNX5E
jxIYcR5jiKoz0ssXg48IkBt4jkpp+rMJMJ4iUlgt46NhqvmHFVZgYFZImXa4VhBKOjA+RthGNVZD
4czGtQmuxUEyX7MrtnNd3Y0oiW4a/OxXU0H3dtN0ZG24M+YH3u+pQOvURoBsdSa912tiIro9U4W3
Ta1U4peRNr8Xmd1mm2IM7Yu0X+kqTLJp6anCti/jLOis/YAwWtth3QQe2OZMojwXMuY1oGT28on8
lFXnrn3GIUiHlZsWatsSYIjwbbT8WLpT3aHB6hR9dAzQc1pbK+oKzvcRDQKOQyGdmRa9zIQMlwCf
Mz6fBcXIgJbYawsJ6phmEwilvlWhn+pZlW8ItMGRgexcCfj3bsQ5AuQSic1UDQnLlBsxuIrGFyM3
jQjmWwnjYCntyGsbIe/KwFYvPTLNEoqW5Mel7qk/Ae2x6CVwFMFCiICmg+i68CMZZPvmNnUDq7+P
4k/bLGe61MaYP3SEez3XkZ5fuTVKmZ02Wt3VJIohWven9qNoTO156Mca5kKZzMhp0DzfoKExHizw
jhwccbohkBY9EQ+di9WDcfZoocACrodcNZjLp46Oq+4ziNfPUDvU8L0zUHMopgPnrR7lQDc1jpdz
u66ZQrpx5ZI6S1QZALS1YuqKZZZbNmyqj8Xs3Sc6dXRuHbfNoI3IeD27FmzFht2AwpHpmgeVhU35
hsOqmD1qLywNBPXW8ya2aHVtlG3XBr/lPFQQhYfiezaWiPikHEABOSzXYKThp27JuClu5ljH8Dp1
JaVyw0k79odwpIbWe7OHGGGwrp655ZDfCUX/gqAANnwY6Oo+CeV43/cinzcI4y2gdolu+AAMOCXi
AnG1FZE0vEeRw0ysVuNKqQlfiXikF0ill9wZa9pPZtbyDH96CKmiiDB0DZoJwoHQDpDygT1+U5R0
JOKMSXKFXtp97uhAfJKd1B6EIN0bYkyH/EToJHyvZ0vig3ahbcOEN91qvCo5kd0v0ZBd0WcLTp01
w+uuo2x4EcD9W5jQdQ57a1Lvlk4GAaozaZbnMqlYZIirWu4bp9PPw8IxLjTIe3AUtWx5JxyAj4gW
LZgxzCPPZT9iHJm0ZEbgO4E4E2DoNdRaVnLiOJ8xfqbDvLL+stHxEmwCr8DAJB+tMqdPl7YF/7Wk
nx6mIcVfkOoUE56+6O532Q18eHx3TeVNLJGLv1Rt+SK1OFs8YwwIOqRLga5d1qO6M3sOsexqqOZz
LULDJDOKiY0+KDujoHYkBimgxsdsagvq6aHJ3x29Vo86Q7p50w9zfh/rbfEgOvoZvoHspSXnBbkO
xVcCJXMKWtwXIE8hSyVpHFwCtsUdJysqYZK1YDS6IIsU3aGAfoa5GPWtqaLqe0j9ROZkk6xtCi0p
PhazmR7U7DZP1jghPa5l9EGfkiUuwG1b+oMrm1MCluMtZ7C2cn/wBWxkYZjHxBiSeuvWRfyQRCDV
Pb0kYQK4K+fgeAlAbACr52sM4TEZePQwvW4ae1SrjWY0qy2oX4viN6ZG8PpKyvc5FEiIVOXm7wvt
Dr7VEdoaOrSVXm87EfYhqJ0mn1KQtm9kd0/o09yhvFAZ8RsbQRtf85d0CcHVQ80odzV05GSnpTyc
bQK4igoHQi+S9AS132ILvCC1QVWUdobB148D5kaVbv6APqiWyI6M4PvUN/BmiTzOesZaChKvJaR+
NZuF9SzFWpSxnfX2pk2MEe00mo1WYF6LmPOXk+bA/eKQVq8zMgiTdb9+s6akl7c1jJ7skVGUCWKw
fsSdU9JH4J6DGFxhxkPsNjEq09lzU8wQGzMPBtuHmoI8MBiqKCbhRw/6Q7cEovUcyXHkgtXfFr8Z
t4uvM2KFOkQx7VQIRGzDEV+nnUy34EvXIM2Us53SfZJYx6W+kkZy1soH20j2Yoa8O8ZbyPJ+6AIG
s9ptb5zTkLvElePX8nKVmus20t+w31nDcaC32cjpmDsXOAd+M2n+Op1VmH7QZQhmlrawpfNF06Kl
wGD6OTf8GfE2Qug6Ok+duDv82QwY16YEp4nv2llPtV+jyxPWRmLb02wraq26SJQR3IY5cug/vIqN
LkfnAkQpM7H7mpDrZmOLra/Mt0UC7xPP2ujVDnOIP78K7ECLnZS7Ul8n5swWBg6M5D1MARMsSiDG
+J7odP13IoCfXiVux0FoxBnKQr/x1Yjcja4bBqLhdgaYyIaoCw/YL24RmOh/+hZwKRyEq5GaFpKL
TOqH0fkASqpsNJ5cJKz6QWPgeZkV4fLHVzF1fiFpmAKiFtTIH6+C+Q79dU/IFYmqwRMiB3WJkFLb
/fr3+aqdUPQ1bB4a3XdL0E5bH+s/9AZJqySpjxjhrC5b7vWxGS5oSSHz5pgBtdQa/1B+8tf1QL7D
TuDeTOur7KCjWUe1nWwrs6FTNCccYJAW/WZh+bd3hRyJfxMfM4q2H++qZ7yPMkUmW1ChGqwerTpI
i8MLNkPzUCEX+81b/lW1xYtnGNwUyjleDFBRP14PiFFmqRSbTL7ubpOUlzocPU6JjLSErV1BdA5/
c4tf33cuSYo8d+ewGcFS+nKLCcrRCEC+5ZdlHBxKDTSc6oiyBcZd/Obufr4U7yGyNJ1ixbGl/UX1
At14tu2pB6ImUFXLGrd/E9LgnAZk1L9+HdcH9U9VCondLnHkwoZcIEhh/nIptjDwztyur8F0AYXX
OLbf1AZH5T+/jkTgyOvIB6CE+PEHy2azDF1wuT6gXvNgKYrLclLiNwu59fXJWZarQA3rbBeKubz8
cjsWpHIQfGW+I5C1O+WP5W13sp7CW2O37IL95M8ecuZLUBzTqTk6eyyCfrXrL+uX5hZL2fCZ3gO4
zr2zYTv6w3b2H0b/7lR5wnf3zG03jMePBMf42HuYW2zyZUec0C59//WzMtZv8p8/yt93IdXfd/FT
lPS47uIIEPNd9oSf2G+OLRY1TC0bcS0Q4j3au2QLIfqYn8vb31z664f816UdJBFo8mxF+fPj79TC
OwoNWec7sV920zNQpOzJucgfHWOfntOwAXQNSozx/GVx9utLr8vrDze9LlKoSY1VCciW/+XKemMz
mgC5vrMvwtv5IrjuzuLraT9++/Vl/hJ0/nwd15ZIdR3Ivl9KCqtti6QUJKaYmxdMbCfcch42IL/0
3O2yD+/dfeMVv3n7jfX1/umiFF1Ic4VQrJI/PtbCVUFbuNSvcp8dy0vr0B2C3XKWXNoH7Wgcf32L
Ys2E/3o19PXUGqbLRmZ9uUUNozUuKjPejZ69l2faVXnZHKU3bT667bgbtsN28fCSbiB7bKJt9pub
hcTz7y6P1g3XtrDoW/x4sxT0KhDMLXfR0T6ruVnCjI/20fG7w3Bgd7hQtxZZqFAlvGGzEDrjJR/J
h/ZuXjuX9qU6usfQd31c2EfrN0/mr+f885P5v3/a1/VhrEJ9XFqeDCGpUbQNYWy2h87YO5lXgV4g
EYChOkbVaoM4id5O8rtnsy5AP/0B6KYNSTmLLvTLOghDd0rI34t3IEwP5g7zxM45E954cLbppfak
PcXn3VUAToiW3nVwJXfiXDtCcTyV9+U1NJQDB8rNb16Xn/6mVc4JCMnhf5RJafrj7xUZwDi7Fv0I
s7Xb+bK70r53d9Z5c5WeuVvnKr0utvXV8sCstnjRvzu/eSQrN+fHR6JQQ5qmTQnuKvA2X84kFeu4
hkpB23a76gh34ozhmw+c+Ch21WXuV95vltevSxyaUtO0TApJYYHrsb78BFEfCdpxOExmD+TTdXYo
f7ML/VycYIlzpYtEFvEqS9qPz7OaW8R4/A3E3czmLWusopGkiXyXRlH60mcFEg2zZzn/9e/49Tmu
P5+kUMaIgI8ZA8qPl00yxwjGmXkZaBRCC7vMONZWFe3+/CoE0yI41zmZufaXpxcnHHsJPpV+BAvx
zIolX8vY/GnV+teruBbiZIig6TLXFe4fVbI1pZEglp0AGY46zBaIT8gSfJi/vpevbwJXQZttC4Wt
AwuG+PLixx1t3L6rTN9ulgmVRmDs2P+KDYNygtD1uL7+9fX+zS/k8tSoTgAUCPV1F7DG2hqZvJq+
kRn9rtHc4VYRAv7x66v8/PrhMlm/YxftOaf9L+/BUqLYZ9pqMka2xRWJSOa+t+r2PiiUdr2kyF4i
fM7/bRrCw/Pv0VRfKy8Hb8tf7CvFvsox48uzdPvFDQdy4ajIDbgpIZPiQOJzJyxz/vtF/yN/0v/X
dfRP09F/XQ0fTdc3H/9x8Vq1/7Hri/fXDmjdf/5gTfqvH//v/w6n0roz/cKp9Jp/L99/dCqt/8bf
TiXEgf+y2Vr+tiIhGv8fnxKv+L9oPKz0OzSfqN15Nf7HpiT/hU+BZYulQ+dEz2f93y4l919Yk1yK
UOoJ2Hu8t39EMPtxs1EOEW4ce6nyaJcrwR/545fNGJlYGhSch8Ky2vOpznrfVVmzjScWSLaJ5hIs
bok3lfSu1MYGOgOAf/zHw7r+e7v9AaO2XuT/7cJ//RGmguYmLVTYuvW1FYN5AfVmMnWQlADkkHGU
eRqaXrktaQv2XhVn+u3Iseu7KJZs3s3dqB/ywckJpGBQ+5CnUN9//Sf93V7459/ELqhb1L6Ogd3B
RoX35cGQYGm4Tjoe8KVkMIUJq0caV02CiUpU50/T2IfXPcGkMcIxdBVpHzn4vxekDj497KY6EmM2
1t5gCDWCdUIr4M2Yu+XraNXhp2Vg59qs1mQGXl2oCIWwGXV6spuWp2wu+1Mjwv5trGLUx4WsOrHp
TLNwDl3oxLcT0t4MjHfZ1hcmmp/BA57gPs2t5pwyqAXSFNGnubZ113AF3bqhExSE2xgLUeQvRIJP
29lxNHt1mUNcL/OoTg6xUTuXJKIQXe0Cp80ZujpTeG6Eo53vS4sRy04jNbLetM5SDhuxaBU+WKI6
35UTIOxqVeRyS6QjxlshsU9vcXIBqwcRw8A3CjRD2w2EmNeeQ7PFQJgJLMLr5nR8z2rhbMpB1c+h
yZhhQ0d4CQAB5QyfmdSPCw3ktD/lQV4+aZUN+NhtXSPxCPGLXzr+o2oDgh8xxtgI1GYazm5mq2E/
uHujr1Z9IOKdo6ht5rq5FCTEqtqZXjUrZ1SFtgI7M4jkgkG8miQs6FijRggnwuQI8LaIo4N13nxf
2kGScWV0TXxIbWeqTolpENrSVmjwNo3VyGNNMmd93dYWOmc3aCJEG9korlTQzx9BbHZyP82T/q1o
4pDOdzBq0mdig7t77aedxjmUz2RIUfjSS29OUjapH7M5RMjIhfFYtLBBdg05tzdLMJhvjczl5axl
CbHoJlNA0lgjBKmECRueBT8hRQihtMsYawbHjYRmNj/MYtW7IhtJk42NhOc/CftcMOwA1c7fkJ0P
QT5ZIFJ6om5RWYCZITAPzWIzGct3lN7MdnpmrPEqbWGIpUzOwG6kxvuqs/kYXBKF9pY9zM0eoJkO
egJTDe81IbX3rGboeglwKxlS025IPVzFQwg6hWkLEywiZcQpntHskb2QMowIG3sOvHZoVQ+Htxil
X47wiDedVjXBJqmn9LLHj2BsiHXq7ip7ikbPzWxoQlHmzJ+9RJ+wpEjl8dd0OYOvoizLo20xb0IE
kSM41LWyIdGJ7s6AAnluTh28cOtmEpDoMPrmBQz4anaY8E6l9c2J8NuTx/JY5bjWk/GDRRw5qjNF
25456mukDXcJXPdE6UfLcb+TOzQczQXlHly6t5XEB0KxD1ath2rQmE9awb/sPKAq+lS2VnuYE6Lt
ZOdA3ZFM6WXhY7fCu2DxTcWpzQggf9er6aJWZIXzgGYrPkOfsoNcelEZM4YEqBF2Pt2objglijN7
YNzTrEV1QSCy5GhdspAkxM3hWF6pP73X6LsqqmI/iu91t73tU4bxVredojQ/IdA6K6vR5pMI7G4D
BDv0DZDXn0iipiemaufC4A4cKzoA0C97WC3NwFHK0Lbj4MtOIV+IkpOLmK9RlI8moJwMbKW8J2fx
rzTTHTZdL3eRK6cwFCExKJ6y3qstGv4Kw01JYlxzboBc90G03kSDdquXTb9iGv1ucRlhj+22QKiA
vmFVVk7TC678jzhxqhujRKsYzda3NidQWc+uVB5gYiD/b5+VfepNbRV4ZZEu54WUV4VgTJddR7Fx
wD26a1JDfyfcr4asAagHWl6GDo7UGeCyhUiS80j17QWWALI2xjx+NNzqgVSOS+bZO20xE+w2JeFJ
ktQOLBtEDgobFlIVTdu2y8ejZZYo78h/I12mxl6VPwSNeWO1xVmomlewOWcYeEkYDooUoUa8PAdY
L6C2AMCJcgPh/NgvmxajyN60cnfb4LwnEAyxrt1ulmG+a0Ot8bPAuSdrfTfnFcQvxuZ3ZOkCstMS
Xx8R0cZluotF5+lm9Rn2gL2UnG9lZexcIHVeZXDqhQ+Jgqgy+yNJFVethnZcU7nfu+5NFS/fRpqU
a7ngsKycmLE8GnaOIsXiD+FFdpiT87uElmegeXlFcYZrK7kSstB20fzmNO9G5IKsanArYaApqnnf
Bm5JdgiEnsOYACVo3bZ+0kbjnCZRxeOTB7cKrlrR0w4w42X4Ps8xnJAmxnPV6g9aHiGALi57t5xf
8CzAQ6x081SgodkW+tA8BujvZH9hdBhUMnqGpUE6DZ36ebNk2bhzC2ILNM34RtboM7TBk3JAUrC9
dNI+VWZ4yui21W0mAekzlNObM3Cfm0rJZ2QuhF/IZbsUCbjrpSD4YYl2SPvxICDdPiAXfiBf5zSq
8Gruw+QMB92TMZn1PhbAUTYyDIednsI2XF0ZN3rcNR9dRR4GoSRdcUqCEkEd8AaWsP1UqodApNGF
pdvEZZUxyJHqAefeQt4ayTwEbXphvMh9FQ/xHuIIxO9kuq3lWAAZh1jldWF7X1SERxb8ruamdILs
XjORliXh06K5x6KKnwHaHofBQX1gI3LDhoWov7EAIwZWonnID8TNpLfXDpBxbUWPVOaBhZXjTQEp
q3l0kdaTGgu0EjL8tjGGPdGI0LtiF40aukU9POqJG+HzeJxtfQYL1B4wPc/ng9Y+wNxZG7oueFut
p0JChKYZ1XWj8NgE4wKSjuDUmPj4tqI2RRJCtp09XSQBmRPneY6BEp/WPf7hbNfa8VnYSOkRjRq/
I8g/75sS3cwykoRDbvYosaYIFjpEoIjHIgV5dlGIs1y91chVK8QFRjv2JGss6fzjt9wSLBLvZGsb
b9zglU0q6B6G9sJebj0UqDApXZxPEgtK2GE9mNLQnADzBHt7SWOk5MX5XOlnAJ+M84npCOWY+ibS
+QON5Dl5WcGePNGLADHS9YRJmdCw5cTyW1zHVlW/wStFyYJR0sks9KJNscOmSkpg89hqYrfgdtzM
TIpPQF72JnWoVw79gc2r8Qak4YLO566dHWbtxWfbZv6knnQ5nGhBUxRlVQnGiyoNWH1KM7Kv7uNi
PBowLeRK5c3F/JpoZXpthfl1FUOa8lFd8q5ZwWZM9HfU3zA13mx4OMB8t+SHn9ll81iwfXmmHA5k
1L9DA5v3BIrtAbIAQkH/1ubGVdW40VNhwkjWqWZUVbTneiU0L2dUjxwjfO2lAzhIs8DzWfN53S0W
OjrnfNYJp5Hs5mOePqjIse7mtpWUoWVbPWZT3eF5qCecDwUunA+tLU2ypPGAJ7uOvNybsZkjNCc5
4xbscEnHHo2Kfy9b3CIICxC7edYAFWQTVVp9b5e585yoKX5GMQvZeNZb56rpRu0zqWcxHHRyTXf0
srFtoSsa4RCAxQek2CYWA3kqRsqejFSDfaqrmHoLZgHs37Jdnpyiyp9gDXEMMLXxORROstOTMvtu
k4H4UWTL9FAH6MmqCrvsZhTZcjJHAMuemht5oVemkmg54goJ15SMLI1DISKepROluIKVfAVXQ+Xu
ZEFa0FmxAYV2Gul78dK6lJipO/f72RyrIxDFhnRdLTIjvCwjWB6t6aKt4tFWFwWaNr4XFYkQ71yi
5Kav2vqOqEi72Sm0nOibgql+xWSjvyU6V2B7VfE3I5QOvW+nQcFe5rl+LPBsXM2D21wlbhOUHlGq
mXaZu06V7TqHE/N+wYxyV1W6+4BLKuyIR2RiLkIzJdXbga0IoionkHWAYQPxZYl4nFMoCC3MiZcE
rdYRzQJqeERbnYa62pK9DZluQv53DZ2wokrWRIhOJ9Wcm7gPJkqogOwbDGFuTQyZPrNmUCKRbQhq
okc/Qi7MGYHGyzeJtabao+TWPrAvoEBEttvfzMlkpH5LEYiyHDty4i8Cf+UGLeGE4DIhgtSPo0m7
azLze0DK0om0X9fHb3qcnFyzUYBo/XVm1dE7X3rfeyZ1AHlbes1gXW+c5Hufsy56df5/mDuz3rqN
bVv/Ih6wb14XuVr1tmxLfiEkWWbfFquK5K+/H3POPYiVwMZ+uMDdQDbykIReZLFYc84xvuHr47Rk
zTsZKGTwBXqW8paaxGenahrIzcXqVUYcWbqyyWGxUOIOU6sxV9uVJnFNQLBPZOYut8RhKzvRrV6o
T6vRtfbI+8dXEnulANWFr+auLx2wOzbBsztrUDLfIdhGzuZPokT+5ksUN+HkR80pxev33GgYPKvQ
BVKmNYTJVbkcsWNdQHs+kL9XvFYI44ok7FKQPXVbEWJv6k1V2aWh96S3vKt9Wkadx8haqhtRK2a5
UHsJpdeT2SD8TK2w2DullOuTB/Hksz+0ygRBhmASx9imZI7ykLx2Qw3zkDQclx5NjJ2fh9KvX+F+
e+BcrRHhNzFC6pw5KTI+zJbD+1CEJJPgJUu/j45aeLetbPxJyDHeExKHFQnXSw/Wz/TqZ3aoctqb
lDcRyYamy7csnzmdKC8c3lTdpe9ZzZwcDalm30MsBjNoaFyrTUZjxB2l7AH9faMzFOVZXgwvUIiW
x2gaF3NXlAOmRy9jZHTvZyVF8EpELw7FtXgYQwV9m1ILg3pAZoqKmRUPXwlGGvUBMXT1ko1eFeGr
w33skYyJjaUmmwozg4+PCAcRKEWNofUPzZJf+6gBLZK/APhbesRfE8MPvUarkGoyeIVO5loXFyhj
1Ezk4P5hMPGvV2HcjwMpcGFbfZhLDOts2sMgxGkZS+sQLv5zFuGi+n3f518u4vM/QBpcwgqtDz8l
4zyFy64Vp3JuOeLTcvkWirL6w2z11+bsXzdso5A4NmoCmxbf1gj/Wzt9EvOwBM4oTqnvUh01kwdb
r9RnXxbVH4YfH0adf12LAXyInGqju4DW+fVaBeZeAqlycbI4rYKjLjoqyFKDcQnBH382MNW5O5vU
2C/5QmIaCu/F++GUG0Ki41wClTaAxPaHFfPrRP2//1DbPH1r9nOk+4sC9LcbsJbT5BRBIU68Gq/h
Ive1GjhQhm+Ln70zhwDwaQwvv3+0H8b4/3NR1CIEyW/qpeDDArJlg9pOBuNpY1UcXFLBb9xmVhdi
l/LLXAr7YRRhtbc7HIiMhkANY3G/6vPcvoMtF1zIve7jIhj0bY0cgFodqsa2FesDjO9q//s/7b8s
kQjVmM0TY2iLsubXx+bYhknmANEiXm2n5853+OLyu45877P/fM1HmxwJASKvVvgRH6MLDHV257Pm
+UcSz5qqOCBt9Q+P/J9v1iYMihCbhIFtMrD69QeVcOTtZlz7U4YU/cDBdPMP8tX+/W37ddiyPWPm
dx4VGd1kxrrhdlv/trAMp/L6MUTutLHBoEVKWdDl8OT96hbuF1DS8pEZ1Hz3+6v+y29jxMJvQ0nD
vPbj4KreODFTpNoTBBF8ziPbNxt5uw0M/neo8C998n+7jO+YEXo1y0Mw8GGQ2S1hxCAJ4ESRwzck
cay8gfdS/YEy9S+3kNEzy2HDdqMg2yYGf7+FlZ2HgbLFSYa5PrRRszz6qaXOSxlRf6WosE0j/c93
xE2D5zsBpl1aZs6H5R6FQ8dhdUHubgR8JilHd7lwkQdpd/rDm/XPvYeNEMXTpodwLP+jxMorobX3
5tZfqI3uHRIUPV0XqyliIjcyHpQvIdGg0heHhWDA+Q8v2/ZD/j5WYIEiz2TQieAAZNtHveFc06vy
gL2cItsFfpNm7V2z4S7Rc6fY8SIX5sfvV80/d5KIbdZG3xCZoHk/6ig9TjrwWmd1IiPCPrZDB1ve
M/sT9v7ovz/R/y8mgf17+5kGxvvEKPDXgd//l/O/vwZj//uuJi/Tyy/xW5eX/uXX7K1tkPY/4z/P
+S9IgH+f+5FqhL4DCIdlQo3bVOH/N7nI+y80ECZoMvYvpsYhU6f/mfsRxuXafC3JQEIcYvpoLP+D
5CLH/rgQ0QGFTNsiB4kCr/vHT3ALWU/iZSO3B+njVWh09NMrjgJ+QVhNR68/DmbU+fQUv4SRJklh
ly7H8dktuoRA7XOhu2tpvvjg0c1AvoMg1Ry9653wL1VTHA5rvd7OTouJj3+xoIeWnvSCPcY2K8qh
2UBIAhMb/4KXxnUBOTdt6IEFXvnilj7Ga4y3e50B4UL6SYOtaUCrcLqMwyhHAxenWVE/rQvh5m1p
/8gWom1TIg93YQa4FqR92b1NK53thukIvv8AgHL/2TZJU5dEOcYTlK4k0va3sFveXLuhq1gF+a1R
E72OT7b+Jgg+vnFwH2whw8fqvrxH0XuaMH+uzXXmjgkY7nO0Xqkq+4RXJjwGzCd37WjViVnNxh4U
1NNAMt5u6udw17xFJAYH+gJvJ7DPixuRBXmAbxiv0Y606jdZtT3hHh75CoLZ3OzAGPHalpx2nD9n
3RoGVNcSD0TREVDiJx2WXN9+Iyi8VDFbuEOq5Ay3q5gJoh5EZ51aq4ZeHEzOz56EyLtspf4E3es+
GSOZqY5LaUm7a+8KRkUNRn36V82PUtAoEcjI99OI1wXvJqZ9c7ZiFxdNjHTAOKRr96bkHCYr7qX9
UJTigvmPNhK2L3wHAJX7kHGV2ZrFTaOF3kNPbZPIwhOTKjGQDzsSZBGK4LjO7pyQGZJfF2oME44d
T9mgseIY9auqIRdUZU3kqaIzY6tSHph41U9schaiZqu57QTLVvbD95pUx127tGViDdNCW2QO9k3a
vVquBc9mCZ7bOhPcxrCLvSGy96XTznEwQRq0a+8zD6+gQZNlF/iQZYyZfD6hi3pgk27jGoTTfnA7
AF3e0n1GSJcd5yr6wkgVQGUzdXFa0v7NZAtzRWtxIcUXn/0E4Vjki8tYQWfPjvaCPe63ORlay5ri
0YvWxATZ8iL9DJSF2ha5rNyrYEAFYtY16cBMwPYyW7pLKdrgTFGKvVkJYoM4aQKhgDwl8ctfp9Bo
AAaMSEhsNHK0f3h8uup3nUFoqZEFak89iRdsHAf1k4hXddP4jibtYA3sfaXTbm8JUxP0BXDkcFCa
dgnJDmli23N+Z/AgGTqNxEUaTI+qIszjCrtYYkdGcICczPtquWJHlG0bg0XIYXYq51SnaFInF4ee
NVbDU51TVETWGsXSnAS2yJpxjpjHPYhMxvbUifQQIaOQLQH1k/tAmJG/EoyZz9ivvJqrF7U85zZO
HBMyw26WTLInuCbnGYM2lXxvEXrWpBCFNlfZRjpDufqlnXtO68r5ioHpfWlr59iYzgsu6IIWmf+t
mmyLNjpmDOqQn4GbQTFSxCVoj19kyOWuHXsjdg2Ce6ORKWsO5AZrVkYAVUbDc1ijEptRxMS/8MPj
0hlhosZuuEEK4JwhzS+JJ2deSGtu9rZKrX0Y2bicUgrktmt5VQJaMhgCSRJoGH5JfIE78BMQiTLm
myQhv2iCNJlqB90l4xfDnh8X3OIjuLG0VudGrs/hBmPBe5UlplrzBJZYxUOlPqCG7vZjL4KTsglD
G0pEC78/VHw8RG1fj4jDk412dqsbPhxFScaoBu2M7X0QOVdNBBSAl8HswwRM2pcUEHLcWekf1KIf
DzIOSYDupg0jkZI6/GMDQNruNK6+kPdq4WKGyMLbDjx67IAPv/39z/t4BnZ8+KJ+iCbG4SvN3/16
Bl6MIOL5B879WJXfB/KXp1VdsiJNChUl8+Qcf3+5f3yLP1zuw920Vpnl5Rw690ZRPgGgezLyFL7/
TOzZcviPL0WtZ1FU0hHgkL/9Uf52umeuVlW0xSNu4q1wbkpxW8KjMv7gcvnHo/LNX66y3d+/XSW1
aKYOAVcp5be5vaTtg5n/oeb6l0eEVmg7v3OUxjr34Yd0nStzSB2MSMaQ+ezFRbYyuw+m+3Oenn9/
zz7WXY5PwyCicEURS+bRR+5uyTLhCanyYWRiwLf5WxuIT7+/xD9v2C+XCD4UXd4sC4MWbvlgldY3
CVMjKpZnhlN/eG0/XobXh/cHrDKid2RX2yH1789l8QwBWicr7gMoL3b9YhSfK/cPr+kHhjBUXfx7
lDhoHU2I99ZHWaVyxyzlQJzdtwyHTSkRTNyX0UNRXzOBvWAzR/9TAjD7+vtb+I9OF+1H4BUm8lTX
JbI2/HAPS0cVueWM9T0zjMMcrV/hshwi64EwaWh1xG/ZZwaHKrrPR4f5t/jDm/VBZ7/9bk4fyHD5
8T5/fdSSFyEcnTUnKGJGzrGbFObZ0akAGM4BlhX8pPtmAfgvVGfudR9NsfJN57stXYmeBbiKqZnD
KtLZmVR5D01Lg3ox/XfokMV9gXWWcJgpOLa4bfaW8vo4xImdiHzFBM9mTFxnwTFq9SGcgu509iLy
mBEqa9qBDVgPfpN6J6In9B+2Stbptmr+XtPSycMc5VFj2hay9Y9WETC2pQntMbgDwgMBrW0txoxV
cZrscga/3Yuk5jjwZJcijyde56PG0cuILo9SfhNjshZE4A0n8kwNaj+XiggVhSOkL/I3D7TZfZRG
ZBfWoDYOvrafTbMsYjlbxDsNxLKcR8g218EWhF5obd+aRUlmhGyWeAz1kGTCC6+yATHMTkrR2Wei
JWEM1Za+Vd3UPEJj7I+Lnmsm4072cx7m5ri2fakvgUPYwegpqoMynA8jhE9Cy5wKhub4ZZ1HRcuA
oBniDjgD+HHUrZqkDRK+HYEqzFY5dJWwf+5Bch1Vb8NdM8l5mCFu3RZm3iRVBkK5m/182Zm8mehI
pvSbkzfEQQJzPTLTy5mB4Jb2HdXdhbMxfApIidi3rQi/+5UUC4buNL/2w3X44jLwuMlJMrsEfjbu
Jf6WpGp1jcAjd18LFuwl9FqZwDGrjh7hLz9wGWg0MIRxZb029zPVVryEVgb5ITTPYchBxsgcfRhD
ws0L4gZFqwC8oGiHzjDto9r2YxBUA6lTMiSmPP9k2v1TRhjVzhEzpqgeU7kOIXhnqFGSaYCcAvRs
VoduqLlTqdvfMGFv95NP93cOlUCV0Pm7qcmjm65219uhQHM4eRicJZzlJBuX4TRkZFrIIpg42tK5
oUaUJ+JZ871F4mcMdBaH+mB0VKOTGdwMblWfB+AKSRTW4QNGbC5QznZ5gq3x1ZpM4lKNsjrgQUHc
YJhkAWI8PVtNGV2RAepeW5j6r3HW48WovfVSMJg4emmOLUrVPYUsArehJSrrYIg+dN+hAd5wKkVN
sgkGapJbPuE7cVky0n0POOu6e4T68h3V7VPLNJbh36gvC17N6zVlWFQrmIGdEw2Ew7YaUU74qhoy
ncwKFp6I2AScvCdM1u6Nu2la1oeKME7iY/z8ZLUAReFeOHfMkS2eaeDcUZn55zIQgBlp8O7KAK6W
nw1OgtqXhJUm+4rGRR0W4auY7Nb8gDu5+UlzlYAyj2lhIwO9z9PZv5p53c6rNdaXysyRUjTLNivO
ecDlSmrn5HpQWVx1blm+n2Y5E6yZu8J5AMcEslNisbBQW8Yw2VJmmOQz1iuAQ3wThMhWglbt4skY
jOoLc8h23zpTQQ3R04Q0iUe2QAlxsiybI02C7D1Q0EmdDs2lR7Qq7KIsIBMO+EfrmQ+dT8IcGIrp
nJPsc2vMajiDglX7MCOWr+JYe+bkulyPQHAOQw9rwfLbjH/YNxOrm0BPjD5EhEUyRSfCtU6wbjUx
3zN9FQ0BA2JLElGZjTAFyG3VHY4OtyfmtPQbi7KSufEgIO3JdLmkBt0J8MRfKLRujakggwqI5LXP
F/gadeNfsFJyLHl6G6uVaJbHUHvJBnDP5nKrCfD9w1L7wff08+T4k8Fu2bnf7Wwek0CoL9pfOkJX
Uuvs5l19yEVY3q1Fnp6KBoWcRerVxasCY+/rMj+PtHtOTZf2x3oZphuJZzeutdMlpFSE6JvtjLpn
qtXD2Ms3LP4EQ6dTeE/hSG3rjm7SO4QSFcJ3bhYDOJgzddBhHIRNsiYnVgP12plpkMdhO6qkBlSP
vLGYe4S1QQbDamLjsibDfDF8hOZrOIt9z656HPNpQB+TksCSL7yWKsoZdwzNvq6b/sAMvTuY1OJA
oqru3tIU8E3h1KfWb/0bBdjpkA/Dj7Xso+uoNIyLU5gUIrB1UXZ10UV26ZOEJbXU5jNSky72iz7c
WaR/HaD6IImcScHeAM0rwthYTyF7Y1VXr8DiBJDTpnuwBq3eVxNlLSYh144ZEKpHBQbpil1wODup
612x0vwruQiEPh09HF2VRKlFxSdLBqA4YDvG6WJ89rRFEzbLgkMnveJMbUm85tbpkXlJ6OEqyU5u
u+IggVfermNh7LTB/ZSDET0jih33XZk1qMoXzNz+nD1b8xTs/Q6WYMq45l77RrgvYNJCJmVgtyJ/
voXY1cRz7xYLcqjciLO+HEic6oNH3fsZisZUnGBq8OlL2eNiL9R044xmerKWyiNFLjQ0WzzfhB1A
uDcCu4pDjTP0ZELF+hx1cIJ3Xo11q7BS87IOs3k71fcdZWtJ8yfQb6IJzMdqpT4cy8E90iP6NJjd
yvhnUWik3BXyEnlvHTpi3bbRZSzR9M80tG5cELnsYQMhgH5Aw67M3/uoZGn7a4gArTXR07V20qAC
ifl4Yk0NnNeuENkPW2lya0Uq7hiJd6+lwN2/y31IgYZN1F9QOjZbtlcfG0eJ85LbEJssXV7NyFl5
xJwdZFe+ydltnP0oLAfrkS+qhzz0Yam1usyOlVoKm/jzcUjMCfZlY5fZPTjeTTkuzC0tvJtukRUj
m2mdOoZjhoQyGoNjLTpkPU3+Rt2/qYsH8HKG+40QLeum67JXkx+RkAVI82uh+YXyD0K13EWt4KuI
JvKz69INGwoQzXPbE6vpIQt7aAOEGSO4PIzUU30Vmhn5AqG3gLJam2hnurJHg9dMOE/JGkBQh+8I
7lSzY+GLh7mWqBBgn94i0x6OYViJJHdN4vCkKWIHNNg+6FTxpDlunuEdsXpH3M/Cs7+by5Rdmf4W
OEeHcl+knXWwOATvlMp1gl5k3CtR/mTgMr7knvWut780QDIWznTJxQSSbzTC6MbL9Evp00G2ENXu
6hBvwzwO9Tu9cBDEIuSNhY0O0vAFlK3xojBKH9CDyT2ZvfYjudxI0j0S9ICdLtNtXxm0hVNQr1vU
Fum8Dfj4CQFSEeUIoItexEW4GETb2vA/TVUn4QgBSwq1wNczX7KuK/ErZOOr5azvrtca515aI/Jn
YwZElQXF1TbG2fsNTVG00a8Mh/nNKFlQX+Zg4u1J8pk0lL7164ygtbFFosxhvYQ/2YVHcuzvdIb+
hrYzhMb96H4ds6cwi/aQIiHosF/utHLnO3fJ/SSVPRlu6/toGGiCJbmGJmP12KZ7fqWU0R4I2g0p
s4DTLJ2WiSB6kcjOQDDfH4F1E528FzWKpbBPm52iwZZouE2nTrTVTcf2c0sLvt3NW0/F9WrzMKIh
j9GTy60NaXKk8qzxKMdMHxXEgIRCIEsaoM1E39nZGWsnXoPK/N5aVY2+D1m1LPzh4lSOPBp9E12G
CfkOahpuHVZJRLtLeKhnbz26awpDoc7Voaj9Nweidgy8oeBbyG6KyMo7Wsihvhgbkp0IXxvJWiXP
1VjQCKR3Dg4flWNuBLdjBCaqa1fja1bDGJN0fr+CKWM00TICGZAh0Wsr2zK/yNBHklUtPn+0eb6A
lx9Qy7jhpyWk7Wc7xnxT15DDyKx/a0G9XqOydm+K2n3xEXIRUbvR9ZqVA0IBAeJUhJCLOCJ18Kpc
cipkUO3nVnqEcvjTKwDC9Ha2w+E6X4jttQGCf4JXVDKQlh4f3Pxczt0Dq85NTBGFdyW4w/tacH71
5+7LnANVdIDEIaw0xjMAt299OLn7NG+wo6ToKDkk7f0IaVYesQkRhwXZF8SeTLrGXe7qDfseuOA4
TETAexqZsCibAZ53nALjOwTDFndNS5jAUIY/Vzly4pn3TIpD5agx0YQk3fvIh24UMa83bHTLiRBr
44T4dzy4A4EXnAa7g9UXkvVbF5JdP4Vcq8lZ60v4WxVJzWw/Y/NXkEsmPgnheG9NSxx807t5slSB
egRC5txl3aCOLhTIL1UfFGB/RndbjKgZxchjohjC4ESZdJki0zsKwWs4WO50gYjzowUUtR9a5kNd
ZiP+hhOWmOVMkL2tvX07exDaABnFrltEybLap3Qda9LcOuDiU9ff8J7XCcrDmunAgBF9WF4ryvhd
CSXqlHXZO81cfSMAdD82q2uA4fby22VGb0xxQtTjyLkRaSuC9oaA+rnaghx7YSd0waFSMR9YP89F
MdylqaIRDsu/PRZCRCeGVx2vmDP1x2HNGff0aXmqF0u9Fq2z3vhmlxGPYMKortvlPnTy5SuKAvsC
UGhJiA0oMXUuw42RIokdF3e46tFTPtX+UH5Bvw6ML5hmTQI1WFibAuvIVC7YFxEGaEwVGfMaUKor
tq1PjtWfkEzQNLB2HnX+jlKrO3Jeyy/YSpuvpQlznNovfVK0yQ/sl+3RAzCf4EZyyBgqaG5og4iM
zRo25Ut66M31MyWXzzxs8Tb+4FIw/Iny05IyyCDKT7+0oNn20snE3dqSfOJYS3ku8HslppW9ZUP0
meGPsUMZKYDqV/4JILhH4PRQfvJZO2c/HTJEunyvOJCWt8jT5tstj/xgOTOydcaJfVSQmC3t5Rj5
8BLXlZqf/E5UvppBEMUzTDKv9i+6kCIpyNHem0vg3IyT9dMv++aseWWPvrHiXyqs5jCyPSYU5A/w
ffU5D1EHYRcYr3xzrg5KWAxFc2UjeiYBm2o3v+1af3xoCRe/kGzi7RdftjEiGyupRU26d8/zIxVx
cllPamXigZtjHYKCnPIueoZA9m50xJR0veedGkBztP+j71PDewCK+pvPVPM0LCTMmFUkrmynyCkw
o6+UVIz/FCcnNeXR3savxmMZrCRVbRevqQOAceV07rvKO5d4sWKw+RhbQvJsrIL70rqFlXQgkRik
WmaS5z6Ty/XRKFA6IhySGLJWfVNGiu4TiNYLua/+F7fQ6kgStHcsIpBy7tDpU4otHXieiI5zZJe7
FK8gElzD+zLjJSNMd0X5ra0fTCSruEf1cN2U9esCNP6M70oB1Uvnu2nI5qNZ6XcZyOh2QYCdlEh/
2A+7+Zw1uPXykY09B7V31TlBdMKlpvfZwhFJLBgqw7SkbqJFfFEycJ/04gTJXNjesw22+rxUafOJ
G4dUZ52rt2E2tmXRfHeVM7M/Obe8J/51V9sVHjFz2tuT5+1qB8+VRI2FRIUaNO87N5atjR+mE9NB
hhRshPe4e4cE15hx9RhngSCbdKrSOFOyZrKUK14XSuZ5MpgvBauANygVVOPpPe1GmkK99BNhsjLW
lgNuXlHap3hNT5EFDVRmfnnpMl0dQiTG8GB3RkcGqTmQE8ArEhfoiRkmendOVTWPRgj+r5/6rxUq
673b9oSPp6vPoL4oD5gx+C1WTY/WA7odGMI996X1BEzPSXST4nIIhLkjdIIGQZvCvyV95akaR2Nv
lo1gFuXoI/1f+0DnEo9L0NnzkZ5XRCh8i3tipSw+a7MiNTU12qNjVQo1AbNlZbPdWfV2NM3hF5c1
8S3knLIEcePfFmLamJo2V1YtR307M85BJ3+CEiVkfpRVMtaB2AtrNXdV2PhJpdzqU1dyaAoGOLu5
XoazoRdxFJ1uT40EuOoPKjwoNxr3DaEbN/wEEBqzW9+4ubau53SeXsrSemaSCFNwnoCBue2SZLox
DyXwv3jIA/dYDjU1epotJ1pVlOlFznhvzZrrSOT9Y0cq7R2QrJ+dRbVEaoiMfYUeYtLMuyO3bGGb
M/ZvKptTCX3SPbrc8dbuafFjihb3YFGrK+3KV3SLAfsbbZLaLqo7CpeFyXuY3RYL0bzVyPI6D5hd
D62ho1PVi+4qwxyLQBqlRU72b1yLobwEdhM8RZlpvxCvtOz5jAJuFDgJxeAEp77kzSzzHjfjFAzG
NR7ULO5nj9YZO/PO7dWX0CrtuB1KlYhxsk+ZWJozKcjWHW1qXgRMKEezHKyHfgqZpK/C5DCZFkft
l93esEz/kKUyOqgJpwkde37N4Pbw96U8+VmtDuitnwfXngi+9pz7YSF+LyoGh682S3ZmOk9OUqGO
XTpbx8zavlUUc4egGK09s1Zk5ni2d5xxntQ4dieb+fyuoViJm3bJHzLX6s4O82uojSgKUkcP5xWf
K6NkVR9CDAVHO2cmmvZFdU6hh8YEJqHeR/SLy1q9bt7HmDwD/4ROfsayIHsA7zQW2qmxDghkVwI9
+/EHVPz8sxGMOGNYsaQZ0LhOi61lTKGoY2N08OPQ4dDH3OgTPmsF+ns+JMRa7bSQ7qlzavsadOoQ
t4FF+d9nKWe4rG2vGs+0yZ23nqp8oK1QkqRD2wZyrIYx3lUG+rhc0rGGSLYDvd9eo7mcLwHGgmNq
YHbrg66/tsOJqCvCto4YxTFEu353s9amTqaA4BrCa6x7AnTI1cr4wq8GxNKsas5sufLQtbTn4NQv
F8yidHCnlBNFNtVHnmgK23urEj0RJT0RgE9OrUC/BUS0544/X1BCdJcCg8XjkLNLrwYp626Ymwfd
iFda5SYNmBWce6ApDICmZyBFS4/4ZD5S0qisI1jzMp50wKjernvawONXs0bgsSyDs18wMmPQcAPk
+5H1SS/jTljuX1xxvas4S+0st1+IgYkWzMj2RFePwr2mHv5GMPiMi8949AMaggKSOSh1TRJ1iggB
lwgGkVDQl1qHN7ema4DhIthrc7Dg1q7j/dbRjyMR8sG2g+UdfiTjG2XLz3MEOLSQxJBUjayBcg7G
t5Qy4doeaUYWVc3Zgap+58ymexhpzn0qq3uzvUJ7aLyGzYy+3xWYOMEqn5RFFgmdS4KLLJ6t6xjL
TW5V1cFQYXlE0Rqc5yaQj16eImEqTHk1F6Z7FE4GKHRuFc6NYeSH19ukYVp2pDr0CeY0SAQCZxvp
AcWV7gIjUQ2a4tL1x6eiQqsy1gTmyIHYYyrhEPdnXcmbzrMJH6sqByJwZ39l5kJ6QcCJcNd2GHB9
eAb0RxGjYsy/ZHhLq6mu72dDfBvBvyeTXtGP58ACVluP1wHs6gQ+7fij6iN1l1rlcGd3uSaf0NbH
cC2+lqBtMaDn466rW9IQaD13tOSLkjh0urb71ubM48qs++K6rf3TTfHzsFAiAPEpVj0d0m8jL868
befoZbFWn/wNbdGRqjkfmpCnSYEIryy9buT+YDiWdqnInMGBQp+VtEJjwRA7Zu6lCann5g5uCp0O
ZyGnKm8Q05BiQgxblPV3o2yzZ1l1xi3OcZlAbXBiMx3XHS9Oeu9QKB7qrLE/e6klI9QedMpoHwDt
zxWUI3f2rqbC17eIK8RhxAH2TbB07yazJ6vagEqBjqn/NqgWMYc19o8uFAjXkm9pb/lMJ/jqOF5R
v4SlaZ+tNNd3PkevHSgIdUrxdyYY7qzvYdSYPykOn70q1bdM28zv0byWX0u/k8ZO0S37puowOwMl
d46Anx9dq8CpgjKf7SM8WJFwbll0X8kNCXViadk8mrJHLZv39VEQZIpFoF+bYz0A10y6pe7D/UoE
DKcc1kmzZQnKMfDuKC1/sBfKu9QprLidp08MC/NTzdeAti5HB0WeCX8eemK+M+FtxtGCaw3XOhX/
yFbrlg+y8F5NXdRX4B2Z4AypuhthWfOl7enuCdqGiAFIoRr0KyISf597OIGlYwEH74kRvwbt6yUh
arxEsEDuS03LQAlPUTdT71suniWjHJ3rxlzUC4KMlq5B5r0GfmouNM/UfFeMvgG1M7cvlhPQzMCP
GuNSaBi0dtgEG6bKB8J9zJ9rAy0+J8j+k13V5ediyIcvvutNN9D41yOHCpVYIpqeMbrtbcrd+jus
/fVklJM65+aAf1fPs0BAngKpp65+nazaPdNT1vc19phlB+E5urAPYR4PxvwbIab9xcEwd6X5PMZD
uXZJmYfGDSEu97OwphNZR7iumGntKcYYfi8G5HWvA6ve9bZzRWCIOPZhOcW9g88eH2xwbNqxjGUG
KiOBlLt8kVZY2gzHaMiOwK7PKEsRN4aw2rqCY1oniZJYyZt+J4BwOvhdun2iqbns7f/aoiOYtiCK
ynaYjfVV/z11Jutk2SWU8cJ6IISAdjQEFYjgU4b1gU6gPT6GMvrcdbM5HVmZ9dEgaz3W8yTwNQnT
/ToYlvujHOylSCYck9dplTucGOhPdYXf8J2vsmtRd87DUq8Nc6sBD4e/OedvitDGwtevuGydiVwW
IHD10W6GKjaCMD86FQpKsaaaOog1woC9zJxpt0I9P048liO6bfWcl055TfDBcFsRrHMgoWnYFY1f
Jw6zv1vYA2tPxpICahcyXUyqqGuYxUXGt843gpimsht7NKlwNXbY4xgNH5TVMh/MzTVxU0yXJEzl
VylSpIuJlAGvDF0SiY+RKiao4k5bRKe0YPIbBh8PLvz3Uz8sFC9uU32iCEMHN7gKJYSvTx5RLPxH
7QhWtxsccPFlBxxwKyN3XnlJPEoCLpSZ29KtoHUcgle0zUE/Iy1CZSGOEGyxO1mlfqK0A4rSIW0i
+JE2DyW5AgPGfUm6BiTtoaTEjsafhRGt/Q56/uZft01m8dsRzWkzIoDq9cUdRvMHjWyTWEa+4J+x
MYd7KTOsm109HXKiOikWGhPHZj7eTGnNcGnRdmIQw3oIROBdBXMwx64/EZPHt4g5dvGD+ho/41qi
gtuOYyJqxqTIaFc4zGFQpzFeMqflJbRySutmnTlfsJcXIVGPWxqbXF61ZQvEkqZPc+f/cHZey5Ej
2Zb9IphBOcRrBEJTBTX5AsukgAYcWnz9LGTfsU5Gchh2px/KuqyqEgHlOH7O3msHd3zizEd/1hbT
Y02euOram1tmtNGqEiVCYkQHv4+BmJg0mVjE31LLTm4MxkmrbEitZeJq6e1I1spz0mTDo1KLpvSI
RsWkGKS6V3c1XEPZEZLa0Ca2E+sZZ4BBmC07ZtcKQq+kujiQ0ZoQJqRAu3FsBo3sgWAuNDaFeSwj
yPAMbX4pI4D8dVwoNkGUKlbtIRlee5+XejHFRbNza6sjKrZPSAqh3rhqDRzyeBeXUgfIoWr4d3Wn
xzfpE0Bs5223zYI+2KO2NZcW0cjPY4ppYBGHJnWJa/fXbSlh7VpjeLACQ31VCFdplqKeIQX5oJPK
0RveYOjEX7JlubfZMS1Dco4PYytQEpDh/uRWPMmxGEnrsUxksb7qe+wbSKslPG0Pr0dnqIgad2IU
u2wUw143pqGtlL5oNvyaYTPiqV1bqq8+VSSRAHHwzX08mvIO8p55H2Skqfhxix03YP4Y9c1vLIp0
FC2SlPDESZp+bXcIZZ2vY63JENxG4V6ZTO5HrFMf2UykC6q6SjT40UfwCGMavzMCdH6HvhnztR+6
TylB4bNl7zcZ/t+7GPvwVlNxug4JuZFqxRaGJhuJmn7WrCZfJvd2Nra3TBMZl3YK2uKFW2g69JNO
vW4hQ4O57xDoGlM0Hvn6MYZV61ZftGT/snfv5+iICj18a2cUhKOzESAB1m5rqCuHfke70hRjPNAO
nLwutBnMtea4JpDhiryV7npQpED7ThiUnasUhfSneyNvDsaUxTvCZSGyUAogqlHEm0o+GmZAW6UV
KH6PiaKu7LCfKrT46kdIhb/oYcosDaJp1zaYzkkla6mD3BoJC+YHARW5MtCIaxQaPkXgx3chD85t
kvbxO924Fli9nKIbBocod3ldNtjGJjIVULOmPOJksWr6uCiMKrxKGdzRZp/UHbGkxpNWpO6Wq10f
87LTswXutZtINRhCSuu6o8A5CrZoJcqatNv4La/qpCMAod5VVzhzyl2RQCzRKrxG4hCQ84zwZuRF
CTM5Em6m1qspbTIaoraGKUhlJnEBA4IVuwyzPabp4t0kOJOJiWIcLIKeXsJuiFEfY8yX6VynUZis
afQzlLMDdcUQ2N03WmN67ej8AgmO/9ZsCWuWFcuJdImMILZombf+RxTwqpuFoV8ze9BfMjZYwqsm
6vR6oGfCHANZQArkscJM34+PUjY4pjSTPoOlRv4mCw3a8pWmXCVRi8DKDquVAhSbKRXS+6IQXAvf
GJuNAEf52Wmm/+zX+nSM48h6dBNQZEocUHUpkslCat/2RkxGCkVmfUaH+I1GEGEw9Hje2NkBa5+4
UkvVDOA4BOUNsTmXNpPfdohWos0OohyvTSN/aAL/VUVhUMhu9bNO8FTNaeJ60ZkMEKMCZts6JbCn
Q672LabKa3VILxNCVBulOyMFPCH+4qHEW4Z8GAMxJtd58vJVZ5m0BF4FVlVeAQ/S6MUoZFkQbdYf
0qpBy25lGOwnWDFBTce3zZXu0lehdcmcraUS1+lH2zkT27suVPddQKIFXdR8lzajvtDVoL0p0HG8
8kWldW4DMDpnz531xn8L+v78/Bmu7lpzMsKpUzbV1UoOdlZeMWdbdPl13W8im2gz51HlSS+gP5Dk
dMYYd3pb5mPCRgY4i9sVYOvJJfPx0TN7Kcsrn2bWIO/M/PLn+/6fq/71tGZlKk0BC/Mffuj5J/yl
SlaVIBB0XZurwKorTAk2XcxEo+JB6DD1v/HDQZkxCYvPYxQROil+3AJkXwvKAnphE3U1MXLDPV0g
AS0vcuYvXP/oI0BfthJ/QqvPPd00Y62jmQELI8m3oOGo6MkZL3aM98Vai/TpYoRctBQNFRYTytYj
n5Spj1vvUrasXq4rBJSZwyOthdzDuiVxXGgE/8SVDeh+pJWY0ZIgstXd51X+4PPHUkWp2qIIQt1c
mhrqH0o1ligMPRurdZoVAfD6lqS25mBHTbGO7Cy5agxNuxvbtrqye14DuxzvCxSDV5Gm1ofcQOrk
7DTpQ+TAp4LLSC83Ug6KN/Tyje+9i6C2rB/tXkH1FQyNVyGg8OYcyp3uVHvKWCrrMCr6vWKmH7wM
DvQu0rdMq5subScrd7bm9s8RUwIaw51lr8dRkzzu7NFGk4p60cU4QjADfI5kBmIPVxWv1w2APjld
nRJy+F0RYVYbmi6+StFbHCXBeGI9EIi2Gyt2fjlmjJUxWNnehaMugRJp0T2uJrEyW4XEOcbOulVa
u2nWG43Y7/YZIAsyt3N874wgjEXCv3MZpoBeENBgaUmigVjcJE13ijLGt3UhW3goWrcywKSJBeTm
D8dKId9U11pprhx4lqS8HsaIKOQ4yvBJqX1xM9Lt+9CtnCbxwMBLLhKLzqw/IfWsa8veIZgZLwJd
L9cpwJWFVFw6OooLSUaZ+yEOZfTBtdr3iJbn0Y1tuattSFsGsI8rbSrS3WToNuRXFyxRU1EvjAlZ
27WvKster9NjXBfjSq1JbWc6PaJQ6YRvrkeHfuhCE1l7aOgh4sjyMeOU1mChnXZGmvvW9NYRHw8F
pNTmrPKEKYWtS3PdTgU1KxQ5YiD1sH02eovvG9ynTZOMxYG4zVeIOtFDUHQ0XcjSZfKhB1dlow4E
lFfRZWkLWvJKRzZh3xj7PixIlROxoYKsUYujVF7G+gkKjK5PwMGh3w9VGD44hrwBsnQRsUHpgENe
RpBGVDKaPHR0xSMeXuO1ioPkLijrcgMRN9xJMrX3rdaGV24vnQu+7nTaMO1ye0Q4qJTxtnWIxkbC
MSrKpwJFIEQnKpSp3lZaTypBEefaKkLizeDGHo6qzZAtyP2XahzefJJvfyuV4y9jbR7x0TZ0rhSk
HQg4BanbU6B5pF53S1Tc6Y6+bb9XbbgLHu2kcVmDKdsQ8eJsZgiUttBrLyY7rPKsuNOfnA5Vp9o4
yIOHSWPqWrkRE2dXAWA2ESS2ZtaiX4bdGOwDS3mXGIw32Mc+AmQ+Xp0iL+En+J/IWeR6UIIOdVnV
kimKqXK0y88RmskKAAvNZnBfyyJV7W0qpUt4ot7DSFAsbnVkIVHT9HuHPCiKiuGXRX31rlWBvg+I
Osbnl5uXSuhWB8Ua89VkmOUFWJ1uJevevSCJne23WwIwEnieRuBIdOSxYGWmlATEklZ9xsv+70cF
4wahJGL+q+AD83XFh+xlUSoX+qU5dc51NDnjCnqV//rzl+XEVUHzVOeTheOF46CCd0+MByHdBgOz
bHW0u5Gpz6pD5c2S8PNBZj/LXx8vDsJhND5dVCwG53JyKkOZ+ZGq9/Koin7VRCvy3lGwPZJHeK42
O5Hzc6R5aufSJlNxtpBa9PWi5TLX62RKjKOV1gavnLavBOJ50aB5KNrseh5ls2091DUa8mm4mtz+
EYXtGUbKicOMukObYQBCdTT0OrYz/8q/PtZDP6D4MB12c6SCKk1yoBfhIcNcYm3c1UmxAvlzLlPm
9JjcPIzQs+uLG0lpelKDRK5f+7FjaDdi8g9NGGyE2e5TImOZ2uQgSX1kZcOZy/3dMeEtzLkvwsBb
NN/3v85zqsjVDqxGu9HDEFwmIrzpWvXz6C4wpf27caz6gUBEkvMwM0Rnjv319fhjZ3JI98C6Ap7a
0NWT840NBM5mF0Z8R6N2HYArvorHLvhfudscKMkaPB1cOZjCqLxOq8k60WqpquV0w1A38NppTDYJ
Mpi1ih5hr+hpcuasvlav8/H+MEagHsz3kRL26xXV+gCuShFmxyJ8Qt499c9uTePvRq+f/ShHX3nO
DHmym/nniKfuLbQ6cdjDNsTmDrOL+OKLyrUW5Ri+J33NqF/SM2JSvFeK+pDJ9vjzyvDnsfzv0vB/
D4/1yGFp0EFQfT3h0YgapAcBvbiy2sNfe24npHTMtToCOb2u8y3qK6TiAKz2eMzuFdo7Z37Cd9ec
mlqnvLZJITiFTERJZWgNraQjaZVXg9JcdimEMIa5n04xPbMILy03/DUM1WVBZJPASLegCcr4KYYn
aG2reJaHaID4nKWmVwekOGeWz29/ICR2llGedwgLX69R2wW4MtDrHdOMhW0amHO4LlRPJpg5cmGr
GL3Kat4IAj9jhfz24aBNNqfpkOzEivb1yLWstcSM0+yYIJSuiV4lJXYxsN3NxIMUz0b36tQXynBm
+dTm9fH0ofj7sCfrykiHJawkD4VvDtSN25Kxdv86BkcRul40PPs+/pT6mtEYLo/wPyCQ/2f6gPt1
VfvPI/n30U8ut1pEBWLyLDsqCR1NzCeH1C4FLRY0y1b2u7OwxDRkGM9pjinCSyIwXesj7aw7kQKz
NNR1OdkXErm0kGJngksk4ViiTCzf+rBSGBWoN4IKfK21+Ur2HKOashtnHp6wY9lAiViy2DvrsWs/
iwxJsgB8Omu4erZbWo4IF+RenOPvYlh+BTNzRVDqM9LSg5Mw4nN6iWui9rIiXI9N7hmkMoNqo+bR
h23rS3aDRvqQ+sE9ySI3fiKX+MCGRYd+oBajp8l875TayhzLu95y127BPGcgZ2TRZ1aykt0MkqJD
BoPKXvoio0DXYg9M66ay9I+uNH+hqsZc0jerKiMViBI6QhDCyAm5UxDcl1HdLuNaf9Lq4GA7Hwmt
djZkj5bJVkpru42ceN17FA/LoNcYcHYXY2HeD0p/kRMrWozsEjscVLIObs8sBF/LlP+58S4rr0br
wNZP3zPWAfYf7BiO8IVuaOTCGnAHyfBQ2cNn3IRjuRIZKmJr2kCrPWiD/xBG/VJjOEDL61feKke0
pOdWyH9fBjQmuIQtEyMeBs2TT4JR0BaOzEIek/Jd8CXgPplMkRTtoYzXLkMNZfzVdPdGS1Vanfn8
nXDH5kvCwJEWl+Aza83/7+sCoDK+7qwxoXJDrn2YGL6uDUUnYqExJ4Qhg/pZMYT8PbkNsku7ktck
Ef5mxBHuJ3LpVkpqWPu2d5vrqgRzTdXT7E36C2u1T9r3n2+fMZeqX1cNfivoOxNvsE3uwUlF4KCE
RBEhimPl7qLuPSqenAlrphvT9b8xmRfF7WWgvqIVIZH3yrDV3xVYEjHlF9Vw7WNCRebqGc6vPGGk
nn8O9DpTBVythlEppcOHcTMwLgY1YuOb3LjxGTPqvJae/nz6wo6Y7zWm1JO1NooDSV9ulMfJbA7+
mNwkURnhETwbhPrNqo7RldQMbi9tTH0G9fxdtgFiAWnCjP6Yp6ijaMiE78zP0i3c0fchH7LryDXB
EVt049GCIeuLBnP98836d43lJwADmktWF0v3yU+w7IhQh7aWx6h8HHtxm2cTs7Bygb7LTd9MNT3z
kf/3E8rx+H5SwQmaZ87JS6SoQaEK2KnHIHetN7OfUiZfkDoCu5nx74NOEEeVI3LRUBg2DBj+P07X
oGdLIgr9tj9Zun8VyoraMq8vc3lkwIZnigbpIijy26jJsDWM6s4McrDk1pm397RE5uV1dNMln2V+
I0hA+nqfwfH79ELmixxCHYKXrNjD/75C+HKMPy/lX2cW2b5Upq6RR1PfuAw0mtFcSvGIbgjp+kAM
8yrXot3Y5mceoG/eFiKHgYMBw2OffFo3SkPD3+QDyjc0975zNGa+3cPEJPznG/fH8P/1rWQXhzdf
0Ahlk3O6ASgj5Ex6blfHWhPXtZ8/KHC0B0w+QUgLj0konvp73Ky7xqzWRT9RQVcwkPDCuJm87RPt
zJM0L7g//Z75xfrremOGyUbouRUV2bWoWZ14ctA3LZS6WvfJ/c9n/+8HcT55mzYlnx4U4idL0iBU
dYpqgRg8inZqgZ6sbUhtzLbo285sfL45lIZ9nj7H3PWAL/r1vKKR9W9knoxYJr6zROEeE0266yDW
PwN/tM9cxX+fHoK/CSLif4YxU7i+Hg2YV6vFXTMfjWJL1mvVzlfZuQjRfxc5QbIsuE62N4xrzJOj
hC4C/SYc6qMU1arO2l82Vj1hOKwCySpu6gu0oWdei39f+fmQDmQbXno2rSevPCEgdjpoHDKZen2H
I0A5qKXSP/38XHx7FNAlbJpU8KynL5/hwkDDmFMfDZkf8868M4zwzIL9zcaQBCNTN5h2Gab4h+yJ
kstEfz3VRyf7rPRiWfYjEp73gVSIVjLLGDwzP05otcHwn3k6vju9vw998o4ZSGMDx5nvWy23pdYw
8++Q7f58Db95BNEZ6Xz9MMjrdIq+PoK5RMCMrkzc2F1XgjcwrEs8YdlhiqDP/Xyof98tKjfSrjWb
Z9H653YpcYfG04qjYyvsiQcPQVVowCQYaVV7skymM4vmyRrFHBpco2MQ3UxC6b/LRhJoltYW3Xjs
NCBPSp5JkOgq0K50lCuXGSCbito40y7956BofHRWKgGZWJ9pJl+vp5/qKRrj1j46ft2ufc1lwxOO
yaETvb0euL77pFfOEornP/Wv5RjAkkqvhiathfmehvvJCmmUtE7SQVWOOoqrnVppybppMF22BE7s
kjrQrhU76p/YUEIloFTeO0GNPrvqkuR5somrMfVwipdu26fHCBjAIUtr/WYKIiqVoQj3BeOC/9XD
MIMbedpc6mQ4tnNl8PU6maWYEnfIlWPvOneqlMWdFaJdhhWuXKgqAQo/H+6f20KxBa6JdqzOvsr5
U4v+9b1SyYKCOBxUR4aCK+KF4Jg4S9N5UmCO58W5/u/Jk07+GkdjEsuYnHUDTfjXk5OUYAAa6uo4
ZPUGowREm2VXPNf+ePz5tE7e3v85EL0YobHfINXu64HQoIyxVsfVUc1InunoCJXXmX1m6nvuIPM6
9de1QxMzWPAdqqMVBWvE6ncJ0U9Yp860W747jAkHjT0BiNV/4OR+2vhTF1DCWe2Fkj4P1VWjnSkT
T76Efy4XKGi8bJoxo3JPXhPHRapL0go7jkHc6255oajOlRAzRibYp1EInm7e1/58j749KED0+cxY
YU9XhCmjBaObA2+SIxg7VRtCTRdgG8iu2OjJVhh3Px/v5LPxn5P87/HEySillpWVkj0kjwTAedl0
N5bamdbUd4+36dp81oXjUPyefDOEqGgugic7KtgQBh0PyXspyIrY/Xwi3164vw5zskR0ZSAm4qaK
o0+GXFhvgor0GyI2Yg9LPNFy+pkb9d0awddJNWe8MHjjk6WbWIhC5Gkoj3V+k/jv5EAk9gWgl/Rc
q/e7OyRUlj4Q1KBr3JMDDXHkVoHIeCIAmFjhptPPPALf3aD/HoAOx9c31sTy6HQW+7zAkgs9QxAV
Ie42KxhA5pmLBtL6uxeX9YftJDMQW5xuam11IGEuM4qjqmUFMknXuUqJ+vCGsncXNar/Xc/36SrB
w3qIO7RiYGfQb9vIAERZxZ6EgUMbm/8CnJWzq0oNaWBWz0q+VEmjrWk0AX4qjMMYy0w4GkHufEZa
bm2L3n4JKZO8SE4f5EPaxxjNkBejgRFeG9oM1yJDNKAAdHebZ2l7A9oxYeyV+evCyIYFRccspgXI
rQ2avQhE3ywqHByYgh5SRrsjmC0Pc5zcIDB8cxpiLySNmGVQRq+M6997NMGreCgbiCo1WJoafkU0
9dYHwhjOU09wCTMk3GQJoClBEwSqRhwep2Hc51O27etGXTqYiRWkw/h8rVp3lkWYs3ftdeeuR6DU
Yt2ZLoLShiYFTbtiV2srxiV+4gjYTIWSAH05HurIbIgnwTepJ5a7cLUy92yBpZqyz4XfAFYi0Qd/
a4lY3uhF+mZkgblCz2u/2BjKNgZoGMDWYXuNdBxZn456wySfxevUpvdqJ9NXdUTxoiYJOIPIIm/Q
asRtbXRzyBC+K9ya9QVoC7lLgNwu9Kg0t5rmFy82MVkb0bflytYxO5FMgiAhNOx9jqvDIzFMWVUY
ybyZDO/5Vfdam4G1zEWrfUIuHZdhS2E4QoaAxGQRcSnGoYV9A/hlNCsq8GlWiVbSRwo/RwhEXRt5
UxlokAzHvlwgUhGboARH4rp581A0luklWU4sWw9a5yLtQ/1CD7LPUiPGhMars+varlign7TWFSEL
SMtwpKJG1xfVyNvUR87wCsIS4AduxpXq+NZqzCNjK02MPEhJq8socZw9RPJmK+boZVQ8KTfZ0mDc
lL95Yux1qo/GSzBZiNv1GqlnG9i7ErndImjGdBVX47veH0gbRTg23pckX3pVSAOeHIXuyvelvxGx
H8Nxngiib8d3RKEK7jeHm+LkpWfhtk69MIWJJJE/bWxNi1dOnTe72kKU0RP+pkUXXbKPygXoV2Th
bWYvcLLpG4SRwTave3PrFy0UHqzpaGZTAxdFbyZLI2k/q155LUdB+4ggsY1vV/pVbWZMEGqSbKDk
2M/QH0ZrUacZnr4IAnMyVNOmTisbIWit4XkLMFdHoXKT94Vz0GXRrBsRE8Wuo0hu22g49CAp1pYE
Z0VObHBZ2+aH4qoIWJ2GHLwSl0WX4qA0E/t10GLmXeyblzl6znWq+OrCb7Rhp0XZQOltRJdVEnY7
Ym/8Wz+Yol0tC+i+Q1lcuyM2OHeCY4flCHRaDjJW0fHImibchASv0YooJJIxqSauoiYED4xOfuOE
4s2CcYfJBtFMUjq/oZwBwsIWsHQSHVV65tOrKGR1wDNKAa0Glz1G9V3uO8xusHHRTg1vHLUbvLBw
8scgs+yFwd+uDbMV3gBiak2ErI39o5gYdSg4bmIfZ4TSEyBfjMjYZS69slWB/7rYKUkEwm80IPjP
0pk6ldHkRpUXXFj87TKqIZmEbREBSKrkW6BgowPXAwjNtBUanW05Lhthf4RUeYugngnDjhOCiA7S
pdE4+DnjZEDQawGEcxygyKQZe2GjWqjpm/pg+REhVhXIlD4o27uAZvu6mW1zrZyKfehQ8XQ5lm2r
mMi9LSemhElJpFgz+jfaBHtDDeVLTBDqMhkDbOB1ZPKTyX1TDBA4OM4b0E8aFUAIDCJ24XkDCXaJ
XkXzM8EFWmdKUjKyyc3fmT+oyxJHxDIq7dcKA9fSjJL3Pq8/JJJ95pTxeyeUJ0OSDkVu4Fvu8yWA
oYBDA4HGgvvzJgT9X1v35VJrW+CKRkwOVcsQOGsIQaJDlSx8GzZE3ij3VTLwM0srRasUIkvK1Al5
G8CdgGQ0VN4VRiwnN8isk7iLSz7EYRD6gFnC4TLvRiQJeJHrB/5F3kRCtzDmRRU9BlaMh8gmz1GI
Mn20s+zBQt311LZKdugx4ezHqQgOAfurEksbMJh21sXZs1kao4nyZgaO62U5RiQMQwjF3AA9mKtg
UKB16BEYSWpxYH+YTgWrDQfeRW278IL6WlmwoVaZp9UD/lDaRUHVoV+xZLzRe9NcdTHZjyrvyRq7
s3Ubt1q/QbVQX4IsghokzXhfZay98+b4gl134iXkyeJLE58sQtIj/NRmuQNd31lNufATMtpk544b
AA3DOmSjw6PdtzSi8X5gBcGUZRrjkq/wtNe7tvemutbvZBySEQLQvAWMCmRuEyHkRPXvxo+mX/O9
1ynk3op46GbPc443VO2DYzzM7Ey9w37jMit3C+eXG+fNAoAd1n13Mq+wyCQwSYBxL3SMUfD7zOQC
CvCzXYsX0baPowDrUBlpdAuELoFIQTklOvBjlkVwKpCM6pC2SnAjIqzCLua8ZVMTAkfACEL23h/I
qYYQia8g0kxjSxgd138MRLXPpckI1xECN0cQXOvcMEaWbri2kxyWPdXiuknxEeQzfiNPee9p1/iL
lOH00rZbwAUhuV0piPT9YJvDWq+MeFdjtLnqEhPFQmCCjfTNj6xkaF7jMNqrTdOsei11ngkmAcYd
ZcU2FQxV0SwbREOVODZgVz/X0I8wcKJNQUA/iftpdPAstmaMGD7QutsMwAiPu5pfaiSlIYhLP+XE
2hjGSG1q1aqAIirR9VSgzsxEl2wZsE7XEhEU/9iogwvT6hEO4uc6jPP0BQFz4PGx8+/qJjU3gajN
DbllwyrFWIq1oJWPeUnfu81KBzuBoa0VhDObJscOtSyUpoKg2rnXWEh5hMfSJSEV2bVTKZoHVMm9
AXbprEy1R1s5NLyoKcUTZFXizGz5qOdK88vCSoTRIhnnlM4pY8+mTqzzetLiPDZ79aiVpX/vtwGs
gLYcNkmu+YQK5+PKCpjNu/nEguw7wNqFkrWbqRmDexUOwa0Z8vVDFom/2Bk6Twadv6IhJe/N2WoF
b9ZZkQEmWYtJKSRmPF4jWnQ2kaPGXlx2+PZcJmRx69xZeQ0xxqemDHunL4h6KD8M3AAQ89L+yJPN
s6BZH6rJEL0k7x0GEDoBlS9vsEi7pPgNSVGsmYWrcxCNuY7iiTCJcaqu1aZDpRi7nCsa0CI7xJHW
3Jfu+Muq1ZrCp30H3BNcjoNRXXaVrnqJqr0PYr5pAx16S+rYYHoHfD2mdCz4Y7gdBvbUjLTRWxOH
Q6cv1K5CRroLJWcddZpoWstKMGPE77Y2R22484dRLpWQlzFM04cepazHXOzT0WMb7+sQkSOFfSrT
PB0SULZ+k2p4r6L4AktKpw8F+7jpS1j/PTbyhTr07QbtZrQd4jFhIGxp67IKhpVpTCmyYj9d2Vi4
yb4NAEs41MCHUWjsKeKU7OcoLW9FmZEAOFjGEqBMfwlnlpjq3hlJ506wqPQwi1ex/afnVtZcgiE9
kJIQ41xM/HssojhWsR1tckdgNQscQJJUH4SHGWF10GOtfWoKByYjJlTPlblzifo1WIuJqsmQVnMD
6YYNggqf+LWO2Yysk2rsj0SyBxV1ale+kAdwMQziFXGjxHtGZP1o7UXZRIZHnHL8p4QDgIprbn4e
aYUhsjaA+eeiW5VW0y2E2pGYFzW+pq103tKRNx6iyaXV81XuLNNeZPhzd6LBBUZm/QyeQXISTRZe
w9y0VoROFttkiqyF0JSXtG6w2FRlsXOkVT4lpcbWxslCcKaVOTHdRMuWsc2huPZTiMuEZBrJjrbj
uOqyOLzRJAEEEE8q+y6MXCiclXnX9cjeg5AhOku9c2NF6PV9G7BfWZU4QUD82s0LwVbtuGBs6uwl
hd/O6JRoXWIK38UpCh6FitpLOToI+v4dkIBYjmGN/LdOoPKYEAPpWAKtyCh5VCtxsaxJYxdL+8m1
cB2oThWAPqowzLGiLfLQf0n9Jl+aialDeNRjL+nntRCD2EJacciuiYYPW73wsqxH/mCoOvl9Bl4m
9lyoURT1jsIv1VJKGGADLJkiHi+hN5DpoMViunQ0eZOU6UsL23PbW5iryETFNqWkboUJGnCGPaiV
F2ImXkGVztaw/Pk8gMfE4cSjiS8ufKQKoAcNTfDdCoPhzVb97mZE9rPlDxgAXTThFTA1VLfBJDQo
rXbnszJoxXOTYT3Tc8eAWTLYW30Kya32QfZQcXQ7PWrt64QE092Uz4S0Dmg2VJ4y86p6hJ3h+O41
LXAASKJ+CWz7Q0mZXehsQPYDYSxPru4om2pUil/u6OPUZiDumaZBXnmDfZ0M6gZPk6+goDBwgrEy
LIVSKlsMO7TR0Q0sVKjRXukH1YXVo6RWDWI9HPpSrOYK1UFvCHZSclQ2Zt8TvWHBZbpR68FZ0MHU
yQMHCSICgPdZArKMMBU65oY9LemQ6DgwjA83gAEgCxi/Wh6YBL+bgReZAnZB6GsUV2RE1C7uFnU0
YYupxrDO2FfIql0rZXlQpmy4a3RaHGXUdNtKMI41hQwuqlpgps2EA8Qraq+TTLTkxujtK2Bj52AN
sXKFmwPGYi/qdQaW+zlkqTlgO068eEgAPPJU6TeUtjjpixCGlVu0d1CbProeenfYdO6CGft0oYd3
bbom0SdesgHijuiJ9kIJ27HGUP5IRRAX3taoThppr0IkrJ4e6GKhEZi96DHAkWkbEn2rEpn2bBaE
fBEWbSe/J9/+hRejfyDZtdg1QgHerWZjEe0YkkIaEaUGXdoJG+szTMjsTaqBZWiI01WqolmR0keB
peFcA+VeF1d1o79bhqHsQWYNi3TqCJSt8QHxekV4kDte/0nii08G6zW37GZrpAUNFNvUKAArjKOF
gWYhj2mZ4Dh8dNXxycbCQIk1Au6qJYWekiobuyWuJ8noGfY5NSvKTqAmSVEsK8jia4se98Kumhrr
83Ski9EhlUZ8hnjFujY6fDqRjXQgLmF8R5kabiPTD7ZOmVe3oe7Yd5yUQWQtT2fkoEOs+1foQrh8
TOyXKrXUgqkQpv+ma1d9kplPbSSj1dikxmsT6vqVGyd6tChJ4/icmpQUFZbSQ2ei4kubGvqH6j9h
OUFvFSoE6uiAJAjagRqSVvq2drvAw1f8e6qSbgW8ApemQyj0iKSc5HTbx0cjfw8gfh5oPUGkIBsF
cGEFeMnkFo/jaN7mdvgwxT1RUooKZsVwCtymY+ZlQ8TrZLUfPZEzS6klchu2RBsrKXdPhQy3K0ZR
34ouVw6VKOwDDNTwyjbTaZ0lxEBOkEvpgkpOQ5v3/cqLWxjFdWIPFKxNXtH0M2leBD5vp3jj4/IB
bx9+DbKqpTlihm2UAZtKL1zPmsWHQRTZfEBnErTltNcRzq0LO+eLl8MF4PdZIbx7vVwFqvsLKUq5
Vtqc11IR9a+poz2JKp8yq+7XullkVxSHHckasG8MIvkWbBtJeSXje+NnbTJjB9gbTNJKXibMpes8
7yg3RpGt2NAAGVdHrKqySeNtUwBJDmz9Ews/el05TUtZCphUpvMppVrCTE2TPUuuuESNmHtm0yOx
DAKjui2zdmAHnzb4fgh+Whh9AFsJtyLRLGSMS7xQCyPOfjPWCnltq/dwgByBdVkz9lbO099O2tts
1yUJXtKmAwJLVQ2v/SPxCUEoaqFdE9lTrsDf0pMzO8NrmxkMGDsX9gTM08ANsHcdFgX6Wi2RFomD
7xzDOnqabmEoofKYwmQ+doYWHqvayC/dxLGfMVfRn2JfSsaokCRjYWAGBSG2pl2PHk47Y9WQZrQy
Ldhsqh43nhKQj7lIijp7aRrLPwAWq7b/h6PzWI4UiaLoFxEBCSSwLaC8UclLG0Itg/eer5/DbCe6
e6SiyHzm3nMjco2IPW6jB3BrrVeQcLSbeCxun4ziRIQwQzYZig2wHNMvR9g4eZAsuzJxxElgawbJ
peFI08E3O45W7v5n/zdhu12K5UuJeouBbDXJQzca0RY1O/wYqrat1uK8bitl3LPXB41jRzyObCRp
IDbkYZyMvV3FzzUmS1S3LcGqRkdfpkbJAaFNfXVAGR8Fo9vTAsSQm6XRjD+2i9WHtLv3oMqikwbQ
Z5e20E2mOPkJ22nkx2cgbCxrRlHQ9Tjs4jaADSEnDxkFg6qatsCwUvUGNJr328TFTAS96uel3u15
OfUt4QQG1iFRHZVmKp5EkFjv02L/o8Hl+6Jy3uA967alBdJlUgr7YJh1yVlSF8+tYreeAE1L705o
hpYq8ccgrO5M9hjQzlgZ/KifaldZiNhKqgwXU65UL0vcgUlnLgH4WXZB8MTD0Gj+ssoh7wvXtaVV
gFQlYmKtlebHvJjDkW1oD35sEnBcG3V84aoz1uGuOCARU29RxWhCWAFB9oO1EtlSQBE5VrjEgOyQ
V/QBJrP4HzwNkQO2qM6/oxCqQtFn+R9zVxSmdsOBPPeTvNgkcjxG5FKw/zQAnxnm8JhAJ/DMos2p
QXAlk7OJn9vgi31rJiXzQmsqGV50jWsHMynLXJjmpZeM4hYBk4xItHfMdMiMpvoXh9a4J5YDeMI0
duitVMwSW/YWUD3Gqtjqmh5dRFOOcPesBYknlOSmFsabnI13tvEq5Vr1aaZRi1G6pvsHTdEdjBrl
uEJEnQiC/kfPHS1klDvThiRd1R1tB8ZMsaLZOrVr3kUuAF40eesNGDhF8b4yucb2SZQGN0NXmH82
Z/7ZyscPJODVkeiNTUHaNQNA5SPOcTFMIWkcDA86d2rYEGckO/jgTTl+qX4/EgvojcixRPadlTwN
WtmwJIA/C5LN2gZJEe3HShOU64jLyFPIj61EscEbZ0aoqXtZboTonVPlaNWHuVRNADS5FdvZiF96
J6JD0UcCw1d4r8Hn53IBGE828wJwqH0We7ielmFH6rrRbfVcDzZqEjxW0TheIlLKEp9hdN2+xFgz
+m3SNd0L1qveVdvYAZRCfLdaR7p6hEZoHyZYjm9Bo7Yeby2SBtkGh3BmYiyc6DVgNesWdkh+gYY7
MMBmvKe9CQ5YsUjsTUIyGkvCPEgp6lwlbLNd0o+M75yhXAmWplfb1b9cLf6lZa65wARx8ZoW47XT
QC/Z+FnQP2Q2OLneBl9L7EJCzxQJv4bmwmw3/ddrnIpDlWdrHiPrFLW3grdanUtK6cmp95DpfSf5
ZHhWBuei6C39Ao52TZMbujjeNWhKrguWQBSURrxDo0uQIzQNEs8aCAu5BrlbKvJnSeF5FqPeYRku
v4MsXEeSr81bnpxkvdWe1l8AC4VXllspTwYkJLDdwHOMKT8sXCKbhAV/XWOsLwOSGzS91nZSA27Z
sU6CLOOM1L5VwKHIKTFXfXe08MYs4aBs5iR9wYjGrg6/7DbJbPORlJl/s9BOc5o+L7zvOxV1NCkF
DOQzqNAk8lwMcrRJEqHkbdX4F+YqzjjrZA0POa4mE0Idk06RSwr3PAveF4qxi8hZ8rjWrER/lTH2
z4m0208NtpTnzDiysYxqC9e7nRh+knfD3VL15WiL+NPW29ewUsE7Z/jUO21gDmYpgJunsuEBFyTN
GxUnTIllfWOAnrr1lTqejBIAE3PhcVPGCqliCtPoImY60RdlyOi3awiipDWFsMKORAfGpw9grHGS
j5usIP4j0xjrMzHKWG9wCM98Wq4xgo4ZKjFANO/jLdwdTA9tTp7CzLo71xnYEBrApWZY/XM7sUyp
48g6gWf/4DgXO4t9h6uDDb+ZuZ14AWo7t8DUIHnxcZRuVPRcCImZAW0MnfdZgQPIHIi7Z5PlQ/ub
W/RKemqXfrlGdmPaJjtmDH8na4p8EnSWwmfJ8V5zALmsVyDVBNMXcPVkozMpYhWjUpIAed0KxaAz
jKtJ/dGUtj1VHTb6hNSMTcgsZ9MMJPwxiBqpS6vyrs9l95jEEf6RQdX0R0vkBaXxUtXuXIyfOueU
l0EPdmGefBGpyj5WyHpmXNsbQHQT40uEtnZha1NeTM4SfhDzX0lHfEpCOcOKJDxiMZlmMGyL8Bpq
bGzzIKVBzz7UMKz3Q504RwbP/7qoH/lnE6aDSVGvdmP0OV7WDd1T7ahMbIO0gV8Ejy7OSIs0rTAi
tCLsb0XefOX2InyjdhAzJ1zV1HHZJoVLOYDgtJqZFUz/ZuRAzuHp5Relb/LqlIs0v6jskSy8Kt0E
sXNItunAA1LwOPtFqOZXfcrErWKSD6SroFZU++5l1Fqq8kSZYE9XK/1dvJbAEDD/4gruTTM5LpaT
HqW6ltsNz4KdKi20COttHaaR1zhdt20Gq9mzriH9pi6iLTUH/vvSERx9hbpxGK57QWK+a0X2imDU
5q1uI3+JA7EnlcfcO5Ogfgu6yd6yqJwfBx3NaGeN+gHb/eSPbZufy6kB4Nfai4csbwY0CKUp1UOH
cCPJV9GQ00VZHPtkhfwN8hA/yxaG2pRqbANUQbxs2xDtQEirS9/LocmQ6R5pTdR4aiAbCIBqGl4a
cMlsZiyxYc0+bLM2eOA0MUi1CbSj1LJ0P3RGvF8pnjQ3BHtpiUODQIqAn07AaHHXVO44M8gCEoMw
3ESAgPenYfsI0X8wCTWI10yYiWHutgsZjavEHH4KSiG2GmHqTlrdniZccifVjMVXSmbNBuAyA5kG
PhE0xXJvG0N216jIdmHS31Ni73aJrOHUG5l26ZLV+GHogxfJbDlhwTCOUprVwVBwS5HaTeRQEzef
URxXfkjIhmtQe5JymwtuFI5+oPUpURbq8KQPLGIAT7QnGOXoioKu9c1iWdUyGtYQzSSoiYFgs3Fm
4l6cdFn2jhNKfxiMaDdmI6vl5W2ph2ZPokDp48LvHzmfZ9ZEeK+Tus/2uhbE50o01QmwBGQ4fajv
jBRttllzT1m3sIWtw+TWNuOTQam5VyadaVinGASArVtpQ/0ynaa9zAb2rMLq5KGdxfxUDT1jJmoK
16KOKeAb6VGS35pI2r7ijD8xgIP3cCzIwZ1XG7xMOQmqMfzJh1lu0zX1viamlWW2yl8YVqxZMRp3
WojwqzP1YkcEFRkpXcoyN6wTN02s4Yr/ADS3WqtcYUGNDjR0jqTQOEduYXEI06RCXZHD86hSUObc
xEubzjuGqo1HVV+TZFmNl0LL071l2/1aGSouuR4Ux70y7zWlKtAzSCriuQSHOzJFlYn5klW9s2O/
0xwr2a7ZT7VKvztg5JId1L/AgTxRBq4Sj9O1msISau+KDdadkmAR50/JtO+GLoS99LeJ3OIgbSV7
G3UjvQ/zPLpqE/Y+PmzjRlag4acDK11hhsUxcVLzCDoq3iV5+pIYVkbrqamn1hQTH0AHs6JIgU+w
rmHXhC5WjshyWV3NB2EG4Vsazj9FV39gy4tcjUvfzcs23rI6VbeWSvlkKMQrrMBxNC6WegsDbA+O
lbbb0lzEhuAK4cWcPZcia6NNOs8sxuX0MpQZmsg157pkZ3odZZBD0NWUV1iaB9Tc17nU4i27gCv5
d/Z2GczPQXSRZ85crrbGVxx4VXR2eKo7OjPt6sAku6N/T11jYh5nOTCTgz6zf6jRNAiFVsmyKAW1
otjNYW6hcuiz+QlLpdqjUUdG4gSQYftJ3xR0w9vIMTVeBf3TTtjuVWZTA6Jcu7FafV+MMT47RUCS
XmXjimIJHnPRKiNKLuYBMb4dVzMKvi5Vot8JdUovWgUScIkwGS5RVPtAJ0h1KxvtJtaFgVPQDxoo
bDemJAstI2jlLkNpY+we30ZmpFu+ZJHHpAvoi9aa+yVwWLtLxfgLIA+sLwJ/ny7DDZwETLCl/JhS
tSDkVR/OBAojGvv+knJY7xOFXyfUmflUrfGKgCBajY3LfiFk0ZVLfrfHpXuT/Gge8yieuCqCk0JO
m5d20Qf6HQiuBqrJIbY8LYzGZ7u0LH4L2KNmyjgJak13qDpr2bYwTuxueC0DNonJSJqL1vTxZkCp
7bHtCFy7GXLfibTuIPqse+jVoNu1aVw8A2vSPcIwhKuFJsFoEMAKN6hH+WkKtd0P9qy/h9rcvSiV
HULtK0k9Y1li4ynNmOIhD3Jb2infjhgPzjVVEMRRgNKV7O+NXiyPwzBgUmT8BDadKGF00hdd1u0X
YUbFmUmUwW7fCp6By/Du1iMEvLBgFBtDEiHDoKPhbNTvtLXpcrBf/lu6gHRmzV72U5RYWz3SGSiy
dywVwy0dpFl1AWcv+e3K8S1SwmcSg0Dsr8KcKWMCCOTERpYmx1c75P8Aa63065b1IS1R762gp5uZ
jM0/tauHV4hCg5vQ4UL0nXuf5oR06I6LtbUV9UqDGAL57i23T0c4l2k+eo7Va37ooDqYgiKEbCTF
s9brv6rpJHiECMKchJ64mlYHdwfr5KY1S+2eUI9tOsnqAgo8GRyCQgcBO3RWFhV7Ta/Y4itDctOD
cXAJDQMSmTdJvxngNL+jfxLbeLBe7FaKR92oxJ5uC1mOTGtO+IqrxTYDQrfrZTuPeULkQ/AUAyA8
sS3MXzoTPUUx29lZk0fkUM2a2Zy8AfW33Kq0SCAs6XgMGykZqwn1UU8/kdszwbkH3Y0KwCWk21WZ
N8dgXFJW/uNrkm81dESsEC918T1oyTVYCIHuHshSBTeiihOTGTJDKVXCHxDS3JVMezOYXetG3ybk
7QVx49aUzd6QzyRyKvFz0rDbM58q7WSaDCBvYXS0pxtpV7xftzoO8OH/1gbSgJry7gwGPyCPwMkJ
mo4M4kuIJ/ZzXeFD3i/ZXuY/ZKXTcG1ilZ6hPTOB1BaaIPXUMfMsej9uuFtAwvDMvgrrXqovOt1U
cYviXWsx1jMPc0nGR/abj/uM6VOruKJlQVWeZ8ZJ8UGbHtalc896MRsIBEfxlXLDNd0fzCFKhd9W
8WD+Nv15yn967NQiuC7ht5Y3ZNmQiuGkD0XUbMPyOTTelfqsVcnBZGMtjbtVO1suv3MZrOKa0q/4
/EG+eiQIntR+O7U/M5MLM0XfSEeljq8zI6k29McBiQEtkU7dxUg7G/dacjTmkx2xaDUyzzT2anYv
queCF6ihxb7YHRN+iH9Dl3mVTgyu7dqd7ZXDz/rsZPRHe0lUIJCEBYq+b9q3snlTOTbDKj2mYjdq
J6I9DnkG+5D2mfOhV7+TiIA45KkaINYZYNj4FIS4IHuIn9MP59AmhzzXM4QzqmMzcv2Azk5BpqjF
aykPkhnEIoxNHIybWj9GCI343nCdePzUabSttQeF4EvjIywfMu3QRT8rGxqfojuafIAXRZAOc3Hy
dfv1wXRltO4O0UatScDvt6E9z9MrbsoN+43WuAT2rmKNhVNGQYvT7RLkM7npd9pPxh4153KFVhwv
CnFElzK4xgZBOEi10ovNdS4JojFatd6WNLqgs5F+5aXSsLcdjJdoMIsDY90vkYr0CvPPtxbaqvQy
Euxqk6hFDdY1E0oo48E2FTfXiVnNyNrk6AGJLM+BqE8R1D0t22dWsRlJUgJjBYWdSA4AJah22Sqt
/oTpopMZY3DwOS9DzfnrsFfLmKAGG2N4AT3ssRl2a4rCJN0RCk/zxL9KUTmHMY7op4lFW36RxGNM
tPZm+54AAo6ODftdW7+kUFecFARUdzOnF9V5rINdgv5yqf4YTO6U5lVdHoXzgox8yf5G6PFsrkoo
cBAs9uqQIEbbrbEEwgQ9PX/E9UtMNNug7oNwOshRdVMAlnWJ+d4Bss20npqB1cFhRnljoH5zwI43
xVOrvbY6Vaayp8Q9lGJl4cP9j38NIOYZW5WSn4kJw6Yaik0u/03A0vLkvPC0+vhQhQxz5sBFiM4k
SXlAWOTBx5vwKDjOD+laXMIPlvxB++eGqGNXqoPGpH0Ru97gc+PQndnEH1YRpEGKVXRxZo3ChGOR
7wDdkqdkhR+3yuuA+gwu58YO7qn5QFzDPtU/BRrxuYAriqwhrD7LAcPH8AyJbb0Qp7X3N9DDKygB
qo1DmESSUZjmGhqVZ1IlVVpECPTFfDEIg9NxWU3Bm+kgy4iCYwAt1Qo2XfxjKWQh6L6SnGoygGwT
t+7woAE0Gxo24WyKqFw5/WtvLJdTQxzOTJZZZHqh/lqUJBfziUz0PQgCSglLesu2kwf2LMOWeccV
6qgBBSC0PzuxqlCnazp3Xq4E/9qh8hgqkzZzkfNByd/68dtU93O+06idUkiAzldpPsAUcGMgoakO
rlEeGxrEwtwVhLyMRO6kGiCBO7drDJjNdLNRcSfre+HMHevvJn22zDNdxsasPsL+AzmZb6IaQMGA
4vK6JIjb96Nysac9kIrO5n146AnYyd+V8oN5lVcZNLfWl9I+hWu6UrzN851IXtvh2yqq3YzCFrEB
8jbQjjRAyAsLpT9CA+bIBq6Uf5EYbrXAF8sDixnAIE9t9Tbbpxw++//gAxI66AL5hxExDv8q82GN
PXOUvSkfs+mPrUfZ/iCv3QMhpnHON6r4yWcy3pzdXJ+TmiuUU7yDcWuhUtST3ZI/9zay2OUmzQdu
ty1ltQsmJfirmZX8QSglLfS3U3ZF+JoMd3V+z9GGaN1JodQKLacjl8dIkWfEnEgStGqCgskntaY7
ZqSv7Hj6HTDGksBmXUanWs8eRoyWPPhoSxXjyvE+jAgHe6aD+VVzmD0m2Fpf45EUP/Pbmn5bZCcJ
oGBzgu26AOrnkfBlcOfkV2HhYBPO0iGtHiPDQ0A6m8qOsSIRA2/IynwZLFdiQ3bLJG8BcbostH0t
BXeB3CmT/ces6ds2POT2O5sCOupsm5tvUfArr51DhGq+b7/sQ93dZMV/ONEyb4Z817GKw+h0GKOD
HBAZQmiNlvMq5hnmF51TNc05M9YDwvjJuaeCiQTD6MHKsZmSGVU+2rD3q5SH/MEh5hAbRuBUkWae
JHiVs8XWMPItH6H51PbnxPmFm54Nx3A6kz+2kd1lfdNYRfMSHRzqbnGNq8dAsIk3LZ/0JP613zLz
Z2o9hiRj+89hFMb6hKuncZsVbRt/JemlQnQAQWWRfo+LzrwKcZu1Q9PS0ap7Y7K2A9eGbh81hU1E
uzWSq2Q7Mi53tKnI0q9z8ziPX5bGN+Yjiz+ViHRoGz09YR+Vculrj7W/D3jQVYeP0Tot5QNAvpKN
YBWdx5i0vC+GPkpBOHp2yOtnVUd5+aVaJ2k8BuML6SNleFjMbROd8vyRzAAgBa6RXx1GsuV4y5IH
A6Ft3H1mcceX4GTaL4O5m7jF4hALy4spnsPkoR/Oaki0NDKp7j2RR+gy/WJTr/gxXne+oVAnHx1B
QuG9Yp4+mLyP74t2c3qffs4zu2/uI5bcns5lJoPfSaZbvTjbxJqaGeR0NfMb+JK0+0Z3j1KYiAJc
amJsNHUra8wz6KICLmd1DRW65OTohOWhtx4TdTwP4jPsg10mHIbUJA81V/oaV1oN3Q9x6uwuJnWH
P5m4tcqnWKdsZmpNH6BIlQBVmpPoSkDBxuICtotH4AkIUF/IzeW0S44T9Ous/Y4RTedEkM/FIdd+
o8Ha1OIt4QAQaoKVPHGZRueU8RNrxHD87efIU+IZGsB8S9ocoBDjW41rjl9fa19JhWqr8dA7D2uy
NxEc24WspZmKY7J8C3BmJZ+EJG59bB/7EAr4YnDKhF4TfEwmmv3xJaguWWC6Sk2ADxOrxfwb2txb
IqwyX6S4V1Dsq4TzoGR22SherN5ax3xYnPTcVeF2NLixwnwTKOik+dBH0kMdgUBRcuL14oWkb78v
MwDV4behs6tKfuuBKHYTxT46Gm5EQqP744A/lp02Zy7sbibNBf9kgaglILjTYoaUNE/D8E5Uk+xu
kK5RXXBiB9um+NHZrIOcZNf5V9q+7I2dFgTAZxP68fpAcOt20H7qutkEDsFiEuRXnzeHitmnijdn
g7SydZR3JZkOZdEf0JisE/7wrwnInN1rqNsUO97MExdZ9DwL8KNl4zP/O3eQDHbWYqKm/6ts8via
107qryKtvxZVkrHeuob+U+d/kWmdTND3IRSfPHsfm5g+Hb0b+z+WzMtADNhDpXDxRq+x8xIJze8b
dL3LvwlBSPBczH9OTYIQZhvto4es2fMTR3tjORTYXGZ6xUx+hiQzNl6yqPvBGs69fB7rrYypVSBZ
JcpGYxdMx6M2P2TS9fWXqd/rcvWMsaU51eU20269BUf1YFoarHoPE4aPbMLtqBFlEe96gvVGVH1C
vXfNqTdODftwGf3kuulOzI475SDYkVbMcxPtxbIug6LtUH1uVHopYDUwZnnymFWQBLjx2pExv+lf
Jx0Kfk/MYnaf7B/igv4tAPON3IC8eS31ZxSrm7icGP/8csYbwbVRTpp1yJNdnxL8x8/GvtxcHh3z
ryellfF/1mzz6G20AncZOY1wIR0VvkWsCsgxOLN51s3fIqyQiT6zJ4nRuaEvg/mUZH/qdFHrZxOh
anHWEr6cCV9o9Sor9F77Zk1DsE9VS+9jnof8T5fSC0ktaBhbxc+yZ88EML6qHwL5ko6mO8zXrg7Y
81OWvWlIvmYQQxYTdpo+vgBtcLGA0pbFUz68KvWT3TyO827ASl3YLkNghudHM+MPVA9N+yHoYAzn
1MbqoWSmkc5UQOT65NkrKZu3Kb5WygmvILnKj5l1yuV7Ag57mTvXkmQ4ksITwXMlCmvR2Mjjy9OZ
seaIJyPqOjX5GxCfVv0+rC4J4XdxSZvL7V0UPw7cfFKPd7G2IxpNF2Q8A/INZ69OCGgLq30fvw4l
uTpqw9r6Ox6/nI7fELmBor8X4l/dDLtInz1dPYCAR8zF93ix+3uvEB8K2VGWKDWgEncNdm50BQvZ
ILLGfmGQepOO/wwUfbOaAmvrz5i6jgwdgg0ev1cyBNyFkxpRdXoMHEb8in3FSeguaXHOyplNOfZH
pj6kO8SzL4b22EIB5POwGpqedE3RaR50uFG9pvwFRu3nAZCQ2nDTUP2zG7RIYvJBCn84Id4hRrIF
mdBDXuxQVBytbt53BE6oq6CJgCD08R1A61SoKKSXby0QtwYsGhhlWjBnp7cdCcprNMDg1YWxr2de
dmseD3YZvvdT+W4Yyt5ZBt+W6rksiVCsFpeh2EbO2QNjTV8fpiOj/g+TAlE6w3HUkzvhZ944ztu4
InFYWCWMOOnbgXrobOWcp+Ep0pVtwd5/w1Ljt1Hkts+nx3BWWeGzqRqFu5jtoeWtiR1M+7n+geSF
WoLoCm7jZhOnigv46ynSdU9r1Euh159TaktflMBHnMw5aly4iL1dMtc3taL7CyRoF34u7r6/Ob93
7ZM0BkpkxMnCWbu57J290MMYp1ttwi5gzcdlCffI4B4yhwWR7uyKhsxz9Met1l6KnL1ewXq+b/ZT
EDyIeADfBLyxX9prv+Qn6PReyjovUAlXYcZM9unJ5oDehEvwgJTwMsEEK0LzTVTdZuDS7FKB0Q9B
jghPuJOIPUheNAh7k1he2qX1Hf6Miiyyn0PXmRLf4OCoiWJb5gVlDsEboYOyYtkppnZuy3yvt7yn
aCnHSLqNbfnsLD9qxd6n5XhptMktzfGlJdqKdSY5rPNKo1W1vWymR4aSb+PQH4008PQF7qdG2ieo
Jdqeta8dS2q7luk8OR/2XCLhNW5q/9MH5s4Ryj7mPolU0zfZNRNmxayIcOxquSsmV7Dk7e3m5RRl
VO8pFrhOag+6Ovjy/2AW6J9G6yErc6Oo2ddtRxBNt+vViSAShLas9sipPFii9CTuPz1d3x9+di5m
9My/DklWo2YdW23xgL5dZUnFNojxaWCI1FnVNlSYyalMfiZz8jJm8YymftXZeSTYvHLNgQxkarjf
puR524iJTK4otLW1QG2mU0ISx0owr0GopzkZyGpQfYxdckjHzHOa7KCqBebOZFdPxQfr5Iww4yjk
t1G2TcNGZhUbigJCOSEcnjVOQEWDLftiorcBeERJCCG8JAYp4DaQ9KVCxqfUHkkYCXfBMBFf7CjI
iWo/m6pTGXKW28uLgeR16CiIa2jnhFWxBRvWqFKHaaCqNieURYd0BpiPky9wIhoSMqrL5YBmqKet
I0tT6k/EYSGfmm5kv2SbBA9C3oRvNV9e0PJAtPp7oVsQP4282ipa8qR3r+lAl9fiMNckxkA+To6M
unoyu/QjmSUiQKKmzWI/5SGIfSqrvqKsww+K8rFAbZZ7E7ulQMvODUuxquNIpvrh65Fwf9R9dZuR
S7YRL4VWuDb6B5SruLmRgC+c8kFMehFvQlVTYNDgmE10LIJukwSVV5QstbE3EDWFFhLad8lFBCUR
vTUj+sqPGnsvGLBCfvWTYfLTztqIVN9B1veEWVwpM4+YfOm0KIo7xQ1B8NkCU3sj8QthtLTwQMYF
8zCDgEDWBKgMktI1M0xZXX10kmFTrj1bRJxprrV7g6q36fM/sPvETunLuzaydRvmy0BnuDCWrSzk
zjYAbCTGdgfot+DElPiHij5lsicw+YE4vgjHRmBbM10pTy0NYVtmrqaMW06Gg46ebm4bTyDKc8bs
teqTYz8lqotQ9rZEASFNRv5YmugTkU/QGeJeS4zivcWRRr/GukVHDJto6qUeGJnb/KBkWfBHOra0
lGRrPm60w5rljwkL4IWnyGAUj5IXBJMLxXCrB9amlzYyAsLVMomNjNzOEU24xWA+rXRmJthReZ4z
4qZ4TMYNEi8ezprHvAR+BekvW8bclYrJXCPJPWITdlWjcu3iHopsD62WG05rv167elGcVRuTscbJ
UrYFMiVBNq/80bGWuHNquJHB5l+1kUxzlapEfWUSF3/b/pYU4hU/r7KMPNDqNMnGDxbV1xnvVZp+
0VgA1Hg2NuEAgDhsxKkwlmc90ffIundkVTyBBr6zHL5UfDjDJHe94k9OyUw0GfcRGbNhJ3c4pjy8
ZD77ubvaUaqyjrRxB8LzuVu58lGNiENtFoCautBwYMOQEQtkxyNF0zWo4aJeeXR02rexOHRU7ITa
EShnTlC1iaFuG5zOwto507/VWjNU/Gq4H1rEuSQAD7nXScwO/FcN7kLcUQob4YLo3fie4f2htP/i
u8cBi3XYQHbcWd17hsZRz5LbyICumyJ2wwUmr/AUN/UOLz+Lns6VU3ozjPKg9VjiymEnZPKI9Zt5
KEta9vcHVYqDZjh/tYzJ7Ewx30TFUwmmeN2066rDTIaXYnK6Q8/WPA+Mh1LrPNzz/JRtTuogOkOd
A8m03meFQXzXWldqj48REaEbKDVwk2liOcQ/WAjWS85bWgXnpceiNnboKaPw2SmmS5f1uAdR/ZsV
9PF+Xt1HQ7ljxMxaI8YqSPZknLBi4HIwMCeiuF4XKgoYAVyO01gSBTl/iIR4W3tAzQN7gWpbxaQQ
Zz0ldKceSUhgFRBU0BhMhNwNe1Y/6iZCgpCsBTSpwln2q2hzttoLWbM7OGgnq5/7PYu2H3vSt2ac
nCemjDhP/CqUb2o4bPugMa7jWDI+tKFblA49je1ZrJYDSVTKAFzXqm0vXFvHfKaXx5eq0k7Ipr3W
WUAHrp31Kv4rdfvXsZdLAyy4IubKMFrqwuI4NqlPVCAIQSLqw2y/ymCoeb3ZRoq2DoGYKUkGMZpo
mJlMy0Y3Q5IHGcCXCjc2aeodA8pwvQwVIfDFozJrZlRHpOXWaUQpR85WIkFo5HXoo23YToLo3ook
Obb32yFj/driJS+mpjwYkeEKYAr1ZFJ0G4xXoCUsOjPxbthZWYG6skdrnhRG7vcAVR6VGWt+gpXu
WlYSMHGScjDr6t3hBa2yvCHI0l7XRIO4a3ZZ2VvCC7tdHkdYOonr/E5a+5/aqM5VNWt2EBo0w9dF
Z40lzHPbJlbzUiL/eAPmk+1GrFveaPZooiUyIR1A8j6wiO/Y1GVK5rWe3UqJ/gsBEeDqXRCFxdno
oYpiYVDodsz3fjDqE2Eb30va9jv8hTF+8UKSLdOkhJVFwc3WNDye4RLxndYjgRKPQZ4AVKHar1XV
iHdtDu0HYcx56vZTI3YGM22XTPtopxVMHNIhSI6DMI+VAwzDaPBSL2LU/o+822NwyS81LJBdu7Ci
FPgv9+xjO79OLaRLLWq9SWIr7vBDoiEqsMGbaXvJxS/hMuhrE2I1dNsSX+QIItcaEMOHVceuLwmD
YxvT1OdpP+FHdQSrJ4zUj0jSogNJoMiWRBDXTGPr5LnMGdNJPOGRFzuMjjVHB+sisOjcEwAcNvSS
cHwYq9j6lrkJpGTumXjaRE+CmzL/I+nMdhzHsSD6RQKoXXr1Ittp575WvQi5lfaVpCjp6+e452Uw
GAy6qjMl6jJuxIl72/dSylukhQHbLM/s/pMsoz8vXELgDpJ2F+W4bLMBzDTfkb2uiS75xYkacAeJ
pE89WybDHSXRdSYwA8Qnd2XtY3pnmqKvm8zjY7iq7l+1Kq63RddyAfWcIMZ9HYIYIS7sLC8Vbom9
0eK5mc1PL8bypvXt28av04MXTezIYY68g7jhU6siMsY+bJWHuOjDg2+rOFlHY3+wf45fsCXPb5Bf
6ISgTIP3YZnOoxynJKML5iziQL8q6bAFjpv1xBWSLA/GrEceE++hhT+w74Qz/AhMkodhnadjy9YU
uGpQ8JqUKZudMXOZzo1r/YRBW5/siiCuLrhSECX474lvIVFwolXlQGZ5EPx5vfmuBBSUK5bt6C7u
cxENzsE3WEgYW/rKusGuItClJVq1nzWcTzZ6MFJg/UZ29mr4XFs/iYumuGCMcXY0nuibnjAqo1ir
5tPkNPg+Aq1fp3kijRFHyH8i7l5pKWMynSyO54o4i9jUpTcevJLMO+5F6eEJ8dWhu254ehOHX3Ex
1vtr6AsKwDQQRqwgKAeSiazu/RkNI2OYLvJoa1OiiFbLydPCvnvmj+Bkclh+d6LRd44WGWfnfF1D
BxnJOjSFg5yKXxD2BZ5mgyLUVjEBhYHVVw4gik1HTzFc3fG3sV0ZQZGmBbFuFr62EsbDkuO0jVBC
y1Iv9xa1UAXa+Y0uzH1hU8rlFVD7y5ChIoz7Y99V3266vjTVTHbldiqChygHJUkaExBHPC94/fDW
HLOx4xR3+ueSEYqSl5xTlHZlc++nfvtYzW7Et4jOES6jXnqiAvFKk7D9V2vWCJoUEyb+tdS+SmPy
IDJYHlTY0HfUTRFGXdSF3ezQQBpze9WMvh/VYndkLJ3pZF6BB+RTwl99PBVyHXjzkV4ZBnW3ayhN
om6yzn7cOPvLaLLe2nPbfdRoQt7ymtU9Wjcd6+A0UnAGpMuzLWlTzrYmTf+NYqifhI7SX7UEdsY+
PC1OYRrdp3z+no3xxrNnYSxsLLqXwETGHCXX86Je7f3sUwKfQgJjmvUiwqf1KKcT0DeW+hmVwzsG
ntLfitzENtR2Hei9HGswBuRc+6NLiGgLURt1dckWliPlIEbCt6is5ezgdkSzoqksyxN+rdnJonyY
ih2+yW5p8wCulu2fDTQHfE9cEi71+NGMHwmhkZ0BVHY7ePiHHUazNaLvHYs5ClNAK1KlLOblYFg/
rJVNt2csl2fC/7vMPC3KKfYTBCXcsNxXQL7jIcktnOwj6lbvyr/mCiQBUCa3w+ilB2mNHrpPOSR6
kWBDhihl2jB2w9SN8UoVNpGVpmaqIzjBfE6mj44CAccqTwNiuFh+ePNFleCL5R3SDQki1tyb0Sn4
DtGUiRuaIliqKjBoXllLmRV+rsQddrXQdANX9NgwwMUIVCk5EK3qdtsXC3SiqzEwjcGr4LYbtjIf
M3wLwWNGXCTb5j12CT2qdIOuVXZ7UafpuJvW/rY36lcA+J6eAgYyHAhp+TAatz7J0WNHRELJQ0Sn
caqQM70TVpy+ZpZj/jV8ysGAuc4XLXA/yFjxvjcN1yum/Wobp2z+4my6mcIvXLz4C5oB4KOwHAuT
LURzvujNezv4ziPpBv0BBIjk7dUybyLnr1Jd6e6L2tgMfgoaWQbp7MTSQJ2iFceNB+v5Ybj6H0sH
kSrkbrMPVdUkdcZXmFQWIWVPxg9D7eBllPa5rmZ5T0agx2VZDIg2gUXCpq8/orX+zqyo/+TmqnEn
ZVXP+89kMo2US25ZDpDhj8q8ugVUMLKV7SOy9LK679fgX6qL62zrz9/YfH/6BRvUPIT3cWDNt2me
kua1Y25KoRgmtQcN52WwGQLJA0LGCpkKYX+eg+vGPLbE0e1K+zOdU1rkggwO/RI3DwQo/UujgTds
TGxydqAEm98a7LB78v5oBzSbWrdOjgUyMtTpKp+uIy5C1rYU8AouXRCU8WORxeyraXDntQsQ+ekK
fw7gsmRz/GdQODcBVQSJ7xf3Gcr2oO1t5nykiqsEQkva5awHqHD8pUzwafTN0+BpBMJ+enCNdWnH
anhLU7/E9jAgCujJfXExX7MFkdNP40jB3th7NYpC2zZs3igryW+9PNOvPncQ7vEzYq1LQJ3y2cel
754IVr3UEekpj8Ak33GO0806DO8KFuZdUzL9eYEFyagAqlN5nfkzuBhUvwnjvKzkA5t70ddvQ3YN
iS0hK63WWHaI6Z1qZyhJzXbQK8uBiE9GhDqxaSb1r26bX+GVLYIUFqHAZw09wKDihSkzPW1714LD
IHhM04NdpHpPeaaHm99l2DaK7PTETLodBqs9BIX+60wNVQiyim4XlV2bWWIMDF4JuG3MEQ8Xbkhb
QF1Q06TrHLXb4d0vprizd3PZuDZ7Vs+mgaOU/6gNbvZ1xXRTr3iv6zX8LlDjkrYr/vR9S5xk4fLT
19a6KWG0bPUSDggIK/uOCOTFvl3y5rtvRPMJIu3q565QJvfeyNYszEI8+IHXc3A7lJ5vXB32T1Sa
29zsRT6s8NXKFyQNbp18xrAkSFpAiy6fhqNlYn9J9Fh5NCZGs32iVM7w9qc2fsNxSQHqZHjF37h/
BKex74FLUAIPIdVUUeJTSYA4AWh2m1Ii+mBnRn/XvNrV3oqsd7MEX03FthduXJsA54cWFU7+7+TW
utu2jrk3k5ze+KdggA4kHqkrO7SpADZzRZQvrHBfBAHJXZ1aIXEkRyVDzSqfsTsn4SDe3JxmoyPm
EY/OxOh3ivhKcNkJ91PD7TkZ4DGdXH8l/ltHS3MvF/S3IYwl/yef25PLbpx+rfI2r+TjOhLuY5hz
mMyqwXts4Aeycl0Eu1KGp03VatL/pDFYQfE7od2u2RVShWgow+sSmOjRos0omfKpOaeBdvZMNgNa
J00UkU/nxib08pgiznj8ra5cNqwnTIxTaD1okFI/sLHmi/K86ew6cjxlc5TukH6QKWMVHgNv9XZW
IxR3EaEvvGLdtvZ41sBimWOAMel2ioPhVERFdKpHyiojryS6alSHbGZ7LDrm9n40HC3NhMCGVOle
RWMCRyNIEuQ8C5vn9eBIp2z6gGhDZ3io/buudYY/lZDyZhjj6lHOZXrruFP5LkI6Px1j6a2piiWZ
loq9E0irm5B9BtMhJezkT8blxvPF94pLzYL+thEdZQxNGVunibD50cscvfdRx7Zl6PZHJBIMC47g
OI/4q6W569yYtgg+tQC+uviF2TmADnbCKl+r/1u7sAgSYiC6R4GO3s+FhcYW22liT/bvqtVHsBC5
F6VY/kZIN2d3JrvNJr67oTCjel4FnjpRz/MFQ3egtiRT2DvL5mX1CwAwARqlZ2Ejs4Lyq/doZveY
vDYyVt6/UPm8k8zSW5qOlyciXM52ZlG1IWdmb1jmo7E2N0W8XBlCVr+dq+LqWJ9qDv/V5HuJ/x/W
D/OZSkkOyay3k2iO6VUUrFa1XHroCGhYPr6Wxld73n5oH2kfnsfQdv4Zh3iznDWXI1VYa1IwhP9U
AJkeFqjAuy4fuAPA7rno2X6g0PYXWBl98rliQ8WgGzM5VAGotalNkznMPNYQg/Xch5W/q4KZtEzq
tvT5YWd4qeIx/Qh0n78xccQfsvNWZNtp5Z0j05z4ix3m/GCm8G1svPLQEbAh+EeyGGFo6N7zQUk2
d1W1laBLEz3Zwb9APPjYHFeypU9DDUAyaTK2hX2cwdyERnXT9Ui5VjgaMphM4BDW6g/PDGAjOrIU
6I1L8U4D2MKlhGwkLbma7uoVWecKWD0HVou4kmN3Ygbn7o2ActNa7R+Ae9WO2tGXWlrvdkxfEx7r
6QK8anzFEi3v2Ey7pBEzpCy7Ss8x4T4yhEP2jZZDdTV0aDLt6UjxU5/dNo2IXoZaYnOrDVrLOvoX
nrQevoX7Ww+jT5hAN8e88Vbn7DtZp37m0AqKfVdG8qLDzEZxd4rziInrBiSIOTRTYPA1leBtFJHS
sKbZcywXNCexOBPDL4mmdBtz53aPLWha0t5NhaMDpWWqk7HhvN373hzdZbI0iNO2ex48ApBLky7H
FW/8s8fWFAu+rBNmUjqgCCBc7GplsVkG3c6JLZv6lBj6KRTnfb321m4NQxOiMQns7+PSu5swCsA0
VcLHcrtE76pAja8cN6t2rbu+uavLEgmIlItkmmZ4PxcsST1180dl259Vzodq6Re2D3JYVpafZT9+
rHSEY6x3OuwDzZw7W6fXMJxC232I7HFCeHe8u5wK1sdUAGOaJ2wys2YfB91r3Te5HA+lya5/Qvwa
qlp9OTaam5QEBBx8ZzuWBs1WaS/eN2tV/1BROl6qvqRkvE1rE2ylyy5wDAP7fvX6iGj36Ce9KqN9
zT3upulzxfaPpZQMWiaF3PbvKOCKHwfha2Z7RYmGhWZnMOwtBRzUea3XV5C83XHtjP1gu1awjaNS
PZDUbpPeWWEYSXs+sgWotn3gpV/1xPSBVsnssLriQBIWA4fktC+oQ9+aFs9cCszwUEedTXUC6joJ
cjxbUWTTAeYzwEnzaUrZ35dt439DEQDi5iPnN3AeV/7KbPvWebAOueRdDRgfdqT4p10w283t2i+Y
F9yKxwmkIQ3AE3yZihaMpF3sgih7lu5UGGSvbslGju+H5b6J0WqIsSvrEkXcBAxfiQOyXXeYpWiS
Ym7tB96C6wYKZbPJUUWhoFFvMjUx9CD9Vw9ptLEIoR2QdOu9LYr8fQ4XcdMIPb40micE10WDxTKg
mdiy2JPWnrBwcOY9DFRYyBGME0CzLMWqdvxr58XwYxZgQejxmkZsWjqHrOnv2mn+FkGQ3TFVNDxX
uJrjkWpvE6ztMQ5687D2bXAmFww4jzXkLlA+nBk3awkSkpWbIk74fmTn0U0DtbkZ+7m4QPwqFAW6
dSfJ6QyAgLH1rQZPMiBlIMUUyLbkfOA6JJnkZbOR7a87dUbMKrs+wJxhy4KooYjbrB9Vpr1XmTO4
mZyIRjupAOBjFCe17zVHgYK1KYvlHaYbmjg3ZMAcgUDAoHJpF3pO/zrPFR8pxhYWQmBgiNPPBw94
4r8cK9mm7kx6FA0xUr/BhzcB+WARwP3GLmjh8ILKIIDHRcJ2zD1ozrYrG6m7v55bm5D45ably7tv
aV8hhdyBq9Lj30Xgzi389C4NCLWnS1vuRmBTuFfyfwWj6yaw549lwmA8jql7zE39ytSktpGwnmuX
AW7TGG9410GN7cc29kVX469HcQ/EBML2t6FDWjZarObOccmDqmL270OKLz6Gvkap9lyMcr3Nuisv
fps1YklM8+RbTyZy59CqcwInZZ2y1JPElnM2QcKDoheGzQ3wPowk+Zo5108c3yp/jsQXV1lkJdfC
rTIr19lbPB/bPGCAGzw7OEQdF2Lj2tNbVrbpXST1eOmKdtpzQcLZZ5rimeUGOfIRh3ABtzjfrOSj
NutYfMVN0Z2nbqzPWDP4q8NRMmBrsEp3WtmXuurRWyIFRsrNYBkyHXj1MxQy96jX1n5kG4THW7Y4
0ibCCrh2rr+HzC4ZRFblS3TXwf3rG9He8cwBXsjzX0gamNcKt7sPUxd7RNHRflkUyt1JFw0V5QPa
nmr4WvaWs6EfnkkdpnQaNe5+Jo19mAYq6bJhZNcadgjsTjts+e3SPqilC5/Rcc6rwGXj5viP8XBi
B1MdsQssSpsZktbBWdVTjaaCRNI8z9p7qHXW70WXmQOwT/EZXk3l3TViyNvDCOn5IyZdX9wGk/Vl
12ZMCunNw2by+nFflvZ0E1ehoVij/CRtnW759uLmdSICvdkgkjgelnO+esgME+AieHNTMmhHcPuC
jhvq/BPETZNkWCwAnlXzpWs7LhoqxtRkcRXY5V7PXC9wU8SB0xyKVYb7bKlHlWBNY0G9xvPWDSwu
kQ4ermicWWfO6hwTll0u0dJC9Uq9OL8e/dVDju7/BXT/FeWKIJg0TnDuu86hd7NWMM5ZoWLwZ/Mm
j45S468tVf5YBFH0kOa4iUf62e4pWbzyqdKRc7KuSuTycuk6rOv4dkkgkazJr+Zyhd/jh82xf5e2
c35vR2QDW4RlkCbwuJy+/hU5W1ZUbMJ97LZZk2fkLZvVexvoijzm8EsOZGSJ+AeZgD5CX7TpQaIG
2XW+Y0g/WA6JIGmj4eKfDXaem30a7uxHb+rNYw4raVeOZCMsPRRbw6m8reY4OE8tJXPh3L5nNDcn
WUzil/p1Q1ooj/bKXtyXsVsJyBnmKttSdeIs5mrH5NfaeN2fMoswBkcWz/PEK+Xa8ofbLYvV1SFX
U64kTeGVPDuTinm3xTWYgBef9wNokZETOQ7GHt9DRa5ToKeNchVgD1/GJx9xHedoEwJ2yliQvLgE
5Ke9XIvlg2yH3MaSxHPRxtMmDa7gcnvhOjNG+CrcniHH1BVjozLlTezOy9Zr9XM7IEDpWlib0Fhs
g4FGHZ1wii7GIxew8bqBfdzQSR6aMnNmltyjCJZzUzigY6e5fEn75ocDGKB5G1xXQ135pJd0fvYb
3XEq0bOyjUJc4kHufCzQ1y7evFTM+Ph9Ygb3Cb28eG2HElj/ip8jDec8yQWqvhekAp/H6nYH/AgM
+VH8m4XNp+K2yQ/FLg7rYHfnfh7oQDUhc14/LjwfIPD49BUYBBAexWsGlQL7GjZfATubtM2a7dyZ
JdSmZNmwy4a1QFy2XIWqOjT2Vrj8yNQaOs9EPO0ntykxf7j8c8riL9pBzK26mXY1ddO0z5IAQilK
jyuxAny/uOjmHgXPSll8lBNrXZFyYNeFdWz0mP+trYD1AWrZ0bHm8SamjmaH5wIvdQvY8aZubMVn
1VIzvxpGWioLqgstwLhUJukn/JDyZPHjXxq9MYMPWXyu3ZE7N+8MEPF+5QpeWCi5cU1FwJiCB89S
IqtI2tNyrqcBpH7RZQebO1iyLBPy5ZxdgSDwJlgplwN47kzuPVd2hzIq/WfjBvXzUmSQFcK+vAIr
3I0viVxmhpWPZkIJnVAm+ej8mSjavF9gy0LStskepx7fLddLjHdKnV9IodNOTDoAvRdk9nM25/LN
jipcmYR6ENGlQkKS/FtJCxuEUHq8GT2rfPEiZmRHuQGKidb7scVi1hW1+jODlXzqVAa+k+/3Z1QQ
Xa0mbokAwwGSGhwClScd2LoLeOsIq187Be6BpQCD8QhJEsTPzBKwnB+hR9s3VuCrz3Tw/StfbB4f
JhswiBVVcmvX/Q8qg/s7aZvjnDXcPnBKrs8RDIfVqrBwkB8gDeMFm3TgnmzrvPkM6srdazOrj1Zz
qYBGwoxtom/b5Yuh89RNGCFwuUT+iFYvZ/2YD2Fx7jSqqY1dbXana6zFNTmnjl39iVjqc3fHr6CW
wXoY8qi5r6NgeHQQtFBUUYRd2yPlE6w4MeclwCBfFZQwAM8nCmLCNoncYgJhpzStFibc5cJZ72Kf
UYLEIHoPexVsTfsZ6Mx+KPtipymaqMv5F4d5e4wsFSbEipcDFMLxOA3UCQgcWp+1Y8yK+dqTx44T
Y+etkvPUm6vLQjoZO6xNk3cJmj4dKO2ra7RMF4fHrbMwjheGFA58Kk6/zv5l9GFI8+vrZ3gcb6TF
QLHSTbmHGUn9rqTd9SmN8N/CWcsfbALnYPlhtp20W0YHHZqGIHswHNJhVZA4wuVzpBgiIS7PeQEU
kOOfOCvbAvVGqQQgLa8J2AZc8yWMB0ebfdPLrLCPCyPW23lQtAtTp3wA/AoTWPD5NbZj3VH6NCVc
vZyjGVX+1fa2dXLTstqu3fw1+bR2qq4p/rVA9/A8zjKxS9MnhvbqxEfsgmaVuYm9YthlU8ydkS6A
xKOTA2cqvrS8s6V3qBfkxrJwDjNk7s3iktOeMp/tT5mq/erKEI8ppRmdmoKPsTdIddfDdiHXd5pc
KyWKjAa+Kebxb2V50V9vGVkpdkHfnQAAj7vA8fl9ABHIsj+Nxn2Ic67ds4ZIj2FJ7ialO2Xfiq4E
FBFaxyrPyn2RaYvDNWv37oI1eXCifwrhZFtdQWAIPbB78gqgiQ1MR60DmiHgDf4r0gIrT2k9ZaLz
ztfy8KcZehXIBaAkhE/wKmjfPqUVizwTONGjqyZKaqLgD5OFc6EKwDoHcAUZUiBMbV3IyjvCwr+s
6a4WKorFtoUIIS/JjuKOqtIAIKu4PNU+Du4agloQQ2JGAQC1Xn+ErQWHsUt7ugJJ3+Txap+tqu/f
fQ1zJiB0ttc8TvcuI9BNCQ1gOwa4UuqyzG5D1lIXw6PPR0oZvA8kAtqKfqWpgxuY+1/sh9wH4uff
GP6Q5mhHP0wmULshc4NDzPXvhgIK+xw5i0z4/vaHeuXwK8c2JvPZGGBRXpEUlYz/sJKbN9wjxYYO
McykAZ0V1HzJbTEimfAAbmGXoZc0+Cl70CEbVjDlF+IrQCSCALeMiDyPriB5ZrEvnLsO36U1IexH
rXed5MIXEAGkI4AGAZ4Df0iwJb8G05f8kAeGKtiSJrYysL75yBcecDEOJlOuXlKmYXbB6YoXcEUm
taif3o125yWOaN7RurL9gKa4XSbHYuC0ijMiXr5frJCBqenFvzWPX0diL69BbfFKpa0fP4Z6Frfk
i8ckrgtmKuJuBOpdSr0BF0O0wNNHd2G0G1eMNXkz+8fMwV6SgVQYgXyELGLv2EJG73YGO5pbyXR2
BE/H2q39Li9XmF45icFWZE8gSY4rpZuktgb2dVQMM4MtNeIXGUbHautD1ZCuZjRAw5OW2MsaInAe
CrPtRCtOaL3gKeqiP4uQc2gbX/t2XLOE95bAFaRQhMCAEeKpuvDQ9P16L9cgfbJrKS6wt9dtYSMP
xEHRHWM2GUesthAObMaZpHGABcxF+yZb9uUcuPnJhaEYYvJfGJp7qJabOVLhztBOs3fboXj32oUO
EHRCPJtI+TeR5bvvWJz8RF6nimma+oNy0J9RwrzzSpT8WALjSpoZH21RTIA3DOZhsAXdW1WE7ZPl
k7nlyrzg2UL/rur+JV5mJ+GUAATHAuaoKhE+1rnVJdg5wjdMnRA96oiFFA4FNp6dTXSVPc1ca8jy
ndYJxXvoozPr0l10XQ4Fa+yugFwr7MutPWD1kDGyc6T4NmAmvbagCuvVqxqoFXU+vlrNDB6LVeEd
rGh+xKpvHsG4Q+fwQEjKtZe71Dc9LHCBAl+N9SWt+/WlYwC70GL/YKBW7MpW/3KocEWOM808CB4+
pdMEsghTro/dZxMwKNKVgdAMgA1Ngs4MVU+nHkzgJW1QbcYBTZIfJqbj2bVxEitxgK79kUd8Fjat
zoEd4wFL66kXu9Cv/gH97HhcQRQQFB1wKGHghc9hP86Z+SRY8lfCuTiZNV/eFHL5jrXslCwZ9Lqi
VTETQR7csljrDjKduJqQlAaqQFNORv/Rf6YsEtJA2WI0iy10mXhTVewWmz7otq4MBjjDfILGuYm+
K/iPlyEqWCFOzLNCrPktd7qB2wm+t6c+qppDNMXeLl2Qh66eHMK+EzVbdVPfY/czW8PZxsSM9Wfq
ohk+J1qmbAss4V0aXmanJzBbXdbhUQrgJ6D8xR+/1/5X4VxBWiHZoAD6yraEeXprpybcBrpaknZN
gyQS8fheGomeEHI9puNdoM7k8wXHuf3NCUDotKxD6mcqaji4G9yCcORj6mSSqA6r6LqNmwv+0YbJ
qmP6GHrre7w6h7sBjE6Lye+QA0Q/s+yr9s7syu801/mP1cGiLKu0SOyhmGh0vSIvqwlHNOY3sNYu
ctbU67cCj9e7YGjDh0vYNJxQrDZxShdR2ev8lb1wylheV0+GZpHHGCQ9TvtFga4yVIz5AysDD+sN
/1G+mdD1jj4OidOg0Su3FWINTvi6xg5bwMu/DFU7IJkMzYnTan113N66cVjhH+pBc8QwrNiayQlz
DLfDMiR3l4pPgDXvUmSPGpQ7SH/0pTp+7c1rF6Lr2Yg498McRucMvzk+DQx1LGBzHpeu+y7tud5X
WdVRsh5eA+RUhj7FaydOTqPpUUCrPbhOVbw410SYCO38gl5W/TYu+2iBkexOdHhNR1vP+1jN9Zm7
Rvewzo2XWLSgJVBa6CYIqrfCcoduK49lR60LvLgYmTZCXacYZednEJSPTbR38Tt6p7y5Jb4Kl0Sn
LER65RDxKNEhIrA/V0KKeiumK2UjgnE6mgZ3CVZPtgDY+Wa3WLdOOHZ7TpNir2iK4I+g6MJwb90t
9PXyPLgjVvsuXb/TrvZ4Aq7ejrYYbjKZlThdLQjtgv8NQrL36K+ry3527naxp+JD5PLrCkaABCIF
8AXs5w15WXzSaeQfg7J7EoMcEuTe/3voyGqv0FHtOabiqJr/RCbqb4k55d983eZbXCEYd6CCEh71
SVRpigIAPenmAU14eZ86zgMWsd3R1OHrMMzjZgz5h0x2+u2utjPQd8P1Du40PgJveV+4hm/cZi0O
MPuiK7yNDJ3rXHc8ikeGl+1can4WsOFpXiGMormUeBANr1UrSFH9OcNTvykC5qxY5XsNnrglP2uc
azuMgvgbx7nZqvBhqvLhtfMA81zbjLJzPFfeDa6+fhcsCxtQ4S63Q9lEfMBVdGe3aGWU+9WHTMc8
NVMYYw1iD89akOKNJR4vA8rzA0uNAjhs+4W3J9sDjs4egnywj/MESq5kkYi/yGluoiwjg9s43WFy
Ac2leszu5yH4Bk/f3tjdRMDXNRGU/XTdLFzd7miY4nzGU86ZwY3dnrv0KQjwSmZhj7LSQnas2Gii
hYxsj7j3PMwhGYPCRn9wDTgiVfbR3ThJvqOxd53TyH6Us6hQDvnVLYIQU1VRp8ATb+0pXSyORYTF
iuubc+U9t0fNOwnslgPLqJjK44I0CvwM+eQvEeVTfDVvrYz6JUyNFnEckJlcXAs+qVH/lV0n6HYY
pt/ImfR3E+gsqWn8gjMHkSW30umAgNk+i2nJqIbxFAsuyLNliVUndMWCZA2FMMVsclYhuWv6iOmW
cAAMeAv/ks6ozjIkL+DH3vImw8FBYEy9G2w55MMD+08EU6IskZxgHyofkpvKAXbn8cHHOnEHzKsg
mIWng3o7s6PHS+PC6JHTavzEFolqOyVkFtU95QptOkOAguSj4lrQmWh7Nz2u/CRwp/g0NGt/sGzM
NHq1xiNvH1O1RGxXZVjsMqeJzjXO2B3jHUeS0h899sKjxEDzNEQr1aCaIkVICmWCHm1OAD95Z0PJ
3L6I6DW1xVNY+2ZXdot3WUP/w5l8cPI1n1fVsqTAeRk9aUJ1l0rx0esUz8fg49CuLZ0f2a6UgBto
y1hij0jsgB2L5SovCaopw5flArBl73T7n7nZVC4JHIDb3G1IZctFLhz6sjvbMWkBV5MZ5Q3VbKjb
9ghdS+D+1iVrUX/4ZHBl3MGVChOmqjXnoCfUCdoWDy6MIAvrEnfY5svzRgE5MB+OfmkVtzxX7omO
thWY1BoSJswl9Xxd+8MsREo2VP0fSpFID0+WDjc2N1Ssiw5xkxErCLoet/TQtTkwsRzN1UgmqSI8
Y+FBf3J5uTgHbW8XrCRXJm8kalWk8n0cR/koJN2O2RBVh2yZ7R3YNX+HU/cTEwBrQaCbl46Pzz5Q
GdT1noWzR0p7i78nPNYlMAFXx5z4i/NXz+FwkWzxCRqxApI2FuYaa/dmorloZ2zzOU+VOJC4j5Ko
8fQvrUXBjR2XbI9i8Q2ur0lGuKtPsYk/8zDC3DaiILBA+8Hoa+/Z3nBRLWqJlgTtLeoNthBPU6U1
BWh/ojv4HqOaTRYcWI2fJuFCKtCjwWvnZRbZ+ZhWrm52Ot743m2O2nKzB8dXzZPHvRH3uJoR7pGo
b3iovgfFnqJvOi4QUc7XKJ3E3jgCa6m0xSYMrXY3E+SlqaQFVcgct51Xgpk4A7u9zvj8qZSNEwV9
ORG5Yj7MVu4QBEKQQc1ZFJVZ8BBjP1Q3JZ0XO34VXMVzseyjuv3n0KC4g/NUf6kFodsPtfU5UPSF
2OAqUoje08CEeceCDQ6VSOe/jH1/cJsFiK7EYqhBnXejRjgyEzaFsux++Jfjle5moh7XwpGuZBsV
9bm8mWvP28hxGB9zjp1j3sPLxPfHhoK9qtMSY8eNQ7MKiwyHSFzll3c+vfI7uyFE6xXcoMI51kT1
0yU9ObSbMGSFC/ZiPmxiBT+jqf3ANIWzSYbjehPHE7TjPKreVYpyHTksHWTFp8EXhp8hSthWdZaF
9jaOkPJHiUXH/KFuEmm5qkMAIwKOP0mSee6OrGmsbVURgZxsd9njqearKQhTCEPn0NqSnoypfNqp
SbkHp5Ik1MeFdgR2jWfyJ/dlVUWvOILK7dAO4QGbC3gnyB5b5P6c/IDm+4/hntCMwHgcWvLiq2Bg
6YDXhjWBx0VDL322j6bwXxbrKWNDOs/X674FyorEFCkaf9eZxUP8TbEsw8Sd2KcGi74JMKxnTIFl
VmHhH6qRnlkaMRjrlLTfcR69DxeaIzVL//+RdmY7ciNNln6VQV8PAdK5X/RNrLkpl4hMKaUbolSS
uO87n34+qoG/MkhOEKpWCYKALMjom7m52bFzEPIpIQcHtmDrDaVWHTZGacz4+XYZfm1rMFrCkGA7
h8oQ7Jqr35WZS0YFwMYPo+3qX64Bf6EG0a8UZT8tErNHYDjZER24fvy6+FepxNquUSnme4LTDVEE
nIIjhamMA976FhTesQfvj/yaw6G5SQsqlFaktbvckMNjASz3ViOyQiCR0G1Tct3S92aGNwVyT7Cb
QnLmW/St1LaAHTg0igeKWMNnA2GEM/8vygWVJ+3j2pf2Wu31tPKBRQKRKP+QapCYJOTyH6Gh+rwU
QsEbNWdq1JH/QGvo5DdUi3s+UfV70wDCV9LDcsurtKHPIChvwXDAY0Xjyp2gZAdniGpCEBLod0IJ
fRRBu4Oa04qcUR2FsL5pJPGZEjatkZogKWmYxp3mEFFyQ9DXpKjuPov74hP04fq+GOIcggj0AczC
p60NNxd3KsxAOv+IUxBIZunI/0GCGgSa72+1ooa6xtCBcrq6dLSUxj+CnqGIQKs7xR61+VpqWv0q
oOmCW5XM0kuugi9D51jfDpkD5bLK9it8uFxQmfxsUQg/mM6TTUMDYd0oSSIPoFxzCQSNzvvzgeQg
DMR0hwH8HCulSa19cwkP3vOEgtjQRPJD6yX6sxeTjJXA3Z/kLKNJrbNtOuxBtYKHLMjH69R0qXvT
egXw29QV5d5o6ZiEpfzrUI+ISQErrezTTc77sd5Xlf9V4ybcRA2JCtLq2pH9TjJOazWIaICr+fCA
H+GzAyAhQ8k2srNKEmFHINuUWhXajgjf7E86EiTAYbriMy9g5djQGk4ztOU4d7micFSChkBYCbob
wZ0FGFbqHk0y2/JNlwNDRmksNLOXtKOL1wFBhQsiPyZEYW2sKOK8ZRbLFiPc49s6DPh6En8BUv7Z
rAy8TBOjaOwjJGzY4AOg7AXsxKO3hEvWCHdD3MMohgzxxs5pjO09HLjUQVNW8aHbIJf00wAmCkie
X3xBGkYcrSxqz6GnG1wkbLtSUEOleDZQRoZJxvKFdi8EgHauawWgilpTTSWLpWlmDttbkh6HSrWQ
xKwQ2LQoDbgOYKnrcu1zVXNdFaotdJXKjC7kiSp8rbkaL+E+faFN+dUdsm2q9N+um5jrmmNCt4mf
VWHomjwRTicJZtZB3qQvyvDQW5/pYTNCeohpTbxuZ64EzyAU0xaagntGePq//k/2918nnyD9v/9L
+b++Vwx6H9vJSxY8kU/QMnen4zhr/2tOC+B1W+M3p3Avpsntj//+L0vI+qUt69JWQfeRP2oXvvTd
18T9ZUPralORVkiJRzFYsHtQW9ctKurcpCabpqFyCmxAv+NKfhiei8CkNkYhL2kLgQBY9np4oTEU
ON5PAK/bWiJxSrq+/WHb5y4kYViujHlhHTnUlmpqmqJSFZmsY9SRAKG2nLx8j9JvDd1kic2Ftrs+
zIVFpAFHkFRRAE+irXg5SorgagxFTfJiQpAN4C/M7L3LgzhKz459f92WPp/RC1uTvR84thhUpCte
LNJILZ1wGiwTSv9+3YpYNGOrtqEzdzZH4HJIACzNVq4ww62NFMQLbGIH45eOYsL2NddeddXZN/Wb
p98ia0UFiFSmRv/Kk51+wmH5Dm+opwhmru4WybvrnzY7/KaQTXkEqaqKPv6+/LIuyitJ8mxx0pvy
vRBvgHB/XbegzDbNaAIgiDC4Dwwu5ksTjQKQH7ki9cSDBQABjBLCgSukAVJat39LAkiOW76ILvqm
kIPv9PxMwuLZDaIjukykVtBt2xBHHa9/1uz4msQTimYopikroEzGr/5wlnJkLPnmvDyHFNAPHbpD
tO/0OToPg/xsh/W5LHVIl2guJ8yNiZf/3DyHSMbhKoZmTXcE+ScPjJ8oeOgDDysGSO0MFDIfM2FW
T0GGuKA8+AHlBlm/LTkPD9fNj3N+4bwYvcYvkwtTxvtPll2nY7unRF+cO+VzMZxz2NwQoqEZz7bq
veTeXrc22/6jNaj1aTIV3AG//dqHubaolpBltQqEDalYk6XJ9Z9qFq9M6cxvjFYs3ZRR7jMIPKfO
qUqAp6Z6cQZs6zQ+cuw/2xYtzXpPUHp9QPNTY9i6TqrT4j6zVXNyz5B3zHOr7Yoz2MVTYbh3ra5+
um5iac50FFpVWYBCUKZzViR+N1hBgZIJfXAnWF/Ec6hUcMcEsIZfN7W0GUwhGA7nVJG1iRN0eTzJ
gZpWZ8rQaBKr70BhblqD5uqKUmVkKk/wkO+v21SWptDEJeATNM2ehQTgXWtK0RiNyTQStRsHj8RA
9AtumIOL/aZuvrRB/dyCjWpsqDD8m9jWDnllnq5/ydJEf/gQZXLdVHlbeMTJ1bmCrsJoXvoU9pf8
y3UjS97mo5HJFMOGU4L/LqpzjSSm9BT2d7pJ3oyWE/mMnF8pvV+3tzi76njebPyuoo2D/nDi0DjS
w6xnUDI596J6CRxn+7+zMPGfaLw2igYg+0yFzSWKprG0c1aO2e+5n7opdj8Jessy0S+cnDPbtOVW
0/vyXErPJMJTUvi+8mznXxU1udGcG1gMNojsrDiSxcX6YHU8Lx8mzzHLOEH8uTxHHfCG5jbRPjuQ
2w1wRPEwr6NNTk74+mwq4waYjVRXTRkvqRvq9B52ADrA9uRVZ0Q3drJyGyO+5jxnzhEWjti7bXwK
V9JP4BIrY13cKB/sjj//MFbXhx0qc33setoT2ZIvDvpyK2Obha04Zm5ZGMhNWbPgh7i04VjgN3yO
O3zJDWkGOGTsF6N8FvWDYptbpfyVmt8V90lq3rzsMfYO180veTdLVqjnarhqXNyldfKnYRSCXj7X
PVEzmJ90l2suLCCmUm3jsSzoRb13lgZertctL83tR8uTfaR50GdEFkckhbp5QAAiTlcu1nloZdgM
jA411Zah7ptceUoPSjOOM2bWoLfgs1Vyf8Mb++P6OObnwZShNWL1qLRwj0+cSd2pRAuZznnI33li
4awRoKBAHD3E5U2fP1rK2u0wrsnlaSAok+l/0RRNtng5Xq5ZEMjdAISHXQldSgBneW3yztDFRsAh
XxRrwdjC6buwZ0zugA4QtwuCtzp77slhoXzpTs5caBl2lXVjMmQJZfjurlNWLvn5+l3aFZfjbPS6
oKqBm8a/dcFXN3jwihMb9Pr6zfchVsZXsYC9SVWNyeWTploq0yNbnWGO3Hrp41CubJDFYVB5sBRL
5jUxDSAoi6g99c3ibNLnmAyfC6JZoqN9DcLx+lAWNwZIN8smYBGze6225FwCUFSelZaMj+EeFINW
mEJADFvVlNOi4c+vICbPZlgkuASHbLIVw4oGu8DQoAaO0OvQWpiTGziojqp5F5pILYyUU+CwpRW7
i1PKG5/QyECo7PeL8oNfNslAQ+fA+6AN4WwB+Kw1j0n81dJvr0/oPPrhVPMss1UkUIkWJt7RhbKi
p8mMZ1BIZKI5exRYbsNOWzGztAWFKUj9WKhU2GKyBSVLrymCqdXZoLMBdp32GPmD/S82x0cjk9OU
gWysJKSlzjmPmBq4NHXIMv+aNoesWIl+5qkYLrSPtiZ3WmHmlLADE1vJs+e8ApamTHUYta8l+Syb
D4SrqAD0kUwDvLPz4xXHsTyfNmmu8QVi6JNlo0OCbGChVGedpOlQ1p9AVX29vjOWdiCwbyFbuqbh
+8eff9iBHuJJWqnF9dlUvW0Eya+UP5o1fP7H63aWdiCZOkto3DDW7HEY5aZFlSmtz5A2IZjsgi2G
arBuD9fNzMMAEPK2jePACdLfP1mwpu1U16Ut8Zxq2dYACjoot21+a/qPAgnR7O66td+R6eQGUxiV
YQtAeiBHJnuRrkIzomUZcxDPqe5bAE4t0U9S+KKZj8I96Kk39pdvssDcwoi+A/C01UhO0xIM6zy5
6uvfs7CYiqpp44OSW4CQ+nIxgWepZuCH/dnX7w1PgiaVgrR9p609JRcWk6Qdr2+SdyprOdmXcsej
tanEcNYNyO7/7mkVCYKVnN34b0ynVjeZXXqLdJ7Hk7H0VHiTzs/ks1aOaplnF93EILgxzTu/6VZ2
zcILxFQMwOKawVsVqOXE/RcAglOXq+HsajRDMXtJqMhgDwGhmbSbo2ouifI7AJ27IQhWNtHSZBKx
6tysLBrp7MtFA7GtVuAIehhZgz19s04gIZn45xcNEfk/RiazGfUC9hXois425xtZcKo6L5UOb666
smwLLgtDlk2LsK1b2rTMoKKanbdh06NiTzu3KJHR3v3xJie8MXWyJYTCs6saysrOBL7TnmUB/3Mq
f1LhUYo6fU+uZsX/Lvl/wYHSVHLxpIGm93MM1zhg9bw909SS7GQbSFiaUtnVEoteaRH7W0gMUaeS
6OjLtcx+qcsufxUGDG0dgSxQa7lr/vyQX3zTZCl7HSFZtFFa7iR/W8U/GumUi0dL/uv6NC+diQs7
k0OOrHycy0rRnlUKYV34Igc0bPmbLnvOrZdG2rfVmwaVw4rV0WNOjr3gmiCMtXjI6fJ4Wj7cR7pC
9Eq9vDmH8ODBZByJgn7UHXWyrDuabrQZAsrOySusMIWarVhf8DlCBZcg6C6X+YjJUZTsqLUly6zP
iv1XAAcSiWJgB0l67+grh35cpNkwKe3wnMO/4eYuh1kCYiZLnzTnQfyKACONSaIMQE2QraSAF7yL
IF1KPwFJ6Pm9a6rwiKdd155ryD65PI6Dgk6MuvZEXTwpNHRw75CaNUl3Xw6IOuwAQKuvz1FxVvS9
29yqwZudHRvxQPV6X4mji9IN3CYtBa3A/Hx92yxc++MhZbtQ2CSzMvHfmasmKeRo+VnQxW03oC/h
f827c+eB9KHdcAj31w0u7BTuWJaOzlMaw6YpK4NiNT+ws7MSA4pwbjTvk1QAroZpAjTDyrYcv36y
WS6MjaP/cCZyS3XAB1sZslIABpK7pj5I5Ysb/Qi9NzOkl6ZTt9eHtzSfH4c3mc+IY1iDhMzOThK9
o5u9qT1xqMr+DploIAiwMg7t+brJhROh4dQpkkAtIENfdzlIFXRGUptKdm6eou5zb8KJebSTt+tG
llIAF1am5661gSGpWOn7m5bODc3/UqJMUtu/ClLTdMBL3dFB4gF6quuWF2aUwhv7Bek5RbBnLoc3
VM0gVUOUnyOQSZtC0u5S9JEDejBgQdwVAMpCaa2Ou3AXX9gcf/5h34SWbts03+fnPP7pSNJu5HC4
Pqo1CxNvHSvg0kXLqLIe0sAYwdtkxcLSNQSqwBiLMBw2Ma0TQyeSww3HVizK26qkA0V6i0CA2caz
5jzFDXwgz7pY2/+L4yKg5zIwLMrwk9UKhZRHtaWxGZvqPVfTBycLbv7F1H0wMble6xQegcRlJ2Za
3lG+ctH3rIJyxTEqC/4fAMM/I5mc5FQn7a7GkJPakKX4MBC1A4QdCDXvhOqjR205Gc0b4ujI4a0l
1RsYf79EvnxDcxoNdbSgwm779frIlfEoT/zZh29SpjHikMe+HIXMrgO+ni5r6BGczK13Yem3Gy+L
Btro9FPI9OwhboPR26etpbZp9XQp3h5XvmZcy/nXmBpuR4NqUZ94VzvLlMGKDehb1eJkAlrxNfBb
wPXzUtlrAui4Zh+aTr9r+QoB1xo36LHI5Zfr37Hg/5iUfz5jslCDHA68edjnaf1gNjSfwonUVSCI
gCtct7R8pP4xNXW1oRO2iZNwn+QpvVXKm5E+5vGjL3/SMtorjq37vff6lQtzeR/+Z3jGxBe5wqqy
qBnvMPtBLR9ji6vk+fq4VmZwWmxH08GA2BUTIL73aFq/6IY7au8eitY8XDf1/9nC/wxn/JYPrnVA
/qbrcj07e95jhQqj9maan0fiARkBRTv7uxFvdv8t0o+avbZ8izMJEw3lYoti2dQ3ZSIOOpDu2Vkt
bpymoR/36IIluz7Axbn8YGQyvrINU3YkRpTyBWZp0/sq3KMJcdJ1MwthlK7qJmkhsgnkLUZP8WEa
QYlXFO+J2yw0ktpfYXLU4ToQ5jeA6Sumlkf0j6mJS2/oe/Fb3c3PbnDTa1+q5r2mzFaaK4H92ojG
1fswIgHtdZgYBIZtRVcfzPgoN9BcXFroLf0bj2HQf64p/JoldeM2k1BMG48xNBuu+mAln9L8k1Gv
4AYW3QVZOZ2gjPc89YXLIUEZb0eB02Y8IR7C+HudHiOEUPzmVJkvegm6P4KOcsXo0mp9tDmZxrgy
gqKMSm5H2znHFf0AeXGIFPqgw6T/F35DI2lIHo86FEH95fiUXO7QV1YZn2E86Fl2gqL0CK30HqzL
2uN9KbD4YMuezGXt+rC0Btz6yCxs5PyvEuTs9SO1PHP/GY09mbk6ht3YcMfRyDdS/dkIn4vsu+89
XbeyGFd8HMjk1oQ9JWxsh4HUYYiIG11A4WeP9ECS3Uvxs9bFB7JRG8v8rnVIH3zy7J8qxBr6v3GG
PPxUk8ctDIHTopcMEo3+pQKfHzdkKEY16+K7k4kV57G4bB/MTJYt9RXRGyrbsSyeC/+Lo6/lPdYM
TLyT30MW7kWMowWtblY/jfT9+oItbgsAFjJoZ4Wixvjzj36Jjid0OwfCaBi/OmXf6l9TfFNkroXO
a4Ymca3dJD6sg0wVDYvQj75qyWsDrq5vP18f0OKMcVw1ALr8tientm+r0BwC9vkAhy9tSTw/1lAT
y5ucf9uyNRIobLDLSYOsuY+jMOe1SNd8DjjDaO9947H1lIPi2xtYW9DwPJnV90G/Cx36h+jDth/I
UKxsv9mVb3HdU1cTpk7Z1Zxe+ehXiLbpy/QtzCT/xktd495rTfM26w17xX0o45guwuHftnSb+9gE
1jA9UV0ISiBKh/Qthto8CMh6dkhLlTsoR+vyoYYCJgXITgvZNq3CE3hVn1Y/xUdVJcxg3xDb0g9J
ZcsrUzC7V/ksgxPOm1UdS0iTA1JE9dBLWZO/uSWNaUaFPvlrSlZJof3FWsmZzbbwxNa49T6clagp
rNyMoV+2rC8elLN0aW69ABkdeiCub+Klhf04qomz7mUjzPO8zd8M14GKlz7GNt63q1nVxcmzyP5z
Y4EOmAJIrK6L9TrN87dA+yFlcO4pT74LhcAgIcK2BuyeHUxmD0oltqnB32aZwNx0YMdR++wNyO1n
vfLv6Uhe2aRrJibuGJCjoUlmm705Vfo9pIe1Rtbx+srMI3wL4C7dEsAQVAqk0wwfbPiRH5ohwxie
dFrr6Q+FrQuPWZS7Ib1FIOsQVNVOjbxjTUNWWKzUHhbWbMwgWmBjyGeCEL3chEiAKDrcQCMJp3Ns
AgF7RTvQIirxNCzhKE3LcCV0XZhV25DpqNAsIBDqNPVOl6auBdBsvdXVN5RS9o29BkMYffLEt2DB
VkwyxcYcQQLtKJ1zqZy++bRraJBiGv7fiV7eVxHKvBDmKkhNr6HyFw7zhc3JXgm7So0AX+A7aZOs
tBONbj6NS3p3vL5hFu2g1Ut+zzC5Msaff3AaMXQU1ETr9E0lk9J2Q7F3g8zbt5nZwA21+pxZ8Bw2
9ShDUwEHaGTdL815ZR1FeR+FbwNU3YYd7VuyKDnUvtdHtbQnwB7oCog6Vm76QBN0uNcAsYO3LCog
ete17A7BorW32XwwOhc5fUm8Zg3So5PiAX3OQqIw471VrQcDYwKNm7YvlGbFbcyvNoMLjdKSBpYb
tM9kzgq1Sw2Thuq3CIJbhAL78JuJvpqOoNMhib5fn7n5+TW4PIH+U8Em6TvNRjQm/DotKqTkASBE
aT+n0QM8C1ALfzPbr9dNzRcJU0we0EsavGYZAVeF0a4kW/kWxA4ySZIBoQGk8n9sBHzUeAHLIIiA
PFxuuJJEHLy+g/fmOK14LLok3uuWn628K+Y7weIFxk1Fx4Ji6NNsrx+2Mj2EVvyW9Khnw4ym9tA9
izUz8zoA84QlDW83hsPTN19ia8IxrFacYYPd961+Hzf5FiqYZ8j99wb4L0lyDlqPEDy5ZlnSdtcn
cx5Z/ravE81QltO1KbInyQc3sPJYnDsYHzJd2UG9HvU9nbfIo0O94H1q+ge4oOlSOjoASDr/xqhO
qK1e/46Z0/r9GQDCIISgaj/1IlHu4Y2DRpzNFNkZIG+lF+3MuqER9+a6peUZH9v1LIQCzFm2Qs+l
0rKQ8jnrkNojnbhJR3Jbf49YbEpztbLLDGRYTEQy/viNOA7yg+VJFO8McD5EgybOpXxXDJ9a997y
V1Ixs207oi65qhkXiSxhjM7gg/OnjVj1fDXRzlLR3qKG9OCrUMjkw+H6JM7uz9EMHT2WTIMZcPnJ
GQwLT64UudDOevq11m519VdFptixn0pENlF2R+H8T/0/7Ww8fUzZxv0jqDixaKGGE6Wq775KbXLS
q+4uBHHxv7MxPfMJZT+3bLHRk+pvYV0205V5mzl+3m/CZOshHkIpRJ/czarwEw9/Y52Ru28FlMux
vFXrx2qksYMuzC1WYoGZ78feiFriAWWqhjwtcDhDV7oD6qVnMSDe3UMTh6osAuXOI33Xf7z1iFN5
1hPX007NCC+3HjJSERxOlXOOdPkHLGc3cMzd9FH08/rWm+/w8X7m1gQnBbZ4+ixsUhA/LqIC58hN
HkMtehBqDbeIvRKDzh3SpZlJ1KvrHvS+wtbOyYBakg9TItyPLnoG1VoFf3FAFEFYJ4uQY3o/V9Rh
gzSAStcNhu9yaH8qBwRpg7UGxAUz7AMV6D7wIWWOTEijTMiVb5xdp7uVTIfOiHwjmpUNPs/R8kIQ
NDpqI+iK6tgE2p4qZjQMoG/PNDbuZVj1k3s5f4ScxFfCranuZO4QK/3zxWJMCq+jEcHCMC+3Xq/K
kjeA+zibIdDUuvgEy8m+bOJPQAtWoo/5NHKUSGYD6iTdA/7r0pQVKi5s/FX2mtrZXxWkejYiv6Wv
fbu+y+eOgqZChRBnjA4Rrp64u9qOLXeQg+C1S18tJBkqKA+hItwUlrnvu2TTSn88LpswxODsgu4V
5Fsux1VkUAbrRiq/trIi3aUynFXsRYvLuCqqtU6V6eFSAKiaFu9JEG080KcYBEPp2yHI8uHVQmHl
qfI6Ut1SVB6NXAbcHsEHsTK6uUGFy4OMDbiHMScw2SAwN5dWj8DVqWq6b3lWog0rwehuHuLVPv3p
ylFF/mhqegDAIfgFSZv61CHu4yMuQbaWbpwSqt5fSn5b+e7KrTX18aPBsdeV4dG/Mnuz9EZWDrVb
BKfMNZ1vitWB3vKykSIvcvr7Lsj7u0hpo1U8xPQkYHfMSIJ1+p96xWSLSllg2agtBCfUuLQnpegN
ZzPYyAIbbVtQz7J/IaNXw4Js5A9Zk8L+lUgVigkdDJsHqahhYHcCdNVDi17oAkqZlZByhonmA3nb
082g8awGSTfZ0naUx1EAZ9wJWrocfegIOi6jUgykZlv4+sSovmJB1BXlXX2TW2QCIkWhxcN0vqog
g3420QDyR0JpJ3EseRNE6IO18Hv9vH7UF+bx4jPF5clTeGTAe81nlr33WGvJT0mDGb4xb//YjEXr
q8wDl8QKz85LM0jsZOmYuz1pZXkb1SDjbLqwB/PmupmFk0bHhUzzKbkbWkEn/j/Ii75KZb04JfrN
4COGWJx8vdjawffrdn4X+z6mcFhdAngA5jZxADCmyZFOVAeWJKVKTnwNMnEVIuVKYqDlmUbi4Em+
vc1M5O8itsc9jAsQWkcdRC5kKIIfhK/F2fS6r6oDMdHQ+8ET+Ir2FX0mCPUa13rKkdA9lAHHVoYU
Rmy6QjXXTtDCwoMaHjMaPEZwiJOrpJUQCnGtJDo1dXurgYy+yelS2SEn8359rpYM8YzVcbsjTH7a
iwBxb2wiiBqdyixpnockke+h3OpfBiVbexjMl5/SADwDgK5H7zBNoMCVpRl9iTiKLj8ipXJjwbvS
mXCwF/Xh+qDmfpZWB3pRqLvIQD2npQgkUEBXNGFzCrSfaf+19H5kxfdI/hZ3v3Rl7cJaMkYOmdvK
wLvzVL88PF0mo6pJlvVkmuih+zeFXdw2QwE9PF3i/iG1vl4f3HzFxvb4McjVf7+wJqdItnI46BS7
pDtQfyokZ9dl/VsDD/d1M/OrQ5CE4t6QbfYhW+NyWNpAQkFyneIkFw+lZ+za/rm2HozsqcqrleVa
GhHdZSTuiC3mOOMk05zaFaI8kdBV94OWio03NsiOhIgro1rYg5YM0HhEb44Q4Mm5Quw6BZrf1qeW
fNR7gpjuXvG+pE6r7kTurtUzF+aQiFCmO5DsGnM5sWa0tNTEBve9lBN2+ptaurPEjYfewVqTzzS7
pnCJjX0G5AxxrTQ/Xq6WF5ieBrs2kYW7jypUVqDGvb4fxvW+9KkCrw3Tj6HwPp3fmAHUgamUtKfK
jWkmCzdm0D3KTXDT9PZTaKafDBVaStmV/3xz/O72xXHwqFKnPdMCefUBiFlzguRoY9bvLfxwbq+s
jG4+fzwNBI9u3lj6SCl0OX/jm9zKEts/NU1475vuPdqKK2iR+S6/NDG5y+u0tJwSj0ByH6x3Cqep
ZH4CtrJSFxTj+b9cqPGVg0MXgiwPy3U5lDrvtF6NSv8UwRgKiojejsFB/8Yc6kfTTm815d3Ny10p
4A2EL+QBLaT+L9cPku8WGIWDHY4k562iHQtDc8e0HxwUaaLt6sRy4dfX/rQpfiSeoUROkpGDCfvN
OG8f0lIoyLRaP7j+yQ/iowv/oqUck6G/bazu1hB7m1rS9Z08y2v+tshjEJgB+2n2qq6bPLKpuAQn
CL2VrUYPRSoeNrtqZKKXs3aPCFsLl7+t7gLL6Depq/5d5FqH+EnY7Fu4OVac0izt+PuDLPIVpkaD
1SxlNpQ54SpJhFMQvPWQTPJCzcP7FB2O9pOHaE6kyPuq+G4bf9rDPBomyIASgbekMcuceYNoh9wM
w5NOsW7Iui8hcfjGa60CrXn1JVFXySXmt6VKDKgRmP0Pw8tktYXIsjhIlOBk0RPQl/dDFsJnd9N4
+k7rvtTWQZM+uSU0v+IuosScKO/om6FkPfJ6oyog4vfrm2HhVHKZAqu1aeehKjFxnHkSoBkb1uGp
yl9CaGbKOkc7dq12tOBeLqxMLtMs1O2Q9GF4cn19n+V/KavQg1kpmKUcX3nQPTKaOa9dq6P5YUha
ePL7uxYlS9QVoWriT1O7SeJwF0LGXr9ow3vn/HmooFI8GlNU+BuTlb08wYkuOh2m6fAk7Ac9PPho
fJpcc/KTY7t/fBtgimc6gR2Yd+Cll6YoLqU8LPTghPISOm2fTSTj2tvrW2IeI5D+R9mQqiUPRJre
L20kBb3jg1Imp8F+0yFU9IlT3a7fjHoT1y3NGpJYNJvoXgfVTeM8FGCXprI4dnzTctNTEHnlxmy1
r5FngeiA+DRLXvM6vTHIEoSqd0yyalPlUOWqwb40nZU6/sIpgOuX0IFWgpG1avIdYdjBKY0azElE
2WPmOH+HdnUbd/7KFbgws4R3FnuUkwYPxNRMoyLEmJOOsPObsttXzSd0i3ZFaqzM64KTsQHb8d9i
g3WBRAEyhEFwMqqHoPNuE9gIW7CnCCIp8cla7X1atEdJneIzEZg8LZSVDSVnlAOCUw7dMgW5OzP8
IrpnFHac7FagwXV92yytFqQTI26FXO3sELiK3MRdEwWnPs52iXVfJi+DOF+3sbRUcBqN96NMimSa
ICnLTCu8FBuZCW0+AFCneSVVBtuxtFJmnI+GnnT6wUkMEJBTwb88A9CB27hHjrQIi6NI3mqh0AT0
6/pw5g740sgkI9Ab6FKgasaOMLptpL5q6Hxct7A2jMlF4nSOBB00FqKmBUj4ZNvI4WUrkcKiEYP+
wbHqrBPnX86V0rtDiaJicDKlwzAom5aMuS3er49kca4+GBGXRjoEK3k7YaQN0AL6UTgrEeryILgx
wAqOrMyTy3AINB00M9GOJMJtQaelBcad9VlZkFm5ATY3oLX/saNPJksXzeDD+x3AyQov6agFnN82
8YNEb65rHlPlEFHgDauVg7M0ewZpeWp44CBxqpez1xeV6cIgHpyqFu5M51Hx/v7j5RlfKNYYwHJ1
2JP3fxyTr0W72T25CipO3r05GMfrFuYLRGs8FCwyzAk2IMvJAuWAzYM8TqNzYP0Fx81GR+fI9tfg
BXMPgxUTJA2pQO5sazKOoIm61Iy86BxaZvOjBx170nLQBXqZOXvqSGv0OXMnPTb8q1BBQDJDCVy9
XJhO0yVpIE971tF0wVmj+3xM9Z8lbHGJ+l4Ma33a843Ai0YGKoQx9sH08R9C1RkAMY7OhfSXX9Jh
UT1fX6Z5dsHWSWCO7yYyePztckBDlhVaEsLznBbZI6zqP20zuKMqtcMLocYU7K6bG1f98l05toKP
RRnYS0iujuP98E7Tg3EvRkZzStIXVXaL284vHmGE/0kl9hfaMne1Vnl3tven54nM5FiVUWiJ1aFs
m/hVT0CFr3R5eQJCifpZves9u9+uDG10aRdjG/MngK4gCyEHqk9xcZRYLR9RzeGEGvlwK8lZdhCl
iHZO2bjIiyJT4ZXWUbPqdxFJ7Y9cDAGi6O2oEReGQjnBJp5sNS1UtD0UHR5VBYsOq7IMbgMP7vNM
FMmjV3r+j0yK7W4TanIrHZDLHHa12Rp31mA2h8YTyZGzTeW/T6NvXSGiJz9pocHw+qF6NDu73CiS
idaM1dJ4qIqyukPDF42SfFepfa5v0UW34p2ZIA+IvCnCC70rvSAwoSLQq3hHUJPRLpNb2s0R/w4P
nuu730XntS9Op3+TSjS7dZ6+m0Bu6mGPLCB5KoG4JQpPN4NdDNDYi0B5oFVd2lTFgLwlHcLmFw9B
h73m+d59EQYVouRR+ZKl/fDD1dTmPvVa3h5odG4tX/G2llTKh8Ipsi1ZkPwcW5DsFCjJA4xXmkMQ
a8jHxwLVLpDjhzg1tFOnZkO7UVzd2fZ9ajwZSC7+jcp4F2xRQ89f2DOyuzNRJtA3kuPYz23QBYfc
dL+juUIbwfWdMnNao+sgswJa0yQ9On3quMAOMjXUhxMsLVulOITSoy5ekm4N0jhjKgaURzwJ2Gns
aBov+8vT1qFd6YVG4Jw6ZXD/QlbZeYktE7lUSf0SN164DdVU0IVB0LSJa2k4jOm/jR2Ie8dDxFPI
2yaXfhY68I7eev3TScAB8NYciysjj9EsYuskV+l07TToPyNL3YwinOiObSpz/y8MwQhD7Rl/PXtY
NppS5pGTa6fQOrfdUXXe+v7dEsHKos7uu7Eyyp1tKZQnRizR5VwbzShCywV0SgkUvOIuIOUSFG/X
xzLz1qMRE8geDYsU0ac7Jw+BvRRFp56GTt0NiPCk3WOu3Sr1G2po1039rqRcujM450E90BwxYlWn
MQiqYL6iQIp6qiO6tvtfYd4eNYjwvPDOtn6I8i7IH1rZ3UoovWfIN1ZvpMM3uVHsh+SkJI9t9Zjk
SIQd89WWrNktwjT8Jk9gd9tjHeNyrmW5hhGHL8eByVtzVHwUEYoDr0pwE0XlVvTRLpc+mdYBIZBd
0x6izKKN5adDzc5Nv6UQdhc3q6TQ81MtmCpwt1RxyCxMP8obg2EX1j0Y7FN69ftzlWUwclXfim4t
gl8yZf02Nr5Q2XKX46+56By/Tg2qxe0jokbHslA9NEOQExbuypab72tYVT7YGm+9Dzd26oS6GUTY
8qp3lQUGVJitXc9LNoD1EOqyaBT8J2cn8YI4Qo9Tf/G0jr5iCGKcds+CXd/Ri1bGgwOoC3aFaahj
BFrp6NWAlToCvCPvwqB8raVuJQ6YJ2JhZiWo+o+dyeqYorFI/8j6i2+NwtLksWJlr+ZnNMqKaN80
9Raxtk0Zv6vW5z8eISoDoL5HkmQY8yZhjuQaOXJ6jfxiq2DKmn0AP31g7a8bmYXACpXkD0YmgT3t
sVIlI0Ty4g+QAzrfUdrYmsazkh8C/6ZcI5peWLSP1qaLVhRmo8hpJ7+0fv5kJsZfVovCbOGtDGru
WC8GZU/WrC/IXrQ9gxqQsneOfnmS/U8CuV4L5eLr87doaoRcKRYvMBh1Lg/UICTFVRGwfTHCX338
ZRDxru2ao++ekDK/uW5rwVEAy+SRTBaGgts0JUdCvAT0kcgvlJ53CRqdo4/EUyh//Rs7XOI6cHli
msnGM2Pr/5F2Zb2R6tz2FyGZGV6BmpLKQObkBSU9MBpsYzDw6++ipe/ehCoF5bs6Ur+0Tu+ysbf3
sPZaNSOOJHGV7nQX2kvFJrPuzeL392bOHgYwBP/HzOLojdZodIZsSQxxspBqeQvFSi1QerqynNP2
F844KrfIjlHNxNDJIiuyKkdwo+N6LNv6kkMLV3YIYk1Xvbi83zsemglTvUsG+Uw7NyogVwf3tiE5
RLecclNaElqMtY9RuiHKTETWbT4rBq6UQM59XJAIgUrcA7LuZIoJCsbVKOrUmG/7YQIN9ejsOoVB
HNWvZG3nrjy6LWjborcOPN1iO4yutc20JThGY3FwfbrR65k71guVDiKVcUAvwlvjMD67uk82F9fE
phjjhQgviU3dCTT/MNWXhskDV/z5+Zn6vLbF+1YkDh0rKG3FY/2Edq1tv6XpGvnD2loW71uvt5KP
CWwgbrnq1HjV6QloT5AMJvnKpzrtBsxH99O+WV/dCy07Nxn7kcRkyMHQedOUR1DK5Y4feSMIcCC+
mDoC9JwvzfDECBz2/ff7ee6s2Jh7Q4T2D82ycAVWA5kRLYd9lV2VxY2QV1r/0GYPaPxvSPv8vbFT
CB5W+9nawiMU3ExA+QZraMNc2JO/yQEkGCwewu1tdMIO3O73Tc4iT4iQeNPbMFSR5OmemDoGfafX
VHihhBTbyu+ab8TX4PnL71o6EOjpyQwK9CR2yybwQQmQHEo3HjlGbKp9VvoB0YtNolYoKc+ds0+7
sXxaMs/I84TjzhjWGLHMenKUBpXMFgN6azDlsy7ys63FmVYQFOCmh1gj0corCDhvEwxjQWvyqIsk
GFMgslIU+vPxzq6rrazq23ZwLkZeAvRGt0Uq9gJSzkVWRiaoDotiECGn6X7lM8xO4uQzoFIHNwms
80mSqXLmt4U/H8bqomn2LsQadevQieMoiqCmyRHyciGF0P1Mn/e97bP3YEY/zSk4mJUX/stBdUTD
44t7WP318SRSCiYR0DYM8s0c3jNMnX5v7zQnwnQiWBaRe6JhBRTU13ufVSWGGjNKYuGMf4U3QaAR
clZefuclBHNlPY1QrtwO2rj93u7sTxZbDLt49nETURhdzk0izAbruwW7mJsJdf7cJWsMPWsWFict
J71wS1rgLgFHgT47kCQ/JStBPgl0Dv6cqQfmzuLXzTPSNK1oUSEmK4yonzZ5scZZfyZ0wSsNrAj+
nIdm57//lEbJ3s660jenuObWW6mqSOvJn3q10HnWzMyQg4wN6fsykypEVkgKuohY8yGFvYOGYjCh
QfH9Jz/3xvgAZyPUA4MpIP2LxRTEbHHdxjEuDGOfQGU8L7ubDqXFvnA30Ke4xxjKjrbdX2m2l25h
hb2goYT05fe/44y7w89AUQdBNAZCzMVTl+lWjwq1O8YWStbVhlkfLfjJqVgZ/jiX0AH5jv4COuzm
3JH5+u08p5WG42sjXF0fVm6x5yYNG/eyNLUtOjXBqF87CVj77Vvi/vr5ElH21/GgQ8AFhaWvpo0K
YrljZ1qxp26m5N3pbiodhdNirXp1ivzAoXHQqEWlB6krGIK+GspVBhBPQ6y4MSqya+0OshhQ1Q7Q
iadHM+2zTQKE0Y47zbvRKj1AAMDCFpWQwM/6buWAnTnFkJbDEZ7nsDCSvfiwnZQpChrMhqoKe6+s
9Oj5DSCx9sr5OeNY5kAJPXe89qe0Uk7RJ06fZ9hcT0Vmox0Ndzz8/Pt9NrHwyq4C9aEG5dC4yRrv
EoPNLWTRMGjbAk0QMKte4/c+dyX+jTCiA4HzSha+EvWu1ulIDXvSijD3EJgQl8ZcStQWK9MP574R
2voEBwAZAVDEXw+MBqBHipa+FZvQyR1BFaPrKMXtvt++M48oKlyY/5jz1xkZ8dUIUCaWrM3CisG0
0kNdlaKRmNofhvnEvNuyWyM/Ort7mGLX5zQWfHWLS9AUnvCBmbFioFzQk3lyei3KVYGJkpWTN/9D
i0cT6/o/Q4vNg0qjXXEDhkb03y7aYriBZjIwOln1RPG2Rx431274ucP+TxQR2Hn880sFrW5KAdQ0
DCMuAZ4Jct2cQl/ytQnXcwub4T+zvgKgkcv+KMmZaQ5tbsTAXW3yyTn4lR+Zowb3n4mt6f547grX
dlbTwtcCizaS068HxBDCn0a9NGJ3TJMnUNmYG9GIWVd+tLTQt5W9//5Enjv2AOoDoAbp1xl09dWg
ID6rJSVGXOk04tltkv3RizXo0blziEry7PIJhtiWvQThdgZA0g5WxWwIkDuRmZCtVd6Y7Uqecs4Q
AjeExxCsA5ZqsZq2d/zRy1FC6Hq9CqGx9mgoow0MHYVDE/J84c83b8ZHguF27kstwRQ6vHpp+poe
992Lq96SaSvW0GFnwmAUPxF3gysN4JblgWBMgwykhgNBuRwPxKns+4K0bmQnVD/Yg49Yn3PlRAiS
CgIZzsGNvl/j2S0FGGGe4gC4ahnocc8rk8yjRqyn3RUX5cfQQtB8kBhP65P/akPxcM8ZxixDMP+Y
T1FlVUJohJLCiBG0BK3xW9T70X/4fkHnTjx4E/7XxuKK0bGYWh+0PHGLae9wsKdnbgygiGr65/+f
oYVT7EEMXOgOTgcKczsng3at1kf5GlJsPtJL1/t5OYsnhWdDMUBZR49xw/NAtO4eBLEr1+rslgGy
ge7Z/N8SPV/5dQr2ANgwqos6eW2sPCBqjZF6zciicMWkUenSTHCZ7BsifFA2bazcWbmxp6cZySRm
7TFGBpGVE3wNh/6JkAPCQpON6TFV+iNot1BirJo7X+QrvvX006BKAxYB+HIbkK4lpgu6YT7jwMHE
Oh30B5b76k0bMmvFypnsBdEeWqgA1eBPlAW+Xhq/xqCNlKMeawPE1xHoAoDzPgwu7ucTty0QK9Kd
yC/a4WYEDdrEflfdSux0ZldBnoG+xj+euxNF6KmZUlQCMz0e9XGbtu1mAN29IbRNkqxUhE63FHxa
CG8BZ/6nZ7a4vGmWVD2DcF9cFY9JVoSt/Pv9pT1dCgwgsXWR1AIpu+RVcTsbPTtX62OzarY4EiFv
olbbVt7KQtbszH//ydMxm0q9BEV6nMLTCQ0sMmyb2Hu62r47vVbzgjC8g1oG4pfl2yt1qMYPjdGj
ZVJHQpJffTfT8K0B8NbMzB/u03qMcihHu9D7uJbW1hTloWLNh2dW7z//PDO8a2YaApfKcuper/ES
T6zr4qKIXfALNQ0NCnuMWvHzHsEsNzAj8YD/tiBL9XVBaKxKR0IRDVzUu9q+7f29k8rAKx9U+j4W
L98v69zu2Qig52AC0JYlSQIEjoyq42UXZ4UVMHI3J8Ue2/zcyMwZD0ZMPBgnir4k0/oMo9J9XLEH
iZytJjfWWhZ17lh7qKLM0BHIqS9dXiE6iCK5rkK1vLxwmXXtN/aW9SJitnf4fjnzB/j68CGhdm38
NwcLJ6EyKP4YoqZqiL2pC1x6UPkG9FeRqR6KVXmuc9/ns63FU54IXyoUI4fYUhhEeBINsD35w/fr
Ob918wmYuc4w0bE4cHqKCSCJrbOgZKGn/b9Om2tck/b2e0PnfChSJtRE5r7KCdpEpZ2fCbMdYuRL
mILjQbXGzH92uz5ZWGyXPTC/LHwxxML8NTQXSYG2xZpExplnD6PsIC8BySMgzSgRf92vOpHCq8Ya
RobnbHyixsVUOiClqlCtL4KOvkj6kjZ1qBkXwjiKju++38YzZTT8gH96qzMPCFCYX3+Al3pZ0buG
iluHvfSueYERrvuS8ZvJMzfm5IQjNy8BNiGBg3bC5IjX/+oHeDOzFJzUSfrBgAnplYET44E9wPir
930k6JZrB9I9e8WmY3upHy1zJRg8d04x1vS/VhdxGhRfx5Y6sDraLOB9rPFozD/SNcbJNTOLyg+U
eTu7GB0Vc+/FqV9Zs2XlxaocwDkngmlQ4NxQv0BTY+HlBZ2atBgVvqEoWEiGNkqnaqf53iYn6SuA
pc/ff7P55C+dFkqB/xwwoLvLbMpMuDtm4DWLE6BkDX6YRYi64aArMFigi1Y1Kz7/dH3z9O7MReqC
af5E+XWi9qQyU9Vx5o4BzfWg7F+hJ6P7UYOg46drA6kl8iqMTqKiAKTB1/sgetsts141McnLSO8u
2unFdhmezG6T11uNrHGDnVvbJ3vmooxdON3AhqptYm70gV75QWPn9xb19YAwuk9BffzjMi5ibANw
AbxgyIaW/BNgtvft2iJ1XJAco0wFHGgRjpW//X4fT70nzOCNxsuGxB9A76/7qPUj9ajS6tgzvMBX
7h+9BrB6SNRaI+qMC50tITbUHRxKrOqrJXMwqmzKiganvwokO2j8gCHjgDjDxtT2jnNo6cPU6fgR
TWAMN9VPZaR19Fw+21++E1bedfUE+07J3oWlH2lSyADVqm0q6lurXuMoO7OzLi7B3NebzS77PEmi
u2lHCxb7XbZ1iNiUzk2/dixPn1fwUGBH8TChAgX6sK+bWinWcgT2LC7SdwkCFTmszCWuGZj//lOo
TfrW7g0PBgznmVt/ff3++/N36nm/LmDexU//ftH2mbKlYvFIk6C3d0MS+WBaZS/fmzlzfcHNjLIj
OoizOsVinxpF+wboxSamRIAmU1hgV6uzGMw1z0nvvWipvPve4Nmv76FIjYk6HPilf0I7qqmkpzex
3UM9xx8Azuape6n54qfcizjXM9wK3YR5fgJJ+dcd9JOyohiSZ3HKdHYxjHS4a7psjQfv3Dn4bGX+
jp++U52NPbD8OAcN0S5KZV2xbk0c8NSEAxZrD4B2tEVA17FYiGVWruKo3sY+OIJMKIcDTbVSOzj9
KnMbEuOv8/gAKHAWPmjMM0lop/TYk2DpcDaFS7a1swbvOD3TsOJABwCHDeW2ZbeAQ6nLSzRuxNxV
QeMetHHDxpissdCdNQOvDeQ09KdPeNpA7++OPpTq40av98SGL53S6hpRDNq43s/bxcjmQBiFxN4C
0Ym5+Di934I8rEn1uAYmRzUS7RZoHTAaamuwyzPfCJh5b+YPmosJSyg4Lzobws/FFINLpXNurfJt
KJ5+ejnnpgeiFHQhdGzgYjH/FAK0RqD6V3jgQuOhO15Yw0roenYduPkEXFjosy9n+DILUl1OVQAG
aaRBOcQDZB/c/uG/WAlQBDjQmNA9oe5gptdphUhIzOgNZkGSHpTlawW3swtB8oHWF7IfAOS+Xv2u
aPFq2ii4OcZFWsrAnm6UsTZucxqrwjmDW9WY5/TmiO6rkawqMEVUAWyLqVereNLag08P5ggSOJsH
9Vqj44yrgacE3RF6r2eyKZWWPsgoAVlJenvjKv957NY+/5mMDW3QuY8COMmMg11EVkmPYUBOBYkN
Mn4IZWw6amdIgdm+Qi6T2XzvDdbGaZyNge6UgBrwjyNIKOPOpcuZxgzo00XKyDFQAwYpf4qF9miP
V2Z2qPrD98fv3D6i9ILYcUbS4tt9/WoS2p8aQLQToD/u0ezldeL3z9+bOOPl5nmA+XWDU8XswVcT
eqI7qahmE/zDoJhu8MGvOdrBf1FNwnahJ45CEsjYTyhYJb6CzThQ7CVppoDVrhWQcYic3MxDxoaf
uyAAgP7RzKPRAcDH12V5eY2nkDskbps8tPsiqPL7JM+i7zfvNOyZYUb/Z2WRPntNrtkg0yAx1ewr
2nSBrDtYe9dyuXPI4/fGTv3Ev1cIBW2MpCGqW/gJKUQq8iGb4qID+YnQQ92iG0NbieTOWjFQK5/f
PagBLK9V5tQerYBb0hMtBX5mup1UDZBzk67479PpdczYI6z6j6Ulcqkh+cjQ6YQl3QgovU/cZ5/+
tfOHFtAQ0qEXmpnhxH4cOKJfBMLQ2Qmiq7wkJEkMZ0BPcsB5zwWKZWMgxK1f/Pr+U53e269GFvfW
7njLBB2BdOvIxSTU0V7lGTo1gZI56kRzRKpDx2NxwM0+V6whUqC8fGTjJZ/WmJPOGcAg6AwEmeeh
ly+GkaE0lE02v8vGMgLHW5C1K9HiqeuBWgLQHrNyM/ozy5zf6VjDCRvo3WheMO89yx/QL0bTa//9
xzg90UgRZ1bf2e1A43D+GZ9C66pQIAK3eH031+O9PAfyooF++c/zBJhBVI1b8w+wNb/An8yIqncn
7pH6LvEJJqerTVWsqRefuTKzjZnGdyaBPxkXJQZkxNtCr+88ogV6t7e9JErZn6IoNhRy0BlCU8VI
wFaH+k4d3Uz7AuwMBnZRYVhCNzH83KVUgVrGoX6oN+abm5a7ya5/e9wI/PTn0IEZXAfcBxBcAJos
T4Yli7Zp24Te9ZYTmKwJNI4ptR9TJeqwgoF/kMxgLB6B5NcvNqSVVmBkpr7r6KWdQHGW06BV1yDB
331/As/sHt48HHYICYEW1FoUt5Rh1SgNjdmdpMNLX+sRulQgEtRAyNtvBuU+f2/uTGiExxzjxMjE
AWU6Ga1OmwkGhc/uCucjdUM6gC1B0rDst5LsUh+z88Wmqa8TqBl9b/nMjf5ieHHVhOO2k2sm7G7Q
1JV0VOQO5rGhyQFQgPB7U2dAofMiwagzt4+B81tEtARD+dxyCbszAQVKi2vPuLL6q4K90s7fON67
4z+YmK1IHBl2a53r02h6jpbASoH0Bj5ySaaIrliqC2h+3jHrtxSXvnmEKMTGhUgI36dqWlvqGVeM
YiyiM1QRkYUsUx3B/YGlg2J3aXM7Dm3IIIFMIP2WlmBttv846d7i4MyCHnwG4Ca/9c1N47+u7PeZ
Q4xQBxpHc7xrYozz623JGWj0LEMJkNvKg+BdGyD9ipIs3xqp+QBx623Xmi8QrEYPjwbUJJtea7fp
mNzSUVJERnWk5wC/CbN5//6nnXwNAL1nclUf+Q0Sz+VLZdfGqE/C6e+hxFHW96DbJ2KnNNDHOkFt
rVyuk29hACA/IzNmlWiLLKsoWquqHtEtFOTrV1m3Yadb258uZ26BgdkZMTlq08uv3dhs0vQ8E/eZ
fzUM8OzOUVm/TfdynPZau/ZsnVxZuCO4CdRTUJzGYO7iGmkgLVZeU4h7lTmBTiUmTra2+5hoK4XO
k+Mz2wEZ0QyuA2B9mcowywdRSNKJeyK9aGjSG85pqOsUg081qB7WGBxOHn2ICkEqEgAhzFPPIiBf
T2vlt2ApmgZ1j5JXoKs/qYt5oxWyN9z209OA+XM0LlEYBDftCZiKi25KVOKY94hynwzms6s6xRDV
kFtgjHAT4y5pJL/pHIOGRuKaOwEB0+agUFEO/IkONPQHMkLg0Xf4brBpdeRSfrSeCykMNwE1aeXL
jU5T933Ss/xxAleeCNyMViK0zCQ5WMr85VhDfTtQbh7AUOGCLcsfiqgQGtuortZ2vnCGu2zohjtt
9J33mXaQB10Fei2pMx3wovQv49m2c4s8yHMkSpxDWBKlShH2qYtAyR/0Q54UH4VWZlsmMbjjW2W1
NfWM/ykHvTsOYswua3CQB1wY+VtWZ6IDowso5jeZxPeuUms7CTSvQp7Zb4JKyLZmbv4iuHTKQEub
e91TT5VqG7BGTOUzhfJM1OVgS8HyzS2jIIzp9WTa5xgjCrxOLzcs0XAXZPmIznR6bEeNbMxO+5gw
9imCXk5GFripR/9q45AFHXD0G8hiOtds1B8xHF4+CkAx9zoTRujZnVuFaTU54GRz0KbfdEExTwqV
0n9RCHvbjYfxnp3OuveS98+6D9k1vRmNS8/Hpge1D5YJIdnwWrDGxcdp7IkHCaWPI2tmpXrNTw6j
abYhNQrr1s2V1QSeqGkV1bXpxVZnqEBqGQ0TTpHzlLpIb12zGX9htOgPMOztFooNbzWoS1HUMEFL
Elgks8GY2ntPilVPQ+s9G9ME8i+UpkksoZUYoCoGwKw2phGZIDAf0D4Fmszxh0aEnabVvx0PGX6V
JmnYt0l9lyNK2lu+eEAB983Whziti8yIFBgM85b8kboSQdI4w43fTkpGrdfZzVWrNd1Oifov2G3d
ZMulLjC83dsPTt7zLkwYGogRQIDAFqa9B+VtaDPk98oYX2pH1pHdaM4QjIa6K0X+pnMMIBaStYFW
1C9KZ7+GjGvgXMmssC5ZDh64VIWJlbtBzjJv2zJHHHytcwDkzlm9qRi0DiKCGvqlnLKcB8zkj9Ys
wByQPOk3jlPku6aYUvRAJIt09Kj+snJgh7Kkj9U4pAFpSmsDGc7nrtXMJ6c2msM4tr+5I9s+cFha
X4CMRws7ab91qTm5keZC7W1P80n/3ds5lCDBfRI6OYTLDOBDRQwJegDOOLA5VEHiFzSwzabJcwxb
p3g3R+k8UaipGHtQnabZYQR5inWTEFD1Tq2YAm7LJgIhdBkOve9EbpX/dQpeR25bwELj2WAzyTmm
F12fTDhKthEYihwLqMHUAQgaOT+0I7UCYOD00CmgTlinHNCqqrGOrl6Ve5KyNERvRUZkLGMjQwtb
WsNHTk2+cyqahiqx7NA3uGlsobSrk7Advd/mpLX0qCCzWQLJflWrGoKsSSMeDUqPY6HFldswbTf1
rKaYwCE9cIv5QzJUr7pXwPGoHMyjkZ2rFwYQjrqADHJxtHsBt9aBe1gPNL2pA1oUWRKUbsqvmEmU
GZZ+qR5rQlN1kLaW7pXN0vsRbXAtEnrH8J7YdVBqqbnzpiQ9cEnrfFNobpfscFRvSkF2MoEsdmeU
Ly5B7xVzcNBEwC8IW5fNtDFa1wVpaoBXwRuyWwEK2Uj1fQ9VOltdKsJx++qcEbBRDoP3y5Cetx2y
hPxKBKintr1Iyg14J3AB8iG9GQro2qGw4KRBLYl3LXKD5lHZ2OLZE+b4IDP+ATgxuaSyv60rfA0N
kugvqHl4IILK2yz0S5eDmtpC1zHLQNo7KWhzQn/YOaa2V20hMjW8d1IkO7OHSh/RhsepLl71omcH
z+D20agcsIHyptriOmthb/dJgGIPtFM1kkdIVpIgH+pxCwL68aiViVZfmk4PfqyKTh/AohTazkTC
Z/zmresBbiihylGqQUUdvH1QZZYTGahQRZ3DwWiHIvJEwspp/EApC4rMXvWr56YKK62Hc63RRzkM
LNPpVYkAjhw7KiBF7VO3jUSlWc2+qe3M3zQ0A8WSgYnQ3ABFtyaHmE855IyTdm9242szVl7kULRh
mTHRy3QCb7/KwBoLplAwSFcfvpfBSbLsRrqTEbW9MDeQsvIeiYJntVUPclmLaa94OP6OVp6TUDZN
F3kGmAqCqQd8MKg7whiWnuT6zsX7V0ZTVQ3lbhxrinOapU1gTdKEHFGXV0FW+/HoQKqVjJyxwJ2p
P0yZDNFA+L5wtXCq0MzT6zrIU/xEYoKlWFXK3DWaaWzyDPpMeecVV+ZQ0qDqqh0DSXWi47vIHj8M
T3V3j+4AuTVEWofoQuKSWj0HDqMAvD/glayfaluvtmwkxsbOywSHNmnvnWEAPDRhPFaAqO1NwMqP
KL+mu2qYwBoi1d8RWxnixWWhh0rIrTNCRmzOeCLqm2pjWgpjc7mRqFde6fkW8+C3jc6TTa0V8hV+
UL1W5ThGcNHNReNl7Z2H4Wo4BxfD7YmrymujGqeXPINo3ZXW6eqto5YBNRRhhijM4r5JPXkVgv7S
W8feOnAK0FvKjbAfjCRkWlceHCir7ny3+22Z8o4oHcGVxaPW17x7jxXm1usyR4T5UPHQ5AlotC0n
2esmVIETljXQKiN5aGGU6ThmTgFWgbo9wA3XQV14zabMhfuAt4xfK7PsLuwSZDGlgdvRGQ2EzijC
yp0qrW6XGKW69KEWF3jZ4BmbksgJc8s1v3IS3Xo1++JZGl72pGTRBPbg8csKPiQwigJ9zxaBE3M5
bs6AaO7Wm7jPNlo/mEFamPXvVhIXc/CgaYUmTUWDMSG/00qWddQz8mDJoR32mtOX8qa3QLHZgscu
6E1xIXwjlhbNj8DO+ihmcR9CPbo19QKc++JIcvcOBPegfAR6M3Bs8Zp68pYVvNlrPs1Do8x2iNc8
ewCAeNjC0e5E2/WHEtTaka4NzgE4PBmitcEDQXpopOUNIHBCnwqgMvFkmyMFi1WNXnhn0+t0MtNN
YmViM2jg0Rekjfz0HZMLNOzArLnBEQFiyDGjnDHMqvnetMNz+9cc9Q/FFOSG0hqdKNQoSn9nFV7E
E/t3atYkmMoErTD0rANX5LMWA0V6l2cggFNYhMNkyEdvumJ9fs9U9keIotoOrMSYr9E+myXPw8pw
XqfRzi9Kad8o08gi12N/aVN710VKut8QTydH0CB1D5OXJDu9Au2jranisQa96YYmZNynzFH+ZrQq
UlxhAIQHIDdMLwm2HCDy0bn0XNX4kSE6WwaY0UToVQKzsPHViAq2h+fMrrsGwZuGUakWb+ULG/HW
BYSb2b1F5DCGWs7N90654tUo2zdg1d9V6szMTGDLpn3xmnnqIRmb4Y4Liagvg3s5klb2DJwtTkUg
Da/ATuDhQfo9eJO3G7yif0fIICLkdXZArRxFnkIKvslSjW/spBo3fmkUl76RiRuDKnLbSiffcofZ
+AhOWYZFChGHgOVj8lhKBsRQYrSVe5Sd2xhBCha+KUpdzdhqBvmbZLK/qcBpLByHbuB2kTCQnO8h
RpRUYd3oHrSyaQp60FoiQhWOwO60frZr4I5CpVfum6WJ5hJJA6YaJy0b1LG2KDceKubU9R5Q6pxt
HUS2YdUnxbasOMgW8+yBS/N3UyLGa+wiNO1uhL/rkE3401/f7yVcuA1f4+LXl/j8G1p65XMFRfvj
xIxiMxRoo4DARd5LZ0L83oAJLTdsiX9W3lY69xHXgxW6T8curFtOQXpZUYAWoV/5gAKrJ3f6WOQF
gr66T7XL0sekQYWXWzM6hKaodMiOcwSMEPhKFZlVPTTntccHek0q306vbInShNumak/yobEOrNev
UTzsgW7toXJPrY7sq8I2u03mCSSw6YjiDvo/1jV3ci8qsuqXUdgIZgHgvNb9XCEYVNlFn6KiHujI
tJ+0rkkPuZmkKmIGEDJa7QBTh15ic+FDGYwGrCqz58FJvUBzK+wDKvHbCv8/mpi62WzQd3937Kkk
aGchALYG75bJlkHKKOOh0U55WKbFA9FH8GSI+p4S+digh3Bh+QzxXTpJvO+YJ04ySm8aQutwmBLx
XDv17cRmnRjSuSGGgXGfwa550PFeQCMRpDOpIQ1cZtOL0EGpLwCKJeIOzH5G4FkJr69SlXF6DQDO
nXTIG8YP2+6YpNLy4oQQAN8m0lVBwqtf1O4eiFk9GlzYOK9W/5wRmz16UBZigWaM0zOzuuG65+Lo
0dSJ8FACs8l8763Pp2fL+6izGm8g08g+dWztragLEoBM3y+D3OVGts1dRe8SYNCenRS/3moa96Of
Oi/oLDPGOIu9GUf21BRdHtYF7gU4g/60PTQFadk8W2oAIQWEgIJs4E3gQn4Q4+tVHbYmOubd4JMH
xL2PmWflzxjGcd9NO8suJmg74QFt3SqohqS5Thpj6MKmQgZboY+7qfpqPHbAAZItODWTu8ar/TrC
kFTN9pPV3bWQCFPHvJyxzZWDpC7zgZ3oVPJH78c/pewuew5yidah76M73TcoW5RImBi0JLvM+2Um
tRVQjmG/Dajc8BxBLbFrAsdDL8Vza47QAihElJZlgw+OQSLj4MvGRe/d4ge7IR9ksD8svyvCpoaD
tCn5MFrAXQy4omDKsRlgn6eoUQ8Z9own8mlCPyUcPRASuV3V/+XWBIFEiOWFo3AnZEAiS4+y7rsL
6GF1ZlAqdkymVAvz1kZLpDB6SDqXqfM8MPT69Hy8HSrHjZDaI9VTYBxxMJAoSPKssVwLXLuydlMO
6edxMkEIq7xs2xRJh5+W89hRNRTkDTb3KpNCvAFoBeGECRE28lM47GxsrgfPxBoUQC/lVIFNXk3V
e4mZ3BeAbup+DzykuCncuSqAp6cPlWvdT0nhPXKM2e5dJfIiNDJSHgFDtR9ZCfbaoHegFMhbzIoG
iBfNV+aY1mEyIPAUJY3m8m3dUGfXd3xrs5o8IyFWEUWz67oH5nrT0qb1d9TU36sGcp37Pi2TALkT
prlTeAq8gn7gSwJGIs+fdmzwXrD1SYB4BN1XD4HqOJGHprLUvsyR/bv9Hpng1s+lf0GEq8KiAtXj
tZSlsI5+A07dzs6Ni7z1RIgyuIgsJZ9cVCv2jma8+hlUR4bGf8x6LAwcs4GT2cekIPcqATf6VKa/
3Ja9IiRzN1Nm+gclrBvmo4swuKW6Z2km5UYIUoWCKFGFGiF19D+cvceSpEgXrftEmIGjp0CIjFSR
uqomWEm0Bkc8/f2oe+ycysiwDOt/0D2p7vIAXGxfewk8lpKgdbjP9HP4wx5k6JtKXvi6ke+LXOxF
Y+0rZS5afA0FDl3WsmkorFwr3+vtF0ff9xamw7P5W0xRu+2aWrvWY5xqvMEMf5sgH99ju+f+XarR
QIjeKkjIy3uumq+ii3BTk3jXhHWXbkfX7rxs6PIbYzSekrlRv85KUl8XhW1johfW3zVlGXfsqzgt
xot1FxrG+DC2UciVcrAC1U6fi375mUaVuZNohmav0+P0JoVc/JIuQ/U978zp2cndl1JR85j2nwXi
lieS4JhF8bNec6+aXCmCFEpk5YWcKz9DDpEXukRS2y9p+rOmQriOJl29TSKrCSas/TyVPeZ6cWpx
32uFAVZTKKonjRChg6N8ccV4NPDh37WlMW6qtE9uRoEiI4TE4SVD+ceJVw/eCqcNJyWAFnPlmko5
cBL1RxiWkOBDOQXhkthXkYl7wGFCnv9qLOBdHWDO1cCty4sq42UaWisLJI5Xjm9GWn9vtOkC4c6s
qQdISAI+LWxv0GS917u0fknKaHX3sN+kK2Qgc0d7HEe9/p0MjSy8kB108ahUvtQcC7te52q7nbgK
YkAk1hxEq65/dnomvLFrHlutF0g6kH+QMhuPva+J8rnMrOnAaQvEbzVp+AKCuVX5B7ipAZOpf0xR
xuZkyXF4GDrRfGng1MGPb4tN1CruXWEP0ZaEz98ZbiF+ClfJ9tqwmMAN3W+AAuQp90X3ttD9vLcm
TH58xwkXHpHy5WCJJlFx6Qvt7RjOo68OKUI84bzOXZv8doFAj/BF3yzsnfaLmHUfSHhhQ4lnY7OE
1psGhpcvbLQWujco33H2c2gFiZdu2mGEZcg0CbDKnPGo7bLfthqZXhKObIpupH/ruXxeK4vT/AqH
dRqoxpHf3QVTG85U3SBmgXAHuQkx2XoOSZT0NOk+ChmHvjQq2xN6xeIsi9HLjcTwJzahbW9U0fc0
VJvHwm76R63rlq1Y+ltpjfqRbm86eKNI1suGkhlML32a2Ha5FTeyJSwrWcBA0tHE7LAGoTosujXt
DLWYjzBwnFtjRIk9Fybu4mwej327+o6naul4uatID+iZ1RTpCE40eliW32h6dqFp87GNgpiA4D1S
buiOf9DjNRV1XBxXNivfvM2mwCx2Brh3S3X5eXfoY2MDWi20HEcnIEFAB3jf2OgtTZdF7bJpGkty
M5vlE0CLeV8P0rgw0plH0pHjrQpGtCAfOkNRDPIuMkd90rTfE0EW4xQy8ROYBpfiwc6MREtt7eau
3eoP6r8xgakH3QFX4lngNNKMrbymXSLwokq4XsVOeEE1p6/ErHfSHQGZc42PQ6IJQ/GUu9fqNvtj
VepPmsvtIFLM3C+S3KGP2na3S7FEE4ykGhcNEKUoUCaNjFJgbq9ftOZ60ZzsCoAzedToYXgRB/eO
6ta+Y33MN3oxq8putrBD0sCA7/Tp21zdJLK39plm9ttcjQgGb+GhJGpNrGpopt29utjRZjJVBZeo
THtMU+b35/PmzDtGJAg9BScSusinYiUXqZJqLa3+5AAiufnzLMh1XXbcHz4f52Nfnle7ejQBJ9KV
5bu+n6BThovTkBj6E6i4p4/HARoZ5fTcURmDs0fTzTDsRHHFAcQF9wIB4WM/DuIx/Xi8LSA00mZ8
P7g9q2NuhXXy3FTjXakVB1270Mf8OAK5rpgnrEHvEN2tdWb9Q/MhRCqcurQsn+k+kuQ5H8J8uPCp
Tmk+cFpBCWCQwVhaJ+dpj1lqBrEaCNefexsnQMHlUxyU4dVGGzsMV4s7B4B+nFLxBabUX97CP8ti
7ZayBvl40LJY9aee/MQk61oUTvrzPIE5QCfIDC/iYvziLrO+S0pQrjasXpPeHH+HhRh+j5XlXpf1
GP4pXKvAT0LF/MiotoUIXU/R8Q/2TAksqSt8+r7pwpj6KXYeY2wufXcQ8b3TdWPhJW5Ph+wgdd8e
g7GJuJ9OL4qDh3NZdxs3ad0dt+N6pw06nQLQ6KsOEAORSTbRtyzcLL+h7xA/jq75DB1BDT6f1PrJ
6llfDH1/KAYGLmRIxk4YPPqYJHqN8dEzSjQYzWGW3UW2Vr9ofRUdVbPJDoq5IN+pwjQIbbwMzKw2
b6mTOVnlaBO5rg/moRaZ9Vh0Vb9jQxF/rHG8Dee82KtidNhalTRoUqW+cpdO26WEuew1e6Ahr3VA
e05Xb2UP1iPpgIL3xZM/J7Tufe4gnVdng/qraXgXQ7gmJ82Tfg1gcol0fXL4rK8BEBjWJKlGhBac
MqbqPnTcwgn1Z/q3nsF1ZZoOdI8+f9l/A09OZiFe6ysvC2cAnGpOFnGx2P2UuZHxbM92UOW7sPvi
7iSbr/ENEI9WkV4F2e+1K4ZVzvzL0h4s+5skj0SRlziqKwXsw09BYARtC7EZS/79ahduF8IRrYxn
MVS3bZNvRiM+EhwNNISKKl7uMD/yTfIy9UrbiOqSMeOZabfSO//v8CebDYjEMKQJw8sO8DXz6PQr
9XVkXPIAPmWMoe7HEgtWD9JBDCYhG71/zqUbXJKDNeOOo/ieFGs6nqz1sc62et6kmzHN7hsn+TIp
G63LjqpxyRn41LF1tRf4/6lxq5WaAavq/Q/IRrxygVmjezFQFlaDq/lCobMZVfVz0aj5LdTL6ipO
M2M9jcUVc6cH4WWJZLgFmOp+cPLIj6T7Z+lTM0jxfwNonGCCtXLc0w67lKhzqrf8+4tJCYZfsnIy
aZm9/8VqK7MJ8np83/WKuUkmrXlM2mkOJGL5reT4v5trrcTMorS9NLacINTHbQ1QrtbyV1IO2YU9
6nSurC4n1Pu8O13TCTs9WTV6quZtXuTJwxiJ8qoes/7W1hLTzwfaF+SEXdJfnhyELAjGQ+3HiNRQ
hnMyN1NRz0s1VCn07V8ueJ97yd7ndLM5HeDkBbfEZ3VlwgBtSLfSftHkYys3F/aa0wW+DqLDQl6r
wTUd4+StVZ0Wt1A6oodknK+zpLozFH1nK4D0GJPcTzS/NTMMwiQ82hrtw9J5+fwHnHtIVD+2IE9t
3WNOHrLvnQTkQI0e8ngIokTfdfZ9PX/5fJBzU+PfQdZP+U/NYkPd0TXYBg9iJv81SWHngGIqD5hf
fz7Q2adBYITECDNZTArfDzSYowvm7cYPgNY/4qT6ZVkQGFx54YQ4Ifz9nXqs99XKD5XhB2q6Vk5j
lZR6/JAmSeENsdx3A6hYoj3V+cjtS//TaJd2qHNjQsWgcMagZC1x3z8an6dC/5rGD671wzX3afJc
JAeSHb0Ga9nR/o960PURHYilCBWQU6I7PvlkkTuRjBVJ5kVe7mgtfbfb7L9Vsv9nCJh/lkH8EgHV
759IqqEs0GtGD9Y870DQrlsIIp/PB6wr+Ev+PUDxxuRJuBSjB2WgUwG1rEEn6K8uR2Xpk21HEjet
98KOuJlrLYBZ1vohkV4Fndy7JSubQEnzPKhMt/czajI4poP0p7qbvN4KyeySLuQNACNvKenmggeR
R5oj0t5L2tderpfDUzTooB9D3u6TQjibaOyMO2MesW6bBj3oIU7dVpMj97kWvep1N74Vhj796oqU
klSxIe4L2aaPVpwVm25qjMCWHVi9SdghSRI/aIiBbOjqUhfBUA0lYQpTERIfVhdbZM7VVZNM1j4y
Wun1g7UEsKCLazeZ502jwhSwO1hBRpMamyFulft47gh7TyINi9capDKu69thqdzdwlG97fLBPoQS
vBJWTE332zR8eJQqPE2VEO9mvcrJnlacCBUNEovlPDptMTyMiLDvXQOM3TCiP5WjAnyabX6fT2ZP
/EVs+aGK+XKUVdwtaK7cFjrkJ8Q4bjDp5hg0wJqboe2/pzrdNcMsNCDWWQuwNKy8Ksaa3I4s9a4Q
pfrYFQbWa/pVDfg7lxMNoLDYJGSsw45ooyt8lmaQ1uyW6kPbIqllY02dX6ZZLEGSohXHFigK8jRR
N6lq8krHVNm4Q5d9KemqBNGQEZ5klip7Ixd0z7AmW7vpk+QRwb4O5WQKcY9yf+hVNu7nTNaS948j
IMaUpbtXjCGGmxJ/deeWBjsM6i/akjgjvA8jGvy2Xb7itW52Pq5rxb3iKDjtYrbzA3lQZwSjI9xv
iROpX0XfdxtlbJXUV2bbfhGzKH+EJOc80+OqbpA8oz4X7u9WLfu3RYdjwft5YnbMm7Dof+MDpjwt
9GqOTJLkxSkqw7nqYf6tjbLWCgwzcTwmoqj2HHd/YrlYj2MHDplELmi+M0f7srSkLwHb9mmfIxJW
UwcGKW2FVxcj9x9JnUhfVWK291aM38POLR64dihBODZxBPoYwwGacvtWb8anJAcXr3AABF03hmhH
j2vh5XQJrEwZXU1F0d4ldW9stD6d/XidKbMJJZMog2NtVJL3nPzM9Dn9VkbOcB/rBEuWvIyXlNrS
ugpplW6BYq2nOeTde5aIowcbvsadopXRc97U34RdF29dLb5mIfDvPEJll8YClDnCGKeJ82VRJnPL
R5ruebfumz73wi+dTAtoEvUBCEu1zZrCCapM/Qq4Z5rw6TrhVcmA77NZ86+WSyVsCvfVoD0KVl6U
gRrp3cae1I4QDYN8Ptcuoluj6Qce1MEyA5/laf5hpz+kiP0oLGFb/I5yc6FhkuGBMuKR34ia/9Ck
xWh1dkrUctr5zujKYLHCKjB7N932sAX8ElDaL9RE2+qyba70yjXoQ8X2S2ek6kEmEC/zaI7oLeuG
PzPnvHHBpBuSv+ovTdfg7mLD9BhGhRaLRXuNPidtjwRlipHpzVsnDeUH2K70FgMot7Br6YskV66t
OBl3S+4UfgFiD39Sqn5iprCPu6Ekdikxuic7h40qwsTZwSOu/Hawpz8QS9TrFhO1H0OV5FeQJUwa
Q1UWccOGEz630bxn91F9hMpjkKtSe4XD0lX+XPXdDUzK7IepwC73kjZyfT1tl5V4LA962pi7elRs
XBk1+SaGjAvt5NQaFvN06aN5dPYClzk/n2LxxkWKTKiszZ5F0Se7NuGuJy0ZX0swkocpHGr2cIXu
jUu8S6oN6t2QpeY2V5TukeYClu95NwRD7wDKlTjTDk5WHaXSWwdFc9x9T4rgBkpH9oXOe7FP51kD
nYY52Ocq7Pqkqg5WB+IdZj14caw5+XVfGMYNvLM0UFTc4zS6tmnoPkSKFgYi7X7lIYqGZCRVz8jz
N0pJUu8iBfAQ2UkgYV9sVQVGkeKWy102kryjOBB+sqbhdKCJfts1NMkhl0tP5Jg8Vj0M59YIyw1E
TWRPMX3MQ9uI1Qw2629k2g/bpM+G20XQ11Mrp93otV1sYILNvjErVRCbs7GPIlXbhmXkbibdLfwm
0oZvHL35Zo7TZLNMRe7ZSg00nyjpps6Y07IyrKvWMIEhLAMERskzOtOae9vIIfetlrwgKypDT8cp
+dg6UftYp3Wx63TGtYfW3BLkUCIEy6bXss/toBkhSq1cvzsYIhACh1S9ytyw39VKV29ie5gObp+M
m7yQ1raloUPyhmpetZk6+UqbWVcGwM7TgJcEEX5k7FAhN4FdM3m6zBYbO5ZWsBQAIcpMsoRPLyPl
6OqiIOphOkMdMm7y2VH24NfK3gxtusgx/V63QlpajOwas5K1BxjR2gZWbfZIEEe002n/PbZVXl8V
7TK8NGQZBtrsGA8tnIENxxkBaYrsv2fDyrZ25sZzNRDM1OzHXUkGUxukvC1PuFG5MXM6Fhli6qtc
hHoAo7u5rtcWuT67NACZxazppH8yJiP5iftRGhAkIfcCX1H4NgpGiMvwq0I26oEBpp7QmGdTVmnX
rNkQPwVNbFeC9c6ml+jNvbPsgXtYZaETBWnZ6z7k9MXTl9y46ktFEh3Erf/ALXAevTiFSaN31lOW
Rjia0DymZa8yaa0lDvKwqjb1oFqHOtLltilM23OkKG7puUS+1dUwnyuzAPSjtopt4A99gkEbRuXX
rFQXLzQWMh/FygjHu2c7OgaxMmrueHNpdaiV0C7Ptelu6glCStlYP51F/mztyf4qJSKxkIAePx2E
umtllXoQhogwSOpw37e1cU3GdQTxPE528Paq12xRQl+YQ7/L8lL3iw7aUxMRfKwWsb011ardlQBs
N5QFzMFZVt40wI1oK+lugHbWpC7X9DRbQBaDJrJLwgqskkxWXNDW0ybtMTtMVw0BgJTxOBlwk41M
UVtfc2m5GjLJffyqRkRm2bQJuy7Zl108HBf64vuqG7q7YgGrUtreumMhzfCOoui+6jL1ri0rcrmk
ULappoy7agQ5mEH/bK+AbBYIodXbNOvDPhgGe3iaRfQ7Nys/1837ZqWnkRk8vlk4xsx+tSjtN92e
u6PWDNkvo+6zL+5iRRszpQ02qvHPTMtgcSkjooBw0aFWuLrfSQpaQebIvjKlu4VLrG7IIYnpuK2O
1IszbeC4Tn5YtO1GwkTeporVe0szGntXg4OeKwRY5wa2Vpqsvs4VVl3x5Bb3jrGkgV7GQLgGnimR
VTvepAp9ExmVsolhDG0sM4pV2F+1MHcGWT1y246I6Uo5hZ4RR2/RYsRe1PctZIA6NjdGgSgiNlJ5
Y4Jx5ofUTVe6rWko0DT7IUiNVj+YrdvduZH9a2yz0asrJr0BF3SL9IXSdIycfeiOnDsk6vgJmZGb
OZX9la2K4WmstHhr4y/4VRcw3cD++2e7V/JD11XL0VKixPKyjmD66zZaTMysy7DxU3qYFN3AY/fd
xIYQCxyoB8w/OVOAzPI5g6efm9mxA3NHRF1CjQvrfBvjgXlTTtJ5gaAZ1n461sNhopucen2ojkhK
yM/8nctyOBqKXTzlsJCvC5rwgVHpGmlvsVWTnzjaO7RFCra2MzuDiblys8CaWoQ27vOqifeVO3aB
kdnfeqbBbVjX/W06hsXr1FjpjYyhCGRFaPrLLJOXOB3m7aRb6G7wO/T0plGfHVEnRxEpML3MJOY+
1Ay7Qs58wqJonmXeEGS+wPNxa0r00oXPFUnTPcT9UhIRXb8pXdttytQqbkoMC65FYvW3sS6jfW3q
zb2Zt9OTbTXRldqmzBKa8fhKpn/4v9IgHnUcTQXL0sQXaefCYrrivtUcm7qhqm81B2zSGMNNnEXy
SMaj4imjnW500edQHrljFHE0vuihKbZWa6r3Lmv6uVetahPHYRGU6RgHiVpIImobeY2RTLmdLTk/
JkbRPxoZzsr6YsAGH4du22ah76TOFXze1yw0lGBIAScjMcKULEp5JyYuSx07oa8aZbcVIje2a1fR
1zt13MWm1ALoLb/DrIWyY8nmULWJdlcJGAA5bNnJUqH2LaMERnb6G2RV/fe8pEsPjVK/hVNHE9tG
MpyNjcUxPWWHGKkK5IG4DrJF3cWru6xbwmlbxHIYDcvZ9GHaHAjyiLa6GZJJseC+5epS+DQHISP3
bXGtO6FL8izZ1A48pxutTrOgTl0X4DLhRG+r7tnQyl9p0jv3qs4OZ7k1JcuIJidR9PxqjhLnu2i1
AswsHALRt/29VZTGtVa6/cEe1N+WXbE3D612SCd98jo0ER4Ie75dzFBuYzAH36Xw88y2mjfWAEsO
Z3pro0yTtoO9DfUud9I/hhiEP+qRct9YWXpIqqHYZlAq0fCb8aYboVyweysbaInJLjE7GABqTwGK
xdXBcZ0W2rqJUgxdmBdntRPgZghVxo3zK7qT5vW0CgYIDSUBPYnqr32TzhvM0EMYVrLwFzVfDq6Y
s+8g/dbWabXpBjOHP3Oa5S+GrvAuzex1dLGUrobw54BvxVOrp/Wxz0OaZ5MQx0rY0qMUjTYSA5od
RfgaN66R41SLER5npRP8vURXQwLdWliNchgiXMA8IBP1TnX1EMERiqucyOJYG7WrkFyGTeTOyr1B
+iPCHqO6LsO6upVGOj4UCUIQSEtPS1/QOazVwn0KXeOe1FXlRXFxjGStVonXpG58NERD8Y9a8brS
3cpPjfCPW2bDNU6X00HIprwyOK78BEquFysZ+eaqWMrXMMof63i2D1maQs8ocdosE9WBSNNGfpiY
9bXeaOpOlqrjN7Ujt0UcZn6jm68o4509/LryTyaRny0zpC+pE62emRjkTnPb3ENWQYYk3MX0qlpb
Hi2aElfWoKU+Fa66g0n1p80zdy8FNOApIrZgSjr9mrR6stQV7Saux8J3olo9Nrjl8NrIzOldxQ0S
PfteFFmyy7lsbdM2HwAREFehGlmFeFCZQZhb8wBUOr1Uk0Vi3KJyg5zS4kumKO1bOCXWARFZv0t0
N+JKmCtHhfKJdKkwCpymAcuShbavxnC5k4pNpn1lVo9NQsOCm2p4TaC72BT1pOyN3oZeR5RFTDFh
x1s1amGH5nkP27RwN2VHTRkNzW8HLpOXs6wh7teQq2EVefaEEftS1/UD9fHiKbQgvEZlFkWuOeLS
Pmm3zjDlN3HRJq+fY3kr4niC5GGlTmyKjRURJJcTRDJsx15ppaUelVZ8E9y2ARQuGIKcGeIvDm9Z
JsnZjPIekayoSbK6q81jqBb3GK6mHsKUP58/xkcs3HVVXcChwbQJKff65/9g4YNRGamlVuZxYE/o
hP1k5hIwMv9mk9PtfT7WR8yYsfDbY0ALUsIpZjwDqjRLjeF4n0/7rJCHJRwekBM/wx38qc4D0Mul
Du0H7gCAKwQFA9QYWxUIGCfv0KxdNy+hehxLacPTFaEJctoezNDajVWM9AX621w+T7qyGUuIq58/
8ceuGDJyZOtwI1Z6Em68719vuohW7dEBHxfA24iKoTyW7ejZ9WGp4ajCeFOwclZDY4fh3Y6wa9+Y
fn/+Gz7MIn6CRiPTWVMVV2X2+5/QKlPYKnNnHOs2DojVpky5ME/PPSUu0ULHv3LNizn1OTRlBCYc
1ssxzocAtSINvh1XBE9JDmUzIwK5S+anUf0amZs23IfNBeT+Y7uW3gCydjqmJJma4nShSDTGLRKg
5aiZkONFEK+F3HS9cL+EKHHftgF90OjqP79XnW4Lh7RGZ0ec2iuH5ch5ZKjTMRe/ND1BLHThw51S
h1iNKiOsGW80MVnfa3vpn7UpIjiXUTNOfDlSoPoRTpZPZ3Hs75XliNL9q5laG3MCyu0upXF+6Fyt
Q69WIs5qq0ML6/3Q2MtWKlGs01Ef3Fc5l1+y2XoCFAv++zsU3LUdC3cW2kgnDbJi1uIMO6f52DWq
DMIhaa/yLL9ERlz/lndbNQ/DvDCgQjEQfKv3D5O4pHvKVJmPf/nofXVtqL9VsFxTBQyaHz9/pI87
zjoage5rB9Um6OpkNK2lU+cq5nxU3Scnh7lv5buh+VprI2A0CaYzjZNuq3YXQjfOPiTdK5uAt9WE
72SnkcjHMrgq8zEeOg4KaT1PcL4yCyzCHHaELV5YdGe2FRi2EKRUusUYSZ3MkExtTG5q7ny0AQGz
uLhZ9O5/GQIvW2JqcByFbfP+u9XcObgu6/Nx7Oo/ahseyC7fff61Phx/68f6Z4iTCaiib4tyXCiO
Wf9dKzWvKO+nEiWruf18nHNvi4IOP0EdcxF6gO8fJWYjSdESzMe/WFRkFN4ETnjhfD039Qi9XI3c
2JQoTU6+CbJbhO4FHPW2Q0jozToMnWZCY1ambkcAO0m26Kiq/HqeRPJSoZ3a4p/+4/NHPTMRoUOt
iaOww1gIJz+iUHBLQJ7C1sFN3LZSz8HSQcBi1rXOl9klrs7Z4RhFw1AKP/hTfmXaAa6tMo8jvjcb
vfoy4cSTgyJ3w5tRXUgX/dC9hd+BVSwHKTbbH09zu9UtW6um8ThN6qswoy0yv9YzaZVQmc0pmuoy
SKz8p7Zc8vg9OzJWWRzgdMDV001lNPS6DTUN+ii0p3GwMdLAx6C8CvUbTT6gpfRxAN58/iE/lGs8
LTwemzmLmQsV1MmclWRxSs1B8SAqPBXm4s4qaj+umqByesubqWA2hRCX2M/nhjUJsCLJCUYp0+j9
sEbXDdhWu9PRJIoLMQ85mcj0hT+oGr57u6q+8FHPHHWkZbE2ac2zG5zOV7KQUKXimn0suYU5boxH
AcBif6kUPLMDGPAlV4dCiAzwt98/FjOUZrzopuNi2MG0mPda1l59/sHOD8H2AiXeogo63WQwGraz
Vk7HrK6Gh9kBabS6KXr6fJRz38fmvmPD8Dc53k5GKdywNU2lmo7MGHpkexOJR5Mf6mHwB3M/ya+f
D3dmh8Zv8f8Nt/6cf4ogZFpyJih9Omoxjf7ptyOeMe7ZLpc8Ktf3f1IkQDsScI+4mGgfsqQGtXbj
yCynI/jHoxnW7JEzJjbGq91pHlntvivtuwIKiv/5853dtJnu0GlVFcLI6XyvUClCAU7nY1KhYgoV
oAOEyWYHnPOrcV8qLiiR/sPQL0yWc9MeI28dTJu734eaWVFcs+8SbTpaywt6U4CnP7Xy68KzrXv9
yUs1oYniBMVkwbJtfen/fDxLTehv4Td5jNR7kw1SQO9Q8vshtBAjIzTDdrTco7+KxR9lvII28fn4
ZxYEjtjrfolPG8+4/vk/wxtj1eZ6oopjU5IQAjIYJZc44mdeI/GpgqXAmuOud7JJJtIAWk+05ei2
XG2aedBeGqgLeNZr5oWN6tw1Bxb8WnQJCI3i75//8zhz1ZWLVqnLsaeHqCVfib9ZlGQbV69G/As/
BXB8XJ6h3BgXLnhnlvy7gcX795iamR5N5rAc2zR6Uix7E5NjMB570QVLsh/yC3XfuSXBeKTWwL3F
Hu2UhYjJs07p0i3HWkQ/rEz9UYt6A8QOJhoTYJ6WO2wdfhLvhAk0Tfj/PGnIuGArIAEeQ3j3hNsu
yyyZY0y0j1T5XtVseufP/zAAZRrAALcSUIH3bzPqki51xmE+FpHyOkz4u2DOZV6oBde/5GTlwZ78
v4OcWob2Uk1Vd2y4DoQMwGXusczQLSjurykGKFXVr3gDoKZwLglrzi2IFWkwKJUg356ec5U191kf
/62oudLlTvwtF92d1l4KBL8wjnnymRx8gIwFs52jSS02if4uoiPimfF/TBRbL+HkQ1B3wdbDhPAv
O/+fRedGLb5LGEAfI3rZqzzbTHefz4czJxxnDgCNQU256mjezweF1lbVpRZ3EA6AckSHhP41rA+j
aP+Hqb1CfSBCBi7dp0eNLRWs9btpwXyF9qraY5zjmC///Wm4UcGhXHN1P5QHTh6G8Pci9YgZyMZN
230aIo11tY2T/vc71UrO54DhxuNycr9/bzB/KF2VeTnarSN3Wi4KjA1s9YLm4dzX4WWtzv1giB94
5FZB9yVczOU467BSosbPbXszVHurv7C9n5vQf4UkDiXIRwN/0ZUm4Z/hdKR/4Mnse0kLsSz2n3+d
C4OcrhrITZ0+1OsgVeTXzRsKVc+5VOqeHYQjdwWu8IE8rRAzd8EGBEcd7u2tXyh/GMtr+qfPn+TM
2W7zogD81lv1B4RKcBVLQQSnowMD6dAttdiF0XBhqz5zuXw3yMkUI9EMi04S7o4FTjp587Wkw1Hr
X/kybvW/DEU3YZX6cLE6LSRGQxbuYsMpTNGaeUJtr/+Gb1d4+qTWSwvB6n94fwQ2cOcBEyY/9f3q
qfPWaLPGAKYyyTHTrsZav7DbaGfnAS0FzVDR0nCWvh+CdBC67AaPRJxPx1FwO1qYpeXdGwkL/XU4
NPjZgyFxXS/IRBrQpBDWrnsFlnK7AaPAKpZBaheX9ITnqhm0fASpU6+x4ervf5ascg1/O7CYumh/
FFpya9ZDDNW5T/weSpXnFqrcNWVxARc5N2H/HfZkLs1RPVJtxPOxNUcfRsLmMvR4dogVK+aLgjL+
rav+OatsNyH+EnotTxaO3GPpUZczFiKT7Kxrdda6a0Um7h2ENxiWCW2yqVSKTVpkzVXjNjVuM1Xj
K4ORfv18rp2bCCiQQJKRcaLGOXnjGJ9JjOaZCBrEkAxP0lB5qbrxwnw7t1MjDyV2DZE2ZtQnozQO
7C7psrflkxaUS3/ggt31kCDtC7XVpYFOvmTklGUvUwYKZ9p/aoUdZXM/FRNiEtd4+/zVnZus6M+o
PKj46XCflDljEi3sc2CgpaLcinHGyVrZGUn10GhAafmYvqlq8u3zMc81Hjgo11Rl0hyRQ5wMqrpz
KtqZOiHDOK+CttvRz3UnnLqyVzu/1itKf9ZJepC5elX3Ivh8/HPTmJ2dVHEOENDskw+ZZFOTWIOg
x9EKPIgwonNmCBGfD3LuxXLOwvPT6a0K52T/c9LEroizgs+ELedOV5TlRm+i0A/1nrtGltub1Biz
pw4nmwuPd3ZkTkfqCdR9zimWp+fwxHnn3Ka6/epC0QJsLOI5wTnbtY6afaGAObP4kAVxCtMYMLjS
nHxMo7ewnMCB7wibzl/aX9Dr+vj185d55rZBe5Gqz2DnwWV+/Q3/bDy9KvMuNKQ4GnlmBwNZSiGG
T8o4XOuTuW/NPvNXEwoI2NmXz0c+sxYRBSHXxNgVgOEU89KzUEvtKVaP+f/H2XntyI0safiJCNCb
W5Zrz+qWemRuCI0MmfTePf1+1GJ3ullEERIwOHMADRSVyTSREb+RW+FCTr1FpMPfhc70amrpn2fq
1H0Re6dwos9T+n6Yeu9AwqSbfG5r8wUq6ocZWexKaeSN9lYfaWWVvIs1//mbKZVqkO7qEJNHd1+T
5KtS4dCyp2pPPy6FYnV9Fi/znNlreNbSNyiAXqghKCrKOGEVWZ4hwH8Ed4HzWYDHRylzP0Tn67FW
usUU6mmGzIwrnvfLWXSK0QT83hgeSKewgkszeW2A7haOscZtgeim2fxQZgi5dK8Ar1WGj9d/wOWG
eB9/MbMOBGZAhIiESM5rCcS7EndtqmzM6GoQ6spzJYEi+rKB2jl9Vk4xg1TES9kCUk0R8H2+PpDf
6IH3j/y58QZMjaYAGitLdEE+UVKMOEc93q/lsepSBHyHQDM+hK2IPjHLgIDz9MUZ6+aftlA1TrNC
hK6UKD5arAV8hMap7wfVqp76iAoaiMxIfGql1j4hftze6yIMzng4pbdY5KUnI6jiU6HRZ5FH6mrg
5dUGL9q2RoAhG4e7gXr+TUDi5dZU/W7Hrkm+daUInlNVG5BmtJVP8TRIn4LRkI8IcBTnLoSg2FZo
l/lmEqKhNyHUGSnxzkrhuvdxq2Qn9huyyflUPEV51IHa0LXXIXI+NHnzS/SS6kqhnAAenEQzHcnY
w9tqHAPUce3pvhrt9hadWEFFvyvNXwMNjZ+Jik7y9S+xtn94gtj06B0H+57FwZDn/I6hDUxPlns0
e26m8meR4vbq3wXAGa/Hurwd5/zuv1iL5TuUjZ4EFbHGDn1AOtmmunE1Xp6pmgn9HWzuXPi4tM61
dakIA8f0FCS9n5FphN1ilNLHKdH6J6MDInd9RKrKWfZ+Heuwpmf8Bs0tek2Lu9hv26CbkiqjRlyW
z30x3io2+OEDSqcTDD8b+TEl+2LLRXzop7h+shp4hoiOhC5G6TIoxry+q+3a+ZCzdO2DbSblcaz0
jAKzbe00dCa+GbQznmdiwC5HqP2PTxTd5H1DV3Am4JrLz49soKSDR4w8Sy53EyX8GmFYaPfXp+ny
w89RyMu4flYO6awKczXCmMCTunvFCXf9tLWMLw8tIjgWBkPUuS4BWmEQjAMe0LGnofhmWEDWAZ72
w68/H8fczgc5SXp3MVu8b9GlGabUU7Pk0QLPC07heoTLuxMCr8MdQ+Efg/DlehJYAghHQ0dIUevo
sZPt8KMsdeFdbJjVg+53/a0myZY7hP0WxO3yG82RQSyYpkp511hsTrTjYTNEVe2hPbIzm9sOcOT1
sa1FoBbFsMgdCbVIjrVA0fHyy2tvrJ4kxG+1zSHMCeH73WioJomxjNc5DqzLZE5BhiYO7AAFPGId
gqw3dn4Fu2wnJ6nl3ARTKz72Fk1S08l05KkhJu+cpitVAPujQENuMKRvue9Uu0b2q10+Gq9MuYJF
Q9DJgBDM9ihRunmOO9XeI3dqH0snkQC4j8mexxoqKpr6Iegb48n2DekmQgw3cKG4T68Doli4suRq
cFODMiigx6IlI2NkcN+rZf+aIoLq9ibar25WSwiO15U87rOqsLY6FCsrjM4SrH5OSkoIS2hWlDZw
k7NK8So5Tu/kSAfM13bdMzw35dCZiTa6bZ1iqWcMuXwDkNO8ixDuPNZ5oJLYjAZy1U5zrCJF4zk+
VgeIhMHHwLTEsSgbfEivL5rLE508ATQ7jw1Zo2i6WDRZNJZBh8ynZ2jduG+0UntSdTGe2BnZA24o
pbYRcGWV0tMEHERSooN4WTwIYjKBIJhoRBWh9qyMzcskZRu31Eo7jDfN/IBTeCauEPYns/FLVKC9
sICVmsj68B2hVePUR7hOzgnmvYFg2g2gF5i1Ou4bBt40ewqT5dYvuby/KGzokINYCBCtl+dNmfRj
VShW54Vo8x8rzS9ftaRBAtnJi/hFi0P141SY38fRz49dCqI/LDAvhQuSSm7u+Fs2qWszw01Kadwi
U+AjLGZfbiyJJrLUe5Eet3vYa8khszvqLhVMf9IjNoXqgAa1Q6f9AIaHnnNTIzzpc7H++UKgd4J+
l8bNyGm/uNojTBNHGEiDN2ZPMyBI6v69vrQv76wZ1fr/Aaz527x5J5kjP12Ns8Gz5a+pOJvhKctf
roe4fN3O+GuAP5Yzf+HlkRv6zeQoECm8Cql/HRpjiuRB2srZj9J0gu9mjX5rVTjTbkASfEIIavzz
18SsF8HuBVQ1QwsXs6hNfRiKRkOBpQdv48CaU2Z9vYnWyvWhriwdgLz4nMy531xIW1xgNOubfNJE
4znqP8p0MML7enhV8cAKT3Zc70vzJJq7JE034l6eF+/DLgYojWab1gZhI82YbtPQNO7GFHG366O7
PAZNBf04MmJAiwgdzn/+Zq2kQTVMFZxob4ylchcXUrcTXZa+SmncH2Mffuf1eCujImHjqwE+R8zm
d977Jp6oir6uzfkmHT+k+ifd+Hb97798dswJ4X9//+JYbzolylJdUrw+EfK5r5r6UaEZhhCI3Glw
KkJVoPonlxvp1eWWmyuSoOptmhUce4uwdpJJuVZmkxfL6EJkSXybqWiNY67wen18q4HQFqRcoAMy
XaImYzWRnCgeJ8+uCjhI6n0XwPuNxk3v6pWJ5BnByw3wFLnv8n5sDdIJv6oZkRgO9vRaU0JSRfao
w4dCNOv6qC5zB9q9iAPQ6uXFQLr4fhWGflj3M8fobIKUD7Rfhv88NJ/N9lZAEUPF5I+31rtwhvo+
3IDOL8BPPz9Lxm1vI6M8/Ht9PJer/H2AxXKITKVsVIXX/NhFp7o5Qn3/431LzkL2AoCbTtLFOoB9
BrMrzQVY415GfSOE0q/1blBYR19HvP+Px/Mu2uII1HGsqZGpEGdhoipjR0+hsZnFX65skFfz40fD
QRYNxUXBoM1AOZaoBp5lSwYke1cV+ONtSaCtBpnfQBx6wJyXikYy2nS443bizKsVOOD4pOTSE9XR
cmPCVhb0jFyYQdq4F19UmDMx1oBiFQFE7zRE90FyizsA/lOUX/bVVjl7K9gCLRGWndZatcxNr3+h
hicjgY8pBqUjeacbP33Moq6vhvVJ/G9wi+1TwBvGmo3BxWgs+GjH0ZFEiWajSL+yh5hC7l2N25dH
3WI9pMinBJz14pyYVfyKPU11Z+EU9Hp9LGtREKdzaMrLmP0uAfWT5s9OYCI6p6r8rKZfmkT953qE
y4MU0NYMkuaCQLlweTVYnSiHtGO2quZjk90jDAoBWXVNbKsA9v7FunsbbP50b65XJNesHjlWcfal
DwOuFtGA2yN2aUW0xx4SZu5GnWptKZBQgzegYXR5S1jYciFOk4TnCUkAjb4Q1hPupG3hgdbmkDyF
/MsE4ECj6P2w+jHg9d2F4TmyT45zp8gvmtKfJBURi+jH9c+1spl4vMJMo9i3onOZR0Mf+toYnDMc
eUK/P6IsdCcP9atSYDajybdpXG1pEl/O4oyynu3mZ+iGsrzU1UHYkqlL7blQTOwuhxKl9+5joKYb
X+sy2SMO/QwgIoqsXpAh9JRqOJXt7pxjQvREd7bb82TCjHLILYxHu34j3gpqcQ7IQ5C2Isi3pQKk
McmdXA0w8AVFLR/rixDQU/Nd4BVUeFUwHKRm2jXKH+eYpBBA5WXqEaDtlj2ApIXuqmPmds6s6abK
Mw+7hsP1VbLyKJhjwKDiCoZAtUQs2upoiVEMaAtknRvAeUfpSCkQzcrdBHOsFi0HgXPOgB2lnkob
B/Dv6un7etQsJM8/PLLpUC15CI6tNyWO680Z1sHjIMJ9XNl7xcyO2LPemQgRug6M4VLTDmOGbEtQ
tY1rphIepyAri+JnIXDyMuV9WXYb22dtKSMxyutwLgZd0NckLCXzySgb4M2atEuNyLgPQ5v2h1/9
oTk7xXEmgdMAIieZ40XZL7K1pKafVp8jbZ+HsdtiuaXsuy1pzMsbYg4zg7bmqgo0nvdnT2i3CSJI
an1OzeEWoMyLIiUbV92c3i4/J2UoLgiZA/rC+RjhKIXSmdqefQMJ9PDngHnHJL7lunUq5WclmfWU
Ni6KtVG9DbnI6FBQdnCYUdqzVijgJZSPqdb+xTZ8E8JcdNkLv9V9M2JUQfYz1b4X6t/8/UA2WWng
tUgV3n+YhgVY63LcnTv0+qIk3mdb2q+XdwFIsLkJA34InenltaPUlaWHpdbyLBE3qS67TdWS0XUP
aeK/hlr0LVa0/cbBcllqJiawVxPSMLqly8qKCHQzxF2NmPHJGT4n4RN4P8x4dOBJwUE0X+KyutGr
0/Wwa9sWZpEOFJb3HtfDYi5nvTRtYjmo1T+YtuBtM7jFuAHnXL0O3kZZJI62rbXKqMisc3tMvuHr
qd+mfmB8LMtKesonBRQ2co2umMIvwqlDT8VJcOM3rF2B87EElZcGMUyP9wO1jFgokjO2ZzQf0dc7
pHZ8MtVbrdoADK0tHVszZUSgZynYJUhJQ2/if5eObKd3bZ+catXxzJg+cTE+BYbqhe3WeXiZJM29
CfqTwJQgz1yUOKfcrxJUWM6xhXRS9xxVty0mv3LrI4W6VT5fWTCz/jpVCBIJTtnFPNYFSowYiZZn
J9cPfdGdZHV4yAr9z48parVA5ykPUFxZJhClXbV+0Y7luUPuAbfKaLi5vvDX1iSJAuILzqxGcIHz
qMNgNjkqyrMSvSTgmelO4Mb5hCc53rSPZZhgNvAFb9eNfa7OJYDFmc9jl0ION5g8ZxHvF6If26OW
OFV9Fh0VbzVzTcBypR8dwuFT5d9PwUnxP3fmVx9TTBk/Y8SAlOiD3b1O2CQqPLiS2tr1+q8hGfAt
rdyifNS7DVzK2kd+8xuXShFhoqWFCVLy3CafKDVoZeTW8uv1D7AVY3EmWDSlw0prasiqz2r+NdUa
PAs3boqVzchcQ9wn89UhmMx//uZVJEFE7doyqs+ovvVPWEVKHqZ7Gk5KCJ7hvKftsVZ4HRHO+5vV
9Tby4iurBbR3sxH12UpRqNFv9OIJTaNDmKju7PXeHOPiPIWfr0/pyhk3K3vQYAAzb1BXez/cHk87
rl21OCN2uRPl11oz3UE6duLH9Thr08pzQrFmlBQEisWnk0D5VLXPgYN2vmsoLzY+2sj0VP+E+a3Y
+oZrp9vbYItB6aPA7a4lmFI8O+mXsbwJ6h816gG6sZGNzX/TYmdyePL840AAdLgEYyFoJVsoXcHQ
E59KpNAxgrw+b8pKvocnG2xetBBQzNMWq8JWUCVOa5N3GC4GR6FXH0q//qSF5dPQWTtLdG7dVg/+
KCGcJ+5xqfox8n7CAsml5XsTxc4Ou4I7kVY/Ct08AwF6vv4D12ZA4edxi/Ao5eX2fgEhP4Q/NEa0
Zwu1wRmc3MQbU7DyNdHxgNMBOAhy6TKpxmsYr+VK6qBaIpE3GuUHu01vSrySLFS49mM97K8PaWVP
zMIhVBgB9M2+BO+HVKsgK5xO9Ge/gkpUt9O/vV1aO1HFt0Pd//rzYJDlQFwjpjZjht4H07SisVMl
6c7ox3pWmD63ESi0KXkZ8q2H6Nq4yBUtpA0gArCW3oeKasmuzSntzpEefcYLfd9EyUd7sJGy1f7i
MMMJga4uZH9yxKWfhQN5FHmivoeVhfSd3PaPg1w+KlpwUwJNuuXmPHZK/GREuEIm6caaXLknIM/N
QvRkG3Az5hX15gwHBIG3Xj/25xrJ3zz8JuueH21gGNYmk/sBtA/Kb7wuFwdaMcFCcYDFkAVHtyik
IU0Rf+vj7qNDHe36ElkrIHBAs0pmqaxLkQakaGUAXqV8nqwy/dw7qb9PdCs4BYj6uZiIZwdeZeNd
M8Xmvoc2sk+zqnyuBkfZ2Bkrm332w6JFD4CGLuBiYjPUREDAAi1XRvJvp3HT6rAx1pWL4l2IxXkX
Ip5mgX6ezl1Q75rxk5xqRwssy2w1Gh5hsIKIeUEG/jiL35Uavvf1Do9rVzZOQTecsuScy+bGj1r5
1oDpOeExT7BBii6GbdlZrmOvxsZR84fUym8a83OJpHc9JP9cH/7K6GlVg8tAfgDchzV/gDcrFwCA
GQ2JxNETIJHbwJaqdpp4tPN7PGj28bDRily5XGgcQ19CJdAxKG2/D9egqwdHAXWAYFAkdH006yYO
cRZWJ/ScAaZIoF3HNLgPJhROp7gMNzbR5UYFrsjlAYkA0BTYj/fxJd1o+rTLuzPa1g9DB72FlY4H
gr0pZHa5cgEfIDZFUx5glrLsEHQoXFatozXnCNmy0XgujI9J/cvoP6fjjYyocNCUCB/HuwKtzHas
9qNfHZI/r0LQI6U2QJuC7XNRUyW9z6RZV8KTyt617XJnGhtU85UJhfUNUcH8/UmX7zq0XOqhbRvL
UwuEV9vqkOXqi5Fkf3wO8EzlJoagzMP4ouEr962jF0lpealh7JQUVufQbBx6lzsBWSRwurwcIXpA
xn6/NNDGxx7HDx0PYP3jqEuxWwqcGEzJ/C7s9qZypFugfBtBV1bJu6CL7UcpWM7rKna8oQQSLcl4
bZ+ub/DLowS2IIVY9bcUzsV1bwtJ9jNkF70wyyo3C4x9mmfnutFmxd+N5HQ1FhqLv22c5kP7/RQq
psCjvu4lz3D+rdsvhvahU79IYqNwvzJns2TS/0VZEv5VeDF9nRJlwnnFRBpbLm6vz9laBAgjtHIo
dpEFz4v+zaFYJ01Ra13he0mYY0UuPwa58vF6iPkEf5/HA0ME7mUDr6e1Zy4+PDrNpZqFjuOVMf0G
7DN3qakcDKxTLDVAFblON8rya9/GAkvjsKQwU1qevMhBIFOqMCZF0nd1j+U5+qFadi7Djc+zOrL/
Av2uabyZvCkdkrYbCCSJF7V/DvN6D0ULhWPHk/wtUOFKMPrXQIM4F2hQLS/K1sc3TEIN29Ps16i8
KQHoheHnCM8PI//zjTSD7DmG8CAF1LVcFKUtBdFvzo2GkUf6Pc3yO8SWHORury+NlarPjIWmJeX8
1vNbprKq1WiJXfSmNyBzhPxudB+H2V1rmvswHv4d+l6GNKW9qljd9GZ2+Ivoc/GRR/ossrRUGDV6
BMhsH25RpWaHeDgZePfJZ3m8y8sCe+3C7dobfwsxsvIdoQ/+F3Q+nN8sGp68g4SYruUN7biT43bX
cCuHBVbXis7/39h8K/sboDmvW1SrEF+6eOCZlR8qSO6xRD1T+lqKLYTF2nAAB8w8HxQ8L0QIsmyw
c7prEqg80y38VyPoXcMYjkqSHeO4PF7/ZCt3MAvyv2jz1n8zeXHk26gp25IXqArs7KDD7CK+r5w/
p01QSVGRz6HVrSKHsng5phnaJAkQb6+optu2qB8EPfU42crIV74OIJi5v01/9hJbIU8lxke5bXsg
G2+rvDikabiRtVymoQhQgAqA0zC3M5Y7bFJQHu7CxvccXdo5+mthPufmUXPOfvLVr5/qaaujtbIg
sKbkrMckmt7v8iXMtYspc6ME56HC6aFtbLcMhxucFCWtmBsa08YKX1kSMzpl5mzM/16ibEc/RfoK
+wCkxbBYMMdiL/zuIDd6vXGtrHCPqbCzLJA9BT9ykdGrEy4OVg36IR+CY20VD7DTb1qsR1JbfUgy
C3OW1NhTrccZgGw4VHB0AUC/CYSd07PFhfr2dyyvHZwpWm3q/OCMfn7tocdv4AOiqc+Og8B7gZHB
gSy2uNcHLgu7MT4ngdncT4CR3aIa1R9yaW8cpGtr7M3E/H5jv9mV5UyOszBVPwOJOcpI2zbJRyDe
QYArAdgnbJb6aePqXandze0OHm0oKIO8WzY+8lLHrtNMw7NjNxLIia/0mFxLKT8MNIpdvejqk9Xn
xU6xy+DYxk7hqrmAZdy2nVtW6bCX66Lci6AVe1IWfR9FIrnnpVIdHf3PC8Hzb4UVg/0oGo3LfLvB
92wswEmfc7t/NpL+BUagFxjx3nGKjbx0dTe8CTWfOG8+hdIFZiw1UXguLY2z8VvICx9V9+un8EqC
Bf8G5v8scDNrML4PYuIAJKe24nu9eV8nI4xMfxdHz4m+1ZBfO0vovwKXoiiCJsZiNJmPdZFq+75n
+I+Sc9sr0R5PZbjanq9viTuuxmJAFEN5RIAffj8ooQ1y1lW6xKDCRyek9ls8F80IUQK/4C2WzuoM
zojEuewB5nsxg0WZyA47VfLAOR2KKD0Uuv8pzKUffVCe/uJjcfXbIKPBbS0zfNGVWB/qsu+lKNxp
wYNajwc1eEjou1wPtLb0ZlF4AFQUrC9SjUJvet3pet+bpPC2SKNHyLQ39Rhs1DVWKnZoEb6Js/hQ
fUtt0nda37MG52MYi2+9oDTeqs5BS6dHSai7HOpVXmvHRpZPjZZ+vj7OtYXCfFqQO5nVC+37wJCS
DIICN2qMiEnRu1KB8Kn0mmBUmX24Hsu+hCEw2DfBFoPNzaHJ1dH0vSCDnJbgEskJb/3AmbG90/xO
nMqiMXdaKeSdpCl47WDliO1alUZ4QNajq3YNDiwUiA7WqOY/RGh9kvACsX2Tg3qqH3wT43dnTNQH
Q2mSfcUr49gkEl7oMr3NnHr3TuL6cI2pcfYp1wockyx4MePYvy3qyrlPcYvaOdiruHT9nF0W1/5N
Jfstd6HuP4XI++78UXHunSD9hvtcdT+1TbOfmik69QPmcBjS9bdlpudP+LrUBz/DQNBOTf+xipNf
QyuOrWhbvOn7tNrJkdk9SU1d7Kp4tFxa+T4K+XVzq7Y8jSlh6iPeWMl9NDkdOgujtst99JIDMwpw
zwzSm7gTn0epCfdQWfnB5vQvN2iFhx82HT7iVsdp0h23q/vwpE9poey0of+F20u/v/5ZL7YKTScq
c2AMOT4vCzCaz6S1DUFt6dx3X0GCpe3GypmPxndJwhwC9tncKZgvsMUJ00RQ+TTHlzxZhK074Sgp
2dVGDOXiGPsdZOb+IE7KUTZvlTe3zeTXKgWEiExkgHcEwT078lz272yEeo5T0IffmLvEtZum2OVp
NB4zWa1O0FCjnaEU4rtcNPipCrw0jCmOR1cqnS0d94vduviJy+dWl6lZVSfBuXPK7/Sem0PZjs+W
pDxOZbXD3XvjAl6f9/+mZDHvpjz4kxKL4GyJ8KDb4U70368vntURGTzNeTUblxo0aoG9VxFKkmea
n0ZH3jXpvaEE+6l4Aad0PdTqYBAUmRv2MzFpMZig10U62X1w9qPxNUn1DzD3jtdDrG6F/0Isy9RI
QWpGa/JcMMIHJ/tHMneJ+JsJexNi8ZhDoreK+lxmCdhgvusfLQbeFohR8Vno1p9egvNyI31A1oa8
5eK5ZTUmIi9NHWBnBFAku1PHX43/6/qUrS6ANzHmr/Zm1xW0Rwwtb9G/GKR9Onau0v+bV4Vbd/eY
Av/NgOYuIw8eDpLlS1i1EmFbUADOMIP3gfq1T9VjKft/EUXhYcXLESSOamvvhzShfqvPR5ZXpRhd
yfq/tRi+yUN4e33m1hYbqxjGycwLIiF6H6YjO1aLgWJFV3TRbpTaG2XAw6cwtmZt7WBEIBbxJo5g
gJGLg7HoceATLXu0G50nvEFuMIy/Q7x1L/f67i/GBE2HC2VWOFo+8DklgAb5Jge98sUMf/jWTThs
pFyr00Ztfe6PqjqknffTVpaKPgAOkry6iMLbEa7iycQB8JTV5dbTYj6OF9eWCpSUW4LbkSfbYiEk
NjTSJqddr7Tjh9hJDbfNg89TJj5wTvysJvLywVa2eFWrUUHH00ECBXLxssfATp6MuFE85PYOgXyK
ssE1yn8i/1BO9xOY5uufbGUDQ45EepqSOE305dvVsP1A6nJH9vz8V5BZbiV8t0dVULPuS3CX14PN
a/piRgF3zP0kCODLNe/LIwzWKFO8OOv9e0vjFTCKLjlWCjAyHVvZMbNm40ZTuHqEw/f16CtLh+Lq
/J5iXi9LySCoqz4OIsXrlAZbss9V9eKH0sYQL8vIvAfIxrl1eWFT5Vos0CAqQkfUiuLZ6nM4qW7b
36m57AbdMbL2gY9z7o0T/3t9ZL9X/WJiQXnSUSbzgQ+jzUN/cww3Prl/kpSGp+dxeYBgDWdEk8KD
KBv5JpVrbY9202s8pVXnWtVUn7qmyXbT1NQ/7coe9qbIlSenCCvXKazWjWWzOalVWH3ptLr5kOF5
7mrlGD/2ZRO4sS6pL2qJ/aESkM/JY8pCLQfxXI3ml2Es05vBGtSdLLfdkaw93VnghpJ9noj8YFZy
eJQmjE/rctSQInOQih94dXj+JOF+XiFsUSrFVt9nZeHRe5ntPsD7oOC1uKaaMpyg93e2l+AWz+tB
0X7iSD2UXlEgeV5+AaZ2/YtcFuiQFngbcfFFElWS8jrHCNFPHOyI7J0V0WjyxaFxctdP79XxqPFm
U5V/h/TQmn9+uQDfmNlR5MKX2rJDaQWFKiW2V85+haV574v6Y2+LjR21tth1xLuApgNqBoqzWOxh
NWJGJ9HpjrEFdHCzLWuEpjiwpNw1w29qfJfphguk4frsruzkd2EXJ7OYhCTaqbS9NMi/a2P8bzeI
w5D+RQLFm4gDlwGikrw8rixBc7oYVcsDs+MW6ksnPib2Fpx55Xqm2wncBNzbioyjzC6zwoEejN5p
h2zEhnJSd0X6rRaH65Omr0aCHQT4lIv4QlHOyLU2i+TA8ujjNschQvSpmKbuVUsdsBKmqD5bupCO
voIYVzOI/mhA5LyJMP49jQg84l/o4HjrS5J214usvEXmt9i1GhaqhRHGd/gjZnemoOTaS7q6m0Dq
fzHMfNiZZYFRYsOGa4faPEalbUS86fsscHMjql6abjJ/RtjP3g9GYuMoa8THGu/gM7meAS7Ptx9C
IaGeZovqGOXW8KRMkbgdHYwmh7oVTw1GxzznlNwtalN6jKrW3lhwK5cyh+p/Uzf/+ZvzVZ8qaZIk
PlLZv0K00OuHygQrXN8V03OfHq9/qNXvhHYZiw7IKeWb98HyeOhNjl3T6yIYY+lNmn9jgG6vvFyP
Mx96i0sDjAIVP+5iamTLdJoORhVFtW56Ex7RofLV+XO9Cg7B2e2Oqin/XAi+9apga+EM7ZXw/Mz4
KZC2ZN5W0heIhFB1UZ7Hz2uZ3HYVRudUa30PduSu6LofHIa3eW27WsjtUhXNxrfZirdYCE2Xym2N
ibAnJe2TVumnLGhvApUCEvLaedNstRbmk2z5jd6Ob/FKqHwn0KRq9D2/KardxNv42Q+tn5hi4ws7
Vs5RVAlCwUqQ72Wr+tVJ2RcYGMHNZI0oR6JM+Xp9zaydvBanPacHhyLL5v3ajOSoNoaBFp7heL30
s2uBc/15hg8G778Q87J9s9dCXOisVCZE4zxqykvSvOT2BuNnbeXPFdO5lkDPZrlq9EjYplMK3xND
+TWSEJiwLXFzfabWClLoLgGSgPHPXC0JmRC/6ykzHd/rkAaE8QnR9WYHPT5Eky/Cjzq/qxPWqohO
PlKOxejcmlJzaC3/U5Lop+s/ZnXA1Gl+v2lBzC6WUZ9pcqflCZXFUEH1K0o+1RgBX4+xtjRmZDMU
WLpgFzIuUlOVgZ6pbA1jhuNi3Fm2+uBOWHD9RSCAQjzSqXjzPFsskGYobAyGWSBW+tgq2lGJkydz
Cje2OsrbK5sP7uX/B1pkN5YuK0FfT1TXO03clyjMH1VbJKek9z/xdp+OMmXZSKq0R4xRy+M0av5t
03bFYfIN85iFdXVARgv3F6Ur3baIFRcO8neNyvMpQWrsLpusdt/4VL0l1U8P4GD0QyhSBVSi0/Ha
rCRiFabzxehzC1axk+7DOqdsTT5xSixZHIoRe7yqSap9qYp6l5QKxP6EUnjmdN19IgZx6zTOkLuV
rZeu5efm3hqnateJ0ThmRZ7dNYHmHHUx4eReDglYQiNzpSFBgw3s4SnOObGDqO5v5DCyXJpw06s9
WlzcmO6ehkoYN5GCTCp25Jbb1438oltUMybKq2YdwyuWxyfZDyDTGdNryn/1VHdOdpisaTrVqf7F
MpN/p1i3juogmUhiRA+6nGK3HHeHyMgDIAElDh/9kOy0ss/codAgXE5B9yDGSAKumoy7xIYHabfB
+CKX5B4Fqp+7qoj8vWlN/AEVkQPCLu0evb781cjCat/iDrRvzTw5VW2u71DpGXZASponSWjmCc69
eWht+FWA14e9qAwHn8jioxPbqPNNLPxDPlQpBuNNiz+TX9KGqAuqN4EIHq24EPtSDJM7ABxxE236
WY7WtKtaRT70uVoCTakaN4tJn2g0tk9dlssHfUDTb5xNrdVU7+7rXijg0tqOH+l/xVlBffWjTrlz
Kqt3dogydd+aLFCMfYap+t6Ad+o0MSqeJJhHWKK/0q4bXND66a+glb6pfZU9TgnpW+Nk4qUdJRhb
bd/v6GVi0BAWFi36wnnB4TpU7nr/w5DZzjmUMJGbjMbnt47WPXbE7T7A4WUXODRN9nk7GQ9xJtLH
NJSnXdcWDvaqRbNXs7R4DVWrPE82/uPzUspuB3aNK/eDzMNHkKQpUeFaGELT9cBu+CgLGahCFX/R
k+aXVVXpk9222o56lvpLLwP7qKdBcMI6q39wIs3et5VeHAc9L/ZJg2MVEPnaS8omYhcFxTEr6+5O
ILcE2X2qs4OJUd7eIjW4rw30BSkiMtAhFftETn72ld+euj4Uz1KEeRl6M8GravbKLNveUc8O0GK8
tfJ4PKVFVbrISoZ3SiQ5N6rcGDtrCkPYqop9ymtl2OdK3x3KotJpQGMgPGV9eCu0ujh1068OR/qQ
dVtTdtxrgGo3yg5reQlVRKTsyHYgfywOeLnvrN7Mc9/LzXzW9mhLt85ClNLlX7nfPJjVFql/7Wyc
2+AAyuFgXDCiBnAfVQDVyysH50YrAZzkQ32TVz6ngroFM1m7vvC5AlYDnFonzXt/4rdVpGaRoMmf
6u1BrZTnGvblxgyuxPgtMwVim04izoDvY0iyMhWpPUVnkdZub1EJGT9ev7dWvhH6eAYQKJQ96O4v
cqciqHC/FpAmC8O5E84/oAqjadg1FjWZ5vtfxOJRiWTJrHix7LQPtmTb5phH5y6xkNs88r/YIRzJ
w/dZsXFRro7rTax5qbxJ2ESmmUXP2X3WgIyhrB19njqZ7kZjJjs0Bw23iPRP14e3kmvMSvaUHOZE
46LQLMljoDVjFJ3DTJxk/2EU+Z3wv1wPsrLE4fuA+WBbzZIli+tfdYQWkUBG8MNQweXwb+Tvit8f
fGeDGL4VaLH07E7YdlKw9DTlh21/ziTd9auPRr7RDlz5Tu/Gs1h/kIWUTGQyK3z6mtPCLtDlSeFi
GMFzrX77i7mjbA6klhbUBQDDGFMzC6FMnvGIGAG9p1H4EXWE8KWsBRojWrFltLyyIjAwNEm0f0uM
aIuPJbcoF6OjG5171Qc2FT1FtnyL9dbGy2ErzHyKvFnris6gUINnDiEqFSUtVf2hdjY21FrxkMFw
ngPwm3XJ/oe08+hxXFmy8C8iQG+2pGxZVVW76g3Rlt57/vr52IN5V6I4Ivq+TW8aqFAmIyMjI06c
M8twM4ixa5hLw9OQSzH3GtOeckAxLdbG4bHJlNbhGowArCdq4oRNIm7U3go3iRdlK7n2os8g6kYk
oZ5pztXDui4S5LBjvX31kkSPcvPqRiclOEJ6vGJpIf4CDP3H0iyKlImgj15Zh0hEMjHhqmrkRNzz
t91yuihmz2mM0AOYGJUsCnuXn29ohcat4IM8JTFZV+/4wvexcbcTkKvyWrtJflZr+msLHjN1BNi+
6XvSabk0CdduLXWx4J90V72Dafmt73hvauXal1q0A989o2sTC6sx2z9ZiZmkUeF2FatyU5m/apLk
tQmNNRuTt5x5fxK2RjrG3GB1X9pqC0FBkPOkXSl6TL909pEo1U+BQ6Nag1rJpRXP8FUvdpXgpGkj
HZPfUV3sULkowdrc9oYlQyhPwJpEn492zWw5oVYXWSNpARKTz77yW2h+173hqMNakWrNzqxoJJcG
lVfoYonv39P4Lgt+lO3GqNdAwQsn6E9njRuRK/EqvxCb0kvUEVa5Th42ruXbWbKWiC2uBHbfaVbL
pHIyu6lGKS5FPRr8UwDyytbF/GCG6UfFEA5C/td0IgwboUr+H1uz60oeiiAquZ9OcYu+kTWpDuWD
4G5kzR23tx1hKeAypjfpaJPPwuA1Of6ZYwtx6NWa3/rIF5obi8Q5yMZfZiXcyWm20Xz/t1yJ254a
qu0a1rZ1xV+R6v593eviN0x7f/Yb0poSM/ST/qmVWt0pU3NbBekLL561t8Kin5wtdub2YzWGppuJ
PhKKQr6txm/oVwgrO7pog4I5tUuyAIQYLhdjRmrgVl7JYgSrAw8XPEg9wKDbn23RG8+MTD/ibMca
pp+lrmv8k1icFOWbryt7WU4cSX67bWcp7NEAmhgnmVy5KmPz5pRzb4AQMtdDO9EkJki3SfbltpGF
qwmxn3+MzIJEJsYwAsB1O920WnUSgztBeBDyQxR/a4rvdbvSoFxb0+xJVUdF5YUe5jLxgwsNpCHt
NWUlWVpZ0jyQJ8KYmghzsySNmpbQH2DHOxRiszXj5rFSk9eyU3dUblbC+rRT8/vjbCfnfNJ5ASik
6iPMCl89pbFD92TJpzDt9n1V2EAdbn+4lZ38w+pz5oVWNzS6iHTYyRuEfSaMPoh/2YXLpVm5F9cM
zdy9a9ye0IQhPfvp+i+6SXFmjfto0cY0acfsMtfvvFFeGqlXh7rAHaKqdtC/FMPn1P37d8ikgfYf
G9NvONswD170ujddiHCtzEnbX6P2oWp24ngfe79vf5qF7PXC0iykKkbldZQRyda7bT1CiASYWJZa
J6RSVfnj7ra1pXB0vq7ZCQY+ocWSYAanXnoI3e9m+AlOTTRqf/wLM4x+k7+iFiDqs9BaNA0sJSOC
Y3JinTo/u89QEymE0Qkj9du/MMUoPY3PSUBiXhPxCq/QjNYKTmOi014b5Poh0MdmrzZpdzIZBl45
uUu3BsUrQ1ao7V/XeaKsVkOR4v7J9EdIJwahs9XUWDlGi0aYyCa5ZBwN/fRL94McKy2HiKxPLb6H
sDuk7ffbu7Z4hs4MzPwArHWmhyWEu4FnHKaJusjS3xAu2d42s+huk/IUAynAPObZ66i1RsY4BQ+m
8aesDU6P2lOpf05HccXQ4nqgVQBJAhkgHne5YValeDnXYngCWYDsLAXcSHK0rtv8/XrocIC0o6ML
3GJ2I+VN37lR0gWnCmIjSi0JgwKjtmkq2b5tSFpakMJwjYgaNoCgudqGEua57PW4dem3e99NPwgV
SLRWCBM6qdTuM1gBIlR1U3/fxSNCjYNdJMZj5PZ7Zr32xtpM1tI9SS0LvB/ceUhoT7/3LCBavq5H
gWt6p1FUnpWmGza+yyOkUrq7vFY3VpOfPLd5b9rucHsnluLjH0Z/3j4y1Eszw50gIjEkMaHFUdkl
Xb9RMnnXy8ZBluu3sluj9F8zN3OkUU56M08x5wNnyLt+F+nCRldkR0uGZ1p6/8KhYOGAGGhirWJS
8nJbozZn+nIMfN5D4XuhRLSqIyqggq01f02UwQZBEM2jCBAUb9eZ79aRlsB+z8N4KO6j6otvfbr9
oZY8lsI32ec0ocFz9XIp0PkmnqkF0SktuMHU/l6VXnNzrYO7FBkn1nMI4oBt8Cq+tML3IcE1o+ik
ud9T70s/7G+vYikxO//7s+/vNVGYUCOO4MF46CALKMJfMaP2XnPPIzIX1qZ/pz83zwPPzc3iMIQj
g+TW03LUyg6rdx/JxTHbG9HKx1nbttnH143GL4OKZZn573JMgc++3943acXCfMo2FaeuUhZH0Hha
h7q9j6x7wT0K7scs+BmKvdOmr3X5Q7GOjbRTJOGuXfty1/43kYNPIx5UShCQnS0xG0LepsYYn/L8
vR1eS+VO1v76+cudD8vW1B3hopkDu0Mv6KxCEOJTEFd2LaSMPqEMla49fq99EGVtQPdIBIHovnrL
6V6hj5HmxxSmXxJ3Sz/yJQ5eepDqSXWn1qfbX25h3wAmERVgtQODP/9whiGMQa6G+clo7krfspvG
t4NhJZ9eNAJQHcYsXqjEustjmxlBICB6mJ0M1KgPURC372oQNh/VrrA2t9dzfaSoklBkhImYxgiD
sJemIglqFoQD8lPmQQasH4fhlNFTXmO0WViRSgrA1SQirnRFwApI2DCKHgHtVqDDXFBr1qSy3Fij
VB9vL2jRkgbdGlnUZGqWTGtimGgKdJ8nmdpOxBwq7IpOB3r1tplpXy5DEfpuZ2amA352w7tGwJC8
gpko/1SUPU0yy5a1Z1e8F4STItRON6y8Eq5DBhYh4URabhqMVmcLg8hDzJJRTU9B+dNTxk1t/rq9
pAVXmJTKDNKVqbA9RykyIdkbct0Kz7L1poZMd+rfa6Owx257287CQi7szLwbSIuVNBV2VL2zs/i9
yFcMXGclPG5gAyDmQJhIOn35bVIPYZYOaWWKBAUfxnRyxAerSnKo/dlKuVZ0XsBMY49eCoRs0ytn
HujqrFLFQp4kgyVmdUuwM8lOYoS8zj/2xhcjhv8t/eDma+yCi/tIxXY6v4TZP3fMmQuOcpNYhRUx
eRbBACtPSJm/P0tcEHRXaMHBfTHvdBCEojAOGJyKExFGfMs/MkFTHaV0WOOtWTi1HFYw5yyGNtn8
6YNUXuarUchL22vf6zrbRop1z46vBNalLTs3M/OMOunUemwxUwjyexuob0Oz9lWWnE8mdWTQjGkB
FnPpfFWjhFmmaNRijWkCRt6UobUJs7vMD46S8nb7KC1u2z/GrjTuxSy30sygXjpGW9/TPjPDbbed
+uvvzUAdxAuOejojF7MTK/d1KmY99WW1frWMcg/Y0gGJthJSl3aOaTXohMjxaRbNdi4Qg7atMj6O
IYOwKRk8dZPXWuyPoSVsfSFcSxyWNm+S9uCq4PheYUa1ZozVRi7wOTMJbb3xD7KQP5ra2tTZUlyl
eDB1WKbgPUfYjoEZGoPZ4xGlsAk7127Ul6bzN2CNVnZw2RJBz2B245qreVRjBGwNZG28jhRStOyC
0nZWVXuz/3TbI655EnAFGHgME2pfnvfzGJu52VAD0fJOA7E15XmtlDudKTA72MHDWG0CylfZv8gi
MMr8BjBRnaRv+qJnEU/KBcYIMyaGLesxQNA1Le59c41zasktzo3MnL0VBz2Ma4yMxYfWQMfXPRrD
WvqwaAQlENRpJaKdMnuYQWgpZxZcAadGCZ6bfjhO9beWUf2VzzT9nVmagmwmJGiwc3EjzpUfhUEu
THDm2MmFCq5MhNkLd6cI0WnUemcYppeG6mRtA7U3ox9ut9HjcHv7Ryyd6/PfMAu6vqoFVqlMnaPu
PszeBTXdGaO+YVDfRm3jtq2lfeUmhDYGMOF1IQheSoQ+whFhJyl56Xr9UYA6r6I5cdvM0j3CrUtM
ZCILgsPpZ5w5YjFyb0iU6mibD9Uugknxt1xq0IjfNrOQZGrg1ieGLX16wU87e2aGwfsewB53SakS
cDNpn+ZHC9kYD8i5D2udlr012tqM1FIQOTc6+1xCLSe1jFbNyZywzKlP0ey98F3HF//Nx+IFOi1Q
mXBMs4BfJW7qZX5FOcfMHn2BV6KVBU5gNX+fOZPR/sfOnOgSaMLYKC1dRSgHNhDmbvw1YqTFcGhp
E1QDBiY+1tWXEnpXrkb/1Iv6fT7mb25iPqeNYIutdwJ7+IEZDiqs+ilCmFgIi5UjtuT21Iyps0NV
Jkvz17xotoMrRu70zfwnntsnCLz2rqmsUSou2jHgeqPKygt4Hk5AtfVUjju4uPLBqfvfff3LyNfk
7RaM4NXMSjHrCD50ngdkodeq6KrSTZLhS9KE41ghAxf1x9uHa8HPMaNDtsbFDJ3c7JN5QJITRWbP
gt5guKEH+KU7nvDiNT9vG1pcD2ghgClAxK9GNdrc74KsBsczEY57rbKvJc2RK32lN7toBmgZKsZw
318NUch+H9byQPqEMr1tDDUTMD9a+a8VmUnQWMp/rMygPGnXFV4QBdT0tYqr0bIFHaR7unYJL72p
YNZn0owhdqpT8zlUoQSB3vOSO4XNZ0uId0XrOrGabyAYt1umUaToTZILNKdfbn+shcvqwu7sYvaQ
vdS02geqRGfZz3wQ+x/d7JiODAD4a/F94RqhGE6uNsEQrovMQ9uPQtHCwEvF4mucpE4VdB//fj2M
69H65V/QKDMvb2rEAHV1FJ6l+ksJrbRYPQ/Wd9olGyFe4SRfOFBoPfPFGMKCF3x+oAqjzMw2LLxT
6JEGmvDGuNuxCQ7FODq3F7Xg6lOU0y26AABE1dmiVE/lfZ+p/ikZqm00SoeG+qVVaNvbZv5Q582y
pws7s6sw1esmzzzFPwFTenQFzYHbb9eL1T4oXsGW7xUpdlS3cVo6z1RnDpWZO3221t1ayAIufsXs
mqxDKFkYn+D6gmxarTMniag59vfR+NlyO0b7gTqOr7eXPq3sxsq1GV41rKRklEIyD0Ov7KB58lAm
6pv6sSnlvZZ1J71eeckuHAWDNEAE365NmNHZIrs0LOo0N32CvrKJ8mpTrT1ZVizMl4Q0kNIqtUW2
ETzSRbT1+tftPVv0SgrDTAgyNUeN7jJbyzsL6ikFJiB32HrKvRG/qWts+AvRaXqEs1OU1Cn5zKJv
IZQCjCUJ6a1ueAdzcD/lvfoxaNXa7oZaPYaCt/ZSWTJJnquSgDKMe1UD6hCmyY2eLMbSUu/JHCxv
43MuplG0wgnb0dpZXZT9/vutJGZZokQJ5ZpKp6xUuYLhAaOQ9uTldwpv311vJV4tfS8o9+FImTC2
/HP5vSoJNgcGtTzwtd9rS0B27COjDisp/JLX8akgYwP2zatu5tdGRr8/C1MyM/E9LO/8Yg2KurSK
iRJxohuYhhpmBmogoU0Kp/ZzoYMrHHK6oSDaH5rOXZunWYrvZ5bmxaZs9JXayyB9m3rrY/XSJrUD
D5wdays9lqU9A6OC2ic4FfA38yUNoqu3AwfJ9LII3dXBvPfRDVy56ZdC3JmVeTxItNhqkumpaJjx
u6y0T1mjHdCKevMi88Bt6ljRz9tevbSBwAF5iENWiHLQzOH0MYvojFAnlpvRlsSnRCJ6G5VtStu/
NzSVf9QJ4XPNc9QKcRf2GYZcLb9zM8+1fVXYM4Gw8bJxrYy2sCpqtvR2JjYFwB7T/589Uj3IG2uz
RW0984fYrvGNTEbfymt/ldW32+taygppUk1JBlyj1CJnnpGMYdS4eoXydes+mGX2Sysax2fIFozF
wfPGU1uGd1aubuusXct8p789uxLPbc/dX4/7QPUybI+UtpT+IaHr04n3tdBtU+29KOE/7VZcdOFs
M4UFjyudJlY8ny+r0s7qLbcEhGBoDpHXVjttE1trBcpFMzSCJ8IoQu68msFIYB+I0ciDS9HvpEZC
mNo9+Kq1UnxfOHCEqEkzYXqiUPq6dJSkaPOKb0rpKUocrdi77QFsb6ubdpbloHCNlSxx4eYyeT6S
KJJYSOiRXNpTkqISq1SJyJsyZwgjSrygE+WD4XuH0lg5couuqauTRo1BgfJqgC2r3bIIrSI6iZkH
aWvu+LFl+63kID1pywzJWg38B78SbS0n+AO6nTsm5d4p64bOlX8u18nz1fArOY1OdIOMe8QBYtsv
S/W+jvseRL+IuIeSmxT+ssxxeYkygd5Edqt1w52pJ38kpR/coAxRgPON8BVQYAVCSbe2RWb+8o0h
v2s6FSJhelB//2Q1p8YzNNvABK7Yw1LZbDSzyiMCYvQhUwfaMipsVNlaT2YpkT83NI/1epTlaATx
cQrd6u1MDI5VETwY0aOYQTvXHiQ1fyi7dAOp+QbmjZ2gxccKCprb4WvpnOH53KEQ+3IUZs8WpSyU
GGdNTk0y3pUouAFW8+Qft40snTKoZmSV/jadmnk4DgpV8fPITU5lX+yauNkip9Yh89P/pnx115Vi
Yg+JsIbMWpi3gNqaNIypG2hbLHV22Hq6x4UZWjGjlZmjwMvr6cCNo19akNq1cQfZndXCKRrvjOJn
0NcrjrT4gRnzZVKaVy6jMtPWn11CtA7RWwy95KRYlQ2Y9QBd1tH1C/B/sXzsSFqjqbatmnej3H5O
B/ne7MNHaC5/3d79pcvQNKfGM/42MZte/o4airYmiVI+cQFESbXKfCt4db4NwBTZvqdkf+9SCHFN
85j0sIirs5gqpEipVhZCRHWfOvTunMB4ldoPf72oqepjWhMhHQFjVhOxxDTph57AXYU0r+gD2vWk
sQPvnw05021bC+6LGSCT0yPwmrtcaaC21HrQPKHyGkja1s0f6vh3ET82yVfYo1auiGui/4m78B9z
8zvCbcqy9FzMmfILQmplcZRgdvPjR02ENK9/DAZGT7/lZmMPw1vtvQ59v0lheOu+te7vVN8J1u//
av1/ztm5IyuwLJRCFAPgRFFjfKlNWDBe2uzVcz/F4tfbxhZws5fLn7mPkUpVq1sB1hj7G8YvpXef
D19F4Vdu3ldubQvufZxVtgttdhY+x/WRAo+dqitpzsKh4SMA16CYQ8nXmHzibM2DocNaVsXxKdIa
uJqFnSbGh8iSn+lzHm6veCEEX5ia3ZUNnB+amGBKjO+TsIKs8ljX77dtLOQdZPfaFAWh4EYu4XI5
tCjzINWIRTm6Wr7+1erMzfAQO5W3YmhpMXS6CLmo7/C4nO1bbFVjnmVyBGJL3cTeYzbd/KuUX4tW
uKHpuZKzXUG31KYKtULsuKS9hBFl0YnbB1VfcYGl+2OS2IP9hzEBZjdnmyZKcjuknhGBRzQfGik4
ZmJLL350ckb1edA4ciHA0uZJdlikb6WeOvCzr8z9LPkhSEV0Vif29CuEVaEi6dF1SQwHQSPuYBLR
tjAGQOyeQBdS6+0a/760FOyo/NJFJ/mZ9NwvPWUCdihWnySnsDMeukS3TS95iiN/m6rG/QRuFf1o
k/LI8I3xTsnlY5syq6i237Q6fK/l+KkJ8m2u6I96Ya7E/KWOFh4FABFME8Mi83m/6aEli4Mbn1At
+aEXdc1NCpquge7izovEljEYFWk/cQj2qRQ+6FWxZ6RuTaT4//kZOMQEemObZgfWJwrlSqHFJ2UI
HwU40sRY2is+sSlMc3ib/Ce9V19LY3iOkvSjPrTH24d5yftpJ3OSUYoGSzbL2YIsKYpajVLsF45S
P6WgCsVg998ZmR3kSoWHR4yD9NRq39P6ILQ/RnnlXl0KStP8DTPrVOavynhFNViG5+nJSaY6KRYP
g2A5ot4fhPiuKPWV9Sx+tXNrs4yhbqteLVIjORn+V2o5QJKQ8DZEu1XAfIa+45WMbiV3qvoI5nDl
Tl86VOe2Z3daXqi5mMjYDhuIStW31vIdhoNsHXetwo8VVMi3v97S04/m/D97O9Wzzu4vgwRb9Esz
OUH7tusrxmnEN6lPt03zYiLgNBRbSR1txlpXtnnJNzUdxnGOhnitYd6WmWfEk4Jx3OuOqdwN8Tep
WYMDLDkOhRZ8hlcLF+5scV1uVPngEaOKsXwbNTQ5Uumuhk7Y9nrjGLjq5vZuLi1q6jD+ecFQkJjZ
i/XaqseABmOrvbbZUahe3XAlzi95COF9iid/KDlmSbrbB3Lmt5hIPZ9xLm2TN8ILyTzYl/GklO02
GZPX26v6A+iZPdKZm/7H5uxEhHFrADWjCcw45i5OkYzUjb030ZZV0TZiDMvjJd4k8QYA1y4rYGXV
gw3PVh6rZA4m+pLx6ECWvzNrlIxr/wHQ9jHV8g2rcfza/xmq0TaQm/vazR0hKZAyqqHNtO4V1zgW
qr4Vk3HlSy2e8knzB/ZtPONKbl0GBOa1NINPumbamnIcysHW6ninCy+xsa2ql1r4Uca1LZprphe/
4Jnl2RdUoBIAT0KvuxEYAy3s0vjg9ae8OrlZ7fy9aC6PhPN1zr5d4na67MkAEpK6favR6mujaK24
vpiKnxuZhS29pwWG0g2lTT06pJVut6VmR3ppB4F61BMVGZvxC2Xpj6pc7MLEfIk1QFua4vg9IyKd
/um2w07H7Mpfz3Z4dgzbiIKQGfNzjOBBq2sKR2tsEGvfUL+MmnqNmJLRsKth1jqu+mFAX8iLj0PU
7qLsB2o//92CZhd5FdVajlhZcBKaeyXxSCNXHlNLdTjchPofYzXTYNe04LNrwIME1B9h5Dt58D+2
5Rc3/EBuLrpPvfSStk+m9iqMFfJiH9v8cxIXdpxtVVjlVNTC43afxV+k7HvdQ3e3Undd4C2d/Pef
HzbLoYLBSLxi4IdF+lOboXIGcMIrT+JwlKthkytAG7JTI38f859i+q0tdr77O6yOabvyXvl/fPz/
fsgVCxIA5VQK4jw4xaPkFIL+1NOAswMp3WmoXI21yIQkBDFquRH6eg+XvaPyc4coPEiueKcJ1c/b
PjG52JWTm/QAQbhT+p4nd+0AcUY+gMytBvQR6iOAk0MHIUn11+reUwQ5MzRzjRFZsVHqwU2p8nCX
UhSu0vK+gXTi9nqWjhTdTPDMULaiQj/drWce2IeC6/sxF9vwR937pdI7J9egdYGfqAu8feyuIY4X
fevc5OwUj4PvlWNJJI6r1gmanWV+7akl1NZLhGpYL4LWifxNX33pgx2gLkcW+q3ePVUZGYu1JhK3
mIlB7zpRGdP/YlrmcgMkC/7MfIKOpePnId9DoWUn3aHJnzVkcNv8m1p/6aOVbuXipp/ZnAWWNKtc
aYywqXU5mkymk+bvli7YY1VvJPWt8fa3P/JSQkbqMomxUPC8mtyrqybsjYGPXObBvi36TedqFKm6
R33C9kTy4ba5pXwM5VOT40EniknVyy1NI4EXuMiZlcPK1tq9BlY4SHe3jSy70ZmV2e2HK6hNQ03+
lLe5HQ+vqn6fJtGeQZC+fEvbVzV8duUHyPtgoP2QZzxGq9e+3iXJynNvMUSdL3fmQVUjyrB58UN8
/5sQv7TaT2JCEHyJhhwG0U+FdqqHvR5+NYt9a+T2hPmFyWplN6b0ZR6XkDPhd9AEB+ox242xTkch
Y/LmpKQvYv1RHConrA9hqNnQhTqWC7mLodq6/hL6K197qZBOrj9BuMCxQjo2M22O+Rh44wStirti
W6uS+Vq3w9dQyxMb4fBful7EW9GX3J2mQ9Aqx+HvYJDLtyZIv3dhtfa2WjxcuB54mon0cj5aZXS9
kVQTHK9Uy23hiSc/MDcCKXNQRru4jDZNu5aqL8zmoj56ZnPm8USWEs0UoIeGqD3ROdu2kbyNU6if
xWEn1O1GTcLnKqm+9aF7ELNgI7XuJq+Dh1aRV1LsteXPvoZutnLaTZmnChuzZACO1o8RTKZ6EG87
8yDmn2973uJhP1v6LOuThDYVWpnYIlbBIQfarpv+78GIv902s7as2SEzW78Tw2bKxcpDqlibuPmU
14QVt3A8EZ1yfO22wSnDuTpQZ+ua3VJaWtRDMo2XBV765hbpz6Tvj76b2elQw0iSq06TtltqgyvH
adEuVStRAWjMlTx7p5iC0sU107yn2m8epbh6SMX8nWH9bRJH96KQHoNoRC3uXyAxLRDAMqpIPM1w
5suYnRl6Jkgp0GbZig7BmB0LmsA1TbBcW9MiW/SYM1PTpz5LOTJfylzV57Ao8bBtJeFVGptNGyYr
Db6lTI1Zo2k4FQwrpOqXZpK+DtRCxEyU1nYV3P+vyk651r6b/PvKT87MzPwkHRo5FyzMyG79LRLU
34iTrKxk2SX+Wcn82yiem3QjEY3B1Edf8R/kHElp9O/QBBaBPsbl5zEattkAhdftQ7C0OPoEiMVA
wQel/yyY1J0QSu0IgAUE91PglS94yMo9vrS4cxOzz+TpGcJ0WsM1Xrv3lmtNNN0Q7A3PydA4khr9
IoQ/C/C5317ZknfAbDVV0plWvVJYyzx4RlMfAIsbUIEY662iNJ/U2HsCqbGywmtTMhqMEEpTmZ8I
lGYnOoV+QuP1D1cTICclDL5ONOWVa7xkmamvRP+FAgvGmGQGBg/HgTxvigjoY1rhxOYCDwDaXj/h
tLfHAfrYbF91n0Upt92Ct7MebENhLbNfXCjCfzpJiDWxoFyeOKOpR1mdlO99vcudHFCGI3a5sic7
KCVbz418zeJ1KGG1tEJ4KdFlluczND0iQ14u80gq0DuGLQDCtYiH80rxb3FdE3cDhKqgJef8AG43
ugXcF0xjDpCVNVq5jSX1Lm6sB3lYU0+8Pg6s6MzW7DrVdWG0tJI4HBnhXagJ91EibxBt3OWluwmS
ZCvWxUuZtCvA1sUlEvcnj5k4tWencIz0XGd+AkX4Rt2UaQ9C1+tsK6jvogKyp9tnb+mroaehQ1U/
FQLnb+jR7XMtSxkXk/OfFtzTNScd9tDbRq5DF8y+POf+jAaLV0A4uXSlwq94qGvD2FMkKCKomtfY
ZZaMyBMYaSItwQdnkdmQm6FTay7rzHwDNmZryRqSf2mvzi3MLsuu0yLXUIj9I9NgaUZDicwjcJXt
7d1ajBuwJAEJ0SEkYB7t8uzKgeaJEC9TB8hCu7c2VfkpKYeNjjBN09md/OLWT0Nf2ZL64bblaQGX
96cMAucfw7MtZKJaikeFfDVUym2eqLYvvvsgkvMR9niuAh2xwdsWl7f0H4uzLRVqyStbDYt5oH1o
knJfIEwYMva6YmfhhXq5tOmsnyU6vlGB7BkwlCT7wvsghqljZQdJ/u3738s42hTxfad+YkDQVpW7
BGYLtYHUuzka/tvtFS+d7rM9nk8zZkbJRK1EJ8FAac4WO+1VTpu7qIx3TSEfb9ta+Z7W7BII0Oqw
OmUqaVpP0vBALdNCB8ClwKOP78YaPnrNby35co+DqvXUTONdMFrPUfBLlEugizhs/qOBS8pNGXtJ
JzTXD2kNabtqepYcBYjFyXI37WqxEbPPfbsL8l+ddWpNrlv3XRkfoeux9S5eOasr/jtvr0mAEiNf
YMkWDLTtSy4d++bl9kecDt2NQzkvihXB/x1KUpZPkSofYfE9hL5k9028aQxh5aQsh9H/nEhrFnxG
q1dc1WQnW+k3bCH20H65vZ6lW/X8AMyCjOkLWmiVULMJim4jVQ5u1ZQ2bVAzFePfV4L51Kj1qWv+
BUZlCgG8rKjNsL45JKIvs1BIJuJ3xfT3EbJbo5Tsq7Z1ujRzxnwXyXexF2zqZBcq92a3UsZf/IxM
kqAhSKJ7RaI+ShJCbQkByBKfesSQ3MjJhjdd+DAAirm9w4vHHrIApqYntPY8xKhGIPZhQM3PZYxJ
+pRnrT2KGaqfD7L628heb1tbqNqyr2fmZlGm0JIw0tKJa896i1PgCbCcq4A58jtR+VkZj0l46IqV
Z9hiFD2zOQs1XgYNSUaVA44gY1+YD3Kh2VX9qFkrudjaVk6n5ezaUEMeY4WMnbIvt00uo7prbI3W
2gyWcERXZ+OX9L3+yw2dHcG0UBsxSChiauP4nCIS66XaS6UEdwxrbxIeL7ko7ulhHaR+2Ny2vXg4
mYCjBUYufzUInwIyF5lx53CmlWOkDx4d6/QU+W8IXu1M93v291xpOA81/0lfG5XBea0U1JSMwhpZ
m+lJuyyxvnVJuKEo8ev2uhajGoXRCa0OW5o4ux9yKUPT1CNO10LyGTlPO9G977dNLLrKmYmZq5hC
iIxriglNG2wleDVHc++hM5fVL1L4Se3XUprFI3Bmb7qazlwzjIzRq9BwPhUypYAPfifYnbVbZ2dd
uuJ4w043wjTKYs6OGvpkjR8NJtGEYR2rMel45ntq+rd3byk8gvueFKFNawJsXa5mbHIjrFMBnmsx
teWy2Q7du+BV9qgqTlSt5EVL3nBubHYFZbxQQrnCGPMTuzJ4Fsxme3s5ixZ48kxKrjR55tRbdZFb
ZWzq3KKhZScNY/blSpRYcjemtBFJpJQBdn7m0aPa6mU/MJkYJL/yJHc65NKYdrYjXAEpCCVc6ZMt
fqBJ0YcXCZjVeUEBuYcuMDrsDXwVt/iaS6oTml8ySd2jMn5795ZcmzmAqcoFCRcET5fOULiKEMcR
70W907ZC3W9G1YDdJnCK7udtS0u7CLMDCQHCFrxQ55bofciNSKiVW82puhD1yMc0u8/LbiplP/l+
tPLZ5EWLvIT/kDzBij+btLCy2HWTLIxO4dCIgMtimhMeeqScP0rYfTdu8oAxVirsnyUICr+2KSMf
vuYW23jseIZ57eh0Wi3tEQHqtgIDqjYw8JyZpaF7DhD+skcvJtu2pJ9qNmRAfvN8A/1GZVeC1dMR
UMRNLDTme5u744qPLHk95W/U7lDOhrtvFpLysG40HX6Jk+DDxiVC18cH/Ps6KGQcJDd0yElwripb
Smo1fe6XEWM4enUnFlpuw8MQrjTxllxQNRmLnIjzjCutMXUoVQ88ASNHYngnxoKdtOkW8KU95muC
40sBFqE5IFgGxGnwHl56u2FOpPi+Fp5ENR8OvR5nEBS4hi0a+ZoG7p8n2PwxQb8ffhZoOXQIJS5t
KbGhR7GggpGugTZqI96T9IbyrKkpXFK+2Zm2qaQ9bXe3QYnEpcjQV+YXtvpdHOrUEVs121TMAh4N
oVXtTmlHxERyBMVEq3yyVLPcKKLAAFpddl/iIIvug7Ic7gDVl7anGsYPdxBbl0HIUn0u4vpdbAf/
3urbZEPyr6JDEYCaVhvz0aSS6Iy+aZwSQrWDdN4Xpmj611JMR4Qxmi88Ur4N4hC9Sh6I65BO7P1g
6tG2BtLIMCLJ0hB9F4fC29djOI2I0ZlOh5FHoNy/tX4ZHlqlkR96Q3MhNw80Gzq5J9hR9AParppd
d1lsG3ES2HUbv4vW8NVnMsuhATXu/OhT0n8wx5fshBZpbewZnx12UdlAmZaOtu+G3aajwQuBadUy
RDg4mac5bga3HyTo+xxd701RgbhWMgXkv8rDOFPizKnk2rwz64I4RyF1F+ZZsXZ4lnwNbnqq7WR4
DLLNfK3qM7GJWzDyse6ePMN71Af/f0i7tt5IdWb7i5C4X16BvibppDuTZGZeUGb2DAZzs8GA/evP
It93zk7TrUbR0Z6HLUWi2rdyuWrVWitRLJWVrp0eJE5RwALAATft7IIVeZ0aIugA+57gKxVQ0XZM
ametie1t//2R1Ztv6M+WJnf7KQpywRebOIOAJTd9zMWgh0IzdwloPB2ZRbaZx3SiLYZgruWp1RB0
B2Jaby4ZI0s2264oY20w42FY8h/Xrkv0QkwQVbSLo5vv/HdVliGhTywLcJy8d+1zGjyazTqhpxRt
pben4OqSfrI0m4EitTNisqF4cmwZBuWuGyeQdHTbyPUFxWgmZwiI3MxvtAr6S0XVovEGz7pk7COv
ScPM2yGdtWBp2oGXC/qvpemO+bSgmqvzLKlhCaArPUKPDI/yTIHfOsmzdWLxEkxqIEtNGxwYXSJJ
d3ug12YzwJsZmxYKkxdNnqIulKA93lgK7XEmrCn7re4X7slrm+OzkdmS1aIw2yIlUKgx9Qgs1a9m
EaxUCUbEIV3DJS7skCuomInMFOTNJoBHDpqpz+e06DDWroCUX252fVhlyfAUEK3e1VBDv6vh9SOD
yHHlaWZwZwidPLcM3iNq9HF4QNuIu7ZYXuxHvEk3XVosqRJdnXJ0noKWDOmRi/vPtSD9IAOWP42B
igq9jjMd2Gr6cnthr+0rCLTA6eHqgyLf9Cs+7auiSqB6yvGMAU9YMSnyDt8Q0/4ufAUx7s52H9NS
9BsD4cu961bOwra6suJA5ExawGjFQhvW7PyUSdKAJwWU9LkEEskp/XuV5LukcrYsh0SIvST3daUz
Eo2leMejCRN9SGj8PB9uYgWZCvp0RKUYBJ90vHPJmwZt57w9oG6mQd28Jd9ZwEOP/R3sIcr0fcN/
+9Yz4roQpxOaItmj4S+1ck877fx0I+YAZduHXN1E8H3+syCaopE0TeShMt562qxc9l1mFmrMf1Rr
76F6fXvRL6cd021P0Q621kRJcm5uZC7VNBsq5012GspfrPxRBFh7g8a68X7b1OX+OjPlzOJ68Lvw
2pVKHmiZoFi3DvIVBRDG915E+sRkjHbu2wav5LxRwgYhOzI9eCNdlM2L2mF4sGvyIMZHuwNpnLnT
5Bv3D7Rbt/ZTaf8phqN0ugVvcnkVgAJlEgKcCGStC67nPnMK0uTAUNGORza7y7IJBL3R+OvC+D6C
kdlmObM0c1uuKwXJaA7sIASCQgvJ9rUz6L+slPsvJch6Q6pq9zv3vXxXFo29o7bbxAI93D+rRPFf
oKxHa4GDn6ePXrvuJi23TlpyXertK0Ju54CqpYpURt0VwEXeS5qk/1DhOSLKlJP8VoEuwU4ytmu/
YOK7lXnfclGbUdO61SZ17P5baYz5uErzIHvktWn+zYa0b7curo07QADZi9ZzFjXgYlj7Q+LfZ2Uz
nlhZcjzWtO5IfO2VeDQ4jqZWroKi1jeFHPF2SytKDkPq8g3yuA4NwadkrbwSrZURlIn7Xd9SMLS4
REOsLlDHL8w0DXsgRjZWT4EwExqopFLbWjdtIu5KMja73HAQgLNe7cHanu6gXVFHuerIBjKRNiiA
0GHSoqtn3RfMjNPOTJ4MeH8klADRNG0J79i1bWRaGXjyhaP734eq1B5JziULncHpfw3+UOx1tfa5
+JsE/N0G/mXItK3KrRga2+WJ5C6/a/X+SLTO3lQjE7vcrccV9AtsMFdMIsQtk1Hf2F3koXfzMekb
fhDIUv5wzEz7pwaYcJ2Nef9sB5p2pwKmIml13k/m5iLSsq58dLjkG+rKHCtsKBkZ0iE/uTD8Y42o
4oAusn+U4yTrVhV65Lt2ti4b1q7MgHhrlTl1FHjJsE/6DtSsVplsBxI0eA1k3gq1JVTga3OMDIPm
O8AmXXxl6CM+mr9E7Vfo05EqVo5PYsSaXaRVKM1EL3pmRFQb6UnvvPJF1dw/UbPOHwiaZcMaVPR3
lZcaj31S+Jss4SWKLiD5a4y0eWOlEBvpF15UgHlo4xWJ82BYKTCEAKOBfgiPNGlCgVWAOxw9M14X
Gk7hQZG4st51aWl/jQ7RZ5CjbwiqxvaOl1Ss+lqvNpnQMdlDCcosf8hXwte1lS/rbu1pRh+bTit2
blIbe80SfOOlRQ1kH541mjRYxNqkj8w8NzeuzRCKlb6z4NbOowEo5eKKtCf2BRfPYdzVMz8K0AU4
2DIjeBLVxqyjDHSvaqF4cJ6mmEwYOt5APu4E2EJn3PmtYCbgAWxzpj1pRlip2Fl60J/fOkBngUJm
Amrh08gsQcjp/Puplah64Jh90jwUxWMv1h4WK4naJbaF+UBARwpuSB2Ml5gpaErMDJFqaEbq2vkT
Q3bsT7UIIpqvxQfdqQ+JAkB3Adqb5xhpIjW/YR4gFfo2YPugPhhL8PsrQ5hatl3sQWRaAD47n6ui
Brf04EIR0D0GyFON8e1L5PLzyKsALgcaMqSMQLZ8/vm2zEcSDEw8DbUK/W9e/bVy6bTW5wZmewkP
QK0wJgOjHuKSgo7hVwcwbVMDOfEA6i4Yw/kA+oDpQHSDzhzZEL4JlgTHLucHrS2gfgFefIJmzrO6
JDOYFjh98ohyKDI+conV9uL7IDlEtRNpXA95fVCdnP98TkvFRD2oJ8P429E2rIYvRSMI41GqmhBn
oGvAcw3+4twA7RQxpKzMB87JiuVI5cR6FktzSQlxWsd/Y5FLO7NIUvhFraU67DRVFRLokfzW9FAT
S0+1mRmsMoIqF3okSJ4g+nDM8+GgXT6xiF4kz+gOBDMveq2lt+m+RumO1zvgiIB6gQB60llBme/c
islw3EkyslPSgeXHQhcq2fNxm+P/BmepA3m2BSZj6HUBBTDIQdABMOfKt5gobL8R9cn8CSYj/vKl
8zF9fcrdg68TXJMgsZv5D20AJ6hK9PJU6jttVenbr34eJDa6DcyyAV+L1/P5TDnOaGvZ6GinfgjC
7FhVycL+nab6077C75+6+fH2g2IPUkXzTBnLhqK3E8M5rSV91Ym1Q/1rATJ5sQAI1UGAgL01CT/j
6XU+BtrYTtmysT+l20TbVF8D92EzTZ9HsxrmfrpW55eEoTHSDdzpT6au3p3G+U7YwuP5cgCoO6Ep
DDeEDhaHeUiQC93we5aPJ1nGiPr5ErHX0vdnE9SL3GcWwfeZ2slyT92lrOvcABIbqDBh6vFaQh/M
/LyBqRQKhzmtj00dAj/gJ1+coPn355eQ2aBVPMP3i+KI133SbG6fgvNNilLVhOqF0hzUigw00s8b
EnQtob4ax+DAED0OK71Yd3R128S545tMgDB2EpdHOPZBQ32+SStRJobs+uCggnD8h6s4aVeiX///
jEzr9CkHpMqithMLRmwZFSxGbGllkZPH/z8r02x+sgKBkyKHbmpwAMRcDYfEjEwzpEvi07MJQ57M
MHGl2lOKGZWjOZK90QtTgBlROyryTmUsKFrtnqhcKIOd71wfPEj4PuTKsCRTE9+86YDqmsXw8GVH
3HR0CmIX3N/S92crwtqiNJgesCP72TWRvdTQsPT52VI0o6q9UsPPt+XKKzZ1Et9e6nm/3cX8zE6e
6WiensqEHQP15L8GxjHt74cMNTU8zaPe3uT1ug1C+01pp9uWl0Y2i3s6xx7rRtjsqDk7Y4wbsTCy
pe/PAremKQeCdwcWRq0g3WQvdQssfX8WTyFRpjRdYWUqdbDtk74ELF74/jwd5wWi8+oO309FDaD0
odG+5hP/u/JT4AGxKzDrzQbQpt2IzI7Gjr7/zOrNaG+M9vftNZ653bmJjwTgJ0fi2y3pJBIdRwXg
Tb2FdBv/Il3LhYlZvImyY2DJ6fwlXgQlIdO4F0tkH9dX4v8mal5yNnKeGlUAE24KpaIQTN23Z2np
+9PfP81SYoCWgHb4/kC3vFyJ59ufX1qEmQsxNDszKBqUjqpAg3xc9uGwlFFdGsHMiQy0LNAR6qOX
5Js5wl/Et0dw9fMTMR9Ap2hnmcst+K0GRSCX82PgPWpuBXzIQpA8+Zp/Y9j/XhJI2gDDANkXdByd
rwDoUHtb6haOwsYn0eBGT5bcqSVa8YsLb7qKIP8EMmDwoqJX7NyK0wMaXLmYJdsAH+md9Vd1sfv9
61M1QXShdAoxAzBdnNsoTRClIUDgR8176P11UyzBf66txWcDM7fqWl3HlQsDQRsJ9jNjS7Cwa7ME
zmlkPJA1uKy8lw5PMYOqOZbv7bCqx40BXdh6Act8bRQTqxrggKCrQB/W+TSRRvQs1erm6Hi/QzP4
dXsRrg7h09dniwC2Kmso+6I5Sj92012SxYETd2LhVXTVCuryQEiDFxE1ufMxVJDEQHiQsqNckezR
J79t+l2ZC87j6kRBIwYpLgdAwPnTC9wAnWgaozm6dN+sLXchOrvmm1DP/L/Pz7y38lvw7Gt6c6xS
EebmEf4JzIe3V2MO7/64IqBBjtIcQH84eTMH6HWlMjuR1EfubbtmQ4Kd46/bLMz6ELnq8pexlPK6
OqpPBme7K0NFwC05DHZm2OePRI/KesFjXVsX5LsgrA4CNuQ1Z0lmz+0HSC2S5uj/zep7y15AjV8b
gaMjNAfjxgRhnJ1y3SlLAzzU+Ly19t0t8J+ptTCCqyYAxsU5QQoBDG/n27e1Oel9ZtTHWkUs/40Q
rVxU9Lx2RNB+9r82vJlfn8pMFc5/fVRWZNtv0o6ZvUqsJdqXq4th+UDy4aWBp8zsvPu8KCTPgvpY
DgAJxe7b7Q18OQoHUn8emhyRbIH2wGT+U3xgA85BWTZWRwO6AhmkBQ7oO1FLg5iW9PwOBGkPnmG4
nKZE7bzAL4yGSyfTqiPax5wyHLNV+10G28LcLmJWL+cLpiZCF0BIkBOZy7mmCWDyArohx3Lv6auh
WthZV+br7POz5QispuWWRDJBb+4zFur5Rkv3jbsAgbncv+eDmB0RH5R0vg/lmSMr9ynEVO2dsN9v
L/yclBaey0EhBtBo0Pvga/Pqf5460m6tpDrSdy/803sALD35xb7NgRHb2+IworwbvN42Os3ObB9M
FsE1EYCsU3dm46qUZ4OqDPvADF7bMlZDrPUB+pTNyFcL9+TFPvBM5MKmAwoKLPybbexJv1XTSGCe
rPpYBU9/bw9k6evTAn46Nj0Hoojk+Do3utVAYy0IVrctXGy02e+f/v7JAk9cA2zksOAZ9ygyphnq
0Hc0vm3kchiTiIqOvCfO5pRePzdC62QEdKIhzyJ4c92X/EulRIS+SLx8/vxsuW1FOzqY+Dx3V265
XuLPufLrIUiJMw7iJhMKTjMPzGjWWGR0kpOrtmLcAGzw5dmZBC8DxLsT9niefc4qnvaJZiSnzAvB
Bu9/9WnmQb8GwC7Ur0CwivD9fPLNihmNp7feibcPHECzhfDn2uygcwipc+ykKV4//zy1rTw15Jic
RLqXaz5+fW0RG8DNInuO1vj5FWs0tdPkWpE+u1YNpqQ6/PIJQ+wBdhnAQyGfgRLJ+c+3iN2OheZp
p0xLo7T+xr5WHv7YnJ8NXIg6CNeQFfe1UyrDPN1U9VfDHCwviJVRQERxZGLvOB/AmCJtaHV1+hwA
qWBBlyKUSxp+15YYRQvwSaACg7ma/v7JRzR6k4Pjr9VObfpP8GAu9p9f+iDEZ6ALn6D+yKfOYXKO
1nWabJwMvKCxTNeUhZbaBubXN+qZldk5MDTJO25Z2XNWrToZserr5+zs+7O3TCEB0mh7fL/juy7b
aUtF1iurcPb92SrglyMeyOzsWb56ZA3utNte6MoigLIBjBcImVEqnheJM8dPOjVaxXNdxUAeFndg
b9Cy6LaRi4sZWxS4S0i5TXgGGDrfSS3jhYTGZvGsC9DP+S9JdZ9BMSJdN0uacZPbOQsBgJA2IKWF
hg6UvhEDnFsqM/Syeblon0v/ACw/1UI7WHi8XlkQZP5xLTgmYCYXQr4V0ZVuawZ/XrPxO9W+356q
2XpYCF3OcHezqbITrfE4p/kj+O3WZvCdZZsgHeMk+H3bjjd96NNMfRhC9xWoTqBJPEmQnc+Ux7N0
pNWYPY4Wcd+Z4+UllDGddp9YrgAMDS03wk78lad3aovnNeL2wQzixmV87xkUlaKSanHb/0SvUeRA
BPBh5HkZmeJHY+uQtfe6lcjAfDuoTj2RUh9++S1AW6abrdtuMKMWaksR0wf7sSJusfE7gKDzAayb
uSjbGDumfuiSzjqhkY9tNFMl6z6xWTyaanjKhKbFTVu8yaDl28xBl4dm517cix5KNRBg2uRlI36J
rqjWpRv8lhWUllOGbmFPZUFUB4n1IBkabHjgr01HtCddqmGFY8JALELd/plZtNhCdcBdcdr9LVsr
uLM5GIORsBWbfnoiI5nKSVQWwGSNju+sRKOjvwEJrNBrs+5vlxk24vd+2CSt3mwJhTY8K9rssTRE
E1UtQc60kvrXDtp/FhXxKE7ZRAQ+L0y1JbISaF7OHgvLe6gTUoGAwXyVHvBDVbFJSXK8vYuu4WAB
tUKIBJsAWM99OB1ZWVW6Rx4RbNT3btaN9wyR4GpwhLlSlZPvUyClka2ozeDR6tzgTiii7dF4mHzx
6P9n7J9+yszRU+Gozuhd8jiRqNZlu8dr6qSsceE+uXZAP4BH6Jf1cDPOLl5DOLnXU4c84tUbYSOE
rfvCJDr/htPtuZ35mf+OBwin/xqahbeMMk2Whk0eET3nIOouwFxw28L0hbkLAHAARAUfKIh5DBGo
oG5zHbtFaUAw+gqU/1XINS1EE1sMwanIXBJcu2YRwhggGAfnEVj9Zk6nlEj9Zm2DySt87w6kGt69
cnS1MioWHEjj+jTUi5Y8q850FgZ7bTqnsAyqmEA5XkCnjawuNKc3sFOVrKEOAj7KSn6x8vWxZqCX
BaYTPx3wq+lHfAqZkizXFMCo5NHsHxM7C6ty6V09vTrmawZpPmciWcK7c95KUQFxVZNWI4/MUgci
yUshhn5L8uGvyoZjQhx0EpoP4Iq7b8nwp2Hjy+098xG4zn4A6AIwQATmH+RV50OEnm1uizxLDp6q
ZRYStww2LViiXxyztEIG6czY7dpi2+eOjFvhsXteFu1qaIb2qR9Z/gM8y8aDZznJqoDmeqTcJn2p
DQ/wkh4Lw410XCeJHmx54qs18LZ/gfZkDywo2l3apQ0HI4NRrKnD+lNVKPdIQJgXGW0h7wdi8me8
ibB5M2+M0WqJFkIV0PGHxKocE9l7RwgLpX8T7tffUh3A9NuTc80dfmQePrBWU7PJ+eQUsqe6nyjr
YBpMbvLBMl9Ky9FPnqnKXcASf+Oi9wiSrG6zTnNsP8KyYG0qI/17+5eYUxZ1tkxBAPEZXAMT0fGc
uUYi3jNkmbmHxitoAtZTzQOBega9WxChDh5beVBUQ6LE9+WGZV0do3O02WsJSBNanp58Iw0BZLPW
tPfqY64Z+qpHR9I7ZZX8wTKcgNBkU5Of4SxxK8wOKkoCgIqiLgDoF4opF6hLv0Lzb2IL4yDoGNd5
ew98+dvt2ZnczKfJmUw4eNQDUoPODbwxZ8skrdqQgSy9g09MEQadRgD/SgYEJ71YMHVlNBPMGR4P
KA4kjGamQDKqDdimPRDwaVCGBbHFr0wD7v/LI8LGA4TXAaIUwdzsVupNNLYibuoPAvxuZZ1Fon8j
xlJ4Mbv7pnmbPCdSuR+6WfPoOmPAxDuVBK5mtFYF9BQEWbn6fYcy/+3hXDUEtUcEpxOL45yRwuBd
MuiqGw6GIapdAw35FeEQd2h98sPAxo1vm5vFwv8ZF1DQ6KhBwgGe9fzYmqLyBAA/w6EfWGhn7saX
AEYMYZ6/tyggBDYHMQFdcBZXNiEiJmSWsCksJEhn97sHSuSx4iOMjjwczSeXM+BBv5bq/RiZN4X4
YMJAn/tc5yz1PNEOhPYH0gZrS8pQIia03T+35+/aUCbdTLyGTOSb5mUqDrLldHSgdU/yFzN146L/
WRbfv2pjarPCKxL/TTQYs4PU9Dr1c+6KQ9DV+6ZrH9z2hHb020amhT53DHjXfYj1wGXagDSfbwRj
kFQItOMfbPBS9+5fga4VtEAkdr8q7GIhx3XVGPIrwJfbSIDM06M+AbxVT8vxEBjVrpQPAeRqpJ6F
eueEerswsnkpETsBnBDIYk7iesjHX+QDlVUVlGvjAS1ET5aJh3jrNxHQhycwx0HTgwcvNqXPWp/u
O2t4uT2vlxsEpRIUHaZnArbjvGzCgBROtFIMcE9ZVOkHbv+01RJU9fIUo/4DSDWwtiD4QF71fPF8
EK2LIq/lIeda84TWmjGSXOegEvDMYU+A13ujtp2eLLdkdzZ0hpfIo66MEnfipOSNzihU1GZv97Hn
qS0sIQ7CMF+LRv8GXp0/VpssOI7LKwWsLP+amRdQbZcr0AIN4jCU3l9dgvQYD6zb63Xpf2ECNZwJ
X4J7cr41qcH6DtKF4pCqn53lryULQL7axuCZXXC9Vy0h54FmIFRtgVQ/X7S0BUTGAET9QC1557E+
jXqHRYTbVlyM7QJ24sORz8731OwMkP/UFXERWyRB0jDLG9tDUw/1GpaGSC8ZPw5G6t0FgzmuhKtH
Nn0Ey0Yecr9K97nrNGjD4/RZQrZ8RcwsCJvGVatauHaY9H23uz33V9zC2W+cZuzTG8JWtVFUfd8e
eKGvKIHETDFUewU6Yduo3mTZrG7bu7YCQLHi5QWq5EkW49weXs1+j+699pAyE7n2VNuarF+Bp+uh
KxZpmScHOl8A1M3wckBlBfHpzMFy4VQ6q5v2YJh/1PAn07571ksvnwxoulRIrOx1qu0cjncA+2e0
FnLm12b2s/GZg+CmpgVEsPbQVi1SOebwzrzhZaR6EKnK3Vr9EvPZvAo6Od0JNw9kNQInX59jUEY6
SdJabXso9AoNOMwztoD0QojelBygAZHfNYWVPwoTHJ0Zd9Io4GgZd7ghItyFSwn9a/4JT4KpWwMt
ZRdhTseKsuiJ6g58ANtw22iPtC/+jGSJRuLajvpsZxbZjNnEyqEjHVaxB0PksVZoUV6QqKuqBe9x
zRVONRAw5k3P4flr2E+Lxk8S3h0E0dJfoOxtQ0pz8s/tE3J13pBQA5+IiyB7Xgl0+1aNrjS6A5CO
T7KSW68ZV1lLFhLLV80gpWjjoQDSgPn1ATfc+smQYjButRWefOaBFw1+sqTocHV5HFDKoVcS0cc8
CaMhSeoFUnQHFpAGmbn6DpQE6wrvuVDn3oJ45pVLeQoIIUJiTvilOTYjyGlQqjHvDl7pxGjmeYBW
/FM6GmWU+Mj2oENnrVf+P2a91DR2LeCBDAswOoh5EDTOp5MaidNJM2gPdvCsa1s0o+OIVXGi0VhW
MdHe+JDC4ywE3LMM18eJRzAPbjhURfFOmnlTQVnhIeXZHkqjidFP3YMtBdpNleakKLEHG2DiyWZM
lpiNrx2EKaeG4Bio6Iu6Bw1yNWgMZns4FkLdZ4RIv26fgjmTyX+GNmmYIzQGtcU8vmp5Z5HCtDCh
qlerYKjUCs1TKOh0mhVWbufHKZq4o9Rqim99VZQraXsKEAxugEyqcUJmGuAer5puXwr9iyQ5049D
HQuN43gsonVvHrEYxB47mdH2UHlmiMx3aKV7zdz3ztvtWbgy0ajP+NOjDV0zSFCc35atg7pB1sNO
r7+N5R+DL9UTr+3bMwvmuQUJKst8KEpwhYzrBpRyXi3CPivBo/TMDRCFDa94OoJJS0W3R3bldjyz
O7uayxJlDYD/cDs2r8xOI78FUe62pac8ef26pQkki/co/M9lxJFUVdBO97BD3yHjScZDX/1ph4Ou
TrcNXVusT4bmILpAb0luJzA0orhlBz0qPEuZiqvL9dnGbLmQzS5LS5uCiuYgERt6dQKOQLouu1dl
VjGWMqJGvpbewtiu3Ba4KSZwBG6+S1kX00k0AcqDFjJLpVyJ2u5WE1nuPTrgm4Wdcc0UKJudyYcD
7TiP0bNmLILagHMJAnrvEXtLknvuLARnS0Zm81iVAyAr6dAeUI+Goutb671nIK67vSGu7fHPI5nt
cddrA733EVsTf5dOZQB3a5svjvXN/iLw/8MffbY0DfdTFN9bSjNRKcY9kMg7PXVOHrV+3R7MlXsc
whH/Lsv0908mxsIpQdaJwbh4yKfVr8wyIhMkHEs0wddOEci4kNqZgFAXlROzYx5hBXY4zaWzT9Hq
H4+aqle3R3NtaSCeho5csG1O2enz0ZQUgY6bTc+QogxOPUdymVO9RunX8uMuq9i+6xVf8ObXpvCz
0dmmI0NOxqTCzjaKe5RQiIWqwL1WvXx5aB4oNRCFoGgCHM0sJuCE+ink6cUhk7U6moqNW72o/Z0P
Mva492V3zAOxxHp17e0B1DgiVhSJgCmYJ7l79MbV0sD2UNrRbd+5595xNJBCKDkCE9mGuX3skIeE
5A9JMsZc7W4P+sp5hgge8rdADsHJz+uktQhABJR3/NBaVTikNjSvX01rwciVTQMj+IfbBB0R83oL
5CN1VrKSH4gR7LMU9fiG3wvQQfTFvukXr+ZZ8W061OCz+OB8Aq0Vyh/ne9TOhq6kac4PvMyPTpHo
oZnzTU/ou9OmRVxTmoVpb7+UPQ+5S6KxZPn69rReOYxTammiT0EAf0HY1hck4bIM2KEp8p8B+5EN
Yqlj+koI+9nEvH0P705QvLceO1Bj2/jdQy5dSP4+myoPG7c72fbCIl7bKWhgmpYQUFFjjkSxClBx
prbNDlnVvLtifOmB39FGhD23p+7KYcfZw/cRvqKler56YnRMrjqXHYzcxuP7oRTfRHd0sx+3zVwZ
DsDuE6Bzkg6+kBACR26jS5Q8D2Xh7FutjZSAIC9dgo9eWSXE4QAwomqBMz6fNbAO0YoVqY7ywfin
IfaPpAv+6YR/X5ZaEkpkukIDf1oIBS6tTiUzUFHiYeVd4j0yrwvk2Ej94EBMK1ZC+TEztdBNbQha
0jSSCehXDbmUj/wYzXneaLKLplekqQDZvIjkhgp3U1PoB+jIFCHEoZpIkqSLxVgcIAW/oqW9EUP3
28zq74hy3zlX60ZDXslQVaQVbRIrw1mP0j8ooYUBMcHpbz/libXN/fHY9AH2gdk+FIr1sW6JF+h1
fRvTNDLTZlP7/cow2TOtGh2MsiDGTMdVgtRhB04qS7ivHEp3SA+g9bjuXivubungROBSiozOuKN9
v8GtsFA7mNd34YomihK89JDNhBe4eFejGy936aAfmobQR0V9sR/q1nyoRqPfpsQ0ThkACH0Ikqz6
EcC/35rW8WeZ0sANXbFJ3Af1cyCiKWIt8+lDkLhV7Db+b95wpHk7IVe3T4XxkVY4X0JXnyQAEB/A
h14QGXiMSiLr1nmofLeMWOavnFx+b4WKLGNYQbU1Cw2Wxixx125lrcHYuHe4BU0QVu2gUPIOXq2w
Hbs8hiwYegT93Wjn26riO3wurqEvqtM6Aokx4gbZmRGoSV4qn4pYjng1cT991LuO7kHNCCnYwv5j
Sv8urU0vVCZ/Ek16XxbBkdU8vRtr/iBIjUx0xlZuDZKyPNvklhR/U4sBu5XkbcxFVoeNV7lhlQyb
sfHfqrzLUVofD2QE0Q412pVmFHfmdPNlFrPCgdg0FIFqdyyDZHY52Oiw8othNQaZFWeUxqan/fWb
PBrBBednFTji6oh0Ggu9HjTk4IXPQiqzbp0gB83ChBQ/Rt+976vuLXOCeKj8nd2wR8doH5w8jy2L
nLqO7MZE39ldcJdkTpTl7R4SVG/gKN4R292CrA7iSyJWrYrpUKwBt38ox3ab1+ybl3D0kab3ihTr
Gvku1f2oayMeWmfVe9oDxGTh2YZg5QzNU5XKbS29b4abnArS99sh4HpMlXufcnSXZ2x4tyv9rbaG
GDnYg1uaKzYEYFMrDhUdyK7U+tjq/XFlEuwE30RXoPML0tB7Pe1EVAV5GlUqSMNRFmRdG+hWCLTs
oKwcWcwhP2VjG1ud/UurHG9tQ244RsKJhMNQ/bRSj+9Zlm9cAW1yJCHcBlRzlowpmHE2TlrubJAU
xC00WiJwAiI95CfveUb4vuCBEXtMD9E3NcSgTLNDcBySSKTNz7GDdoGbOAvQMn8G2sChBjsaspjo
bAB+CAm/8/gCEKUmAXzKeXC5VwHxBdYp0xfPVctWBrGiANhFKxA0Vroa1oGRmWuzQScu17XfZitX
jSXihJJylQpQavc9Kl+BOx3+Xa/RE9qPv4uRxyCUG3ZqLAps0JTc5x0Fmd/YsVXTgomQKvYy1oO1
c7U84on2Q2fNcdB08JEOp1JZR01WkCGw77NhoA+j2ZeQlZYnN6hWvbA3Js6PaOzvCS1+BiV5K9LS
CQHGNCKDczjFYHyv8v6nY3T3pt48SNuIs7558Ipmlw4qoiSwQh+E3rLLfiJLClftOPcZ6i1rmaY1
2BbN+44YIW3tb7p04ApYZPdWpHO+tkmPtyPK9aQ37hLb3Ga5ejYKywmHPLhHMuL5tke7jD2xWCgR
Q2MauK+LjBMpfKQys959cLo+hS9gTdgIeRJmdqp1LUxcdyF++chYzjwomsiRWoRQBzJwH6mITw8+
vIGKrh2F86AHrX7AEFOotgzmm9TqSkZgs4Tnd6zY0NcJKhoyfuy5udOzXF/x8i8oYDYVRKs0iJCN
fxiLO3iEh1q0qKZbzD2UOgfM2I0rS/arumQqhrqieqW50d5TKABvbs/eZSAxYQ5RA3JQBgIZ7ezl
RQFqL3uqjIdAVaAEJsRP9rIau+eBBgz9SFkC9nYiu4eqlfVCDO1OHz+fSJzX/yHtynYk1bHtFyEx
2cArEGNGJJk1ZA0vVo2AmcEYw9ffRUr3diaBAlXfPmqpW6VTO2zsbXvvNVCwV/DSXEHLuCbqj07P
hmsCC4dLY7XNZ6cQxakXDZRD8Mw9AEmcfEbPTHuCoyb9mQNHcTaSHm4vsW6d4TvYnonWuS8QDiWX
NhXZ3hV1bvvESQCHU01a+8AhA7Rf5mqXxeRn1Zrxx36s6iww6y5+UlyXH2YS3Y7kMTS1UUPVX8za
0n91DI4ithRIydjUTwaZgLWBXcc3phOx9yrH++wyE9fXUSvx3m+GizN17GJ3tXxo3CS9alrahChB
ieNoQPFI9kxA69dIH/pOwa/BzJynTrLxE2N0+CzLGgsAl5Y/htlBqBXbLEgh1Mn8JqFaAe0LSEdw
Jtsd2FzWAWZTWzWZ2/sy0AgE+oPA1M8y1ItH1SDTTDS6gQF5Q+E3ma35Rh9/0SlsTO+vudsHACKh
Nw/Zxlc01mLN4XFu1MM8dY6V+nBCP+TWNzFXgcjnfw4EUC2ZWwCz5NRS6b82VD+JypDXjDjyd1ro
0yGD1WyUcsvcGagub7V0bnORC1jHzFLDexusxHnkbzKDTiZ7LLB7rrKj5mnq0+lQ1nXzu0g89dES
Og8cNQCteX+Yt2/RueUAT7dZAxlmHfOvehPVYirrGy2XV2K3za4ddX0vnfEfxV5wKCIK4K7uaxMH
OLr3UYjV9vA8qeXVgK7nU6PGDBf62NiNvbXVTnztziwSA6qcqELNZRMgIBYHcKYbMQCRmbwmk+SP
srChXwMZ66inTQdF0cn6lY1iujoOiR/badJ+8CRLj7ADGgCRKMpvYnLTM0Mm2NUsmYJSADeh5T3/
4EkP173KYHhJwAbSKqfJpwUx+yAWRb7L4ZznqzyB4K8SMJJqqmavZO6GQzvFFySRPqg9ofvYjMMx
Ud0vUdsSQCENaaavmt2ooIKjK9xmZA07IquEFQj2vj9StWsTCNwPbpYis6kYCm4Ql+ck3tuKoDCT
O94ptQQ23pSYodlA0qgvYY5JuZ1/AaL3j6EE+eOpiQZdLcRO2EZ/No2B7dJENAdeNlmklz2alD0K
QX8mFmvX3BVm7lsGh2gybbvhWXA2lBsv0ZW0AUcx2CvjMQqt1OWyqIvYnHRgEa+20Nl1qKruewat
6oshqnHjsTV/9eWqmNGVFmQbobe3BFdOLQMTVGbDtdP6cj9BbC7KGHQ7Gw1u41BVt3ZMVPnFMXP2
Bydl8l+MdDb1AYAKDROU0t5vgKzLNIDW2uHqGuOvtgfKmnK40sb5li7USn7EC3v2zMbrEqXD+cx+
s59TluiACyITU1oHnXrsUmBg6o9unGw8BlcmFBdc1CQRaRZTWySOjNsDKjSuvFqd+NqaEA8lMoAO
YFjilluQZj8NoMUWVng/X63cOaARANYquGEzfn1eUm/G53aO5qZmOlwrwAf79G+Vfk7EKU+ATADh
oSI/7odbm85ZhwIrx0ORcjlKCGw3npZb8jpMz6i8wqzmobS/GNrv+2HWRkXmxYnKMszVl2JYI2iy
rnKYvNLKCVhsF34xFl8dlf3SM1vMMuIvE5hcG7l/bXCzOq5LIa8CsNjiEyb5AGQzl9NVJOh3xdFE
vsdGFkzFlmrPTSDA6XA9dLD8UefCPfv9RwPa06PN0PDI9i5wtmTia4nmmvPt/iSuRYGYC7BhqNrN
FvXvoxgMaPCMkjSS8qvKBgAhDBAVHfSst7iQq5FsPBcwGsAEl5+LZ7WNah1LI06ss5EnB1tWfp9X
55y6x/uDukmRmDoP+A5ceIDNBcTu/aBGszZZAchT1GrlvnGyTyMe3rSbNnArr4XTd/lxjjMrFM64
B6C1F5OnPB1PRwUvP88qQqve2yUqJR/T7Mr6DwBTc/GxhmK6VuY+dD4h5L6xFG8uP6/hgdqdMYS3
mDJXVFkhdJFGzeDMJZqPtdK+93oXclafJ2C4/4tZRXb633DzrehNFgGYpc4TAiZfZhKIv2eBAdnV
LSDyzdVqMabFlOq2GgoyyjQqh853rLPXbSz4lbWBXGFBLR3akhRf7v0o4gS9IXvAKEDmCLzCCAr7
pahO96dq5cugZ2wDUQ38OdCWiySBhaE3uN7wqNbxENFQVX4oY1v+8GpKQ547uBfBnGEjy6+ODGqm
0MPF+xwA+/cjGwo3ngYDGwwcmMB0m2D0TkmSbxzKK9vY0YE1mUGkSO3LnjgljVareMIHshK/t59L
9cK72ShjYwpvsjuOD0SZUS34743Ogl0kZp4SJ4vEK4rAVfpe1MwLQZz97CIz+gMUwAOb1+Rw/9st
uUyAtiAywEQQh9fxXF5eO7SmASBE8jyymmQHKb4DuhF7eB5+V2Z3klX9pyXkmtEptJvyYvZ/74e/
3QCogtkYAYr9BP/MpbI3u6w09cKuaVpFqM2TD6Jpyh8qM+XWZ1wLg9/9+mwCcHzZE5K9lzdTW9aR
zaEKxwe7DfV62ILYrszlrJUOxxiKCjiIQIs3jKVMnrVGW0d6nj8y3QSNOdlV3ovFP5fcvrgTnBYM
Clwa6rii2NgQN2OEcDCa5PgPUHC3pLRxoO7UcGOKuk56p45r3d4rYd94/4PNCePdIbCIMv+KNx9M
m23nCnc2TWaHdEQXaOJhMbq7pjhV+cGehI+T4X7Imz2IkHjIA5GCStKs0v8+ZAMPXlKYpR45UrFL
iUdVVCjGQzMf4IJotfz5v4gHrRMU30DyRN3vfTzPK7uJt2yKVFukwVCTnVMWF6/mv3qAG+/Husli
89jexFpMp1eVlsW8RI9gEhO5VneQrYISjbH7b8Ig/0OODazVJZxNq2O0WLCJo7wZTX9qRZArt/Sb
dtg4NVe+FehvQIBCjBtdyyWG1lYNeLfwtIgs8zLVX7L20RI/Op5sTNst6gH8Ix05GW4EAJIAIPX+
G1mNyBo0ArVIryBuZCl/yoBVnB5KAmP0An520ijDtlXkkmisO0q0P3au1LaKWjdpe/4ZyNpA50Dk
8IaIr6mxAvsUNj1Tb/h6vIurnUwZ2Pgfy0z69ZYf1cpqQTgcs0Cbwy9hSQnxmlQjNus1HLSPWvbV
pIfun7v0ryP6T4hF8cxNKyz4FhMrs8oHXgW0ydw3h5f763Ft3nCaAtqABzdKIYtEaetVoRWayyJh
/UrcPDC8p0GcDO3BG+EhEm95Zc67aJG05sISbAxw0kBuaHFBKXliWrFnsmiYvqUwX2vaLU9DY23h
vw0xj/hNXhw1WfcmR4gadbsLLayXDHSOgUNBQMvr4tiNyvMzUbWtT6zpyfTizFf9+MNSJIQWSMCY
9aFKKdy43b7e2C1rywbFQqgMQtofl4vFZmktXtsxYyzKp4cKVHyFZo63VVVAWX1llpEu5xQNfVco
s72fAplAv6ZD/yEylWtEY44KXinh71UP6Ol1LmpFhap/1dzx9tK1hq8VbapdpyznJFGJgIWS+83g
PZzBePy7w10hNDpQW3WgVALSeDyUBZHnCiHOJlpNx0Y3+1NcSg0FL4lSljAdedD0rjoYBfZHDI52
77t6T30bZOwTTMp4iB5A6o8zbieDmQa8SesmMO1U9xlJvzuSGjvVyxJFNULDDk3BnKKX2fWuFtqp
DdJM0BhAHesfBnR93FFWQdyqxK8nLyj0HPZXPNb8Ma4cX7RwZoYsiPlowQzRz0yj82vDqmFUrtrL
wI3iYg7OcNTBojhwj1aXVHhFADiVdtXK9GtTOp3jV64qvnZSoSSo0rwKUQ8dQegbW+3QTLXYSYuT
nciS+gkqXdYRlBPnSxEn1gGdGCsc+1Sch5al57KiOSgamjhrrsZ9vUjHhw6qYVGSOGjZyRqIDghe
HMAef0lSuE+ywWG70XTKsz11/Jh5pD30hV7vvAQAwQTP5rCzYFoJ/Y08AhyWBSkjeYDrG+azoCIs
NZwxLJPWrqVWuR/AB9oLB95Dkwu3LKXi4VKJxD6nFmpQcW9kR2WyeodKM+raUEX3QTb2YDmnzHD0
bFi01EqFCrwiP1HOeKnHtscH6ocLczNIQdoDPUCvp//kanOtlDssah3O9gMe/FHnOKlPUmjG5yiW
g/iLbqSta+7eJuzRYiLfdSwDkgswAph06vrn+7luLTOg9oV7xKzhdQOrzWHTJgWjbgRXmsBJgJ4Z
jCIEaOeF9+aX+7HW8uosWgQAFN7nNxjO1CU1juCYRZ4qXR+b9MHOs6tmKnTW3QqY0Sw0cm+Dbjdn
z2V2RR1v9sgCLx2ixe/3PRqZuTcRBYOjIj/HVnLIGx6WHnmCTEUFlSl6vD/ItTyDSzbeZCiTAvK4
uJ+5zsAniVp05E3FH5jz7VqebtBZ1oaEvg7Ya3O9DXjA90Ma8YbtpTWwCEaugbD1i1PB/NH43RCx
SzTvXzHROHPBgofMFM5DPJ8XxxOgqYwXleFBDApEChC3MsL3+bSFzVk7Bt6GWRxRnA8SyhWTF01O
lJqNrw0nnJkbVZq1FfgmyCv24c05WPd8UtJFEKs/DM7zUH2gBXz4Eguu7n87slGT2hjS8sE1UaG1
aTcimvQ+Wxo/CDo+MGSY+ytubQvDjdee1TRRoF+GAQm3tt1pljaKWSB1Brnvs1vxAPCr+4FWXlfo
gkF3CLVkeI4siW4Maidl7cDJWgMAYvib4mSy0nPLdl6K0xP4N0AQ/n8RF3cDGPXxniWI6HXNvq5A
Fa+fFfkOZ3F/qI6JCbsqyJvfj7m6Rt6McrHe6YDTvx0Rs7GLICsLHEgv1ANsqi72Xd4Eg7L/tYwz
7zC8jMEdnKUtloT/EW0uPU4SFuHMmmBNGxPghtg3nv66P7LVheKhjDFXM+B8uNhioxRxhlIsnMg7
GipA0Jr6e+x1eyY2MES3pQaMCMBQtFeQX1EGWyZdYudWKxWNQKGOysY+FC791AwKk0g+dHzcof2c
+7MAGeRgkoPHrd/3h7qy9VDXQ0N4NtXCfWKRIrVsiImRFjQyRkjOFDKugnHigFA12rS7H2olGyMU
kMPATQEytawvZlmn9xWerxHVvkzqGA+4GWX0mMIX9N/pUcCqzKOaSXYozi4Ps5x6TZe6LYW8GAkS
5oZwaDxoDrtIBthCnm1yVVbnEbOInj4aIKivvz9qDEPESkyCRjx1/VybPtmaflUe+Xt/DlfDzG0C
NKrQZl+mML0eOQpkjEam3Wi+Zphfe9MSh8ok9fG/iAR5ZjT8AF6HOPT7AQ16k3XVaNKo48J3mLX3
Rmc/bLowrA0IWiRzaxFCE2hNvQ8Dm7eurtwEwLe+izrdlL4FePle2kl8uD8g41UmdnHDwVazYLwG
uMCtsfkMxtNTMpCodaGZP2pOD800Zvhp3AJy+kikDGA7rKFsmTTtrqEpiuBelftaW/8pdFl9Ae5T
Nb4pWuMIThz0s0jRAndn2M9NFg8PuKipvdZUaUh5MQRxPtSTj5q+CIhdkRC/6s+YGWhMG638GMtK
hQDZlqeh6etTmuTU77yWwi429i5Jw1ABgZNHAPwD+JHQS28eY82znkyWAGQZF2MA2Syof7KJHJgp
kohVsBobBxHvoLLchqSv5C6G4UgQA7j0ARqI9NQAOeS3ui3DGspfPiVVGUx2P11jPvws4a0CNJ8T
nweg6IIO5zHgcTrMfW2VnUHqcILamCUi49Y71I1uXYXsYNXcyE/xoKuDqtACjgl3H1xAEg4J1NcD
ANPUQ5xnovbLGNg3Hh8ne8/RsauM5oHgNZ36wEyWuxTUKDxXXOdco3J+RHNUHjgAAw9GPenR6Njj
c9EO3id4BZgPXUz0nabpJZwcMt23laWfC6qcPyXDgLLWms4JkA5hDtHJM+x7X9F23qeshfU3QKnd
Yba437uAgASOrI0T/tfkW1kfB30NY4jcEiUwi1bsI2HEvuV2APXGkMLnYrZdtoUZ5g6u4A6D2xA2
TxkYFRehATT63145MA5kKQ10K3XPBZi0V9kQ+wyJzOGRKsANYmhaXJoWNGNmc+2YycF4yRJdYGFZ
SsEswjU+l3nLNo6ateyLqiGkeJAZb9vpA2d9ntKcoKhdfaMDmwJWqdFnqf5C2g4XFB5vXLdW7gdo
hkASCsABgO+WXdqBuLVddBT+1Mm0K/PPWv9HKjhoZuAVDz/rbpPwcwPIRdJ/G3BxCbISeLxrgF4B
SRm1xTdl/SzZY5ocifWMgpjf6VMgt9AmK68YiFBhE85VbUCQFpeglPegdREGvyBThBI5+V8tBcFW
BewSrwn8PShY3PTusxgmNQqrO5LWb4PB3nyCejTdotu8ih0ukyOhBvodM96fLL+WMnvcUoBpibKS
aHtYilfHtobwhNZXP1Xf2w+QYbW+5DblwQgNu4AMehvmLQfEJnPqECPonnkh3H9/GuAiBo44KlJo
yCy74nVG8lJl889qnL+AOMQX+CrxnQWV5Y3Lpb22XnG7RKMVVCB0DRYNihgVrSyZJjeC4U0TJgNQ
23Dv+aL3uRnoqfMb0NYiZGYBW0pIJAEBw7ODKPnM94YUy+TZ8SPt4WiBSiiEEtMq3bfGpF1SXO9Q
VIZajRwzb18UGfxXXW75TtOikAdrdxRSPBVUaWGcqhrUHNRM6ENMO3rwUhXvAD4tX1KQ8ndU0/q9
HR/1QhDQblFrCvuywv/HKwbFmUwBuwVYGUo6CqURZe+QyYDy00Hst4GXR+qRyP8dFMzcFjy/++fr
xvQtiWhUmdaYM8ONnIGASM2+DBLGkdSMfZc6h3aUgVFC6/V+0LXrw6yTBaNy3IpuUDuVVVEB0gaC
yvEy1tULbeinmEOK436c1W3+Js48+DfvYS/WG1XCtD4a8Awe09S34b55P8TKowMGzf8ZymL5mV4O
GgkudxEY/Wb+0BGscvtjgivA/TgbU/bKVXozFAeg4dJuMZS4eYHuPU7Ez5V8uh/j9dp2k03+M5jl
s6KBnGWO+44b1RUoQGn5Kaeab9rdY9+lv7OSfsRoG/AU7WNmpVfOdZ9UIhxJvXHqrQ8WyQcNOvDQ
lu8rrStHvOE6N5JaHmggNhSgA0ECZbcx3rWjB7CuGaoMCWCU7N6vD6KSMsu1wY30jIUM9Oe8Ir40
7KM9Wt9aYv8WHKSbaThB0vp0P/baEOEuYGPxgL17o/5lttVUVF7tRrR81IcCI/xQdt/vx7hVE8Eh
hPMHtGgcREB9L9Y/0by6heg3Kk7NI9e+FW4PdteROBc9e3TZrkdhaPCOQw/taHLt66vKhN8PG2/V
W/WGxa9YbJGmAFheTah76cWjrrjPExdS4rusAhHVDcrkj8HA7914cq1t/TdDX3pDZMoEFgA5NHKK
Khpy+tLl7saWXB8Y0Gw4YfFCuQE2NEViSzPhTsRVFjXN+ODWWRbYVR2BPveVpPkPPJTgWcB+cdPd
mNXXxvtyr87vSUjhzXXY5R5JHJ11xKhwhemtRg8EJGgDZ2Ldye3t/kibOg2oG5ef83RkEYw2sx3w
8iWkREGhM1kM1fJa+9XJGF8gkzJMY5YcDWk6ezghD2E+OsWu9swf49hS9IJgjtN7lENLV9dfJCXo
tgITuc9GV/mstNrCH0wA3+6vX2t1k6CcDpQK+swg97/fn6XboaWeOE5kZkgz/V/aaeVFDtQ8OmZt
7CteZEFfgTDWTBWuV6KFpWFhVngdjR7Ws1Y8Q0ZcOxRJL58HkB7RhJgc0K2ylOx414M3PLLC81Fu
ZscYl4sAuqT6WSnWHgy8DwPgC7UAHcPmjGeVffGg9etzKAE8MdZXu1prrEtD0AzJ6di8eO3G9l1d
wiibQW5nJsKbi9GDX9dNLQ7FKIUQhEX6Hf1Hk7XXSyrKEf8XYf4Fbw6VVNjlSAxcg/U+DYusC7UC
fLZyo0WxOg4oqDhgn8wlq8X+J0kC9UG4MEdu3Xwyi+o8OeZGiPWt+J8Yy/ZnPRhmW/bEiSpYX+U9
RfWNTn9caJj6KpORbfCdUtq5hOPClGyx0dfuALDE+N8BeotqnC1sr+DYOpGCyGdsfXXoc4UKA4QN
7++HtYmc9WGA9MO1+kbnC1rdQPBmlRsZLQO71YNYmpZtHL2rMaB5jvU2916W+G2tTuKESstBAcn0
aQXqoSbNLVLL2qt2Po/mat98c1+sCL3RwbOrEi+K9aNn/gREZ8ezs91OxyzeWBlrKeRNqCWfLwGj
OUNh2IvG+Go4pd/1vrA+/hffBYVtoKTmLbWshjWeXrnQLvYiRx+f0KV4GoXzfD/E6ozBZAqAPWAu
b9p8rDYGgxYMpIgGRKMs97C8hlwPjaLSg7btzYNjQkriftDVuYMRH4rMqHEDuvE+PUgi4tLKZyYG
xAYkeajkg3I3zunXO+XyHENmQIcA84eC5WItxEIQ8IQ79EBKlMka72c7Gl8nAqSsqD44IkNplj3r
rohQkXs2tBbAMAtqvlMMy6oJ1Tnra6FnJ2Fx6Td2c0ncv4lMgYS2to77tZ0BeNWslo4eEc6j97OB
e9TY1pbwIl5NzU+vEfm+4a55uj/na++xt1Hmb/ImJRe2WwFXgOkgie33kwOe3pM3HcscihoUogob
S3c1cQLMBDi+MV8mlteIATeUBkg03EOZ2eDgBDSFQjgxTIgD0nMGiL6bd91DCVL9wTAb94TZbj/d
H/Pa4n77G+b8+mbMKHB1bip7NyIC5jV8SvAlvdljAUxF8zknTXg/3tq6RqcPcByIWqI6s1zXFdT9
tDp3I7vpdiWHJDhjYQsTsfth1ucWdWvcf+HrjMfu+3EJHQUSyRBHxeVjTEYGykP1IDwr96WVPPWV
86Oq1HfBSGB3xcakzstxua/cN8EXnQBdgDhZeSmQD5N75S0/ebzYOI/WgIDoPoE3B7ADOg7LBJE1
tlZmED2KiP7klVU4sfOgIL4UZRUqzsXO7IcdM73AoPFBGHFwf37Xjl3cfM2ZDoGMuJxezxUd3veI
DkjR3pqKv47X7ifCwiJvtl7Gay/Ft7EWs5lRAN0rCaZ/O6GujPLpQcT2J7OcPgkBhYRYVae67veO
0g+TsLqNlXS7YKHMgv0Jjz6M86bGhYoTKjNqwO2m/l2KAZpHR6L9+dfZRAxcMx3gtGe8zOKtSEez
gnCJpJGVaN9KU0CquLpoZvfQ0Hojx93u91loZjb3gucyRDLnP3+z37VuAMXZ7tFSLOCXhN0+fVe1
5cv6wXK39vrtNngfazGspppSLmN0+MxyZvJ3Idmy+bzN2O8jLA6wBJqdKqEYDe+eEycshQg6vD5Q
hKX9n82axdp4UKyARBYOIqA3Fzllyh2ROIrTSHLj0jDvMA0biQOS/zepA4RBSCkjP6HDfVMWiTW8
6oQ9xk+0Aqdkn7lWeSzMug8FjosuUKQnp9hyp11hDu2nwZFJyAF8OtUdsMDSi6cnpTXkpEML+aks
62Qfu5n9hadcwQFPjAdsoeELcH3kA64X2VEaLD/WFpX+NAHM1ugdD9sUwDroO5hkB8Jws8tQAPsI
SWl8Q5bYB6Ygj9iIRkLrNZfHvDTz0KWgJ1ld4u7KzuF7C2RSf9Kz5JxBkz8BObvPzrCV+ta29K+D
6A+dketPgragupmZtwM269vU6OLQ5lyGSZvVF623p71imf0AAjCRPmuk5QtZjVGuaByRogMbD+iQ
oPFsa08S/lONHbBKVWIEcQ2lELth2qM3lsMl89Jsh2KMRG8sq/feoNsh3IRgBw0x8o8WmMB+k0Mg
pVI98800SXYe4xYkLc36A+uTIgA51nlhGq32jIviGMOEZN803fBQN5xCx0aZp8axv9YoaqFx6do+
dPDiZ1QJZKDFaGYaHVAsbmsUD9Cw/RkPRhKWnYZKZT/98bZU+m9TM1YQYFUz7wl6A8v+Si+B00xa
SDBwJvxKRz/VjQO4l/nZv1NoIJmIKpozqxqiELJEi3mQTBiVJeInkxtHj6OjmbCH2q1DNJ18jeth
VwzPLbV/ZKK4slz/507H+/CLg6GP+z5VqPc/0dH9NhHzhSTiMEhz4wRYS5nguM6IOLB6b7xaHUFT
24aC/hOTZO/l2QPA+QC2gp80dofSkP/8agLcYyY2gqeM0uHyYBdOZ5DBIPGTkyT7AsxG1sUPubOF
RVo712apKmD3gey6QfDHQqfQ76Txk62M3q/K5ILdFA093d8/29aSJtw3AcvEmxbc00XSlDwpLGjG
sqhyq182ARNfGGzjMrQWY+ZGAneEa+UN57QVZqH3XqdF5oiauQVWd77xNF+5TwLV9J8Qr3/+5tw0
+sJuRwIGgqQ1hea1J/2qyI6x8D6bTf9MWyfsu/FEFbKPtiWctLalPXRLcVxDlPmm2JnxySWpU7NI
Ofme5z9qVBTz8QefNuZxNQ4KHLCOmCnJy8s53A2tXi8mMP/LEf38z3Bs8Xvng11+vb8mVkBcwK7o
kJFwYDSPUvHiFQCDKM9Fz1+LsLdMTCkkjkoNitagqsXX3sogUgevRwjkiO4ITL0RloNyj+jUp+H9
X2Ku3CAgNoTCwexQA/zT4pdUdjtYClSkaBRoF5opnYKKeDIgJeQgeW7kX8cBsv7Q7oW3GXXqoJWM
H+pUJ0jyLPktcMrtVRYDP9g1HHiPPj9Y9fTNbWNAqNB93pMsG6Gcp8W7vO7/ph55SCX502e9fZ06
sw8lTwtUO2GxeH9oKxscI5s7KwbcuUC2en/Tsxs0Dznc2iLNyQFasHZx7jzrZXW8H+ZWqQ+PABw4
s8UuyKIQ93ofZ4jrfMi1RIsYtBFLuBwrG2XgynKeiokEriihy6P5LbSiIYd0sJ3+SRL3YUTzI6bl
iZI+0JL24KrhargdhA7TowH22f0fuZLC4Z0Dk4pXaSmoP7z/jXlLhrHWDS0a+w9MB1gkD029QQea
7Ivxw/1YaysKLkto/oA5i1v94oZNMxug/zSPn9Ka+VXzS3NpmGSHPj2MmhnQLTuV1fnHy4FC03Q2
vVgewni+w5/ZHLRoUMSA1QEMXhJigexZc8B9JmAfCuGZzxPKohfmuAJcRSeHAS77iidCDI1Li+2K
2byYspz9UjmIEXVhS39wNLG3GunAGbaJP96fpLXFCWbOfCZAjwOi2+8/SINzxhxyDwnA/RxDgckC
SQZqbLv7UVbymYGHG1RFZnLqDcVXuKShqixByuugIIirdQGlZRCyWVsYgCRAy+1+vLVlhgcJcgne
ivPZ+n5UUx4PuP1VWqShXVOjljJ4f/PsUTSgUOsby2w9Fp7+s8w8DobFMoP8YeF1FcamzRfUHnaG
RR9WkLGpDc2HoqJ/f2hrqxog8P8LN//5m/MvtyuzJjmGNnHix8bBAx/H8V6E+Zy2Jigk/75hkVaA
8J2f3vPb+304AnmyFoxKFsEI6qjF6XfJrMOgpbu2Sw91Pm3cuYz573tfsQGYGDge3E9wlXWWWB5H
6FZnzNSKsbN/m04ILb7pQCQS/Q77Nsl86BAH2kB3euF9NHnzXS+kT4wcidt5UcNwgfnykenpRu1j
ZdZnkDNEDJDDQX2cLz5vZp2OytTTCqfTbA8NE9u8OWuy97MkOaq4CADX3fjMK6vqXcB5374JaIxc
ZgAussjVIHuVeeeyxLg9nFLjGE6asfGZV1APCIcS0qtjJf7ixXcGFJCVGdRwolGSEe2v/mpN5V7v
vlM4tvswqx6Hg8XksZ7sQ2YWHDcvupEkVucYbFoLBji4CCw30qiJxLVhawulCObb2mOvDrLeUxF5
3pe83Mh7q+sMfApUOYGtuLnJtTUE4gD+wrrWy9DOyc41LrH6XcFLlwGaX7gBoxuXOnv1m84OQiAN
zWTdRaYwJJwY+6plUUI/VApQQgpRSgFeim34jnh21Fd4pGp24uPfhZqe50sADWvo03dGFWhlF2Sv
RBbcCKdr5uihFw8+OrSP3KWHSh1F2wYQzgw6YvqKHTV4n3MbVmcPqT4iAQIPJ6IqB9eBHVzyyHFD
j4fHNP1B2JFkJ2r+0LwvIzlNzSlB8/t+1jLWPi6WF5SYUKnEBCzWMzyCcXEDMzmK1fdO7ooxKiFP
5iSTb0y/6Fj6vXE0qXzSyGM5cKDrE7xZx53pKSAu4UKic8gabenWmGtfZP5J0Hp+1QxenBPMzkdq
FOA90RgSoyJU/RfPZT4w9mASWrtxApnS2NfAutXfLROJFoK6dvNNAxyTkGln859xB2FQYMMm9Sxh
TGOXkC+bVUX/Mn7xKjtkzdYreAUQgN9LcKnBqp2R9IutKljj9JwTDx2p3i95vUuwZJr4bzlMoWmc
teGltAUuz19Efa0A+cusncRrz0wOlr4vbI6ns+V3xXdCS5+xB0PLD2COTs6nWh6kHXXVc+e9DPZx
Ut+lyE+0/F00oE2m7rFOThvLwrxN9/PD1wO4F6UL6Aq+T3OuO5Ui6ZiNrofhy+RR685F9jC2z0B1
4OL0Ipo/dnpC1TLbFGmcV9zipAGiHne12Y8VTjuLFWl3mYQsdUMiTu2rp5IDoShaQD7i/hBXnsQz
cB8wrrk6c+OO4AC94dVNSyLX5JBCvQjjn32McV6+jbA4m1TcT7LresCj7eeYdD63vtwfwsreRR3L
nBG2cAKANcf7j+T1oyXjsqGQSLGvtuoB9XE/c1V/Ats8HJ34qEhXbBxIa18H7xio0FGAlG+eg85g
Dobk+DqSd0jLndN+rCQQpaW0twiDN6Gw9IC+nh+fOHtQG3k/PE7xZkqbPn+G4GpbvlC5n/oNNudW
iHkbvDnNTVppUtZN/pyUozyB94IyaJ/kUWW6W22Sm5SG0QAxOD95wN+7gRVMcVXyGDYqz/oAjfNB
HHTOHR/8bvDTQcHq4/Jwf3Xc3O3ngDMuH1UZVLCWNzZjaAgEROrsOUu/JBTitT/aLocU9/F+mLVx
gbwx689BAhtYvvdTGEOGseh7L3tGF6qFXXuxr90OYLPhF27DRyKcv/9D2nntyI0E2/aLCNCbV5Zt
X5TUMv1CaKQWvff8+rOoe89MFYsoQjrAYDCAMIpKZmZkmB1737a3tGVM9wDbJjy47gkXo9J5rqVH
TjXotS360afKU19yWf3T2imfDxAICSMukF7o7PTFgLIlaxwjJ2b+sIR+Jf9R1F9ur+XqAs9szI5f
6AW+Grpi5BDj/0SZ9suo6Pf0uWjVoGTgZc/MOa8xXizbhFuDeVXKgfNXaqRON2S9GuHJA7vyP+pd
vq2VNwp3avtgVmvF9sXtgvLh/5ubY58E5ooZWFEip2u9bTLCtdsWG2/tUCyddVqPqLqCeoOfZ/Zc
debgSnBZ5E5UGf4H1Ru1L2HhQ+L8KXDxhbd3bdEYYCbauhPt3bwIOGipF5N5Me5VlttMpcaZBXcT
dTF8zCuP1JIp5JKpu8FbKdOmv7xcsZorAaruudNUuInu85AxczL+IIq8vaSlQ0EHV+FG4XKvcuVE
y5pIUYTMQVBE2guR6G2EUdubofRTl8OPBDSPYq3Wf/4h8RxM6kG3yztvzR7IpuyVtAnL1EESFhRH
7QmPRlQOtpXJwtYbQnnF3u/Q4SK0mKCKU/NQnyjvripP2iAFutD6qYPMXUjDqQ+FTUdPY0NnzzTy
U+kLuzDroBe2XutE2CEZ+RJHgwbLRBV1xUnWqHTmgRSiJSc3n7KRUbTGhLjBllsv/8htl0Z7MGPl
Dju9reew5ORtIj7mihZs80IXd3kalLbO/3LnpgjM61UTPHh+6G76sotOVaF7do2Cm3HXuG34hak3
QKPZBnmVbUxir4+MPZGitHYc9zFxrmcdfVEcH8vWE+7oU7tbPl74goRWKu2VjoEzyQ09m/qSiz5L
kbx1ZiO9iIX0ZmbutzwQhmrPiA0N9SASd51gMFthmBU0KImhpkxwmb8kZHE/K4Io21bvwYNCZP1J
z5EFjBkscUTJt+JtqDO/4I5+eRdKymD7kifdQ1/vfrciWQbAzfjERogCeROrqXafxAgq6BUDsxIw
2OekH5Rtl0UdqkqJwXfpypWNX3BC4FzoTMGCRoVGn47/2TOPnlg86XWkTlS+J/mb2z27+Z+78gsT
Mw9kRhJEyjom8uC7rgR3sXUwIeHvLfrQ3r7x1/AlCzcWcAlEWvQGJvaB2dPhJ6OZykKQOkwh2PUI
OrgCDZm027J9yf0fQriSESx9QoJNaC955imnzZ7D0kMlDdmb0Om6Ymc2nSM1Bch943DbES2Z0QB2
UqslF6focLlTfmPJveV3vLrtmB/MrKqoaoTujtlJ8S8Oxbmp2Y4VbhxqfTFEDis+GZ3PKOXd2H64
vZ7Jhc09jkYnhzLd9NV+lx7OTl7ewyQHv1TkMOD2cxQgiHSlbuWbLTwSiEDSqoTZGAqnOcJXq800
iTQ1cTzYyoPxTYqegu6+5freXsvC3lCHYlNAi1Fpm6cbYTc2pYsQnxMPvY0QJOMbtPRWKsQLRhjM
A8kImx+62fOgv/VrJTGGJHGS0dsqUvrCXNHR7eW3P14LZmiugVxnfHPeg+Bhg+hcDRLHVxqHupnd
dfIx14b9bTPTGZptP/nZFPJP3GJXrWoPYGKiiF7JZHhnyxYo+S7cqRLs8i86M/Bu29luvJLTLByH
Ce4rcurIDK+YJgq1keIwdnPHioePbb4bgpCutWBChLe7vbqFw01JEF8wsVpAjD6LTtSmSFQdGlSn
CspfSsWDKKcrtbmFxfBoTiorBAgqw0iX/gCar8avGXp3Or+6i4TulSAP4Z3gSHy+slcLqyFhUhX4
8+hKXQGLhKBMfLDYmaPqGXVOGgWCNawNFy6uZ6J7grYetu559J0YjZDpbsZ61GI3VtVbpar7pk52
bp78+TmA91lRQLKhEnZV1ZRRIYj8jPUUaRs895X8LgRucKojDz0oBUry24dh4UEiuMLR8RHpJM0P
Q1YNbQ/NQuZ0cSo9jbXhb+SoteAib4yN1NQ+U9qB+RYrgbzWelnwGZgmokMTEc8xT9VKyn6W5Qa5
I1Rfhb7eGtmHmin72+tbOh7nRmaH3RdGgMgaRnSF8cP2Q7TaWlhchmxMIYo1SXbOLBjIZkNAN2ZO
0+qP2pDfQ2wNim6twr64UWdmpoWePUlRS0gO6URGWQWZzPYwEv/2fQM73bMqfQv8b3/x3eD2Y04C
ijNCsEtzKbzQmSixqi6oN8A3bLn6eNvC4oLOLMy+m5tppA+VmDlSah4tGPckGEbAG/TGSTVDO0i+
3ra3uE+gdYDTUDeHzuRyRVBFhJ6IjJgzyiGzXuOvoStAp7vCSshl8PfMHg+e2v/szEKuoC+yXCua
zDHkbED5qtV3UjUUm7RvwKMatYAcV5f8+fvLqzhVqCZlpKt+gNYDNalLMsEQAGT7js5osEaGvLiu
MxOTjzw7gHkyJgLkbLmTZQh+aU4AiaGu//Sjn1K4vb1VS6amGhFpOvz3/MelqdRFAwrei9RpfGsj
Z/GTm2RblDYqZu1QYkg0dcVLLJ0NwmRKEdD24Hlne6akghirg5E6ciYhkBKQTiJRF62Ne6yZmV2q
Hl8k+QbrEuSfJKy2UvzQ1kKkxW93tpTZtaJWMxSlamIDmq8Kui8tdoK2sGvYbPU1ofald/H8u82c
kuAxcOzFLMhib9TyM9T321bOeBZXAoolN47WLMMHDA4x2TeL+kU5gdAE5lBHTrUHEFWPiu+vmFja
HNAUCvQdqNtfFW0MTx+o7HEGIiuzleFlFD431kqwsmZj+vOzO6QNupr6ksbmBIyNjbBdt629Svm7
tCvTVJeMcjV8TXPsV0tNqtD1PnGkXqYB+lLW+VZJfmRrs7RLHlyfFDGmMBlA7nQUz1aj+r3XG3mW
OQJirX5+bMY3pbhv/XZrKN5Wrdbe8t8d3blrZYMm4SB6GMZ8YWCvYpDWceb0oTY+GII2bkKhVLZi
LwmH0IRDQG/bV1eEhjaXtWEHVU+4a7tGtMsMWWKp0IfNoCglYGgh2wSyld27TC2ueK+lTYb0EdTF
lA9fIUNhne26obZwJunnSM7tUf8qNyv+fvHTn9mY3fIR/LeXWNyHysrvDbmDMnt8zWTlvgjzrQw+
yFbDaAVMsrgumDUI2FTUDOdVTdjBmBUtiEwZjN4U7Z3f/kP75S888cRm9r9GZh6lh4reGAaqtPAm
blQhsAuttKvw0+0HZnEpliaScDGBcwXDMQRp0kjQ+XzZA/Quh1Em2IX66baVJVfMg0yffqpikZxc
3o8wL5SmG4zMsVrmmIJPbnZIrNIeik9+/PO2qaUFcd/BqsPaatH6vTRlpFpsRK6SObUXP3qmvJc6
707wzRXczvT15xeQlHFKtCArtObNKcNFIFFvx9QR1RxUgSicBNP85/ZSFpLvKctiHJJWLv/MvIqV
hQLCEgKdqfxX5x5r3dpYAhy76V2Q+1vABcWwcrAX/OWFxemynfmxKCJejPhwTg/rVqQ8FR6IFRJJ
HaDH7bUtbBNTexMhqAV87+oKQRyciEFE160WIDkO9yWCwIm58pAtLge+4KnTNkHbZsdOSRJ/NFCP
c2Tvq5bkB5gVwwpWsqzb/cVqgG/DFAG0Ghmhy+/WlKSoWWNEjip8MXSgJ+bXuni7bWNpMVPAzsjH
RNY3z670DMFps1SnbjKgW7hEUJzcilFuN8PKudMXDjftUJhhqP3Qk/pNGnh2DISwbseyKWPHUoPq
VOjNW5G4aQZZQwhAC0WmE7y+L0Ec7AUnhJlQiLV9xmO1cf1cONajhHqXJEY7qx4ru8iZoIm0Mf2a
uENw7EY5+hUrfrG3oJ1FfqVU7tvWGw7mKJQ7LdeqrQFv2BGCvt5xqzy1y67rD5Gghlt2uXUYIOqe
WpCCqAZ38s8sroUHHUgkeL5KsX6IeaP2Gzk1m63SNPJ2HIvuV62G5UbJh+69HMXg1Uu08IeXZdYx
cwPpXoOyf2s2cXsAZP0atinIf2/0joGgjwcx89V9DbHHphUQRJQzxK4kl6ZZHAXpOwqOEyMiU66e
rkd72r5r4pHX286oGP8fVTh602z95dHSqU+lasXRcofsfdSkXV3GXzpfekxQ/r59wq4nTsHnUW+Z
ULvkzldHDHXssYilJnKSSRy88iseHfrVmzIDutDV917WP/Sl+Da45mMcjQdmYL+KYbSSNi6teCrS
TiWfSdVgloKIUVqKCQP3DmBOpw/Co9gSU2tZdTSBkt9e8nX0MK34P1vy5dfV+syls0V3txlLdLnr
rT7eRWO9z8sPZslk75qjuL5Z2CO5oiYoQ8Q6d+ldUxpqk9MwT1p3n3vSYyvrh9tLWjRBAsexAWRw
VYCWotKqTa0FNiFyD7z3CjHe2xaWNghgEHPXzJAQoMzcqieUcqa1tFKgfnmJ0eaUwsi1AyP8VJrG
yju7aIsSIPV6QH5cgssN6kTZQk7ZDZ2QKd27pIRNtDSqftsafbr1rSJfqQIufb2JDZtcgWjoqsOq
N4UeZlCiO2rvGXuPAcFdI7vdStB6HQ8h7sXbDbcZw1nExperymJJjYImpUuUygCOP2vFP+a4l6jI
eWBCbu/Woi0DGjjaONxrbWarqku91mo/oiCStJ90kuKNRtCcMUblugdoxox/RujsVy7xtC+X8REr
PLM6u1gW74XkJiHvu98fJ8e/0ZVG2oimkq2sb9ESQylAbpcYbD3EOKIq9MCDZN/SHpRa90HWV0rR
CzY45vA4mEwyMNA0O4XikImM9hShk3fIjtfil3yIn2SvWQm/lhwwPTbOBC1RKjtzZ98PSTXKCGc4
wMmGx1gWPlqSluxLHixwo7z3Rp/9Uwqa9qS3XUsnvU5ha4/1x5yB5TXdyoWrwKEB2kANjyrhPMdM
haEwu14NnB40Q9sjKdy5r7fP5oL7BY5NDXLKEa/LW0NXSsUgWIETK5913d/Gonrwq8citLYSYr75
GpfM0j4STlsTawSgsnmN38/1uE2NBG/ilh8SrXxGd+gIWeLX28tacFoMkYu8TxRoFopoDM02NcgX
p3TLo9eKb37m3lkgeYNG/Xbb1OImQf2EYhIYQ6qEl56kiA34yXK+IJS52XYQFIL1MLZW7tialWnB
ZwFhUrdlVplG4IwG+phif9Iyb8XRL5mYyAKJXik8XiWiJI9h3SP44rSjsG9hRGNgaQURdz2UqIAR
AgGA42UeAYj+5TLKvBpidC99x5eKbZZYm6iSNgKM8lncv+i+wBRf079Ddf/kqf1rnq8ldEv3mw4P
cwFgEBbGWLmqcT00hed4kfyitae8/icVGqgtu8iumXQPFe2Q1tIO5em97kkfI+kvdvL8F8ynXHtN
dAs15RdUunoSM/e1DawV17+8ykk0k1iSicH5vKAewDnEmILnCImVfpMNOE/7QWqPglkLj5A2egdV
I4rODBf0kkXg7sNIAwQeBFCklOXu9g1ZuPNEs9REp74esiez96/LM7kUe813aukUJ1+14t3LVvLM
69lhxWRQnQwdmCCd5DmNfwYTOo9QGjjckZ+U4H74aJRH9XtdNHuYpR4QJH9VIrmx/Rri8tvrW7g4
kJYxOozKPMn7/M0woyatK6ENHAjL3U2k9Iisx8laX2DNyvTnZx6gDlUlzTusQMVmq1TRm9X5g4XH
gIVMU5WUnHUSz0sT0HVmloEuIQluUUH6PQjBR+Rwyodx9KPjkEvDiwVn8FYx+rXMZ8FhAzRAtI2K
DoHfvH5bqGNoQekeOELR3Ot9fR+b4ye5a1+9Qf1TRZzpqJyZmr7C2Yd0e1q9aYUpGmCu3TZ+/ixD
groxxdD/8zidU8EUAs2waT549kHdgKFlqxkDZ1AOcdY/m8qjFDebolpjAFj6fOeGZsGeIo5qmZkY
KuNXF1psofpQpz0QsrW699JdBtFMOfn/qYHOPh5VkVwKh9x3Gk3ytsbo5a+9p3WPegmA7Pa1WvRi
4HGtCYJAH2Re5M2HvApzVE6doRIQ/EppwPURqo+GW/c5wELJ9lEf6fVgSyjfbrUQqbE8EvV3pWvW
dKgW1z29WqiE0FqfX40oDVuYJE3P0XvzQYph2mzdrR+vZI6L22gw5y0TTpAqWJdH00/y1Ed+ynfE
rP5hhtlhGK33qKCiU1crke7igmClYwIDnA8A/0tTE0eY1pmh70igxXddMeQvjVagKsjc8Ip/XHIr
U6o6YXQniPXs0R8ECMuHgH2ERqh/qWK6Alpx0ip92Hq9JD+VXqFulbIY1qKN6dTPUiBGH8EXTUXB
qYBzuUYLeTDoBHufHk16yn0LZnjNruPBHnIQ69S5YgNZDQP21w1iFcjNlnt3QFLh9jle2lS6RDDQ
gSuHcmjW7M/d0nBlM06cvjlkHSOtOipyw53ShSsXZtEQJCp0P3CgMFBdLpdEcihRI0qc2G8PVfEV
Ulxbqj/DdXV7QUtHB2WUiRlY4n5qMx/gyZEwtIjfOQozfi51Ofr7As2E21aWVgMRB/cf4bdpime2
mj4r0a/tEgc5J7vUoPXvv4ewaaXCz9uGFpdjIhc6ObVJBPjSkEtFt9SLKnYaqUGStEyeM6V+a7Ro
JUZZsoMNxgvILwmyZtcgDHrF6g2GkdKxIvZSvMJWrOwwJtXr7QUtOs5zS7MNovzblpbUx46kFHuE
Cmw4Kh47AY3QWLsLAn2re+IeTYGPo67ZeRy8qpn08fZvWIpWpuyL00gVzJxXjbwqrJg+HGMHNoQ3
wHkn6FD3t038Tn/n1xvssvy7pzXV9C43ToILKh2CNHGsQvukFiPkF8G2K1helG3wbcAN1Mo2uv5R
oecQ9dZ9koV3wNi2t3/I4sYSL03cO9SS5l7bDEc5scD+OZlc1NtKKCB8MBly9f+i0ELNkurw1Fnj
SZxd8CiJgqBpuOBdH4WfUi3w9hBueIntNoy23l7UdBqvPi4g3QkQR8V0jnspw0ZvU9kDEpyPP438
3gLMmKT3yqjtuqre3Ta2+AVNqlWEZtCczAvOkuXVPaNSKaflBbiNjXpobKyNLV3Txf/+23lbeYgg
dJhTsdZWZnhiXKVOpQLXtbLxRXPNgxmEqFe0exUCs9webBRyVXkrj8ITNGfoF/mwbvlrkr6TT5l/
XQ1w8tR/o8QzZyOEUC/vwGyCKoqBEyG5WW98Zcz3kpmaW8NoE9iVC4iBUusV7OwaL9XS3k6j0Uwg
wRB6VUxLYJHxUqlIHTOuj9YgfSsyyDQGYrtdj6AJ44trLCFLG0y1h4SfZq16lSKFYtdGbgXwexAe
k7xCcvCrKn//80METtqyCGcQvdGnB+UsrkfZUPBjVP8ceFwORZ0cOlF6HuM1OqOlaIb5bNTUIA8z
qZtdmglciYjJsoCXS98suNld712sWts3vjZ6YjfSWp92yZNCvExSS6mfWdbZ85QkJrycqhk5RsGw
DyrjeTGuBA4rJuYlCWodY+SZtLlTv07uhr6In2Xf61asLObo0PlTIqMAwyWfPYBIqg+lWNJW0oLE
+Da4fXAUAiGBzq/tjn3kRoc28aU7mIddGhqBuk+bIV5rnSydRIOcgjsnAVOdv8Jeyzhwrbe8wsII
aWL6NUL1L437lcUuXXDKnBNclcrtlXBRrGRMN6P05bTqowlOH7jzpqXyjkvxhUcrRKpIWnkPlwKm
c5Oz8+8R4QSZRc+45kUws36TlHdyZtlKe7x90RYf3nNLs40c1ZrGWVLTCA+MY1pGx1TVd00S7ptA
u+8YYbJjBNtMRlUsof6Spvo2NYVPjRuuBPhL55biNaEOpIFUDpTLq2h4BsqQHRGV2kOkFncom40r
a10yAcSEGhrv7YKESgEjZZ7QkAXt5X8y3cR9MA3klW9/0SWfgoj89NoC3QawdbmQNoM3fDCZFO7R
SPK9VzWkTvCUaY81rJyG8OG2tSX3P2myqBDU0uGY4xg8cfSqPqHDpujoo+atdUxi686P4icvUh6s
uF0L5ZfKvuCA/rM4feUz12wJlabpId22Iaye2jzxN6lY3qMXDPIkaR4gV90LrW4PzCDapqGibFev
0ZQsbiTzryYDLZQH5yGG1ioM00kFbtT7IMc/RqS8b3/VJccCVuhfA7N3QaujWghLvmqQwISNiOFd
I8Y/FHUNfL90zQEC0k5EEWga17r8lnFPIdAX6Ot5oiDZ2th8kNASVKL4uxpo279YE+0T+O24Ylcp
i5n6RiPCge2QBj4Zg/opUJOtoaQ/b5tZPJBnZqbrcXY8ot4cEr3i02m6a/uejDgkqD5P2EVRig7E
/ra1xY06szZ7UCUxFXpNZVETSY9f+3buQ5Gur4CFbltBb/ByTQ0eMImhr3QEZuKJ08uXzFjpiS56
jX8Xos0HOPMyKWvkf/BNSvPY+xICSMW2TDRHkdwXw+s+VvIaonvx8EF4yOQtI95XbLRI8jRW5sMI
0eYyxQW3vfNE7dg3gIfK9O72Pi2eijNbM+9e+CY93gRbhmuFduH327pUH9vRvIvwwu0wrkVai4vT
aJtQ3ND498wLJ2adD2IJ9s5v72MAIvmwKQ2BusNfFAKm4ZwJUMi805xxzIh0QD4+EV1pfReFD0r+
ow0/3/52i96OCXXQfRC7ULe8PH2Zp8StNy2lTrx3NDR2maD9uG1i4fSR2sPYDtE+Zd95gghuwhUF
3vRpjPeO3yEjUFSXdtFpH6refDJS4fMQImNx2+pCXHVhddrDM1eR0b/TDQ+sAQ2sZ7Bj95zVjao1
kGePv+Re+C5AU5/5a3CRhdsMMxedUaYi0XOcf88017o2NiMmfc2HMo9s6IJ1Ooa317Zw/lTS+98T
0mDA5tOxQGUREwhp90NoQwDnMTLhH4eAN7JYgwMvmgLnIFHF06eJ3MvPGCR9XsiovjnGRDCVettK
/iX2nt3LaxRGS8dkosw0qb8S989ZBt0oLMXUbwIaBpmjxPpRrBnZGSxmNHJhJ4fBIeyqldO/tFvs
O0uj9HRdfBpjpaUEkAeOHMan3pIfuqp87YY1f7EU1oAFBZ1JIoi0yxzpnJhdYaBI3juCdhdp2j5X
n3t5U5UmRJH3rfXJK7+O8Kwq6sqzvOAZ4ZMhjaafSrY7j3uT1Mq7MFI6MGyxrXU/YuUhEe669Jh7
Kz54YfcMGWJP3AhJ5hWDtZG0Sip6XgfO3hGahyGE2m58k8tTMXwRs2Jz+wIs7BvWaEow544Lnhdo
lAQxt1ZQWiex/Cch1E9Vqr0Gdbu7bWbBOXIqgK8SQ0FHLM8itb7QRk1o69aJ49Ye/M/WGopo4atd
GJjWeeakQtdMPGPsQMpmn8QO2o645qQ/62K8M9OHPF3jIVg4Dxf2Zk6xdmu/0/S+dSzBsAeZ9Iu3
kV+wj+oTE/a3v97CJoH1mtBzIPzhQZktzrOQBTCLrHWU7lmqk20xfvbktYrEgn+CZpx+EZTRynW7
TU6Y8VFLuXFcfdtmTF+omj3VOAdzjfpgYZAHVmX6wRDVUVy5GrAfojiRpESuHVNtga6h91d8Td1/
XPlzF79Gpf3ZP5KaGCf/XTA3vr4HsKJ5x9vf9Hq5vNUQ2EzsmNQnpdkG5pXlU/70a0flN8TqXejv
xhrxnJWA8WrreDrhN2KpNKNhHZrO7dm51OnuJ7JVo+9XZuIe/YLMhthOfcxJr1ccx9Udw9TEjAe8
kgk5OOMvTQ1e7KtekQunwGj8XSO12UOcCmsEZUsLIg6F5gFoINX32TPWJlHUdGSPjtn0DrCWB6NT
DlIV/+mRZzEmkwXM9U8MDHMzATKjSRfI7onQ7WS13TP1TNtKtRX3d3UKJjMQtmsTIk++6pnkcm4I
iSK4J6UvcRTdRquDZ4DpmzFMVw7clcfAFNNGv2ndiOCu6GzKWHXbyPKcNE3Fj7EV/0IKT9kWvTrY
pq/TTHettYnTpSNBwAugEVwepecptDs7fSo9Zr2QSs8Jh97cWa2hb0cvdXd/eJWmlSEfg3qMTvN3
/jZaUjBEtaF5jiX/qobvQ/6Wi299+s8fW4EcAwQ5SBk4U+bIzBiZgrA2Yx+40TSMsKlrMDlatq3D
tUjt6i2Z4s4zS9NXPftqTTBGvQgyxamQhAGc47TyENpaC25NC/ahbHxMcvnn7dVdNxAno5SiAMlN
zPPzDm9ujlIll4bn1H0E3MfSJ2Ccnu8qVdA+BoLc2dWQh5tASpl6FNFHziYm7jiGWLWJgzL+08B4
+jlMdjIWAb/YFRDECqM08cXKczILFG76gRlPW1G/Kdav2+tecCeAaGg6g5wDzTxPAKV6kKUeVUBH
0l340oNEOsC44m3SPKj3t01d5THTks5MzVxxHZu61eaD54wDzLjDkG6yMYZfC0RSXI6bEdnWcUSn
ti1XmveL58mkDM/zCjfA/OQmYT7InSoIp0iDcngM8l+kPVPG8QIE/TMsxm8mHfGVDVz8sJT9qVoh
v0Xee3mI+yJMk07NPSdQikPS5SDui62LBO/tj7rgQCcJAhVsKbSEV0CTPFMStdB9z4nBcW/GoZKe
owF1paYYBhiWA/Nw297SJk6FEJJCAI5UUy+XlU28ZvqIr0FkEnZb6CvAjA7Zc9s8Cf0uLHapxGhi
UfRrFfil7wkh52/WO3gC5pCFlLFH2Y8lz1FS9+APQWQXOpzFqvcXH3TqaE+wZqQE5gAawgIqDJHn
OwUKyIX3ozKeLA2tp0+3v+PCy8Bi/jMzvVZnPq4mAhT6XOA7+gKCtnH0HXGrlcd18ZNNJejpc1HM
n4EFYlPslNYEwFWb9W40nkoa2UmzBvhbXMmZlVlqURRx0wy0sx0lK4dTNJbxXWrS0L79vdbWMjt3
lSuNeTu4rMWDWXRAXrbNCBxrsuvbhpaXQ5MT10s9bJ6QqYwFkixN+99bTidqB8mvVvzR0lqYDKWH
AzYYuujZWorICMcK3OzJJP6xpSpNdn43vBi9LK6cgKXF0EE19d9rIb+8PGUIy5g+nAruKfb8j9BO
nQZPXnEIi4thWmOa+6KrP1+M3+AMhDpzT0k5WNtKHX52yuA9MA62pk255OoIeY0JqT+RXM+uTDRh
yOXcd09VFUPhL5faIUOBcsC5bvTYNFeeq6WF8czT76YLzSs826Wyj1ulKfGsZb+vExQi9WNLLeD2
aVsyAoqHISKUdCA+mb2JA7E3ODrPc5oolTeJWxU7tdd7W2tSc/d/MzV7kIxBiDQ3CzxHxNEYMXD4
dzG7u21j6bzxyk6aKCiVgPm6PG95q2jJmOuM6lriJmyCTbYm/rx0CM4tzA6B7pWS7PW85WO07ztp
E4z5DrGHjdKv+IGlneF+wlIwZY5XD2vXaC3q1RqZSS5s3VF+juvXLFgD6CyFJkzRgG8iESbam37F
2TPQsIQ6CFJCkzRH+gMxO/3gGcjsDINQsUB/OMRB24GA6MxkpZW8uEKyBvigAU9evahRiAJsV0bC
KTd0kJqZ6N7HYaYck8qNV+7S0q5N9D4TmxWhw5wYHxnHPG3zUThpvbbtxK8q6VYQfeO4/Pl9Iik2
qd+RVjJ6OHvy5FHqmRCBeGFgClsYh407Ki9Z9/P2MZ8O2QWUCd74cyuzJ68DSi8OqmCA8FM+J1ay
z1ALDKws3nhJB8V/t7KqRXuQWNA5gV7iCg9TiMC/Sz0zT67m7q0GgvA2stMJu49y9p1cUym6vcCF
e0x8Bx0PHIXAeOejCZohKKnvl+bJCLvvg5VsxaH4ctvEwunDszGGOk3s0GOYuVevUplLGzPjVI8g
bz7C+KPVK/3Ipc/GSO30LFHKvar4V243DmEaWiddyEI7jaVnwWfGo1GTL5rhtuRTa3yvv6tW85Nx
bnL6sGf3uZKVApKOwDp1TXcQ4urgadnOT8znjraQ5NPzD82DH9afm7Z6Ecd+1+XxB33wH0M5vtNg
AmbOYCUGuMYgcVoZdpTAi8D2xwGa/abeHxW4avBknfcxFwKnS6Jd2Cb3tTtu+zZ/l+AdoCPSbRVf
WbkpC/5N1si88G8GL9w8au8x5TJ8ap0UIEgHVXfrTS3H+cEvPWacE/SIcyRWmR1cI7K5blRMq+Zv
BkGGdeRFLlcdxpFp6q5gndBfUh9HcvRjXyXiUwCF6WNbaCEiM5H/CJ12/iGBX2BX0125A+Lzfvuc
Xxdbpx+C4ATnkNI73u/yh/S6EdRBGbknPYBDo4wq1fbGHPnYcJCOgRG1b0kRR7beuc1LWfnlY1oy
iZrCIvbJreQMzagw3bh5XxwktrG3/VIonhimi77e/qGLW3X2O2cXspFyoOeBa52oTvvwSeWDnfGW
v9YDE155rfuHrhK1reVna3u15ArOv9Ds0kgFLPdFE7inGkpr07+PmZIQou3t5U1/ydXNZMuJTeDj
Bct4uQ2Rgcpm53vWqVTUvYW8eB+s5eLL6/jXxBym0uVekxItmKdujD4nNIMlBBe6bjVoWLIDcxJx
PbyrVLenPz9zMmlnCrpe+9ap9T6AOrcpYe695v3PvxeemTFseqXXklKh3KjxKOHJUvT+lGgi5f5w
28LSgYNOjFtBsoVezuytNqw01crYMpkINWD7yO3QepOanyDLdxyyjRHsbttb/GxkKKBGUCC4mskM
LdV1w060TrGpajuGsnMihBIUmBHGaz53uizz0wZ+7l9bs0uPRKWXl1JnnXrVfNd865H5tyfVGpAw
yml1aE5XwXjuynaXicdJRXBo5VNvyH8ed01zF/gfCSFH0pjLk9L6FVT1w8AmwhlT2mqsaD/QCgCT
mUfJj1EK13Tgfz/bVwtnDJ0ASZ8mcmYYoNQL6iiEY+lUNUZ3B07i85jL0gbka/zURnG2E6to2JaF
rr0iDKncxfBaMlMH5rVl6v8U+G06iTO1R39MmoOK1tC+UppJONXqNlatqfsu8t1t1hbyI84ys2mo
+cfbB2UpbpiacDAdToNU8+gnrIWhLkfDPUVKeFD0o6YdNbHYITXACNyKW1qIjHmX/7M1XZKzuyx1
aPXQC3NPXmbkH0wpdo/N4Pk/TT+rN3lbrM04LNW5ZQNSE3NCC0x685cGzaqXQCOq7kkIvOGjntXR
42BA+NrxmG6U0v/ejq7+JAyacTKN1PxnEETRsxNRah04DNZmYJd8AOEZyCDoJWl+zh6d0czCWit8
4eQL2VvhIvaVp7s6gzoTLh67TPJfgbsGJVi0SbFbB/A0PTuzl8Bo5bTOaz55Jzz65bZRv+RFshFa
IvnvhfjHvJY8/8z3ipSBybEgTrz83jmVHc9wOUzKeBrlH2Eb2qb8N4+bSUdQR/YYRWdz9oIyxZXz
1oTuye+VX2ZgvFCFWzmoS97z3MT052cHtei60E08TAzSi6Xde91BbU63792aielenpnwGiUIDcNz
T3R/7r3KfRtT8dkQzZW8dzE0NCfVdaZRJuc4OwANmw8BQe6eyjR99tXcLmCda/v+Iy9VbRcmj10z
Ju/N2G+9ptrEubTy8i05mLMfoM+cZJ9rArgxfkCSkpd4xUOfao9dqnyMvX6LFvJa8XQp9pnGQWEm
BDl+xdcRWcAXMvSfkGox9jH46kFfE+paulTgnUgwJv4dMtXLvRuh9ERIxcREoMdEtKHySmVN3otG
Ld17TVQfyTbDbVsAKLt9aqbdmr84jIdxwwglQDrPLCuxESa+SfSYtuFXykOOGirbvAevE2U7a0jk
jWCMdlqtIfGXPDdlVcoaTKVZVzOuVa2MitGM1FajoT3GgoLT4h1jOFsQN6VblX/xlhOHMcBBIeV/
SLuyHTmRKPtFSBAE2yuQW20ma7PLL8grREBABDt8/Rw8mu5KCiVyj/qlpZJ8k9judu45NgqGlyts
NHi5OUMax8znhP1OvYc8ea7ky/XVXDuaHjRSgHxCpwNyEpdWnM7ged4TN0JTcGfgIe7LT335wpXw
DWODkGr1ImIsBVECBrJRBltsXTU4JlztHAHqyanMjJCw5gbgvZe61B5dr781qHg0ss4Oy4Z80Yut
obC1o/Pe/iJKq2ozb3Cu3KhrpJ+7L2I6eJXjd92DhLZy2p/78ef15f1D/LE8rZjLngcMkREitL5c
3xgbyJoidyNNVwxCwBXQPkk5sUeohNCfHhHxJ4N3yAcli9P7xhmnQ13F/J6kWQuV2vRLN/YZOOlM
9clG6rrrJJ8+iTTGDEWefi7B2XSAVkKFOLMfNqA0q0cDkL8ZogQww7L+3ikPgt1O4kZWq/aogB36
GGqv5YFinA8gef/6Sq29WXBlQOGDhBx0ygt/k5amMrq8cCPlmae4ql8wzfDjuom1G/zexPz3d/6m
JpAiUw5zIxpLH4MLCAcDGt82w/N1O2t+zUOsBdEU254reJd2khZ05uAZgB3N4UFuW9qh4sWwk56W
n66bWt0jYBjA14ANAtjl0hQ3u0ZD+cCNiKzvZSv2CLBuujx9nMb81A1btH8fx6IQ3WAqEKNcYPwA
8dTCnqVVusWaCs9+O2a/RlTVgtKBcJQ/6L12MBqP3EzIiSd0UjHXoBrIaxYZCsG+4pgaTGsJ2V4z
1zceltUFR9sTqDILP81aPJW5VtZ2Z6PwNxG6B3PG3pZhtTVStPZ6ATWPEV7UXTBaumwQybIgtTF5
iJON4ZPF058mJkXsHIyhTAPFMFqgjqh3YCJ6VIV5V05bkMu1wh5aB2DNQJIODvCluhTpskHJ0kYZ
2nZ9x7w3cx7UzRNmptEg7fbKwoRt4QS6s+FxV+7Nhd3FszmRIZFaDtbF0hm/e+X4RRrucYB+oN+Y
fItpaGUvUTkDaAMzu8BRLCcop8oeMaOAir5M5JMFgefR0mu/1sXx+s1Z/SjkrdB3nHkeljEZoBJD
OTqo6UOxzz6lfKz8KZ3ikDr9qzdwe+OikpWACagbHVNNM3vFB/amRJHWaR2BRwEoyGfLSpNPOWmN
R0eYxm82eU04k8t/bhQI0qeSkMoHcRa7R5ER29vVRnWSLXPvXWb2IWdOclKp3gZSq3tfVrQNEqUP
flNlTpDWVX+XWpNxHmiV+J1o6sDxYu+LKhAKIrPLsZzM2F1fz7V9m7Uy0T8A1fIHzKxnTomwm8yN
WAe9K4Vfv8ucv39YoQqEOWE009HsWd7AEo42Vhgfj1yo5STesBfqk1W7G55o5U2dtYeA1ZgL2R+4
TSs9biFVwl1kcJXfp/QYJ/QBwMl9mjHNNxxt4ySuPiwzzm4WW0AbdeloJ5fRGjyPc2FM+9ox88lm
8nbIxHmcCDQ4RIqXPfb1StsxTh9zr9hw9CuuFxoF/9qfj+47v5gVcaYzMOVEQ9PedFly21jOxjzQ
2m0DiHAm4wHw/QPVQp80U2XglEdxXZAbzSPV01C2mGG3M/dkpgPdWNPVTwIK0wRMEqPyy1eEka6j
Roo+hKE/WBkQfMmW7vJKLInIHLgRYEZWWCWJO5GmVIglc/1BxK8E9Bygm1OQHh3LL/30vd1awrUH
BC06TP+jg7tCK6l5pT4IOLmCiz0S8zuiiZtSuINvVtAFaLLY2mnot1y/1msL+d7q/Pd3Z8OrilTU
GsrogzCeoVL1pZUowl23sbqUoAEHVzGwptaSPK+IKWcCGJCITm2QxT3EiLivTW+iObf0sa15OA4b
oeDaa0VA1AByiFm5eFm6V03dA1Oqu1HC+XevNZ4q3Zv8NN5iFl57S+CqMYMP3RaQXc1/f7d8lmBU
ZmjGRz2TP0xLnoouSwPHtH8ZHD2wWFL9cH0xV4/JzNA3T6zNRa9LixJpCM5mh96xEw+AIDdj6MUu
25kpF4EOWtldgigiHGmsNjzAyh0HUQcE1jHMMOc6i+wOgHET1AOJE3XdcAAhqT8Y1q4YALDdeExW
Ng+QfQeRGIrdiMYW71WFHms/cWJF1OojZWbPvVY9N/nWKMFHMhVguFE+wZwaOhYf3Y0G4Q0pk55G
xiT0hyGevDe3yGu/oaqbacrT0Ont6s4t4PVMUegACxveAXpN7OC2Lh6DyiwOyrOHO6/fHIhZWwSE
/UByAK8049wv9xktDaVPTkOjpHefNKUfLXDNg9U+3oLsrxxhSM7MwDWMSM3z7ZeGRK5zGdsFjUwI
6sKIbwGNVcHLG+zgkC0tqrVDBDYJNO9RY0ETY3GIphxqgmIUNCJaRKoiNDEj6NKXiTz99TVBooBi
Iri3ZujD4mK6blFTCM1bEfGeUkf4RL+f9JeM3pXabau9XTe2tldITKAYBtLJj8BMmWalrbzciqyk
7wJtRgZbrAWJk3L+AwIQudm/phaxuhvrNsFIthXx4YnKR4jtbjzWq8dhpo+eC38fXzTU5Dq3rzwa
9bkL8Jo7sjCX+njijgHxn85y7mYgycajtmrUm4MxTFjibVmcQVvkrQtqMdx4nYRxnuwyumPUvWuK
x5RvuIaVBxTUCfDpwHCbFCDyy/NuIZMustq1ooIUv2kqg8IpTl1lvFK3+Tb2xXOsyJZO8doBQeiH
iTNQTsL64jRCimLsPYHTiLHeQInIIEfTKcLrp3DFlaOWhgI4XADC2yU4tIhFkfTKohg5fJAd8+0t
1bAVPw4DGG5EpR3j8x/o7AxWORPqp1EL5olRaL7GnLCrf3fOQ1egz5QcvOHL9W8ic+l8UV9DvoFk
ccbTzXNfl7slWVu3ArSqEYSSm0/T0KU3LM3sAzVAuGhJFDRtGyCKiU96MHV2fVu5bf1QlSMJ0oz/
ko4cogyzwXa6L9GTRqAYOwfZ14CbCzAa+sBTY+L7+o9e3YiZcWUurBkfSl204wWamnjjEsV9LlBK
o9D12DCydmXmHvBcT0PstBwSIjrk4R3V0mjSP48EN9Xx/E59JxX67ka3cT/XvggdfZB9AXaFqa7F
+a3zVCQaYVakSfZSQaM817dAI2uO4b2JhdNP00FvtDqmUVaRyfc6bZ/aeAAQCOySTmxclbVSCzAK
GILH9LgJAMnCDZmmlscJkvgoqRM7KMc8NLXmNuXFrm/Nr1pu3jOhdqRgr+1UbPSrVr8UTwECNbhc
3NTFkZ6EZvSVDttlU4VVNdQ7DeNeUUmNfm/lo9p48NYeH2S5+lxxgfyFu9g8adGmyeXkoERtQITe
PPQjATZj2Dgja1ABuAzMfqICAhJKsrBjTBCYoRxrmgsrt6BfyEWkptH+BJ1pyucCuHmo9XEUPku5
OtSxzkPPFrHfO6kWKF3kB+gZp3snc/ogA/AzpOBc+2JXFT+jKoVaWAU+4HKE4k6iAK41Qfb8VuZp
fLp+fdf2B9A2xEQIskDkvOjmcUD6UiOv3chT2jmN7afYkscEuFNOttoHW6YWx9AxYy3NhAQuU5SY
PbPCyZUQL0eGNH7/Dx+F2AQvBaKUD+WbsegUoIworbTculGY+NOdXdtY90OibUTva/4VWd4/luZv
fpcSgcvY1AdIJ0V1860oDL/zfrh0CDGE4Zv1T57vrn/Y2tP03tzi1LlxWrKCogGT2wScXfMLf7xu
YfX+/PtBS/JbgCA7J01hQXovg/VVZ9R38q32yBqOA9yR/yzbsvgrVOVW9QhMsFkPcFXyhdLpC3er
uw7EprrbPFFX/ZKxdoDU0A5aTvcl2SIVWP9QPPLws0AZLctvORgVG5cMDkqz3gNXziHxkjfZ/7VQ
NdIuDGH8Y2be0XcHJMlSkwLHhMosWAsyj/yghrdHd3/jHK5+DfRx/pT5zA+zuoY3SOJqrROx5HPJ
vsrkd842+hKr1xdV2z8qqmibLM4eT53CTjt00FLt3ioxUmIBDMKfSf58/QSuVRAxS/CvoYXLyGTb
YPYQxex4rEJVD4HrxkHdfVJQdCTjZ1CcNq3j1yDsGrd0nlfvF2IMa2504VQsnigzx+R2kjhYxth5
k7z7DMWfjSu8/nnoCcxWLFTszcsTYdWpNMyc2FGivyVJOviaVE0AKYTct1kNJC8otZzxkyi1Uwdd
rQFwzOsLvBbZIvnAxDUI5QDIWHxkLPXCgTacE/VEhyqi3snvjUaLz2Xj9I+ap7ffiinpd3ysG5/x
eNqICFYrEbgQM5IR6lQfypk5yvqEC+lExmDfpGV2QN8+bOI2MEj17DnOYUzHHzLhP82hPgGAfOZ5
d+OKDpPU3Y1o3d/Xl2M+t8ugG1Aa7091dcZUXe5H3ydT25WxHU1am/g8bbq7pGQi0nk9PtapRw8J
kf+hef9H1RNjRnh6PkDHMCBd5AC62REBBxLIzCSQLbT1edE9Tt2k70ZS7hOjPabDf4DvQHMDOBqg
A8EHvpyrTDyX6dWEwlZTfG3oD3RabXTEbe84Whtv0to8AUyB7Rnp0zwPvkhn9Difprw17MjJpZC+
0JgbGmMFMCKr5bcpVa9wAZlPlF7v+lTPb0A0mN/1Vi3Pbd91p4an41ExUwajNto7ldvn61u/9mq+
+4HL4MdOuWaTFrswmvymKSHXWNS+tP9+YhIbbMzNcxvZ6jKry2uqx6mJtxk8M19rGt/EdvklBhPL
9Y9ZO8d4U9A+98B7+UHxIEcbydZsODQPvAailkDBjw+VHf8wiv6LWckt0NTaW/neHrm8N07jWY02
GIjsJz2EyPpDrLbKv6v7A6gnfA7QuGiIXZroRpONFhTdI5m5vl1+sw0VEHq4vm5rfg3UEzieoGeE
fOLiOaQZSEITViNjkKcSWjNDUR0V10DDuoVvWP0cDHPgezDV+mGqXkxNPwqrR+vZHH7IEfXAyXlC
TXjjgzbMLFnHQf3GB1XBjEHHSFF2RJa7M+0tP726/5gI+dMzmnUFLjeHFdlQMYxoR0Y8/Ery8o7k
dKOXt3qkZ8KOmRvs45BfgkQhQUaEON4TQTaZPshyZQp8hpvcUMyZXD8IK+sGr2iiYgXdP3Sm5l/z
LlQDaYxhyDmWF/lTXvQ+6ZDXbQHvtowsghs9ydou56ixk1Qc6HQYOzR+vY0gfmVrgHZFVooiIyL2
5cMr7MIltQS4w9O7F1C3gVg/3SL227CxfDvjBNOK1QQcxVDET0kz3rnZ9HJ9Q1YCFYxKO4igES4B
Hbl4YRRUh6UhCjvqZLmHCN1tV/ePQyHCzgTI252+AYv8hoGfDb+1curwEsygFBvv9gdwAzMwrF1D
gjcSvX5C5kd9jGLdG2O7N9PmaE5yAzm85ifnpwcUcbNiInpOlwdPpZneam5pR7Egj5R8lumP5M7O
p1A5dvoY60l60+Qp4Gpei8FkYURCZPsYqpu7lOb6tzbTxQkwtK0dXjuq6JbiNuCSQ9t2ccFJ1SpJ
0K2JiH2rxW8DhLTNdAtDv7rYEG60IBwyQ8AXMULKTVDiNBjuNwCPmeFUh0nPX6bCecUu3FiNuXE1
1s4UYK8ou8/lRMwIXa71qCyNI8CyojoXjV/bbsim+g24wV3xRx5S+2W4mQVA/VYUsOJmEPP+a3ix
ml7vIdclIyrxIOLpszboLNCkkR+9G4fXr83azcSkMm4+jhKmrBafaNek6ca2NyPqVG5Qo415sMCx
tKFHtPY9yGwdNJ7RKP2wkIbb9kbelSSSSFgG0zm5goCPUqtDvG5bR3F+FRcxOko5AJzO6lKzx7nc
NY527wCwLYnq0UyASQBzuOl8Vm35BnJP089t6GZVyBquL+TaWZlZvlFvBsT3I/VORpOBZoOJvrq8
VXq/cyXACib/BtLDPoDg8xfT00y/zUF3e93y2haimTfjuRyUy5cvArBbGVDuiRnpbfucCu82m8TG
q7N2u5FlQ7l35tyEePnlkhYMqgGpm5pRUR/BZ+THWtimb9c/Y23bZuJcFEln+YClH8KcAkq0XklR
Y0FK5Ru9+CEgTeyTwi5+E3BVHXNMNYZxCUaU65ZXvw7PFs4LANoffHlR1pYpdc2MjHrovkq3Gl5d
SJmGkvRb1Ierpv60itArwDD44gXLJ3skjqZoFGflPXPFMTPSm7jkG+WXdTPYJ8B0INOzvAIGd+py
sCu0QKp7Nd608TfXePkPiwZiQ0TbwFsALHB5JFytYHXJPTPqyurVov3RY/FP1br/PzN/2hXv4qwJ
ldm4r2wzElBiDUsCoaER0tJIDdMtFeI174Je2f990Z865DtTtZG1TB8TgB6YrYiPdEI7Cqeku7Fu
s0AX6Eb05rCV3K9tFWBaYBJBFQvxx/z3d1ZlOzI6CB1t/yn/0sfqwczFzgK91N9v13szi+zINhKR
WqVJo1ET6jljlIWWENpbPxntlqk51Fo+wIB6In/FUwFd0EWSNBi6MM00sSJUNajfMdrta87qQDlW
3vos4eWdmMZxXxaqDN06tgMptSGoQVqIqGYETiBrsmMDvsTdkBhW6/e6nh/qdigDUur1jQvaL5/b
Te9PTstu7FKdOdDBn3ReZSCwseJjAozQXsdQYziWrS8yCT9gG3i2KvtHXJvQsLCmJg76vrR9uMDc
9/q+DfoUeu6aIMRnpf7V0nTtC6I+stPSsb6rxwHtSlS8gbOmwJCiKmb4maWbT1acGD5nKQtp0TWn
yirZXu/irZR9zYfiQqM4gj629aGJXSo21LQB/MDTvdA0MaUCuRhtBKw821KxXbsJyNbRrwLcGiDC
xd3OuTfx3MHzUXbNHaBIkSzjBDRU1qeic6HcYm0Nqq25MGS5KHICZg517sUlaGmT1K1GzQgJ1zfH
GfdIQf6+fDPTQ/1jYnEBPJbEXZebcGGGEY6G9egNxnFum12/Z2tebJ5XR8oOylJAtC6v81Rmg1a0
jhmBEOK1MeTNVE0HW1CADlLIEmI+zM+zLfjByvKB5RadRVhG+LGsSoKwEpLAtjSj0XaD3mV+FbON
IGPl9CHCmGvQoAiCDOHiTpdD3Grl4JqR7Xo/EtLoT60p5E5Ije5ob9gbAePqF6Hkiy4FArkPXFt9
U3dD2wHj5Zh8FxMrVN1GSLP6Qe8szL/g3bvbQ7/O63NYaNP4sbC8Y6ult1UL2aC2+Gv1ELhHBE7A
QgJ4hVOx6Jtm9og4niDAGHn8LbHRAh56+dkdcIGvn775nixeXrSycfZABAytmSX0AdRLfZXHsRn1
jfylxUbqu5OZ+oJU/8kS9hqXFXcWc5CXywdm1JZCIJZGtG5eKc92rijQPnc3MrA/glvLL5qJbdBi
Ad3wB0g6JVPVMLsnUTPouT/qYrzFBJa1c926jVhjWWFRtrrv1ZP5aLK6fbb0YfRNuGzIMlUchM+2
o0wI0STVT4FWL9omcbcnVjN8yd3BDgZeu3emrNA8cDUQepskC4wklk9YyuxWTHgsKKutYDRVemy6
GCMEEMcUexLT4jbOUEL1HYnREyel9hGSHdUnTArlt14Sp+GYHaemPVUATrpJ6OYhEL6HZMjDAWxe
WjAkcVjY7i1PFL2Hw0AmK2QV6hjLeEzB1xaUml7dGm5nnQH1T37DUbo7y+P1vuL9tOeqH0Pdaq1X
2cMztrZiAVBCzu+xdBgE8DjxiWy1kNJ62Jmxm+9RPmKPAzPNGy8mVdh0+pag0tqlQnFvngAHdRnQ
vZenQiTUZBLJZgTyWL8yHl33XhRfs+z5+jHfMrPwT/GopsEcYaYzKt8ij6bzMOBhNZJ04z6tOEIP
UMyZQAB4OGQ+l9+DWczCSZkkEQc12qjEoWyNo3Qxc1JOypexdbj+YWvPHhQDwRMOJT0o2C/8IPR8
mbIKk2BcugkHiz3UnG+USdc6arNyJ+jdIe4K/76wgSGxumlVbUQjs63nePCSnVOW+ks+VH1YSjt7
hdSfHeqSyudOG5NTIckYcNLGoRAIfKqUVS+F0r17TPawl+sLsLbgGMn1UFlHaAV/c7ng1dSZSc8n
I0rN7MA84YY6ae9JXA0+l+K2qTarBWtLDhI1sDYBTDdPOF9adAUwfVqF1NYu0Cd2vqcZCf7+mzA+
By1GqMgDXrlwncLxGsqgEhxpQ8TLr0biBhLd0onetP0WEeoafAvaM/8aW8QfVV8MIzq2BNIA0N/S
RtDMa4rE+DKLABM/6nurKYpjyUeJghaQXMYcDV//4LUlRQtrnpwzALtceqHOplIkpDSBc1G/W7P7
1JZbHA1r5wT4I/A4Y/YR3P6LXZuUMAaIlROkGPFxdEOpO8eyeBmrs6ZvoTLW1xStOCTSKGyCvePy
iJTdCDKdXJiRJM0OofEzxnb2GLo8oF14NNruEwc3L7VFEqBJvfHUrc2dwiz67+CZRDZvLTZ0aOrM
ZiXiVlNlFYBe9LZJ3QOBa+egWp7qzPKNTAJ16mpvZLBsP/WSA3KswRfzJML1nV1fCmDZ0PTAqPIH
gUWStm06waFGdnZTodEdW3gGk+9AoIYxONaIkYWpvGf69+t21x58iuox5m8xPA/ahcsdMMrMoxpg
TJHNW9vvmaCHZjTAlaNrGLB1my0aifn4LKMOZAogcaSoReE6XdpTwpmqYiIE9S4rTKG3IRI96LLd
9a9aswLEOhi60Oz9OP02JlKQIRZW1KTfoawUgOoqNKYNlzK7qOWnQNF0viQEoO7l0jmySlJAHK0o
5S+p3KX1DjyiGe8DNoCRVzahCyDD9e9a2y00DnVMM+AJ/+A14cHYMHgdvktH4s0UyuWpeZx6/qbR
fMOdrb0172wt+5eAI/AR+bkVZboBJiW2A0z9+tf8uWHLFQT7xVxiBY8HcrvLw1APjsqFO6Eu1Bf2
p6Zwen8AJtfyiTa1EhI97Y+kk8VxivXJF6OdBKznN5l135sUvAE91BgCWwnrARq2mGokXUwDZB+V
8svR4JEFbYZPNUqQO8wFohTCxnqXdWbV+LGB+Bou1/4x6k56mtIOJ3EcM7YfB9v+InVMQSfCGwOL
juWuMxV5lB3v/ITIqvedMn7w8DrIVgZJctCaQ+7o7a8U3P5nMrGfxKqS17Qwip3VDWColxAwdfMx
v0XQkPn9VPZ7Mkyd78F3HfWY5xt3eu30Y2gdsHwEI6iZL+6Y4K3XKzKgIjUllp+TIQeACBGtmW7c
gLXjCCdko3o9C84vfYUmEaxZKM5HHobOHs0cygpdH/NvU5Ikz6qa/sO0ARoqcBX4D+Noy1QZY8vW
aFCIiYDeAsrTjVvt+r4qNzKjta8C3+Pc6cB80odCA2IoUNID3RFpCYZ1NZreYwLgoCftHQr14fUr
sGoLxUmE9nBFeH8vb4A5jGCaQfky0jq3ClCCEDfMiKvDlHcowhGQaZ6vG1w7G0B9gf7awCd8SP95
Z/RDQQcLqD43rGoNiAT7xEEWfN3MfHMvb7aBej/QXIiCZ7L7xXcZ2tD0eY5xhNxMnJPXoj+TonM7
ToBe54073LKhb8NK9tbuuuEVXB8so+OAegp+wIcn0rJzBQQ8t1Br7g6lToNeaX5cOfBmdXMnIHSD
m6H74JPwAqMrvmvT3xPmwTJOCIoFzlzqW7pU3dRa3ts00it5MuFdfYjR7atCPMXqrxXgMbM+MyIT
dHcAz1lyo2IcOaUiRWtnMPtgFkHnibH3pi3154+u7sKMtyizMKFjemmSFKDTvHEOyooFmGCN4nVI
CxIljGQoA+cNO02lHH87xZC+bGzrx3OLX4BIGpEKZtE+Rr6Cq/8dd4vJc9u8YqwJiECM//h2IgIx
jgF0gH2GmgGH8+2MfWun/gPf4jReOdYAKmOqwXIB2LSWYw2lskAV5YCvicHz5Ob36ah9BX8jtKfA
TtJt5cgr34w5TCBIcIhA1rR87rSqsHKSKQ8zPXEo40Phyn0faxtXdT6Oi6sKZwGZujk3xvDn4qq6
TYGJVLcVZ5d1J0wrB9SIWH5GdBXo035jG+d/7JqxRcxt9D3VjKYR57b8gZX2a6ANTHXPxuTGRs8u
yVFT60Y5F4/8uvO2Bg3XXgfAvrCYINJBVXep0DNQLkrZQA5IV3srfiHunaUAoz7OdDNNepJ0Z7F7
ukU4v7rEc8maoNwGvzxv9LuKKMSVzJZAy+XMtfvOnoK4eAax/VEHpcyQbMBmVg4NrgfAU6Bkpx9B
R1WFIjMbXGwgMM1GA8GOBj7s7fo+rhlBEXSO2kAJh+715QdJZlUjx8TNGSiqkPcvLmbgELZdN7K2
au+NzL7z3aopV0DcfqT5uR/boMx+1oOHAOwH4wfb3fie1XPx3tbizdZHD6JrDLbcSaHHpe80lCcx
d+6P4LZO23HfuO03kqgw8cZIy9GW+v996yISdgC59Si38/NYsyCDRETV3MnqkKgj5Rt38GPIAUp2
Sl0Hei64BkuXkTMADkhv5mByQfXUfKicoDf2lr1h5mP6cGFm6TJEbpQG3D6OSEp8jyu/IRsJyuoh
hOgbaPrRj/+QSjKipSJVBGs2fG1M8BW534m+0S1ZsYFxSkwhzt3B2czlGTRrVWISMM/PXSEDB8xb
xfTspX+NKZgFNf81srhNgKrqOlAY+bksHzL2cyA35VZPZu2AwwZKHaCig0TXEm9e5eDuzZTEdiD9
sdovZXzTJLcFMpPW/m47b41+1PRQT3fXz/WKw4S7RCCGrgnC2yWjQONKVscjKKyRe5Dx5NBT3X+r
PBkyQHvraSPxWQlTYG0OpGcVGWhLXe4WKqm1yB0sJBjdj0bxlfJXD2PDsvtpFZ9zflPE/+V4vDO4
2LlhdDv0x3l+Bv30TspvdX0qoHF4fQ3XziCqmxb6t3MgYC/ewcyTcxOyy87W8LlL37Tyl9tstOy2
TCyeH7vGtCbY/rLzVO8SzwBX96lh/yGcmTlEkFjNpFVoeF7ujmmPhkBWos6FW++NUQ+le6tIs7Fa
K88bnjbQYYHTaZ6qWZyBTosl8MN1BVHXLjTpMWtyDDr8hAjK9V1ZteOBdxk1RIwoL6P8VOvVUBYo
i1Kv8pvR813WhkUy+rX25bqllc3BnBAeOID8MEq5xN+aViN43OrVWRVZKPk3hlJkU5CNdVspQELi
652ZxcKpoSBu2vT4IEOGKecompUAEnZBYu6ysT2CINXvlemPf6/icWl4cYnGSoPGBljUz/mUBb39
ICjxC3L6D4tIocMDqsE5CpufjnfBhKOsxC4nbFfVDTcd6w/T8BJXGw/5is+DziIGeFGhm9VdFlEE
xJNNb3Bw9vpsPHlWHqK3uRHebZlY3FS8pmbLPJiA9u4PACN/ElSu/nqpUPmYK6cEgJgPk3ETI61w
ZarOI8+PVS0eyKj21N0Kiv8kS4tc4MLOYt/znKBWBw8OPelsvEGr8GfVOQ7YWYR5lznMOE2gIA/M
hjm70epjP4sd976hzi+z062zSnTrCGbs7mVKstLnWgFSF0X5rredX5rkLWa1RyusdNnd0knkp4om
v3iL3GKi2rOtFA1qE6oY9eC+sq7Da+TQp0nn5kFTjncEr2b8PJU6uXeTNH+lRsECu/ZAtm+NqMiP
BPrkrSoCR8Wxb1Q6C7jRekHhTeUxtYtqr1Io0daJS4+jUNO+6KwhQG0zORLAScK2sEpMKbP0ueRZ
fZoEZNvS3qCvHoXoNYBkznPeOvUB4jrt504VbRDbdrtL0srDXz39U4pxxVvXkBjJdI3ks6cnNvrR
4HX1KfpCaPDN/5twmu9KtkvLG1BOZDcA+FsA6HoQCSlpcZPlChAuzOn7g8N13xqIdmCZrQfOWLFw
LAiQ4LkCIrClW0JiK7H9xd7Pb96762gnBZ+8Anuv+K8i2UG5xtcxVST7U+pt+Z2VGAS50B9uGdzM
DxWhxKkNXfFYnklNAns8K+2zOXEfiKUT9+6MLYToyg1FYQ2NM7AorYCkpUehPUBpeeaVE3KDPfBm
C3K4bgIlSgBeHICTF6snphwEJE4mz72auj2jXNs3BXfD6+/AiocDJTVoa8CbierSsjCQMkNr9RZT
gEndWCFzSmhZNlCAKGPtDinEhrW1EwGiD6BRgI0DC/jimyhuLIO4CqxBZ2kixww0k41+jgUPIA24
8cStGwPkGkUczJotsfmUFWadV7k8F+qU5y8WopDEQ1NXVX7tbo7Zz4HN8qFDLfAfa/N2vjvsmjsk
UFuBtR5AkjSe/EQLG/fNVefEflLiLQEZaSe+Xd+9tVOPBhsQI4DMgyZuUdYx0h5And4rz7QA/0J3
qlrhx1QLmuHIhoOwq+C6vZUoBbU5qMHP/m+m/b78yDEmzmSMcXGup2SnjXcDKPjJVnN6w8gS7tUk
VdNqA4yktX5LE37qNeNexdPfY/IAkvj3Y5bECIZqhhL03eXZKd+67FM9Db5CdrTFGEjnmGp5MpCx
ILZHnXwmDVwsWpokGtxLeRZ0co4xhaqiQs0/KBRI/S1z0A6TxbSQgGUV3S3FfFAlCH9gtnHT2FVz
5o1gR7Np2Z0Ac1vQpvp0O4AxdTeBeuOxESYPBmnSgI06qu2QogxJ0uRBCQWPl6GxvEPB+sknSsEF
KPlNNuxX1xb80A9eu9N0V4SJcpOg8iwFQBTojuSI0i6Kny4oREkRGMjFfIP0Zxo3o18UlevXoks3
RtVXCJlmaB+IHIG5R9Vi+d7JLBGJkTvFGbg7wL0ESw9yZKCJZjZQukM89g9GVro71epvvMsEGLjt
s57yPJzFa32jKLQTcDlpKAr3Sac0C8024aGGUdDbLmlfnLzcKuiscGtc/uZF1mYQUVuGsIoz0D6H
otU+e016Gyvjs6exfWV2QVGNvkeHI3AydzwGzGzainnX3MT7ZVueLi/OaqhhFGd9etO0GxPi3H9/
55GUgJcR+dZHSK7tuaKRCI3OpSpCa7qX4rG1/n40Df/0OyOLhSzb0XWBEinOov/K2xNIuHatuqNp
uQe6aOODVjAhl8YWS+Z6QiceKBbPdPxaa7dg4Qky7bX4H87Oa8dxs+nWV0SAOZySCp2bHcYTTogJ
NnPOvPr9sLH/zxJFiGjbsGFgYBXfXGHVWsPsJ33JrWdRyw+1+k8Hcy99R5F/uD6hqysGEps3F/ZF
mp7O74Npyk21NXXuN+NL3H23jI0AZe3do3JBBZVmY+rDi0fBChIf6hJ+vzCfu+neg3Quyv9CA2Lo
0o2pXHt/wMtTn8Jzh3VqMZNqKyuZGvP+GHPaNvd3g/ju93f1+DtvblLtx8bErRQWaG6C3xF6UtoE
lzdpOYUxmFkWLvGaztb7Qu6cCG2wG74NXYYBAEGg0WwyZVlwGBSz3uEq9oiqDzrNC0JyYwmmZMNE
EB7MPg3udMQGD7FmJg5o9MQRgkIN7FYsi/e60Po3SeeViyLLeKph5X8V6/KdzpIYkpzmlzYm7Xua
hMZ7piNXQlg93A5SaDihVmcldL5mvmt9q/9dhVHjZGLpHUfdQ8C76XK7KqbsPZX7+vPQEXwAWpHR
5MAtJUt2vrWoQeuNLLTlC6YcGnfH7EttffHUfGPdL7cwexdoD31mrAX0g+d28pD3K9eT8EVN/vHT
1Lb8T0fy5wYWe3gwRr2y/Cx8GcOvevFPV1WOuAUsXOkFno3A4EAjMPCoJbJhjMagEEohwAHoiEwo
SMU3pf4YZbet9yUlLG3QTLV+tMHfrf5HsP7OwpugPcRVvXEhzF7TuYMwI8ARauGwmniQi1PUm0k2
NRD+vPRBdigb0Y5ROzC1n626b40XXXST/PX6SZqv0wuLVB2pOMIAS9b2fP3aHPx13StYFO/MibqL
3fVwQH37tBWqjarI3zQM0Zt4bkVUPTEm7sBH7BXQ3PdW9Gb0N2lbbjj6l7cQ2p0ndhaut6QIZpfN
SmWJ8IP0jCNYL7KV73QrxOH5Iecbnsrl/XpubhHEyKY/yJaPOVH5lkauFxzH9DsEsJEybhyzS094
bikmXtfBo1zimaWmCoUsG8Aa+/qhjbVXGG5vhHyLhPFyQJihMkwTM2htrvHzdSoiTZymuJGQh8hu
vLQ5ClXxR4LmuYdjr6zbje2+OiooH6mvAxq+CGynYhjTEY0iNxW6Oy30bDMTbVH8fX3zXW4K4m9I
YGiZ5oK6ONyaUsKnEXB4qmC4B+z/WhtVwssw/e497T6bpjcz2Hp5L48VNqGWntdqBqAvNnwQdBa9
BYnoimkR2FOcIols/FHK/qZS4q3w5fIOxtjMukgWAgaN5elCkWj0x6oV3Wz4y0u/p6DArs/g2jqd
GlgcqzyUzGIKMWCOx37W4RagAd8SpFs3gndpqNB0Ua0/33uyGaWT3liiO6rZrpwaZxJe1Xr3H0ZC
vQB1BjK3F7gSzZBLBWJe0Q3CULdh9tOPoAboh4XcYmNzr67K7H2BGUVpZdnCQc1C9qfSZNuJxVsQ
5W+alGy98h8KXufXN0sPGI+sEKiOi/KHIvZ9DLMn49EjH94ULrlAfCjL+osAdYUhTarjV/XfNFkU
dhCEN52e31AxsWvqcXpZ7K/P7tqQZywzSAGuehbxfAkh3jS61tMkN1KC9MYctHRXFsYWBdJKrDXz
tnMVkuqgIrPMPQSCFvmBEopuiCq39Jbp8TEAlis/yWH+MAMgtMbbdcng5NNz12+UodeuSCBJSOhC
kALVy+KKJPmcF4k0TW48IK5iU62uHE2I278GrudDJ4vZraaM3cZLs3afwCYrzd1bIvRxi3RLRra5
biVOYJ9BukAbwPSo1fi8eaO1d7j47QZ71po9KBhEogawkfi85ysZjjAoVn4turWkH9PGvKmz20Q/
RN7N53fMqZ3FoR/pQ9PysZzH5X2b4uoGWuW/rptYWzBApBxtdSYmWPp2ZezpkyWNExDI/KgF0aMm
etAld8NjImv3NETHG2/16tydGJz//CT/lwRSFJgiBrP6m9bdwdu+K8b3Tv18oZiLilQfJdYZHLts
Lg6LMPS1ad4TfeHQqljQmB3Fv67P3sqtfGpkSTgEyq8yogAjeS8NdG2r+yI1WnrFtmCU64ZmtUID
IBMguPNZi/TBi9P5EbOam1r44zX3Vf9+fSwrC4P7BHsKbhQ0xctNnUsoyAiCPNE89FjV32BoiQMN
NOHrdTMrIwGgOaf4gPPNt+H5SGrEJcZaVydXQWwvTPvHZvD2ZbUlvr5mBh0vnrEPWe8lcZYuWLEf
mBExQREchKpzU8hjgc5vnNBVM1w6OsxWzNuyc2/sDRLabc+kdfJxFLpDXDTf4EffgFasXeq6Ssst
yAeIS8iInM8apDlxpWc+p8ayPNuThdFRkvCWCPsQ10pjQ0t4k/nSrV5MyN3nvyvZqu028t+uL97K
bcFnsHoUjui9XF60gx6MpFOiyU2gCOuT4EnQ0r/aSP+qeAEx2PjturkVoA6t9DCE84xDXHFBe9UB
TvYAf0+u1kfyYSqk6E9bWd1NSNVvF5RDtx+tKXFQCE2+VS3thLmn9hRlDJqkrn/K2unA86dezoUC
D+tiAXzIgUVh/pKZHbWCm2b0LLoiYseI3OuWVrAHDBqd+A/c9Nyyc77Wo0YZuE60yZX1vH0M/Phr
LAzIgkxxGxwTHVwU2qj6nViptdPQrLtrBWNLfGnFV6F0gXMGdhLm32VvHUrihZG20uQOdbBXzOKl
UbbkllZn9MTE/AknD0HWR1lWK4g441za+oCYu7Cr/Bj66K1E5kqIM2PfaRQCBjNz/5xbsiK8rk4O
R1dKClJgP8JE3JfSW+r7NEe/St3L9QVcMccCsnA0J4s8D/Ofnw5MqWnNzhp8rrI+VnJFA2+3s8x3
WesgGimdTvZ31y2urBauNEhwaWaewKk6txh3BcILGnSR2fQnJm0QKlt551ULM7Ei3iuR4hJIJGWw
HZpZbrhT8r0W/raKz3tUsy7H/35/sRmKspX0wMrgVzY7pxf3NfQsyLcW46cRIwTUs7IjcChpRsCc
z1TptXKmmrB3io35NUjlG8Nrf15fjJUn4czEYrdFoywiIShAUWcZ38suPvhZN1KXGW4+bYfLCKIM
/qHEuMwp67RGZ3Wnsc0KsrtR6QTVg9K9f9YInLygSXVq0Vy/y2tv0tEjgk9ecmvgnqSo9rkcH/1A
31iWy3cFMzAiIf0JVA284vmymCSD80qinXgcUHUSDrrxkkoPTXyUxS/XB3R565xbWmy0oNHFOK+w
JAxvVnmXyvS1hi958vlc27mdxSVe6JGQ5oklu5LeO6ry3JaJXTR0pmQITqCqsf/8sHB35usNBN4F
rMO0APQkcFi7yL2j3RGgI/XYGZItTxvu2+VFQLXkX0NL3GI+FokpzoY8U94P7Y+KNOz1oaztBdIp
c/vtTD+5dHV6AEN0U9HTUqDiNKlxZMtR/6to4kPYxb/kqf923d7KiGbcwwdMRaGlZvGyCyWMPa00
DK7RG38SPb1tjS0yhMsrYSZCwHMn/OdlX5rw1LGWWiUnBeX/MoOMbOuui4/Xh7HiNkBdQrgP/8vs
9i6vtiRRvKTtCKyK4nHUxkNMFUXMdHSYb/320c/vki69LfJPX9wzYQo0enTmQMtpLvY51VAzGGSi
hjq2nGDqfveluhcz9QfthBuO0dosQs5HyxFpsEtGCdRvUklsc3xt6ybr/u6lJyH46/okruwFVuhf
E/PtcfJ0RzB4kawocbMbYRf342NdxxsVm1UTpKLIf1JPuOA6L4VUKmMhxKWNOrRj8+ZJFvsNG/N7
f573YlHg5kEWgXCBTXc+DMB2yjTUDEPoLZh8k+e0NB097X4k9E7BLdPZYV1uXAzzby5skhGfqQAp
lMgIrZ7bLCgVy5UmNC7K3KhmotERSbmdNeNTGclPpl/qdiypNmQbG2XclQml8QYUNRElHb4Xxc4h
qPKgzVquPjCGAXRrW4m7lTAEhk+FkiqdIoCCl95wLgoktYSgdRUweW1+EGv9URRuqoY+relGaoId
3PlH35wO1rBVy12bVi5CnYQhsd8S7zwqYDwtI2ndSQe/MmM7k/LzsQ3LxgDhyYNx4YJtHJVk9Kdj
YuQyNQ8Nu1Jq9VvFN3dTsrFJVu52ClxEUfDqUtBfxo8+MNU+hR/J7evXWc8hLn76At6/5x/C4vv1
s7xyXUBjQSaSfPYMF1/c66qa6mrWsGhyYNzoQ5M7aZT/gbdj4+Jds0MTHYAcDtwsZXm+8fs4TLus
rlu3HRN38MMXr6xeDXOrxrV2viDQlzW4DiVC7+Vw8jCR+tBrXTFz8+gftfvqK7dS+1Bojhn9MLLD
9dmbj+vyOLNGZFDw+EE8Lj0yQakyoMgtesKRnQVw2v5OJ1IKW/7YCshk5rP+19B8vE+uXKufSQjr
2VD6pKBEq2bDwzR5N4pefCmV1hb95lmN80MKdsdRkz8R2F4Wwbk+3JUEC58BO8+scDfjAuade/IZ
tViYUyNyi2QyPZBN89iHGfG96FSaTjmn2TVp+lUU44e6y9B5E+ub0FTer3/E6pxzCInkQJleeD5F
L1lV3kbs2Fa10+TG7F4Mg+akLSzrx9a/WFxogjgdMNlf+CMd1HCD4HE0tN6g6TK7z8fhvUA5s45h
dBBHfZdG6i7MvpqN/2uA4izXUgNfMnMq0fxNR8FOzoen1vSfDCk+FkrybKTSvha34BNrR2um6Z1L
d7Q6L9+xNvNJxoRMSKLf5OVDDILCjLcSxSvvB3QDpJc0tjqP8vwRJys/QcfpaVk8unkcOiUOOyWE
6+u6cnRnSXUeEBpWZl7xcwv0i/uFWPYDvZKKYwCpHcuXZvytaO+B+Msb783y7brB1SGdGFy8xX6R
WyhI4NKWwoNQy7a5pUm0co/jJdHsChYNx2/JyuvLjZkbpdi5ShV9Eybr0EwNZHBg/uO8pmlZCzaC
3ZWjcWrww/k9WSRVDeMmrKQO2RYazIcD8E8oTN7Ez/d+ze7f/wb24Qmc2BnymI6VBDuxaT2Ko3lX
BZBdW9Xh+gJtDUc+3xGV1MtZ1k8d2sKx3cpPevWedd8HY3/dzMr5oYqrg1+ZE/oA5M/N5HDhANxt
B1dFv7yWBzsh41VvvLNrm430tzZroWg6dBPnRnR1/P+bLQN5XMevef755ABNmtRMIfldgd5nZqMJ
ZpD3rq5BE6OGjq+Pdmy8ihOqG+3GaNamDLIv/BOwc/Crzmf5ZAP0kCGqOnwcbjt9L2LoGR8geri+
KmvXwYmJZTMwJVGat82ud6c6PAJsHBowF06V3yfFg66H9JVtbIO13XZqcOE6VJkq1fGEQb37mSb3
ffiQl98TacMPX5856gIQWZFYW0qUoienZhMld1egeWDMKCIGc1frVkvj6uxR4iXGABt60a2QFiEa
H37Vu2Ul9vdx15WPFvQqDlST2b0xQNSQtmJ3Y9SjdRPEo7ZxEa2NEj8BtW409ABYznN9sj/qHFwQ
JRjRlfLvI7q2kvVmUcK8vkPWYvmZrgDughn9c8GEY3r96BVTKxGH3vhaaUN+mrUPY/J7ROAu13+q
ZmYb4VaSdyVs5IyRlsQ3X+H3LVV1aE0FwFErfYeBZ18gh1rI91a28yrJmQGZ14e5Npe03YtwC/Hv
i8gtV4JRT+RJdBsAoA4XSfI06Gr3PBWCsDGjH3HSwuWZkSC0uADPBjw4f8vpuglUmcSBFIzZjYe6
fg7FF0L9Qw6TsQZHqTQ5tMDYSl/bFS03gngwxDtdgE1sn8HSo0q/ih4x7N9iS5k/vi3LLelHaW1f
02HEfMzCnRcxpllYY1YpYAom9eg1hpN70rMCURf+MOj4BzU86vWOqioA3Z+aehuXL7GXOOrAja68
IEyml8GuSLZI1lc0ZS246TjORMArBLy1kXmxmYji7J6r6YMVmjbd8aLQv6T5LyGLXmjEK2nfS42H
AeqS/NcUpFRzOruYqqOnWHct3GVC5e/N6Llvoxezlhy/7jfunvXlZfrmBDJNU8tgr44zr8sklrek
y90M7HF6EpvXqSwPEl5rYRL8eXtr+CfVDmr2kCp3ReYGA5TFSQabYLWvEt3RjAEAuGdPAqOKXj69
1yk/4f/NKRkKKPMrerL/vMrs4eAzqXbVSPiNuew/+JlS7vVs3MoFrxxjAhkwBmQGSFksQ5nI7wSt
qlmyQqiLh7hOx8MQdeOdNna1A3FR/W7GbfFaCZZwe32Qq5Y/EO6E26Ru5z1+MkhNjjUpoiTm9qa8
a3UR+YSnenzKKv/QAzedqo1TffGwzc1VUD6xM+mVZ/Of2xsnQe3FWCLnlGu0m7ZxYFN4ax1t8sIb
APdbXboXF9bC3vLyhz2r7q2+cfuZV5m2PzsTg8eEwHhjYBf+9WxozqYRCHL8lvj0xJTBmfZD60pl
pzu17pv3JK4V2xTCL3JH+z5Q4q0azMrgFEJP9HkIhJjTxeLVupJAFjBVrjEFiG6XyWtWTJKjWJ70
7fo2WVm2maULBRTcUqSQF26pmepU38IMS57+M6v1Z5p4b70+2XdJu0USuzIqFXgGBTIeZuqxi1Fl
4SQZfqmVbqq+5C3d1bei8X59OBsmlrEJiCYDIiVMSMJd7ft2KT31W4izVRsQa8LjSc6YZ+x8p6ek
ToOw9Aq3DuGF7LS043VOkqfUm4zP7z1y0yDb6Dxl1park3oFwaoeVa7VpVpq5400QFpfyjR24zPm
TZDc6O0UbtQRLhMwH9fi3I9B+ti6UB+F7bwNFb+ogJbcNaNbePeF8WxIX+r8WSW31nyLw2evvE23
2I5UZu7MMZjtyrgFQMTYjcsYaWqTfhTkvHLpFIxvI8GYHCg1hA1X59Kj0yQaKD60ZTlhFx1ApZEO
Q69Pueu3zXsiyV87WXJgod55SbyjugKhbVvspFIbHSsQNyKOy90jf3AYk+MFHcDBO989ktcZ8SD2
KaJR3S4WfVCvot20GxvncibPrCzPgaqkOTwEiEJZmfilJ6r1pq1O+flDzxfr3MTiGASaTttHL6Wu
nsI//9pCeQ8++ai2j63/owhc49MFIZYKUALuKbEghHCLNGgV5aquCHHqDtKukg17Crbimcur/tzC
PKsnb2Yqdx2lwTR1kV8+DAmbIg1uisg4Srr3MI7p6/XLamWRoEic+xiosuPzLu7eIGx1dKjG1G1y
GEyU2ImlrVTqPCeLRQJ6jK+DJg/NT8vHS/Rys4+GgRHF3v1ghd/8KX3wtHYXp+K90NB1rSdHVWrv
AknYS9PgDCUiVXqz4XFdOCMs3elnLCZWMbLaypEhdCeti50wHJ79fNzXeXM0aHwB2fB3WE3fr8/u
ZavUh1GN582A4ekCGZwHam0KdZdCt4sKpZXcBHX4QNPfoZKjewg/91oHg2ow2hK0T0o9OfEQkUmO
oLAQHbGK9yV4to27Z+X0S9AyQfMEryrNTIvT37ZWrU+ymLjoHNtq6dJUt0P8eMPKytHEysz/AwsZ
tIKLjdUYudCPhpG4WfgwmnRTPgfRa5DBNFzFdtO/Vp+WDJ+nGucIDsEZp7YsiACyEaa0i1K3yp6N
roZS9QBXiR0Gj9XMpViIhB3xzfX1XZ1Kzo1Iiy/4vCXcUxDyqYsargOlvGmT/SjB9OltxDIbNpYI
Cz9P2rTRGVcwi9mjkTqGP8JpiwdkxQoF2VnBFqjFHN2dXzvmRIJFT43M9bOvQ/k1Tr/E8pdPT9aZ
ifkTTm62Zua3FStMBPIDNPY3qvZTiNqN2+bSlwSUeTKOhUued3Ik0cKUuY30tRHTo5JCKh2Mjh9v
dDZ8XPWLa+3M0nzfnAxHDXVlijMtc/WpdeL4j5GkdqEFthcckLLcG8kvoyRIz1TH7Mtjpie2nh6z
3nOm/BnOXyfhzRcfxHSydeGhnKCKzL9Douj0nWFbVnwzxog5yqU91H8n2a2M9kvYvMMicZisPW21
tiX/PaK5lMVfk3qkkTYjdtyVhrTzYQ9DF+xoan/E7q8Y6p84eh3FXwPxSZPL1DS+WMGjKG29XCtP
CUeBMziXAahtLNY37AbZS9KsmKsMupzvay3aOG7rFuZuOxkf/qKEm2sIGulaXLiyNCA4BYrO2l/f
oyuPxByW/8/CYgyirrWDKmMBlsB7wi7b9448j7ZeHASh31vtr/9gj15g1B0ISJCdOt9EUiwmgijL
OeiP1Cn8BPp0V9QPRe/tZOHe/zQwFLZsrn7wQGT/kbJd+EsagYna9F7uDpNyr9bfk3SL9Xx1iUj7
0zEGaT2ArfMBNaPYwOeRswm0b2ryK483/JWV863R7TYHI/CIXeRblaSdEA6XWSB63vL2NZT/SkqS
SVsd+lt2FguD3l4Uxp5UuJ6U7kOjPZbtvWfS0L51jTAfi1uE8UBEz3LwGhsLr0RKQ8Xyc8YD5fih
SKcdXIa3XW1uvMbzvr1mZrGvs6lIzRByLVfwjmaBEFi2a6LpPxhhDLMnyVPIHjhf+7kPTKxVq3DN
rNp1Fu37TXOsovBw/czMU78cCxV5GgVl1Magojk3A6mkZ6pxWLqeXthx+2wG0AzeVSPkzFuh/Nou
0LBCvyDZs4veOUP3lNjTktIdTTR9ZZgfM4oYUWfdQhax4Z+unRx6YHCUNVgaLiD2ox6VnerHpWs2
X0Tud035D/N2amCx1aYALbjJi0ow/MLO7O6l6LuKLk/5d6EcP79CGl3KM/50bg5ZbITS68bUH4PS
9RWS6E0v3oSJt4PXjGQ29YMpeL9ub3WZDORGSPnhvyyzvYIeJGLeZSXyTb8z8bck5kSzvyT/93Uz
F48DDUqz9IEskUQFZr04RGUDlEmDJtadJPPByCQbIbPaS956rz0GiXAfKeaGN0OdcbnZsYlPRkIC
xmCqAQu/LDHbcSoYnytHNExKlS45eQ1zZ64b6bHsfH0vJJnvBK2X3XqjAX3RWOVfzdTr7vuoh8an
naw7ZN3Cg5r6067DbXGymE4RxUqiA/yIDRiOjj+1OkcfMmOn1snX2O9RHAp0geYLs0NkVFAQyIjk
t64w/H091Q3NwFW/p0uvvDNLQhXDE2S7HUYJto5Ot6cmyB5Ixwp7OQzbpyZKje8JT90+QsxzbBrZ
CdiARXyooQ+pzcaukrd8eJD6+LXKjduvwX4K9FvTKJ3kVbgVkv5FF+TbsJOTPfLu076YOqAfkljY
Bvgxp5W11AnFIrEnbpJdHPC9wwCJUQhCyjETxFiHuoX+vhhFW5YJqoM0r216tZRjRFO90039F0UQ
mp1QKoBdrLo41N3UMiJfdsKm0pwSLOBRjvz3OJv0QyhMJt2kNQpQrdc7ouT/bTTJsCvHLNkLeZPZ
RaoIVB4Dz25CrzoIHVzu8sAfaK0Q7epgzO1RqRS7KKBVG3TQPblo/Q1nU2aX6age6IZDPctUg9s+
wvmofE/dKbEi27QsIGabSOOx6JPqIKpjYAdyKDuDFoSO2KHGIZShBjnAlNwU7eTZisYIIx3PL9aT
ZJfxyd80Qwvu2rRDs7O12gPifMIzMDOiC8+cwDWFUWALoT4ca6up9uKgd/dWHRQcLV2xo2hSb6Kx
qvfkJkHH5EkUunWp/B4HTfxOeb65LSOkfoIeScuBKHHDDbzEiHEouCgN0vyc94scXVeivSQPeuwa
Y3lrNvcy9QT/IcxDB6oRMc8OdfVNq7700UPa3uvDVvL14qaeEYQKgADQd8hKLAsqpDOyoavl1PUM
t1VCu6N5/PpNc3GhnVv44Pw6iS0GM2+SRiFX4ct3AbyaZRDYoajscgSvrlu6cAwWlhZXdT0q3aCE
jCUQJpo59L2q5YQmW6Cq1QHRQAZTOKncCx1XkRA2FnyyARGABjn/WQ2vufin3WomXV0ZypNc0qY+
I3fOXQPV8+t6gi/ebf23KHti7BsL88Epc+Z88P9IMN/QjMelDCLk3MJEI5zXIY3iBnX1oA2ljTT4
S9F9rzX9QdM0O8qFl0JX7o3oqTCOULgeG695HcujKKJTRk0Dh89O9YjLx3tMK2sX1dDaETZmAbrS
RWhPY7zrYSeAatQ2h+9t+qeXRLtXB2fiZcvuis7ft2Ziw+3nx09+r/G2JrbqvfvUoL3yWQ40W62P
IaShhaq9SkO9cfou3K95BmZkjwm6GmlX+XwGsjEhTxYNmVsXf5SmcUC77r3pl0/z56ak39ruPLW1
WE+j8UtupZ6sRPsgt6I9chuP0daaXj6xZwNaPOuBoKIylWOk1r4ayVttbCQB1zbl6SDms3FymMVG
Cnlh+X36OO02/GkN758/w6cGFg5xkg161Y7sydbwnKIpqEKKu1r4dd3KpYLn+cJ/IBZOxlFaaQsh
AHDjqBLVfawK8ANzHHhVTWVv6nVnkxdA/88QU9KYgoakLA90Dmx4Dx76Zxmnv6XA/AYJ9NYKrm6T
mV4CRAKsikvIf6oWZmFYTIDvPU3pS6F8r+TPZuHmwXN1kWSEH+7CO0/zKWhVmLXgDSCh5BW2ajW2
lG9BQ1f3CgQFvCqEzxTrz/dKU6ptbAhR5oZmsC+GW0XPNlxKee0qJsPxPxOL81u3PiFIG2Yu4Yy+
qyt9vDVrVbUrmQoQlNHBUYH+rM+EyGmmon9EbDi90ca+3slRhbLzGJn2JAU/jBjg86TRbFjWAeSX
iQ9NUAgb2FgO4R63Vd8bPQjQwfTGndGrrW2Z3GueZMT/5QCfjGjhIw/IPIVYBwdParmvn9v6s0H6
vPh09JPl/UjkLw6Y0cXJEAPUdSPtZzPGtp7finKysTDrS/8/I8tyWQdHaU2FjPqEFEvkBFEY8tVu
w8hlWfVjKGTJ53IE0eCiOyGL874cayF1Yy+/D1NvF6vTflKi17SUdtqQ7FGMvYs90XDkadgHOnGA
mu+v3ySrxxUu+P/7hsUmN5S2ab0ClaykfNaDiJT5l57K8nUjq9Np0QY0q5IrtNqdnyTPB14y6lnm
ah7RDa+hon1ajHyeyxMTi4tdTWJZiLsqc0Wc+wEaTM+44/BuDGR1tk6sLDJR8Il0TdExEHQLHYTS
nC60kPM+XJ+u1VvhxMpii1tT1SD0nWewYn2NLaAX6p2Vv8fBxlu4YWZZzMjMlCsF5XIXNo6nIZft
yY9sVf41KBv4gY3lXwIk2PlC2auMp1I8Ziskwy78vj5lGwujLS7S0AOXUReMpZKKfRdrNxHE8Glk
bnB9rJtBgBZUE4npZedNipmZ8jIDYfo4TT6Sle90KF8fyvqy/Gtjns2Tp12P+0bxpjJzO1m3o+ZR
EAzHT8a92m/VmdbX5V9Li2MZNrpfjAGj8abvkSh8bSZizuuD2TIxD/ZkML5hVaPQYiIfp56iX/Ha
5MaGEzwfh4swwPp3GIswIJNGK1F1bKDZ+8WvXMXo94P6naxHF6qOFQWO0m/A3tfWCPoilb4RALkX
Ld1eBudHLLOjY+no5Ykth09WtveTLfq6dTtUI+jKo+i3jG4Lq/ctPTNxh0nztG1Keb5DMvahCDdQ
KGvrNDPl/J+hxRyWqtC0WqFzQ4sPlVE72bjVyLh2dE4sLMNorxLpq5Cx0Bi/RfmrUt5X3cZGmD9y
uRFOTSzeMjmU0oLsFvs5P3QpLnBpPdTEuK3wHf4Ep2z/fH5zz4h6sp0zeMdcbO6JiLQzSPa5XfdV
Q5RazTYaTNfCOxwd2ktpyKT3bPHcWF0jwKaT5m4mQZyjHbvgZ9DFu9b6laFxcH0wq5MHSckcUEP0
sEyoEqqWk5XrqYsa/M5TfCcp3Cz7NdK4K/Q3m93cq9sBvUgQXtQn6M48vxjUFmG3ULNSNw9HO/df
RSGz8y0+9i0ji10th6Yl0FkLDGGsvnRd/ZSMmiMhGn596tYuIHx4WHhVWmwueNo8OUcSREkzNxmj
Q0yWMP8D1ArEQ44Se+rUWrYfY2/D6OrVcGJ0sflgTawquYspeVtuMKa70d8VEFhoyhbedXUS4Xyk
GZFGlYtu08qyOq+bN0YjPWk1iYVj2G7cPqtjgamAZJQFUdfymhvUJm8KEehYRszqWQ9V2dhh+mya
79cXavWWA4wLAJuMlLGsiov+6NEY2aZuUUoPgzq+C+a44euszhbQbgpisElc0KfCTxGquQDIqLN+
idFfPQo3zdfro1jbbgAxIYYFtQiL3sLXEQIx0U2f925sxFu97gHUWztL+mvU/sn7L0H5pLXRf9hs
pyaV89NKHk9oIpp43NAvH6Sy2qUk2AdTuquG6Mv10a1NIA8rZRY2A72f8+hPPQa47jqUa3GxQ9Ly
5U+lVmzh03BIogXQUFTzESrj1C6MmEo96nXOFJpe/iIW+q1v0hR1fSAXDKcIJfJkc5OC9QcKv8wf
DII1WkofNo9lLz3LhX8YPf9dUrJjEv9Mfah7Izex5khcuhOEvzTlO1UOqNvhLdv4kHlDnL6L84eA
AyFdAj03RGnzlJ9MaRLWuTQYZvvoldZLKlo/m8xr7Tj0VLuNoyPsP7eDqt6kkX80SvGXEoDV1ya9
3XBsl/v24zMoQCq8i+h6LrGHZm2VpA/5DMnvDqCMj12tBrtm7L8MRUDaNCaTZUKwZiuTuQW2+Igx
zueAFkgVhmGopaxZuOB8DnwIWFDHa6vHiXL2EVaZ9M6oM0RnIQMwQu8o6MJfqMSbj8VY33mR9qNS
ur9Vv/ojDe2XziebGlrem2iGiNPIqfjkQWx9qCgN7BH1eAWdL+/gAMgoUE07GK9vAw0e/2E45MZ0
p1jTEzeFY9TeLmlD8i5Ddmz1Zv6PxqZH876c8twOC+NvBPwetE6KdminRY7ph4ep0I4h9cUuhn25
Lv2DGIm3lswpF9u3VDYCRwDe5EttvLu+bRYH8UN7DmoLTgn1VWCpizMSUFLrhcKr35TxUOmPoFOa
LebMxX38YQKeFZgT6eekiLPYmH4qWFOpZM3bOOzE1mm2iJ62fn/xRprR2Ic+RBNviuIkMBS0G2HA
5e+DJCX7TkbjQ0Fr4V9EDaMaI7V+kw6C0u0o1Xx6DWYDcx8enL2XTtlk+CjnlR0Ghq+NB+NWZXdb
GbvLdcYGqBeeeG4q2BzPT4bak0+TA79+67MjwhCJfOy3YMeL9511xgSC0tBT0fF84SBZ/uB1qoCJ
3NzpzU70d5Owj7dQgKurcWJlsdqpPChVqwrVW6p+i5RnK91/9kDQ38E1DgSFoVy2H8d5OlELrd/G
vtgJyoFyt11v+ZJrq3FiZNmALHXKUI+JUb8FxfOkHa1uV0uv18ex8PQ/VoPGTsgOPlj2llGFBx/d
0EWcirDfCc1eqxxQAmq064NdWGyckPXh/GtrcULEwQySqkqbtwpotwxl2OGz6m/L4Sxv9sgrB/7K
OeTSAxJYEDiq1nGzgWJjIPrCAyoaOWwBhzVvgXBnWTvQJSAlrq/L2v49WRd9cRAHvaRfAtriN1M9
UPStt4Trtn5/HuKJG1C1QzN5dckQhq+D59CE+B++//+Rdl3LbSvL9otQhRxeQTDJsiwBlGX7Zcph
b+QMDMLX3zU+5x4TQxSnID+z2I1JPT3dq1ezwkY8WMECx1frSEmECvNaa4M8eYsOSfX5HeKRHES7
D1DC3RSXN6Oc9HRQ2kAfXa3eqYJTsTo7V+K52dfVWbPnEeJlVdrHZ6nPD9u/H2kr1N+zyrqbKmcN
TliqtXkfzHbiPhOkme/LXzOy8GlBJgFExG2ZrTyhOwCai/YBTLCLXhvOtFNVt417gZ6ViUI+DKQP
4GEA9tPh/AIpGcFckXdTYIa/AFgqvm8eBlAoAI8hnY27lfcSm8ScQFFijYGceXQ4zPm5m49UEgxi
ZbIYOBqPTbQpxv3NpV5KXQa5eRdPQZ8fy3kP4hpCHhJB+GZ1pq6UcD6nnOpUGeRkCmo8Ll7L+R03
92IQ6vJAx5QkqREWU5C05yHcoWxEy47vWI2rIXBmb6rCzqBajiEkP5lD+igZu5hujBIzE74YCHf2
klGa5trEakTtaQSsoBW8PESrzVk+vRuVEIVNmCgUNiG6RT/OzqMjYnRZX27sWvYwBxs8p6VUKZnk
qJwCQNEU5OxEWFuRfDbKK/uNyh4lBtxpCpQZjcFOSSaw3ytXHFbhz/dzITmS2blmKc0UhPOeKIca
PAHV4f52WlWBJlFAWYMzCuDk5RA0O8wzwCPHACwxWrUfYtdU9vdVrM7SlQpulmqtGfMWiNcgb55A
7zrX/t/J52YparTUiAYMwel3FvVwHrbLZ1wJFlDbDmtou5wipa2Ahxw6OVCGD60s7VoQFN/XsOL/
ASwF6ARedtio/D7tDANQnihRAqfdD8XJTh7U8CHTDw7Zq0Sga2018IjEvQfiNFBAcguex8OELtah
GvS6DDj93mwS7/5o1s72tQZuvUFiQwmQsGowDF74lBxGNHMTLMnarrXAnAnGQvA531xJAwhzZrPU
lUDOPaB6ivSUhKf7o1ibJ5DD4n0ErhUA3Ll5sgjRx9mI5qBUJTdPCxcsI+/QgO30u+kOqqpvrm2p
imZAZwKU97tRl7i/tsvHG56RFOBGRW5suW9jwl41XTUFQLkSDcjed5zra/ncDHXZNCe1A7dDC4+d
DIStYB+trAC4BWW0UMAbFazd3PwkWTv3htLTYABCOHejWfD97PuuAlDsjgN7Ax7ziPSgUoI/dbI2
oQRbr8cgzj30wm11X9GC+0sgUsEdhaaJUyvsoQKNLGNweihAQAjOs0gFZ/2AO0fXsxkqNOkwxR/G
1lUqgYq1hWCIRqQ8YTjwjlhupCify8mBlkA/JrJnS9vPAXzL/4nnoT2RahWVrEH88NnWn7p0+yW6
EM/5fLrZ5SPpId7o9on0obB2xSCwFSsWb6FCXU6QXIZUlvHqDcLPTefOJRLDqDx8x3G4niZtqWRG
M0eAzJsx6C1AYNHoPPnn/mYVLDNPuhMrUUstdh708Zv0Iyv+fYd4S8GxQ8SXtRZffn+Edr92W45D
gLxi1rduQt7htAJy/kcDG+CVO6bqIFRoC2iIq5161tL9ewbArmjQvbCn1lJ8PqmgbIvaIajmeifH
+U70HmVH9cYggeb6vwos7pzVdkZtHZUjgW09ZejTggAmyAA8aXRLW9ADbGWt4euB9xxtN1jDTu5Q
xIj8O6OsVEGhutOvUmD2RNK5hTCaEaw1I6RX/a6H3/oOi7H4emYTrxZaats6n2vIr+ddl7uh6EG9
YlPRswe9a2CVsBi8j0SinHZUIWizZ3+N60cVxJbpj82bCSpA1gt4BKj7+V5YGVJqaHebVUH2KM2A
Fm63qQvx3PrKVqLFoMOoAnlyKf1Ce9FLd22JcQSQtMV9wPoNLZegH2RFlyStDCb9yWmfSWMKLp2V
w4DaFeSfkXAE8S5fJVdMrUaNTG2CuCw/jHFy6JLWTY3KDVt7r1YiTrQVEw42Pxw9CwQJOA/cNYqH
Fsoxo7EJqO1LJdmhHYXXy4G1Da7GfA5QysDjY0xcjN1sOW1ZLFVhhVbOQfxv2LjtT020LivTBrQI
6ssZ7RGwHNy65IMNTuQ6r4O0AclDfOjRg7g5tqVrmW/3d/DKIWEU8mCjBgUf6hg5awXmDmscSFgH
xhjYSKkStzeO91WsbDIUxcD/QzEF6tX4hBeqFs10ttQq0G2P2EdheY9APh/ajzsVRwTl0kFmf9Q1
rx3/uf/9K5vq+vsd7hRGFCS8ZqijZWfH3u+q7aXpY04FDo5IC3cvhREthzDWoAXIluisqx7pdkRE
eCaaK/b7lc1FRKj+z1iqCNwFyKoKLJZoFNzJiCWz1UsNo5jbh5jupfohlNxZtGlFo+COByGkk2sZ
WqzwmGc7tfLur/jq8fuzY/kCqKatZpPmkJ+ic5X8qEp+LB+SBE1MBUfj/nQhus8tR6kQkhS4Ast8
HxW7rn1Mv3ait8X6bCH0ARZQMAbyeSklMp16qJ0qQI0mSOWFoI/12fqffJMbRBFpg2k0BGuuf56j
DyCkLKJTGX4Qpp1XbRWG8d+B8O6OY5Gm76lZBVT1UhDExi4qV++v/PqC/FHBxnp1Pqw2pBl6s1VB
qxzRZ1B2XguyTzd2uf59fyAtj1gmKm3Qe5jbv6BEBx8RCk8CHZDQ+CXp+51gBzOzzTmhiKr80cCN
wyaGmuQhbKLRnJ3+pJc7o7qk0qGO9qHyYRIVj6xusSt1XDpSo43Tm9aAA2O6U+XS7YADFiT6Mxzu
lqoysMnHJiasTo9v3SQ4hYLJ4r04BNNSeVIwWZHi6abbAI31Dxr5WuVjuHtP5O56KBp3m2RWTIHk
wVAMNXJH9H+OXu5v4dVT8meuNO4iqTNFb81+qgIpO6BE1JA/jfR8X4VguflcUopOmFHSY8LKZnJ9
mowCr3Fdvq6hXxJKaGCzlqfQGEsHLczZLdKcpuQZ9Z/v+f4/8rlbiip52xcl5E/GwYjPuQiXsb4E
f+Rzp89y8OizU/b94T4xwIvkhhvJTv5rQkBlhQJdRpHJTVFhKdFggbcyaMMvZrmTzA9perg/S+uj
+KOCs1JTXaC66bdr6LjgnxlyAJbfsdAg3jTwdmVobJ7UYrTysuqTEYcBrVTHo2wJYBJr5vxavrbc
SDV4NMbYplVgGoeicEl6UK193rzdnyi2nLyxvdbCrQXas0Wp0sP6qdJbPR2THJmwQ6x4swjXxczo
PUXcilhWb+RlB0Ugn47SHUkfUL+mjt4gP9siJjPR1HF7WBlDBCRpWwVA4E0xUj6nefyYju94SV1P
HXdxFL3calOGDdCCFgrsgBNeOO+40gF6/Q1ORA6ffx6UPQlHhRnc5hyeZIBeUYwnKJxds1fXKjib
LhXTrKJzbBXY+VHpnmz9HfbqWj63jeexG/skgnwr0GZX+Xp/+4q+ntu+PZKXiLfhwshL8K3vC5E1
X7Mj11/P7VojMvsERPRVEJbPefpZjn1JxCQvGgK3WWOQMBbNhG00TodQ2w3B380Q536ULbBrVogt
1IOjogNUtBEoWD9s/79HEZxf2qmwqnotZHe2qryMOlo9H8bok5J8/pthIOW21EJwX8xlDi3g87C0
k7ax0ezvO+nPQoNicSlfMWOwtVRwC9Qa6dUzWnu84/s1jXVrZ9wX/J03293Q0REmKR89ZUb50Xss
BaN7QLEEI165cQsS0BMBhBgo+S5p3Mw8gqwVvDz3R7F6HGCI0LQYaT0E3pazBHrWLCYzjoPswOF0
Z/LWbITh/2chrlRwC51blGSIsOOe+DnnbvfP/QGsHrYr6dwyE9b+fZwQD+lCv3aTVHAWROK15fw0
UqPXagHnSbKOhXYSOuCrZ+3q8zlzRzpNbWILh7kwj/ah/PqiiR7cohXm9lFY0bw2WUDKyHZT8oQ4
TikyGOuTBOgyuuKBC4x/sshTh3C0gUEgJpUOu1T0Dl4dgsFCgqwrLcLny0XQhq7OWlrBQyYohzmY
7ZfpHRAGYOCBgWI9sFkx3lJFkZCuMOiQI1arnBz0pNBbwUZdG8S1Bm6jlmTOR6eneTBr/4blk16f
NVnEtX+zEAAGIkILukZDAxrjN6HIVcAATaZqQwIh6GuXgh/izS7arUaJU8DdnmqeqIqUlNWrmhA3
HR4whMM4gB5187kD8BB0CehnC9pMhIK5JUdDE4uW0VC+anNxBqdX2ssCb3xlrkDuhpQCfDFkTfja
RFuywyghUfVaSODpQkG8yLTeHG1UDKOyArBDlCAhKcaZji6lXQnER/lq4AKVX1xPibdeodCAA8eq
K4FmwNt0uWmlPi0khzjJa2ScJ68szxtNK3JVYEoFkAEwJWBBOT+mNfN+NsO2fJ1QJwymkjAW7Kbb
JUAXJxQ84Ba1kVzgEz7jEFddU1nVa266aFlVi3JutysAEklQUwNgYOM88FR+UlQkqJ7r+lf0h5Wr
g9mc0KzHbjaPAv05WUwep052ZD7iaMA0zQ2pwQfVdIbn7JWm1b2tK7FUwS20LUfSoABSdzEiPx8D
EcHU7TosxXOmiUjpVHchxFePiZ67WSoiQF9RgPoZBy1iEGLU0ZhmuVH1Au0yxq62L4TW++kpbPX9
5glaKODsEjrz9hQ9yezLDKKu1g7dUVDxebuVcMKuRsCdhUYDGNFMMYKxbD0EtNyfTo4q1rncvNLM
WABgBTpfMEzxLBrTOJQTSnTzV/VYR6Ony5sRUDYivEgUwqUEWSgu1OVSaJMqz83gpK9AU7j2icqi
KMrNPfdbAZxJPBxQgMn3ZzMNQlKtl9JXI/uENHGifIv74P5q3y4G4znGTWeaLInH272iVco8tWn6
WkydZxi7Ut91IG9yRDWVt9t2qYc7F4lCsskJoYcYjlt9jxPHvT8QkQJuMWz0uqzaCQqqkeynUd8p
8dZgAGoE0CADxgkN5XALcQcjDWttUqg5XADE7cvas2cRFPdmvaEBdNrYLszGovpyuaFy2ylHOxvG
i957XeiF1n5ojhunaamC57CBM5AUZgIVykEzPjkiNNfNduLEc9Y16YgV2gPEE+Wh/xfUdK5dPZSi
NN7NWjMtMH24smUUyvFogMxIQUI4QUv8IMmZOwCudH+W1obBPCU8emFCbnAAI9is2lib6WV6oeaZ
klcyvfXR5v2kAmgFvwZl20ie88H2elYaOaonNTDe0ONRFpFz307SUjz7/cqBnQcFlYoVxGvDuG/k
Y9TVm/cSNADKoMlAXAF5zRlywBjqvoxUNYhbl1q7dPa2rgLgN1gCWCfEHG5IY4DaI2EFrySY8n1X
n7IPbX1C+e59JSvThBgia70GpAzyqPwgurkonEIzgjKOdo36MtbP9xXc7iV8va4i+AAPDXAlLhI6
N1Yz1iQygzZ6Gejslt8ahNsr43Jfzco4cEGwOiAdQHXlN/fn1XIb2mxZZSYZAXUOqrTTBKMQiedG
kapOjdcKxLfyiyF3bjpvjQGBEgbUIiyFhiqpm2YzTe3EjUyIEZhN6f6y0lxwpG9tK8CHCMqwxrvo
ecqvc+oQkJ31mRmk42sDYuVeUTzH2n6k0W6U7Vr0C2QrsTxzTj6nlVSOZgAqY9cBF234a/Mqg4AB
TjjiHIxHhy3T1SpPaoGOsUNtBbpy6CNPF5UvrSwzXg+YfRmUHACPcTdQocqDFg2VFeRIj+Nxv0/2
WweAOjhQMyG5BSU3TWfM3qmzEUUWgUa8ttjVmYDt8HYAC/k39xuBxcss0wlk5UP3T1Ye7n/+7WHW
HBZFZOdYRQcybv4LZ2itzlRIMOSxi/ZGT87YPln0m6Vv3q5LRdxO0hs7oqYKRUm4Lx+kcS9i5lsb
Cbq4aapqgovpBl4/ggiBhnUWXnSn2IFN39RfQ+oqrbzZvgIkCB3wnIASvGHk6gBLUhK9Ci+zvivI
h0gXOLArCw75rKsr+kuCUZubqKwa1brtu/CCJ3VKT4kIPH4rH7lEOPhoQorzAF98eeKcPHGkwlHs
oPOQmetE67wq3mY0QQxOida0S/FdGFc1VWMnCAv7YHbOQWCR2P8XmUU8S3B1/k8+2wZXBsNEB662
QM+JYJpRBOyR/qO83XIvVXA3qDFluaakUIGeb1LnVurW2AmGAKoohJaATQftprocwhinWTNOqRTY
rY/og1PEgrO2sgaIUqLYBJXYrF8B57QSi1pOJRkksD8nKNWUo80VGoDgKnAAACbGyxetJZYjYFSo
lmF1JGgfSt0BY+nGLrlog7ZUwEZ4tcpNPtZtQ1oSKEl6DHvroaQHI/ca1TPV7kQ0W2AG12ZMBxQX
9DgowAfOeKmvH+uiiXPoS7IXrXw0BRGCVfEODh1iZhrKgLhbCH1+YsRGK4Ly1q+FcwCk6h0rjtYo
jH9MQS8MfsWHWGlr0y5I0FBEqQ+1utmZ0VEnLSPlxMjhbh5ysd5Pvdk6RqChl4yyQ+OC+9fQ2gSh
YzyLa4DGHB2llvM/Rk059KCECprWk3/KIgzKqniTEXLpCLPfRCtp1fVWPaRmoNBu15aHIbMEA1gx
S7B3KN9jcSw0huc2UFUpcQV4MiZonr26qlEys0cPoXfM0pUSzjDpcp7pA4USkOkgkvWSx1vLNHDs
rkfBOcVVUthpGEJBP6GjB5jBt7/Wlwq4gyC3ZZ3EbJqAKPecj5az3R1jOHQVhwxhabyluetHRvcL
PSKWFmjlfEYj6P1cCR4OKyu90MCttKrTnjB2hIBIb1OL3uQnwVZa2ayolNXxeEDjP6AJuVVW2xgV
CjIxgyp61D/pdLstMvBGRzkuEO6IznBZ3dxsyUjVwgyG5LP9SdLeNu9RPNdAJaTiJc2s+PIkR6VS
FkOPFQYJs/Ytnn7cF89ml7v+LTQvxdvcgs96c/OEmpNncyVJgfnNNOhOQWf4Cl15S0cUuV9ZZnTj
ZLzsDhheERFdjmNWG1mq09kJhvCtNo29XlWnLNzs6+kLJdxkhZo8JyFTUhifykMmIitmO4WbLNSY
oACE0c+Z4HZajiEdmnSOe+IEjFzMcn6Ypk+ys/Y5UTZnYcFOi9UGZhutkTRwqS41ySba8sAqwqWh
07GB16c02iFv1eP91b89GoaFrn+oYkKJDvwO7nSjaDNqdDJ1l8hsXX8AGdZ2+TpuH7i/YCW7eS2i
TYIxlzTvLoX2Kz8a1c/t4lEdzWJ8YMJCVeJylvoytMaxsNuLMz7b0U4p/1I+Z11JNZda00J+aO+s
1830O46JGng27/h+eJWc4RuceZxH4oSvk3xujEO7+e5BTTSmHm8TdOOGc7mcHCcnSPdZcXOhJ8vM
96CN3m+d/d/+EdwkXUE0g88MSOpEEGbK64uloov3XiabX+pL+ZwP08mhSXS0pwN6Pf2Yu3FRCxTc
2j4kvhFLB7MopgduzHKGIpBqyAXN2ks7fE11bTdJ6G+KxEBeiwKVt+cMmlg7ewVYVyRH2e9X7rfT
NNFgVB3OGT3WjluLim9E8rlzHLdUitGtprugxfpoufGvrSu9/Hxup46G3VvZ0HYXqQt3xrfJEAEF
V74fuW9GJwlgCOurvJwfc2irmthyd8mLyG3OCnjgNo8AFg4vEuREsVV5yElZoDXcPLXZJcm/dPuC
ft0s3sIxcFhYDwuscfM/m/Zk5lWVXHrba1GmLjDT7O/Lewe8p1fiufmPQwk3dwnxXmZ8q89F/5ef
z902Wd5qRBogXwWU/HtlR4f707P2/YaDu99kRByIxiyXd5oUdZ6lNLlk0V6fjgrZj6IONis7yNbw
RDfRyASUE3xhpk7LDMyjUXKRBxndps4Nvdwfw60CtOREUBJBPaRD4UYuxzC0BLg+ySguNH0hrt5t
9oKX4pn6KwsxxWkCwBTEo/nUwRjB4K2AsRnNcv9uFNxGxQFsS4TIikvtlok3i/qtsY243KjLUXAb
dSbpAH8Y4jN9cg39s7Sf+i/odrv5NCMOY4P2DX4kSmT52mKk3AGKjrPx0pTokZihzd9WnjFQZSAG
DXwdQhe36b0yMy2jV8f+YoLi9CVTg82rACYOhOjBkwZ3mH9UtRKY8WguD2h18Vjmzi4Ki+3rzDxh
JN7Q0gdpBu5Ex0XUTFPrTJc4fgiPkbM5fAEChSvxnOMVJWMYhRTiVfOtzy/mftv8IO6vAnQAlAfo
7OFxc66LnsGPz2ttvtTK+TlTTlulQzJIk39nSJCf5B4JvW3NoHeOBz/6Utr7sBZg3fgzgCt+IZ4z
dhFQUAl6pQy+NoE0pvui6p5SHqKtQU9eDWePUjlqlNCAGqrvKvSsEvUK5+0dL58zSHBdQ6eNIb9w
kMiYPrSZwD/lLwUoAKYEuxPwmJWOHwpJI5mOA/WV+qI4ni3jGLxsXulrFXyuJ9QiKW0Q4fEV1W3q
3cZu4GhUgRHAEqENMDg0kfFZ2uzE0fo61XLq9/LRLh6draF/Jh+ZKMQfWaoHcIOl/F5qlLKLI+oj
yIM6rMTdPj3Isf1GZIIfEp7pUr4axpmtgWfAT9AkIHZSN/95f/6Zlbm+DjAARGjx7GNEyEihcxPU
xbRFR4qx9Y3qLBEAWNF/9YzbIJUu9xWtbFY0LGbFZHC/bonQgVjJcKLRijI2XRJ6iuByFonnzgKa
o4E/qYL4IXuThm/6Vkz373m6+nzuVk6nmBbDAPmy/FVp/MS/PzsrJw34EQS/EAREoOd3F+Yr3yLX
cg1Bzhzt5OuDQn+hY2HZi7h7VqzeQge3l0oDDS3QYbn3lcgjaMyc7Z0aPXYFjvDKQoBrBVvWBJQV
aSvuRCRJNzqTiilSXyxlv5mXBuuAFhY2Q/giY+Xwr4Q57gxzbNTG7w4SuTiVYB3Wvt5mRa2IyKMI
g/dRI1XJa72tGz+jOyPzjGF3f53X5CNiDnMKiwG3iLv084Fack3T1tfjD8mpz89/J5679EnSGqXW
QvxkXIz8rRYkIle+nkH2WXgNCRfYvaU1mvJY6mJJbv1G8+xkH1qC175APh+ArFupiCMC+UPq6cQd
BMZ05QAgUYE0MIDo4CLm47SaPWZxXkmFn46nPj2HFXplvUwi9u+VQbB0CCPVwVvE4oH0s11U4YCG
TH4VPyr2IRWhk1dMxUI+t8Y1leAPl5Cf1C+q87FOnuxUMFGiIXDrrNVopK7FUCGjnfons/Hu79Lb
Owd80LjNgNGHybtpIYU2rmrUmdrox7qr6l8ROpXVfRj9mH/d13M7DOjB1QY7oWnsWbjcrt0c55YB
5ma/TE7xPm02O6ko7wbjLQD1IJeCg7QU36p1jL6l7eyP/b/RqdkKEwL/BGCLCkwcwBfYS5ypGKlB
Uzl0qN+Ch0B7KzanzP+jAJUxyMjDi7+x1JQCJmtkgz+0v1Tr18Z2oqxHGNYYUwO0LcBUvPgGHKh5
LU3w4UOyS4+okxfY0tuDAAWYfTwD0SYO+ZHl/A9WGiLrX4++kRpu2Pi2HJB8KyQZowAtLct+gbYK
Fo/LiWTALyYW2tn7HRjK0OWkEzxjb20SaJ0YczkOAqPh5Pbo3GcRAH+56RuPrfzZrrJ96pR7Q3m7
fxR+Mzwu/TzoQQMaBFHhZeDuWU7WTHTSRXVs+U3kKz9RCi3ph+ZfOv1Cqc8pLAUPh5WTB22sjgg5
vdukwlBEeH1O0NZHKBr3SzTqvT+eFQUYDALzCEhaiGtzaz+Hjl3KY9H5mWK6H9Fj513yEa5CNAxd
l/l7moL/o4mirvMBN9mpe7DbCDYvMw7cerB0LSJuKhD7wEcs12MsZSsGzLrzzQjt1+NPXfypLT/Y
r2jIk4pYWFcn60oXt8eKXIqcnkCXVOKNFe+keivYAKcE9SCAMaCaBYy+PCXa2GQ5XL4Gz6DvnXkM
reP21YY7CXPiANKIipDlZIVDF0lhkjLP1e2tvdlu9mvw+VfyuQkqlWg2epL0fjF/QNfpzBLkn39n
ufjVBjoI8W14BrctbQwqDTNYinvfAUttoe/l5NS+TKh37OQ3M9s52bnIHqofdb2rpt1AvCQPmvkj
XFDgme9PpcIO+r1PYQbp6qVRlo7Tq5LW+5NVubX0RKVvU/wtkZ7SjLFwGJ0/R5/U+HJf7Yqtxk5H
eQpACvC/LO6uDLVKa/I0wnn90n5D+gNJivsK1vY48ot4eaCmgO315bCGMSlqtZobH83FpOoobQVZ
YIejSyQ8K4S74LvwGL9WIXEeTVbnk5K4o+VFzVYEG9OAVCPA07hoADZnU3i1MBngTCFV7d5PrfH0
VTLH7e4K8yPwMAMOgqGylvKbsSNUq/Byij8rP+bvW6efZcDB/QVTCTgQD+BIc8C2Z0JT30oPbXgK
Rfb+dv8s5POtK8Z8MkNjalN/sndNeR7VoyUKjN/uIKhAgRPDKCLby78OQm20lLyZUp/+SuyDowhs
zOoIrsRzNqxFzZCTzQNmSHFp4Q6ooNpKTInCTpS5YGkR0kFelE9x6SrV1USvMYLKC4kHQlJCTilx
K7r5nbZUxNmQXjXqQq+gSFde7Opje96+mdDwBlhaVAghysz5XOPQ0Frtst+bqU8PIh5SZgqWFhBf
b6J3GbJciGzye7UZOiDajCb1JTRIM47Sk/YdtDOFiNpmbcFh7uAAgy4ZuQTORTFjva4y3Up89Hmz
HE9FD2N6uD9RqyP5o4Kn9U5KJVepaSZ+WOyx2qX6Ysc7SvaZ0DjduqmYsytNnPuYkIkMoCpMfEdx
u+SQ0cMEUqhecE+uHcFrLdwZaaq2tgtqJ34Xu8Pgov/g/flaHQXK6FGWjJgwui0uTWAq24Mkm1Hq
k3mnKW47ukV+Nkr/vpa1UaDeiZHcopHgTeM3XUl7bTKqwrc0FDAe6PawP/YnoxbD2QBEla8ojTM9
tc0Er3OV7BvrYIv6nq58P8vxW7jlNEC2+Zi5mrdIXCRt7qvRz+9G8mPz7CykM+1X11w8Nw0gNU3u
R+pzavnb81L45quP5245bUSIqoGv4Tvzm7M3s9f7X79yqFH3gsojEAAjMM8TuA/gJgmnrk18o4cV
v0jGZSvkCEZ8oYEbwIzUvtrWTIO+z/X98HZ/AGuLi72jGoj5A1jD58iTKc2NcY4Sv0kOxEXc5b74
2/lh5Vl4YjK8FIK03Akz27YwixBGT2tOUXWeyw+yqHB0xYOFDoAI4CIB3Qx+uuUOwuXTo2gbtqj7
kvTooOoV9XHsDvZhsHbtWxy76vbI+VIjZ5e0cZi7YYRGyqovvGo6WWjdKiIevV0aHclmJKp+ExoD
U7gcl6Q3ZR/FUoZ7KXIV8kwi7/7irCpAy3YNaHz0ZOOL6WcyOLYO5mpfqh6II3l20R/va7i9kDAE
QHWxsxBgRSPg5RBGa1LR0MXM/L7zMj3b2clj1T3MSbxz4u2DQS0gIgAsfwXYMKfKCWd0DZSG0C+f
Gm1fWYKrdWWugINBxz1ELxBo4L1lKamTqaJy5BftudxV6WYXB54+iraQOmQ1Q3yRYaHPsSKDm96v
h+8ZKm4ERnblGC7Es4vwysiCRqmK2gri03hHEmeXmINnbiW/AZYaRWfAzhsIkiDWwzbDlRKksiix
W1oGsu6VReVNReQZyalTN3sFSz3c21Ef0yqXeuixmmCo3Gn4dX/T3i41Hl1IyKDRjoYQHP90dMw8
Q0Q6jYPup2l+mDuBO3DrdOBlxMJU2KoMQ8pt1D6xBpkix4ootP3VlKdD8ixFzdHU6q/3x3G76FAE
dwNVdNix4KtbrkdYp/YU5z3xW+m56A/hfDC3uwZ4YKBCz0K0GPF7fixqqTloWy2FQTjuqx+lCJex
shIL8Zyd1Qu9LlUH4qX6zf5RdYKo5K11Anwa8UgbZQCIEfC5w6JpC7VR2ywARZCmgcv9i5MFZuyR
7cYDWGrADVh2AGdD58ZhIA1nDUaXBxWaKhmm5Fpb2+7h7KGQAX4IzDmiSgZ3wKmuxWav20XwCfXi
7ghCovt7aWUlFvK5s105aF2cVaQI9HmvD6diECyFSD53ppGmHICsx/er4ykdD7bADVkRj9QSvBAN
4C3AGjkXAYyZRZMrVRZIjlv+3Mpwj8lfSOdOdKq3dpmbRRYASgqO11bffDlAPooXWFmVijw0N/m0
HjDzTpwFM2A9iTeJoM4rhmIhn5t8TSFdmhlRFlj6vqGHed7lIqoYkQrODxxnaejQzD0LVLTYQ4tl
+6hsZctCeTvoHpj/x5prw/AtzV3fR5mmVjVmqXkx63M9bPYAlvLZEK+uN8MYw3Iayywg8wmka8Kg
9u0ULeVzR7gMk3ruHezRMPcqzaPOU7aVahJTBOPALh+0XwOEnttIBTEGbQLsxMdjF7HdUtQj8PaY
QT7e0ii4AT8THJnlFFlRWOZhHpq+2jxVJ1MEP7u9OeELA+GJ+nYUSOAkL8VnddaPSk8mP/OiH1V0
oMVucrythg7AMAT+QPWPBy/whksdOQqTndagsp9Wz+O415zNhnQpn7uUa7BZqpkE+ZHmV92zqgnk
38wRgJioClORbgW6Ci0ul98fKRRtZCO192V0Nyx112giV7Y+h/TX/Xla1YO4OuDH4LEyde60NVo/
SrYM8FAM0FBLvbz2Kr0Swd1uzgRGgZJhlfkXKGjk3WIy9ladJyVi4MURQczI8jRRN9abPQsV4IpB
XIbxGaCWezlhCbUz0x50ZCLIMe9On+9P04p0oIZA4AeuMkA/+Kpnu0WFgTTlkz89IEYW1vu/Es8z
i0qU0jabIX6wH5Vjn2y9lRmc8c/X80nipCCa2VCI76RDuDf0w3u+HgE+VIQz5AQ39VlWIQtpqpNP
H5XyRMPzffErmwdf/0c8dy1nqkkosSB+Svc2ug0lH2MRCfHK8uKlw4rC4V4zs7HcPKYUT3FS1rIf
t8TNHyZHlJ5bGQMUoGwRJw2NTvjwTFeOajVMkewXBnFDSXPHHF1uBtHTbW0c0AIHg71tEQNfjsNw
8J7CWZP93PSq0bNF6fO1YVzLZ/qv7s6Ryk4VjZDfyp/y+LkoD3MsSGetqkDqHNlgDTaJh8+rahXW
ckpmxIr38XAONbfOBWmOVRUo7EUtEgoBbP5hGBlFpCv1PPtxcVTDHU1Pm/vKIxfM6MlYvZMFK87z
0TXERIf01Jx9pfHMX7OIA21lnVEzpyGfCCgmYtLckYhL9KiLpQYIjHo3Z565tWYLn7+Qz92e9Wh3
WOjW8tN8jya5aJmiC+632zVA9gRqEGHAbgWl3nInNXOmdxWNdV/TI7cgBz3eE/PnfcNxO0tLHfxu
Hfq6aZCv8ZXYc56ierPZg3j2YMaDDSWkfA2jjdx3WY6W5puj9NDuyjoVpBZXvx8RMDgyqJzD02Q5
R5JeNkUXmrof4ka2Vb9P3jECpEWBXEBuF9FjznC3pTx0cj8ovlZfRumZHu/P/9oagzYHJVsIhTF2
leX3z21va6ED8XHyXM/ulKPH+Mt9FWtTxMBIAFjB4AGIvlSRmWOSJ0OjAtF4kqcP8/NW8UCJocAZ
poLR3vKhF8ucbbNFvORFTpqdmwo5dU183iJlCR6Pa/ncDq0UGidtAvlT/e+gWXtd7fZTdrY7Kjhu
t/O0VMTPU000vRqgSEPDbAoi6Hh2t08VDJ2NkjKWSOFdvNQZBp3ExHipLdCrdZ0rv0cBUnyMFgY5
S57XRpLGaU5Rp/fiNNFOdiXwhmweAaQywhN0CACYgjNJjpJEhkJN+aUOcUW7jiI4bbfHAf7vlXxu
saOwG816hHyp32mOp6e7+O3+CFa200IDt8pWnDpx2EED2n4r6L9K3fBnIgI8rGwlXD3ws1W8TFRU
cy2PHMXVJtv9IL9Y1qcs+iS/Y5ZYssFklVyIonOzBI2JGdax8mLZp1D1qtl1LvdnaW0drjVwswTi
Xh39miPlpbNi1ylOLUHm5/t9HWuTdK2DrdSVowTayrnIZ+hIddeavFyEbFsdA65PQD8RKbyx3OEE
Nwy0vcrLrH/Xs0cHWDMqcMRWh4CKBuZh4H7jGR7ycCgdGhXKS5VRl55sfbsTgzz3lQLuiasWcmrk
Xau8DMZbf+haAQJ39ftxN6CtNTwkkOsvl2Aa5rgxKkd5odHeDr08eoe5QEb0/+XzCOKwmOuJpKby
EivHJD7X2315TA/ihBouCGC5+ScnHglZSAl601Dz1e4ur/c36JqpAGEO489DrBmQ3uXsdHIxa1Gt
yS+T4eY9yIZdMFVRUfX8qhYF8XIVkQXWcYLTgoi5maWz/NJNh2J4rgbv/0i7rh27cWX7RQKUw6u0
Uwe7pd7t+CJ4PLYyFaj89XexD871FiVsQj7TM2MDDbDEUMVi1apVZX0Rtv7Y2mkU/wOLjtZ1yFxx
foaddYk5TLIcNPSYPabS8f5SsaXgLmlW7oyKA6RA8TjkdDnLeodKTioHCbpSlif5dzWeJ+1kKG+R
KDa5odYI60EMYnrwiXleD7Ma4iYsYjnoo7OZHozY292KnTFu3Ipgi3ljmXIiDYM6YTZhdqXoFyvi
09vYcsYlCcNk4Q+N59uQSA2uSUebA9uqXKlsXTR1HJXnLBHsytZS3cphv1/MYyCpk+lzIOnHmHpO
cS5FlN/s3PAbjwpQcIYgGI1HNecQjPByylZ35iBSHqbxEfUy/edBRAW9OQ/kouFespfQ6jHatGZs
9fIcTMq5ac4NOVf7Q2OsoA4s0CiqR1UF/9aSnV6ydRCkB6aX5pmnz+V+7xLFMsDngs8ITxW+ui6k
UdXD/5uCufXg/GWH+wq4caSAV3qn7bWZBnL70IVqhqtC1gJqnlr7p1XFiAmcRCzKG7uNqDc6+4Ac
EElvHj7YI8g015miBWn+XLTNoZkSIMl+k9LxhkjwstuaEQJleD/i7bVh2xtVj/N81AM7pUfdeEST
ca1z893M/lB2FFH8vxw+rkgZ3y5aXOvBYH+0ktrtdleUcQI4Z7CSWrxSNQiQs0dgNvJUsPUb2oFD
peBQsepZuIRLLS+MUCvRFMQIyva5Vi81eVbanYQK72uEyNz7wwXgGc6QDFkUz61cGUGi06NiD4fx
LxwdTOKPBO4CKRK7TUyzNII8fRuPo4jSYuN+Qi4CWAdQ+TJ4LTd8osxxQipFD0x0iQif9OTRMU9p
9oSyfuGDdXM/bmRxV+1ER71HRkoPSKe6uerZ1aGz/uIpuZgQt+ld10wpfRfSer/k/bFeGFkwT6Hk
BF4JuC6WR8qaqlFyqkoPpPpSpZfLfVu14YugaA3ZDgClwM3FByQyzcyLQomgELkr/ShESNet9b8d
nttrUnbmlNSJHvQ6mlF5bfNs64JkAfOLuVtvMQNui+2oCIe+wAwickYAuSSHWLsQ6QjgRumO5n4v
GooN2B82gv1wtr106FBlY6YHI+OROyadwNJu7geoGxkkC5kJ/rVaZiOwhsasB0Z8rnLXEbH7bm0I
kMc4UWCWR46Lsx5owlDbeVWpgTacOnLSajcT0aZvXRa3Irg9z+NhyJFjUYMYhUPzYVQfy9jLdpd6
wZLD5WQQT8CZVrS4QxhJZqlEamAUXvylF93hW/sAD1rTkLq2USrErdMwS6Wia1TFg/XZqj4aIsr0
rdsbXjOeAEB6IbDMjd8ahpkWHT6/M77F9qe8OIWoe+o/ac7X+wq+tRusEoZ5Oszqck+aWkUsfO4l
xCeah8Q5VvODTh8UEdvClhLeSuHUQiHUTosS00kcbx5P0RN4rwfrnISu9jsM/+KSZZAURFHxIFzV
bUc1ElaTlGPrm2PzL0kvQoD+1u6zJDMaGeFV4PBE7YWRz6XDDldvvCboayxq4ba5KQAmvnM6QQk5
m1X0k1b1iHNjBofogyR7zYdRBLrY0nTG4/FfGdytZIHTUZIcg73Hv8fjqVUuXf/7/tnaXCbgXhDQ
YT8mt+tpVyeFZoRKoEq+lT6iVcje8dGsCsFyONNwpVClv7z6QiqjbfxgwJEuc7f5McgiLVxPAKBd
MPHB4AJ6gbZbSwGzrOK9L8GHHp/mynRJuxuoyEqgUOXDIOgMYcsFdUJlGhspM2DOU/loj5kXz4Lr
b21IUPMPECHAkPAMV+QCUQhu7awr9KBuD3P2DbXhyDbL0XdNO+zfDJZ6UVFOAgZM3iLSZorRVqXV
g/DDaD6G5OFvhkd0ENWTwEby0eyxVWlvpLj45OypB4Unvf7F+PCZkedkbYF5IHVDwGsjJcgo0MnL
+3OrBvfHX6sb1gVPb8aOxLCWnJsWW/lop05sIJ+AV+sF7EKZyJnaOK2MyYO9LFHTsOphBIhNFRm6
JAenUJfPZbKX4hdPO+YFom8BSMyRJ+TU2ajmRioJLIZOp+PHrh6P95do4/sZSx4MEhrzoAUndxUp
OknLZMi0QLK/9UFX799huC8WdgGgVLiEnK4BRlCwrqJaAH7favis74/DIx7xZ/zV4zTKiWU2thYM
8e+pfE7H0nXG8/4lgkFiJLNA1QJ0tjRIjQHiGUMZtCDDAUq+U13kv66PKUIFiK3AeYIS4KwuBcjt
CPLXKu0DKT8VKNVL3CQSGIotESCdwa0JKgltFV2hRpuhvlVqg3q+xFaQZxdNRFi8KcJCnxbwFqMk
hkfL0S5Bh2xdbwMl93S0Y1RcwxbMYn1Fw8a91xADdrGG2DRxpo5hbQ1BNH5H9dyYPlazZ+9PEoI2
gpFqM0YBG1CV5XaoU2nE8mQOgQPG/7hK3Hh3VgECGIutCY8fnianc06hpUhqR2NQfU3DT7oIsrD2
+5bDc+cVTcpVuy8xvFwB6x8frAhgOdUdTNVtG7dw+oMsCdAw641h8X8YEJanX1sRrYkTxZSiMkAL
X2dQXT09JpHmVXu7+MInx12E4hhGaIyXALc1QCaRrtcVEpSuCVy7I8S2r29uDA7XXwXEEPVj/FMP
aEkypvNEghhV3kfztzO5qnIUdeFaqwqT8p51Q8+BVZMsZGXiOekhJQMi09Xq2BW999hCLB/gCwl8
HVyZ9bkB7nkSgGUKFEGpiF9nc3xwlAC2ApQVuAmWOhJTjXYV8pMBqgULT4t2X9ywUmjXDJIjFl3h
/ZoRDUk0I85IIA1XKw0schTC0LZmwO7sd0Y9VjC4nIGO3h5FBx6roJyJ+zDFIsdga49Zbya0iUOh
mMJH1ND0O7XpFNEgzj1iNZdWmS71fvANjPqNEO7NMndZR5MRQoh8kGo3fN1786G/AEj1kLjAbsCN
Wq4RnbSuD9uiCQw3GY+6dPiL4RmdBZJUcMb5XY4dcD6HZKoQ54qAG/5SfvuL8Vm9LzxXZBV4As5G
CtMxbTB+WH0uznL6af/weAshlwBgKnIi3EtoKqs6JehOFiTdYXojg7t7eERB4ZvBDKHRAI980s1Q
QQc3tQ3k7yN9HMluWBKrxPwzPPf1c431ihMM35mH2J/l3U4ThodrBjAvGKxWrzgUwKetBaaGIPqu
d980UPPfX50N9QI7ErJRgIIDrs3vbVrZUh1PeRfIUuPKeITm5cESRVA2bASEAMaDOA2iTjwe3Epk
CQU3RRcURuVlxzAR5ec37s13elgg3NBsEZU9SwUrSxDHdEbYBpP5NFaPyfg0sR50Aj3bWitgJOCa
gavXRhBzKcVpwR6TSliraS7ciPyi6i9VEhGMbK3VjRCb8zp6xDVKs8daUeNr7XVEoMsbc2AQWPaO
APoZJLHLOYxI4TSdrNBACs+p6jXz/htnMT6Tf5MKVirZLkoD46MmWXLeBs2bRfyhG74FnD7UbCFI
xtp6cdugxoWjjHbWBhQ73CjTQVe/UvI6kteo+3JfOzY2g9UxgGMN1w8MK3cvyLRRupFUTfBVcYJ8
EqzVenRW/syQQ6hkRAd27r3SofFZqyayHjQnjV7CVsDAvTE8bhuE+pDZBOER31hFmVWjismoBVEV
uU2Turt5INjbAdgzcPahRGmdC5Yla0yNCeGZ6NdjH/+7d+1N0ExgcAdwkjVmKO/rVlHS3gimDzn9
GFaCF/XaZKC0FlFQ1JFAyKo3dkoMmuhEUQPauLHhNc4hbC5GJ3DoN/YAlIMMQAffBRcoZ5hsOwL1
YEilwHJJ8yUOP99fo7U2I8mIN5AMDlSQY6+w50Ns10pd2UHSt5860BCRRgNYUvp0X8zWLG7FcD5e
khv6VFg1OsOppavMbj/ufslhI1jmCVB9nCa+oXtntijFVLDXevNTRfsNwfezVV568Qy2jeAP87Tx
KOGMUqilqklK1QiK/GfUnqqvcvk8qid5PiXj791Lhf1mcBvw0gAAyolSbDREz2oNobKjHD3u7rKK
1hvQNVAmoBzTRGcGDiU+G1o897JkBkR10+rSil5UGzu9GJ8zSXYip5OsJFagXJswc+2oE/gbGwIQ
3IMzA6Q2XrgqN4E0kwo6VbUc0Me098NpN4DAXAzPfX+vog+glFE5yFwrdAEU3727i+E5Rag09N4u
RgyfGIc09hIRlHTDKKG5rQ2riucslog7PShECtMwAyBMJr9L9TmMH0Lp5DQCddjYg4UU9hU3d7Q8
WaBBqYFs04xfpexn4en+Kq1nYeEpi3gkZoLmFby6dZkk6zmAbcGQA+VyrDvAkNxZ9HRma7FUakhB
yBMNk1mkhLcZyZB2M5qsTIHlnIv5RZpeOlHRxHqhWCYcjIcIlYDqjX97zpkKxsCUlq8vdqO7sCu7
lQF1evh2FrhnxoJzLwBlRKLcictXIySurWTu/hQNokngVgXfETxWMLgsd1ptjLQo7IS8djmoQ07x
7oO0GJ7367OwxuVqYfhY/cSoMOK3+wdpa/0NZIsR5MMDEa3zlp+fjE2ipLZSvIIayFU7xS13IxLQ
79E03lNYcMB4KiU1KvJmioriNXNp+LUsd19riOkAT4gGdGhrjAfc8vtnmVSWPcr1q0rAcEtd1PYe
7q/Q+maDBMZvCz8GVyfvoBJ9VFqlVGpwZXmx7JbOU6q4cvFMUnQp3Z2NQ+Qe+VzkOBBthcu0nE3X
SmSWi7l+PVDno+Mcus4zXWXcrROQAnVgFT64RnlihgKcvTQa0HRAL+RDODse3V9Qt5TA+WSjneNR
PUJC3hFvSOTDUJ/v78raAEICEhwMTgi3XmXn+sbAOqBEz0pHrl7r7LEoEcK90O6xFcFd1toBdwmb
/87EhgQdZ8ajiZrVDB15pW2FEhMX5awCQ74lAVmhd8Dfe631ch5WnMajE9n1q5Z8IqW/m4MSDHtg
N0LGBllwvBo58yeF5azkSVK8TqE/ph7Zr90YHyEfCwcK7jePB6qQDbKcPMzRDR2cYobmttJl90aj
HTq8GRR+sJ3gHuuKkczm1DIuLv1USR/M5hGA27wWeB0bx4lFPlFLjAJNxua/3IbQVPLcHnryKrlZ
8+tX5vwUNSjdMCOIAKFtDMPtw9hyBzZD8Hg0Whhyycie08E4SIN+qNE0YJTddHRr+vX+um0crIU8
bkZ5XId9k0JeH09HU2+Psij5tPYOEPaGBsLRhKu8ajXZy+k8ZiMIHMP6ZIexq9turQvUfGsWLJ1v
gYeSQVE4bzACpzUhoVK+dtN3Vf01ixAcW3NAwBWdMuETsoDNct+V3LK63FZBcnnVWtdpnpI8uL8P
WyeL2ShgwXBRY8WWEuoMeN8GRLOvZXHUiS+lV6QbFcHx3VwmEMjDjiD4jXzKUgiqviu7aDPyWju/
imuXCs7S1iqxxDvO7xaazc5jkE7NRvFazb8055NSf1an3/eXaUsEok3/KRlUVqUgZRr3+VSHxWvd
P9vWuR8PaijwRJitW3qzyNAg1ARTwlA1fPmvU7caqJdJ/uoUgYwppJ8qVXMn/CeHb/dns7EfwDWh
zxJ2BAUoK2UfC1zkvQGjZX0xUYAq2I/N4dHIARVGCNsgvrXc7nCaw6ZNwICYvyWdJ+ywtFooFbU4
SMAjKI6/ITa0HD4q7D6eQ7m+DuMLAkjupJya5qjHZzna7Z5DgMWYj3Cbs2Ajm+nNNa6N1dA1TVdd
taLwzlUkInDamgruJvbUA5fcii3cnKRJje0W4yvgFZ4OINQ60J+0/hGX/+zccrZUyB/gRQlNwaSW
M8mztNVGojdXEwjGYyFqbLraclQEoGct0vysOntVrqF20tBoZtlcSXOR5Edlb4qFceQijwxcMusP
wieTaZGFvZ7HzbXRfkdHjQi0e+vrUSsNGJ4BvxbvyeXizAMx7cxUm6ujHn62u8mJ8PG3o7NDcHOI
qq4wOyvRmmtd/PBMTfDCWFkmbnR2sd+Mrqdt1KMhQnP9nk6v0veh+7z34ACCgvgoKhNRCofszXJ8
hIKcso+65qokxzI5imjC10u/HJ7TsFGWc0pyDN/R56T6lIsITDbGB8ISuS0UXeGW5vv7DHOUZWOR
jtfBGg5G2RzUL7vXB/3e4AOglhzEUDwuKwppHptJN1xjx6Xxh1jaPz5SfKw/JK6dNW+mqZj1ZKPg
6tqeqFMh9iqKx7HDvbh3QNAEW4rkOkIcgANzGzwXWT6pVmxcney7kV4T1HLJJxEkeH1KEbIE+QqU
eJOe0wgn1Hkl+pW+atp4aGlxjEVU8BtbvZDBeRl9a7Vw0SEjSdRDMnyuNdG7kekSv1TIIOsICbE3
Ef/+1cuuKxIFEqr4UGgfYU1OOfklTw+oeszk/uH+ydpYM3gBoD9AXp+BUtnvbzRbBhlrTkDjdbVn
+ZLJB/AUou34eb8Q0JmA4pJ1sYWcpZCq0pUwGibtavVfZuvYa5dyNxk28rF4U+DSRuXxGh+CppGh
FRWZBhU8KOklat37U9jYd+SgkI0F3g//8I88A2FqLaZEuxbSkRqespulkyUNkIRiD3r0NuU1vMjk
0MmoY19b45/hR0xzwfdv7PPt+HxE36QW+qoglHrNq571ktBBg2iKyLU3FmkhhHOalCaa7JhACDot
1+ZFEhyjreFxb4JYBn4fwo3s9zdnVU3pDOylaeH18PgrsgWasB4d8HW8skC3C2of5K6Xo6PpqCZp
Sadd2+ZJerCLy/0DtLaAy+G5tSn1TFdpjOHl6tmxHvr5YZjOVrY7r49yxttZcPYpL+ahyqVWu5L5
5zy+Jf/cn4VokTg7rla0inA7aNeqvRQfiCbY4c1Fgj1CuB22D/HS5R4AkEDMpDLw9fLJztypcvVf
pbM3YY0lwvsQ0F20T8eDmjN5YaXEWZXisitG3XWm0iW1QNm2VgkYYTTYRGgRz0U2zZuDCoIfUiSp
Y1zRwcVNQP6/uykbm8KNAGspwEzLOa2Q1792Wu8O9iGU272vaVYWC9oAvNmRWYGspQSp7jXEF1X9
+rlCR2ozFAUdtpYIWQmGxEfgehXlBX19lmhVZ16HMvea1rUGSbAJbA2W9yj8ALSLxAMRsXe0flvO
oMv0GPd0a1374eMcHZziYTg3rw7ZrxELMZxrLBVpFjk2xFTJQT9Eu1svwmVCggsobUQ0ADbn9sGe
wwllwK1+jemR9sdWVKj8fvculwlBH9S1QSPAvYNTtVwmzSYOIbYcXpUXahmuSiI3NH5W+icnKT2p
8pTOrfY2tMcNjdoIpIsA6ASUk484hZ1Z2tZYhdc4is6hJJ2CvVaK4UVYjQTSFgBFcPpXFq1DgUpJ
3rrJbdujZAqiKOvDi/HhYzJfE4gann0kM8y46LQseUvRbAh0fPuVA+OjdwR4I9mffCjL6apOzoGz
uCpq41rFGbi8v1igGwHcqaLhqFdTDQGVfKJvsrrbeMCPwfscUdH3ykxueLlvUcNfRdIV8b6sAh5S
kCJarz/Gxw4A6cc8Sj44kymR1JZDKF0L64ko50FUGLt2ltCK9F0pGIRtZTpUqUUUTTGyN3t+IM5b
ap7ItPsSWorgzAYZa0PuWogwpAOib0W0F6EAd5tFjEGEhKtuxc0WAW+ZGcTO3nT5oXgsRWwWGzsA
iIiOaA/KCPCo4ryZfojzoZil9I38jFuv2M1dh6/H5YzbByU2oFviVierC7WoJyd7Q/sU1CeUX/Ye
/+XwXMRb7RuztXoMX5Anu/vQWILzv756FuPbnBsDSj8763WMr3ReZRVgTXCz0s2SxkvsXOBXbpxV
PKgQNEEWEFc2HzoZU9OMc6cgb5b5qex6dxzPyiyYz9otY+C4PzLYabjxZ+qCIrlfQYZ0rAaQCR6V
KHXD4+5NWQjh3DIbLPxhHkJIiYr6OX2ayX6VQDAXFw+a2SDjy5faDjQ0SRjm5O0znT6M6V4IHgK4
GBOxYAU9KVZAvyzvmzEisXUtsn/a0tN2t07B+ECHouoMe4F0ELcHednnKJcLzesoH5IHYbenDYVe
DM+tfiahWSa6O5vXPhlPeXIts0lwiDYlAB6HdDuufJ33x3I1Med+HrBAjeUmYJkwBoGEDVVAtgGX
DqqNGCkAZ5TSEK095dq2ruBC7OujmZ1CUZu+DU1A6QP8YjzV31VuqQllYuhqSXv7Crykp6cfS+mp
ihov311NoCL1gLgM+LVB6o/k+FJOVSR5otmdfY3S6il8LIQuzIaJWgjgLGysxnEz9aN9zX6T5Ngm
JyPxrPxgiaoxuQUDdJoBUvGkRgYCKXKe7CNSnb4A2ZX2lhhPX88lec6+7jIb/xGAWhckTpBEWd1E
OaUtaO477U3uo4OFrsi9evjfJKjLvaBFC+hFjCmgMkI6h38xARUFBXjQwZWBP8NdRjHBQ6ukCobX
pXOSxpd9zipbIASnGYcqHlpYIl6zU6RSYnPU3zT1t/Mj0j7fXx1+g9EbHKFpkJnBYWKaxymdI9Ou
aKIyDeL4UCluYwZadhg0QXCGU21UfeGliMIaFkQEDo9HLNJSo3Y01DEKhx+U5i1tPo/aznV6F8Fu
B6yYDfIxTuUyZajhldlREDYnW7mS1L+/UJz9Y1OwYPzAhoGyXqbby2NE0Jl6cuYo9Os0chX9Td3Z
cvNdAFxuoMyRJAOhIDeBnJBOUqnu+MVwlE9Wf9z//fBZUdALfDkjwF5+v2JX1qREhuPn/cfn3tjX
Gez945GXRuiK9XJdgTlHWSOKXFoOGmrhZvgyFIIXz8YxBb08ArjsiELRtOXXp6aUalM8RAE13DD9
qZme6rhNJPDqt6WgOzacVsQ1+Nd6EQEjNY9yFETqo4aufIYXk3Mrej5vKAODeyH+g/Q3Ese8yml9
VfdIk/p5Y7iTBuzJw04iALYdeMABvgurhLPEk9krdtjODVKxftt6enMRttXaWChUoyDMCqcDLj4f
bC3kxM6mVsZZLUH3Nbiy81iBo3rYic/BPLDrgBsB4GdioWzu0I65bURqEzn+/LPNXvLPXb/73EIA
o+PVwJgDqABnXSPDJo0R2bZPomcwwpr7vMr37wdoBkvFmvPhb8tjq0gUYYxctX1LOk0fjFRgVtc2
iW00iuZRfoToDx/la8bBNGbHnv1OeTDV57k87bUZ2AAwzbJm7mjuoHF3G6ERNR0yzn7bfRzTh1jE
g7f1/Tfj873Eh9CSbCXB+M5LHnrjTocSq48fZC1B2M6qCHiXdbRsxKLHcPYRpHQ1+RE5yykVsadu
zeFWCHdEqVEYgwkiSj8DxZfk7owlrebAbYEzJyZFv/jZt3RPL1FD9W3/FiNfhZpaG/UWyPAuT+hk
1ZOZVdLsF/S7T7Uf90dfmzpUHTEQEaNKRbiZ+3o8JRwtIZ3hK86LQv2GPE3J230RG+vPOApQX4bk
IQrlOBWTKwmsM3pt+Gjj5eaPcfTv/fHZJ94EWNkGoKIWeVyYILxOeKBSrmYzcPeh5avk37k9F8nk
gqPCRTsyV1YO8I4Fce+t+bAja2NWMN58lmwK25bh/U0f9tWbhsfUFHUGFkngtrxv8iweUOvkR7is
C9ul1tv9JVvfDoDiI7gEywGKslUzstJ2iF0hOuaXhXE0ndOgJy5SNm7U7aTH0nAJofEclgvIDVBV
WOxLbiIbE/rnkcHqNJ8Sx4snV6KiAP7qBDMJQOajLgxPoVVidzQkO8yTWvW78kn/pQ5Pys4Oie9z
ACoR/+I+ZSjO5Rwks7fR5FvR/SJ3++KhsPcaceSAsDIILr13e+KjrYMi4ZkaqqNvkiORnrL2en+3
N1ZIQ1wG4GbUh69T912eSnrRVZMv52jJ/EGnj1K81/fGFFC2gGg6BDCMwHKJzKjMdVJFs49Wuhet
OCDd/heLBM+VoewstD2TOSsuJ5ltl6E6+aQA0UmVeKm+V6+Zv4RkIkwJY6bmk4q5M5ZmY2mjr0WF
W5DS/YtzBGgRUIiwhejHzfM72G2tOK0xq75dUDSrOksifi8u5sAO6kIAtwuNruUduHpUH9U2rqKd
4u5hqCIvTb916r6s3H9EAZYNsDGLCvD9BuUZ8YI0J5pvmT/N8Ee2f7eZpv13eJUL8I6ZM9sTyTG8
W6mpO+e7b23gmBA4YaRGKPAAF9fywKKZpAG+E3nyUQwWVm4muLQ3VI7lBtC5hdW3r/oYNc2YIFaW
zr5Cv5qDa7ZnbSf5E9uBhQh2idxYVp2a5tjTYvYT66D/aJRj0VyoiEl9dRO9CwENMirn8aTmGeOo
UqganSFEmw/G5JG90av/TOLP+FzoJ5wksERHFRzA6tQ750g5De1FHQWB6e3d+COFM+C0taeO9JCi
oZpXc5OvmmgemxJQxQhYGZgOVwDFkFAQCHfW5BvlB9J7I/UT0T23tRU4rYhOI2QJM8gpd9bayTRJ
OtxYw23dUoRH2JrB7fB8cMNuTafoMXzcWQf1Vx/0KB25fw+xL1w4ajhMaE8KhUCAgBVAL0/sRAH/
mVJUqqKMJ6m86GEePXNn28d3tdBRsw2GQHDnr2oNZUtCE+lExomiJ+k4zsf9c0D0h2XOgI9aIbAz
ODsUQZzJd6xzKh3m/ENkX0KR2m1tBnMHwI0K1wmAteVKGXNYxkRPJj8dnuKvXX2Q47+YB+t0h7oU
xI0BW19KiOo+Du1mnv08fCn1wM5ld0g9SYS6Y7cyv+U3YnhqjALVFqGkYjeIcgCpZTN/KemjYhwK
FZ1XL/e3ZuP2gyuICLiN7BM7YcspNXYyOF2Ih5ghBbAlxXSqmicEoUxRzGNDE1moC1E6tCxHvIvT
RCorUzZZneyX81s4n4zh4f5ENsdHToKdYig87ydUZVQo/VgrPnW8cXJrUfZdND73/XIzR6TTcsVX
ndTLUPlZ735yI6/MMK+IhyNhhwO83Aq5jdUinzTZl+PMVQ+zsxMIybQcoBrGwgrgPBpzcse3sulQ
FMiG+PaHKdVcNDITOIMbtorxsCIFBTdkzWPakUwmEnvVz6U7DJ75WXKOqNy7v9Ebao6yHcTcEehj
2RvuXtIsYluNhad9X8OnVcFHqMtuH4sapW7tNzxOhA9A/gpuVs6ZUrNQt8KZQgm11nMc6pG9QTTs
Bh54LAKIAm8Aapbb3US6QeTKhCsC0jXjKR1F6PbtGfwRwJ1YzZwRSGq12dfrkzk8tr/27wND56M5
KrLwCF4vv39sBqudQmX202+T/GhrfigittqcAGssjgpMBFx4P8qxhnhOnW6G6/9vRVwDBG/3p7AW
oKHCHrBOxkUNyCWncSVo4wwlmcyXUnlMnpJw9w4vh+deX2DENZWZYHjybJeeI+pPv1YElC1iWd4T
E0guc+pskVQv5cIwXpQa/e9OVnJpdmdXwFl2I4JHvmo0bEhcQYRz6rLT3tIpGCSGg0T1JbxMMMXx
b3iljIhWQ9dflP5UHY1IcLetzRHsKCuuhggYDJ4i1YoARlUixX5RxmuHC602KIpILrrILdg4RoyG
A64NcBwsPbHUBJomUS0pvf2SyN/7J2J/vX9K1/vMYjTobsvKhVgWcDl8lCttLxVz8dKXrmz0rkU1
txGkiNZTAJMIo4ICNItdE7wyl5OhZ1qZv0yJVwZTcrg/BfaJS49mOTwTf/PsSpV2iAcDw4fGtzk5
Su3zcQiDuj2n7VnZiXPGqUKSy2JUDYivwJvlXBpQ/Vmp3Zb0pVIPVDqXpeBYrdeKgYPZYwIl40iR
c1Yj1iuV5m1NX9p/+9zdSQj5/vVwkFiyESjLVcrRyfK6TueMvoyuNExuivLI+3ux9vhQBgm6Fry7
toLXMerdc9CNKy9T2Xht7DZOdyijI0UjUPl4X9TGSkEUA4vi/2xmy22niK3QWdOVF818yM1A2YlH
YSPCVWIBRta6akUtPzuJNNeonXhR0XpaVtHJVNRyb617OEfvXhncY0S4ON0L6US1JtS0F904zdXj
NJ+m5LR7kSACPit0HFacT+fMCRYwp6b2kvbnMj5Mosj7xhTY3Yk9gClfZ/iNLCpUNDIfX+bmQXJO
kfasiWJ0a0P7zlcCwj34SggQcb5SNqeRIhOIQCVdCH/sYs2eM+xXO0aK8v9COLVWDRTajqhofJEc
cFu5qahGZb1OyKWZ6LmLAmtAePlysGmeZyML1e5FUg5KdZjy0ygq01urHk4hErIM6rcB/jd01HYM
IG98gWL3mUcKDxEcNF7odtaFQTHQbA25QUZDjcAs71vKSpzovVJ3L6FeArX4pRBRwa8NOq4keMZ4
NwJpDpTNUrNtW1KyLGsh4FP4SSk8ezqjnx/xNHJuht1uFCpwQcwBVxxsjquOPYwISZqtTH1B67W0
PseO4HJan15W4YtgP7hMQFvHY1WrIStKC0b9ZaDPaXoChE6hp+mfvVrOhOBwYclYjyZuwVSpj01S
xOpLrB5qze32azlj9wWfFgoOwTbB84KiqVE0E+j/yySDIfqpUA+WCCq0oSC3Ingtp5FcUgOEwi8Z
coSRl6jACwnuJpEIbpUmoNqIU0CENj5l3/v0oRG1f1pLwFVkwOFH1giGnfdo+y6Zy6J2Sr+bv5v5
Q1n2YhYnkQxuFmB+H3NDlUqfSB9yctFRIK19uX+cmEu5dKhwYAGhZ2QZcAn5e6nv+iSJEiv2p+JQ
2n5P0YfG6+Di0mCKPt2Xtb7FLSQIkX+BSYFjwoeI9D7uqN70id9qD1cj3G3W0cSb8dQADwmkFV/C
mlSdGutGmPgGnPTRc6yv979+YzMW43PemlxqI0IeGD8qHuT0UsnnpNxtoNgU0EsMkRtWC88W8Ma7
tQ0Jt18iJ75sDoeptL3p5/05bO0AoFsGMjsI2+DqWApQw0khuJliP3ycvuX7/WVW7/ZndGYfbz5f
ldsyAVA89jVJdz9WtUip17fecnxuB9q5mAbFwdcnHUuWH9Xyeyb/6KOX/Tf4UhBTmpuJzDop7IoJ
ehmkn/ZJyn/8b9vAOYOpRKwk1TE+0dy690SMwhsnlXWxQWkjXFbEz7hdVkIi17XjRL4UHaR/bHoW
Pog3zhFqk2A58Cpm6swZpqywWymZm9xXjOhToT0oiDHvXiIWf0e1L95dqDjgzpKmSYOU6GXkh8lj
9OiMAk1bLxF8caSzEapGBhIpneUOA7LdyKhya33JOCporNLTDJztx71zWArhVsmOrQa3UN76Tv7c
qx867y+GZy9IJOTRlImnpWyzIiwBnut8ef6gGI9kJ00rfD98PsaFIwCdXmFK81w2ahORdj9tAscL
dxb5vg/PqGgAjbDYDxcpGEwrVuRU7nwjf4l/jDtpwVfDc7Y0ngwl7Zy588P8kLY/MroXGYnVQaoD
2EKYakQIOB3WCWgD29ns/Ezv3fxkAOV5f3u3juiNAIc7onZvlVaU651fmodUPaj2WW/O90Ws1Xgx
Bx5pK1lRIo+j1vl6mxxVKh2qX/+bAHWpZrjrkzirMYfW+sf4J9T+Znj0KmAgAqRreNwLuO9aaTbG
zo8uipq5nS0iK9lcIETkEP1hcQ6+eMEcgFipO6iAHH5MHuVqX6Hn+xllJNQW+ggBDSZzW+wA094o
xOl855KAoLOb98el4dZhcABqUIABa7dcf7mO1W5qpxpO6oOVvtm1INq3cUbBpc1ypAo8Yfh2y/Gp
Xfat2bXUr+ixkg6ldWmz4+4jxPrVoE6IGeqVyxLndUPAEEl9nSDE9KRU/94ff/1oQyqLgc0BQ4EN
5Rt5tgjrDpGiVb6un2TTLcznxDkriaD6YmuhcCODGshm9Hr8q61CD8yirofKbzqvrR7y+RjuT71j
IoCxoZSeZd75NEqYyrk82w4mMrmV4mWiquethcKbVgfQD8h/XP/LvXYavGxD1MP4WvwD7LIewUMh
NQ5as9tHRfWiAbIvhJDZueUMt1qNoz2MlPphK7lgvhYlxTd0GqlF7ARYyvDq4SsNs0LW0bo1nfz+
q6o8JSKWps3hgZ1STYa3BGvYcpkYFySo0MrJz59j87ulf7l/XDeHhzFivIOo3OaZpkakP2z0pBh9
cLl5EiAWVORlb0rAGwqvENzN6GS9nEAcyQpiDFrv6xrSBFXlisIkWwJQCouMJYg3WAn3UkCkVnHW
mVIHdFkzPTvlbrgRMITou41WVIzRiD8/WmhUqU7tzp+rI0lPg3TQu9P+TQCAEPgyRGCY7eNmQKci
nOS59/+PtCtZkhRXtl+EGfOwhZhyiiCz5tpg1V3VgJgECBB8/TvKa+92oMACI+8iqxZpKUeTu8v9
+PEWDbj3FP9sHx+JJoSkLTzKcUrn42dVPuCh2PHQ1F9t620jn7kwOygoRGxHMOTjnklWoW/acqwb
pQ9jZu/+Upo1bNzSBiMPKhJAqAdDkHL++RXt8niayAAoyK8+O+nJituyoEzR/kuk5HBEkfKTDlAa
aVx1W68Px+5Zb56M9NK1r9t34EqEfAmUpGm8MYOI0iO+mRS+u+K8L2hTQ1Aei3JnYHblMFs1KprC
mQ3IWnRwi/Oon4fupK6ERJYWChXJiEUiLnJbVB1ndsc568aw01/RGaxNj832qAtSryAzQOIBNJ94
Cs73WmvGGlXD7Rgq6Rcl6Pin+/sgtnIengK0QcSLPNFvFnGd+fC8awfX5voU1s2hbQJwbkTacwad
1PlF9jyou/viFk6uCcYexMGgn8DpJ0UYjBaJ08KM4K826EwPNt90DUuxsCUmtB5AJ2CuuIWmJp6B
nJkD7RQrblDrL7lyVptq+zSAXxPlKqILzE2t52C0UI9t1oMP/FfuV/33zas0G17aFMJLhzh5isYj
QKy1xyr/gIIC8Qk4m6GnAAuRi24a3nMrrTwWArRGDtrGUn2h/2bDi7t5Fd5xyGikNcXwMUoi1Etv
baS8vREgHaOc2qlD84iF6eT6449ptYPKwilC6BkPEgRSoWHlYl7VhE888GQI7STgrk/KJ8a3u/bv
VOl43CLbYMlBpBE9zoYxs/uwoemxRKZhGvbVBx5wFh4PuOIAAN2+H8Y0dVIrjXlYo5TUL8sVJbtw
nWfDS4YuZmY+Tp4yhFq8q8rgI9cMQSSgQgTvxg2eIu+BQhz0DGaa0Z2GnxUjtLTLojQP9DZCVcge
t5NUE8KQFg+BaWboSVkEk7Hd08DTU1SeAzgDj1t8wtVV6BMeZc4w8RB5fH+Pd+T28UFYAcMAQDCc
YflR0rux2fU246HOgw7Vf8nKKV0wo6JwUTxtHfRBcKTvx4tx4m0UDbhpwV/qr7b36Vo/7IVDhGQr
mh8IamNU9EqHCMQnvQpI8BCy/DAVx43dX6Ar8E6AK4ZApIBIye5q5ilGxIW7PaR/VM3n1vao/FyA
tERFx5gFFDD8+ddRf0r4w1ZjgOFR2C7ez4K9UlqeUtO40WZw9pwh8ifzm26tbPHtLZgLkLzJrkcB
aQR0cWg2B97vG3LhG9va/2cPED4Sr3MRSZL09ZAmtcsatw+z+hwrF2vFHC/MABQaCCMBsS5Iw6Ql
ahrQxVlN24WFWu2dIj2q+OFjsd+8E6AyRAUVvGJcCbnYzxvbtDQTjYXsYnNvr6vbnz1g6LkSIC0T
I7pamrkBAWChHdzIT4yVvb69a3BTUZiPQAlKVvE2nKsjM3LbJPKIeyls6leFEeTqSiBmSQLQdTir
IHBD2laSYKTeoCrg4xbICZEr7FcSC2vjS6fVUarI8nriXcwxYPmu/bZ5j+EP/fv5xnyBUtXph5Fh
+IEGvChBuDVt1tggb3eApBTwArTIExO8sgh1zMCwiqr5SwO6frS98ru1XtSLS3QlQVJITTNWQ61D
QlK+Tl+dNaqNhduGdjginw3LKd7n8wmwTG9Gz8q8y5QfYoLucg/pdqsG3k2RLheFteDCkA4RT0jW
tggpXgCy9y218r2v27dZAHsA1dREL2rJQ/WMCraii5zLEFT8M4tXXlW3VhPrczW8dJGpNUyW3mP4
ckzRmeaUWAdaP2Tu9qOEeizgekDviXWSYbNpbBj5YBbRRa0CPT1b5a/NqzQbX7oMaJWuah1QHpfJ
CLz6YGx3H+HwiJrXd8DsDdTGLCelHqYmujj8jfgFeb3/+QsHdTa8pCpIjEdO2WN4QN26znen3Rqt
0MJNm0mQFihHexJz6iChDtxun2uH+xNYHN5BggHNZ0QcRnoH9nhIk9Jh0aWwVP/BzLZX+qDGCwwb
6K6CLNuNKuJmoaRGN0SXnV10gQuulu3ffz2+pClGmlhq4vbRhYCHMX4ypg9oOtMSrhEqvXCU5MZ4
yMkoWQ+GmEup/HKTX2tg6KUDdDX8DQ9ja7bRkEENafwpt/6Krb90ZcUgL2gKQbUA1qJ3kK88A91W
qtHUsEQG29v7/pRPT6Pze/s2wBwjzgkOL1RxSiGkOoo7wGNhD1BnDA/bp9MaQf/CQbWQJAf/+ztT
jpwnrLrMjZuyty/di6t/srof9yewsEigcwCmEOxRSIfJWba4RPOHlCXOpeflY2KekrNXHeJiI7G3
8FJRKojXplCnt89BZCLNpqsgptOO8b7rjvdnsXCaZsNLRmFq7YpEDYZXLrb31fXd4et9AWKAeSwP
D03Am8RVBu+FDPurPQOdRBpXuehp7kehyy7wvgbmI/m83fAgl4fAPB4kcAPkyi7FHrK8NUGzMJq1
H7Mg81Z2fGGtBB2MuNZwlICRmPsYnZc7aWUW3iXOd5bnl+NeG1e2Y+HMzkSIQ3flhzllrVspLeFI
vib2cSCH+5uxMDwCF3jyA8yNfKTs5qXVxKF8obvZ9xas3jitK3uwsEQeUvIi64zCqJv4UQwXg6qs
TEIwCpnKCb1rFWPFjVmaA6IXKPhBAACEcCJ4fLVE/UCGcjAMYIQeJ+fQlaftS/TerwfJf6CQ5Gdb
rfGWD16RhIP7xAOib384IwOGijfk5wWUW3IiET1Kudk1Seg4fzgjvvf5/ucvbcD1+JLxr0pgtOoC
41MTL5GgyIN2I4+x0EjINmLh4aMiSiuzgznjpMZDO0WXttQDKz9V5dopWtriawnSLVAibkUU0ZdL
34X9uCfuik5aG19SeqzJSJLbGF/9U5Cd1X/gCF1/vuQhjaoNHHKD4csIXnxg0u3mGXsAzwthfsQv
ZFaCwQJ415jUCHUrj6le+jl7qCwWcGfl1SyWWVLdSFiApkqw5sGXl5ap7tSSEDD9XPreN6fXQ9Dr
P++f1puNQMZZ9GKAwgDS5ialqrh4trXapFzyPKgmn2Zbd0IaX9LY5ggXMrUwvvKJP1Xh/Y+/uWoC
coycPPDyiGbjvTNXRMaYuoWbmcrF1ZRjzB+s7IhCoxWDsCZErOCVtlPSfqJqbSkX6n4ZM1S/nwu6
VSWJeaBzIoynCMfLeRfTwJPEMRs4AEdufS21lT1enAEKlFAViHzkTVoqgS+J0vQmDs3sGKGdhL6P
6f7+TtwcVHRdQOk+yMhgEeCUSfoiZoaatCazLkQzdq12SKrALkigrfWjW5gKHj0CNIRWkwKIMd+M
vDO9ijeoCLXcU6U9VeXBXWsHuDCVmQhJd1Cg3oq8gghF8w2AhPljgiZZvzevF/JIoG14p6fCnszn
QSaaZUOKilM3Q9uhE6mDKvM9urmoRBSOCXow8IeLuJ50QQoUdjXZ0LgXp/rcN0eSBF6yEnhbWq5r
EdL16Iq2crSYuqj4+Fblp7rzfFU9DsbKAVvQUybgT4ixAtcA0jN5JlZHyNjF7iUJGtTeeGBYuL8j
SycLXMNgkkIpA57W4vdX17yIOmaCf8S91LlvZjuSndQ1xrOlpboWIV0SwwOhoSlEtNprFvuOGkTk
Of5+fx6LC4WMD5g0wF90o0usnIzmRFTn0lhvShSSD+yDZwMlhrQDbruMg6pGw60Qc4ouCXrfqAGl
W1FEIMxDCBRlYqLG7qaaxCkzt/Ha1EaN0lFFApTslTWikYWdnomQtqGvO9DSjxDRVQe31H09Vvxy
sweCy40eFkAzCNZnwLnmxyl3okozkpSEHjJjjw1ZcQwWdlkwrGq42KiNB2PHfPhepyNwMhYJCzew
d/Zm90+kfkAPj+Z9KFG6eaUUmpLYyailYRsHTYIg1mHzIZ2NL102rlHWohdbGjrfiHngynZ7ireu
hYcWAJPCR56vjl6AmcOb2jTkh9H8pKpv278eIDcDFb84pBAyHz5yjFHtuUdC0ztbaMOx5vUtHFDA
C8DygjoS+Gau9PmKC6Bepukk7GhoRMeehumw3amBigBBPO4x2Klk1m0zSZipU0whS78zc0/Qx1z9
tnmVkNjGWx3PXZTqyeElZ3KiRp9aEjbmfvIHc0URiRM+c42RrLoeXjIIUdK3bIgZCdvJd6OfND0k
9BBFK9p0TYpkp9MRFPpeVJNwUh4til6Zn6sWSxV8ZKnQigsLtVDW4zWVEleJRkIn2hnjXtnMIvm+
Vv+OL60VSxI8IhyVhDr2eTc2uw98PmAGJtL1wnWSbjPi9Vo71T3ug/Jn7P1pc75BfD6uAzIBeK/j
TszvG9UTK/aKIgNFvG9Yr6W58oxYUKbCnURXL4SU8NqSvr+opqScMi8LzSMqrqdspWJl6QyJIKvo
7YHtlUs9aZvUHo/1PGysX2YVDAdPP9hrbdE1EbaQ7wMcb9G8CtFQZAXmi5RnQ6TXI6SI2FvziZOd
TZ7yeKe2OwWe7MAmf1QCZqyVyywuHuDckOmJ7JwUTgHEBR2thgly2+fo89BsV+WgowemFSEPQXQs
7Q366thoLD7kIYmBqjuk6V+bzy6YoAFxxMbjW+WzNcYWm1wjTcOoezN/1PXWShOg3a+Hl1Yny8Zy
IB6GT6hPzHSX8G775RMcw0BCwRbh9kl3mzZ2OmgaScO6hpZVPqub2VIwBRQEwJoC+AaqKOlglW1e
sImZiSihaAO2BshdOD+z4cXvr/xuxx55jAZBKC51dxpcjZX9FedDuhaw0qgvEdkgFI1Jw1fJWFjt
gJJPNEcd2bHvdN8jjr/9EAHzicVB3gwPLkmIk4JZmtWZKLD+Jxl2sbqiQZYmgUY0It4Kc3pT2zCA
t7XNiYs1KvdVvvOqPQpZPjCFKxHSLidlMeUshwiv3sfoeLP7yPCCBQwqQvhl810uKw5u5IaQMLcf
MueorAy/oGI9ZDb+O7ykJZxY15pGS+BrxPs0PdX0xavBIHj4wCSQ2EXxLaAaN5U4JE5T2+EVCRXg
iKKM7NhaQEscFPm0AnrwXwlinleXQVOMsqAdesQ4FfWHH02xuTANl/lagBQ/sccGhNJKRkK0rShP
/RrAYfn7gd8WLIW4dNLwHmG2EbdKGirOyQaobo0xbXF88JmhuBqQNxjV+fqked60Y4zPJ8NB9fyx
3G5tcMn+HV/Iv1r/Jp3MaoxwTLOvQMY6m1GfYvUBXrHfW0rdANLaxGFp0xYkHLNvJjuO7COX+Gp8
yRZw+NwZUyg+fwri/hXz+MAFuBpfWn6dt9R2E3jD7oDGt/uPmAJUnglzhpcnzNl89eOYDnHpwo8c
h9MPtpl+CIt/Pbq0OEZZN30fcRz978a4M9b6Ai/p6OvhpbUxR4U2cTYSlOkdynY3lkjd/7i//Eta
Dk42mg4j9CJY4efrA27wYhhqoOe8zPTpZ+epKwLejCvGTMQ3ZR0EWDgur2Cbusk5ZJXKGQNPQhjF
KO21zsw5JdlpqN6o54GSfHOpr9iWK3FSuLWxGz4iGURCLf1iE19jb/cXbWlfEMoQaAow+yHoOl+0
VGkGi/VtEmb2rq+PEzl2a9ZnRYRci6NSEKgxR2T8yh9a9bWN/+be7/uzWFJ8gmEFlbKAvd10gCqp
QqxixBMIYFw8eLNmexQXhTH/ji8pvhwI8siwMH7rfSIRiJf/UdW/7WwluLc2C7GQV+oVoXs3ZkmZ
gaX6Mj5b7H+chGR9lJH2js4wCd4FQ+ZX0Zs1Hle9gKVbeLVU7w+xq0loTjqxnORZGNFg5Ls4OcXT
QYs/YImQWkS4G0Eg0c18vlRJ7ujKoFdZaFhH81KYK8OLpZAv+fXwkqotWq+pdQfDF9UvYh2yP022
j7RjmvzYem5Bb/TOzIpYKHJb0u1LRi8v+gmRjawC4MT31H5FW93uBlhQAOIHZhNVibDc83XCqeVO
4rI8THV4TOn3lu0b9ZHna4Rst3ccLgc4p2wRg4DzJ10Q06FsUAWHEviR/QrVuZtpOUDCey1AuhuD
OZZGVUIA2oz7do5q9c0IYzwSLdEbDUFdNF+Tl4pobs+mpCjCp5F+aYbPm3caXhkyTchTg25KrhhU
SruxGjfJw+xkndO1RNat5kBqBnW5eIeiMBEsZvNt5rpX8DpOaaigxwd/c9n2MMZcgGSGqn5wBptB
gEt2bbPj3f7+8iyc09kEpItQKtxRJ4rxS/qdW49DEaByjFiftksBFE70g0S+D7Hv+TKlhDNQo5E6
hBanp954aOJTRk/3hSztBZwzpNxFIfwN6TJttEjzUGgXWn/X3ldT/3J/ePGNc9WEurqr4aWd6IZU
rbhm05DmfVC1QdHt3Git9fTSHARAGrUhgJMDRTtfqILWlkXSjIZV9hTqykp2ZmkK16OLw3BlIgp7
ym0rw+jMemxSih5v1G+GFQzKwhQQasDH4zUt6oAlC2EpY+Q4yL6GpvpKy3CNZ29teMlCKKhERdcq
DB9ho2m4dt8Wlgje8jsBvMAwyfncui1LFoPwK8x44XMDrGsXpdh+G4RjqQECL9ocynV8rmKXWQ7s
Y6jT52l6U8rumHbVSR3aFSO0tFbXgqT9dgriKihEAsAiSDPml3zNyi2sFhBrKOsH4AhRakPajB6E
v+hiNwLoov9QnQN4/My1QNmCgkLeFWFQBKihx+Xi/grZ76ykkXLJsm+N9eJF+zY5lmvNUBZWCuYT
GlwgOFArIpnrjMSkNdCdKezsoPjB1/obCd0g6Y7Z8NK1bi0187wGSBckacAoXB2V9Jua+B3dR8F9
LbU4EdQN4vaJx5gcdjWcSuF5I6BHzcHIgpyuqJDF8bHZ6LWHDu1ITMxViMFdrbMGBL2bv1V+TOlu
++cLKDD6LyBoBtDOfPjIsdqmKxlIFaunsTmtNQZa+npkpYFeR3EounRKwwOcqFW5A3bLnj3+IeqK
87o8OuA/YIxGqEnO17gxNVqNIyI92ru2f1HWQupLt01UI/7/+NLal+i+WoN2KUFbo88HJflmb48X
iwQN2O9QU4aIqCcd06H0qOFEWH2oL//cJWvp+1vvXoyPYiycHFH6KDkbaqHmZlqL/Dd7tPsXV9sZ
ph95u/T39lMEQSihRbQGWlZs1JWdU4zEaHiNedDnrHf9tNtcA4wdBgcefkTQDFRdcwEVuryPVOOo
F2ySvYtCCGKu3OMltScagMKTEapVTl/Frea2Lhvj0NMCwyn83s8AnF4ljhYrLism0DYiCAEnHGV+
0kQoKMJ1PjGIQbsT42QNB1N7zklod4CHBFHzAe1xLU4+AHadkMRp49DIA5rvlM2dbrAv8P8QBweQ
HckzaXx0bOBD5sDgVfYP1r+N5mn7wULIAc4l2GYQ6pWWy9ZTi1RWnYTgO3fVp7HfHgfHQwJVL2j7
/t77RDKoHacORZtfqFd2mrIH52Hz9+M2gMsEIHNww8sUkYVmAuAC+E+ouKc4Oa69FRfMHEwOjAMg
nYglyxSOY2bQAWYpDrXyktdgnN/H2s7LPtfDcVhryrWgSyALWhzJV8Di5DJ8ritJlnhWHE7oMUoO
efai0pN5cT7gGczkSJ6B0mmxGQkfyvBeJxrQ4q/7W7I2D0lX5alRCcoW7Hi6d/RTYwdtGfR/vO3Y
I5wpnFrBnCMg1dI8rBLsQmg6AKpfgnaXFvXXqvOWJgL3TEBFUByBrntznYjmSa3St3kSVr7Dn1Lv
yax3pPq28rpYOmIgewIuHG9uQWo7l0IHzxwmFUUYvf07dfZxERjZzit9PQ/4Wp3+gj2HRsQzAJUv
CLDIcK0ORUNex2JkmJVHZe+6K5dxwZyj1bygOwVtCy6ktCO1zupmtM04dNAmOWF+rAfGdgiJcHQE
HQkai6BBiWTRY8/u47zwEL3R9CD2M0dbsVMLazQTID0xPAQdrV5103Cw1CDmu6r/wC5AAggAwDTo
qECjz3d8onGkVLGZhg0pfUUt/d/3L+DSDHBs4a4hA3yL7MyhML04LwFUSGO/Go9c3Uxf5CHOL2D0
cEiAFZI3Adheu1IEqtBwTi2YZ9Y4pJZmAFcZlk8k+RGana+QXdZxTxWrQH6KHYdEOSXb0bUCdPmv
BH0uweG0mzoHEvLKb9Wnzjxu3wNgdvHcBqQGRMzSMaVgay0MNyrAv6D7tbLL1zzChbsGW4GgNajV
3vlP5xPo8r60rMhBOJY+R423L4z44LbbvRsUAeJNLyoOwAcgXegp41YRRW4WasXB9PxVxs2FfcbQ
ggAAaC0EfKV9Njpj6hFSzkPeH6ZXrd+uj2bDC/FXXnOtoWS1UtM8VNpPHfXRFG3azGMgOm0I7hOk
iuCqyZnUjKPGjbleHqKyl/qrrcEXnObZ8NIxTUzGGh39osOanNJ8p7ovLWrd1h6RC2cJvCeiQR2K
VmCDhCG8WidRo84MpmchTXZq/jA0KC74wEkStRF4RKLrMph05yJU8Gybg+ZkQGmnznOcrySklg4S
/DSUYwq6apiG+fCKSzoEGVE0VNPO5+cMYOH793lpIwTmTtTqAxokFy30pleaDc2LMO2fzXFfWsc+
+Q7X5gNSYD6h9UB6hv6W82loajTplEQ4TSOqFr5OIN6YlNZvzS8fkQNbjVZsADnJrMZ5MiInFVt5
6PFPBn+LDV9tAj1bmc0CUhKmAWWrSOaIGgbZTLS5plQDgDZh1xzS2gdWYkLNkntMM5S/+b3+mtsn
9oEQITLqSL6IPmqgwZOOAno5doMxVYCIKUF2rPT9/aVbOmkIpgLPjec4GgZJKsvLzbjVbTyUQc7h
F/Slbre/yESDZ2AxRW4HCe35GWAV48Q1AHHTy6ei/+ZsJmqGxsLKwDmA7b5lXnH7cYq5J0Ii/UMH
tqbqWGwH90AEbB70BrYdAYv5FHolJ5abUsS8uh3MhrK5/YOYwr/jyzDoike96kxFGmrt4I/RaWJv
xmZSMcgACFCU2ItghSdtg60nOVghsA2Wl56on0zJB/YZlw+IDNAdoBm95AUaek86UwecVGEo7jmZ
/YoHsvCuEFXXLryQ95JHSZcg7qUrEavTsJ+ei6/oxNu3vmrsG/fZdg7b7wReYSCcRudIG47/fL9j
RP/7oQUix2qygCMlGdUrk1m6dWCRx1GCWwsAqOSIDLQjWm+KMpbygZ0p+R+Hl9bKaxSSpmJ4pfg5
pr+iNX95ycDCsopsMKpDoZrmCzSoZW50WoM75+5SKyj6IFmbwq0IrL1gDAZpA9pzySmYWI+sYeyg
9qbosVYeStvnw4o+F27APLQGEUhrA24IeA94uOezKGNC+552eBnZT1QPWIVmiMfE3lnb0XszQfLL
fjQSNQGKDPfb2g/u15r/vn9eF9fq34nIdikePbcErQ/utn1KgG8Ed4Cxuy9C7OjNWqEuDaWBoNy7
YYbihJm9W+Yp/EIaDN4vula6tCgAVwK8iuAvvYkWJVGPHDoHioF0gVL5kbtyJRbX6Gp8yWFTVEZG
gEjSsHODeHhDZnJ7ZBBFY/AGcWTxFMYzYH6c2qTA2o0OZpDa+yraURRQbN8EETMHVbcoN5VTRzTN
WVGDgyr87E1fiPP1/ujCAshbDN0NNAx0LIjYpesQOT1NYjahdM+vlNM4BI4V8LUnzNI2oxQX73hQ
71joIjhfpAq+jMVLnoS19p09dePv+3NYGh5JQqQ84ZLDTZPm0I1uX9cRQgVVuUOTl7Vyq6VDBCAd
CjMBcIS3IRnRiudKDc4j1PIrpzojvouWncNmDjDUS1wLEWrr6vUyOk2aRQWEoLjUPfC1x9HSEgGg
CaQ4kI2ivdt8eJqD94AxG52gxm/wKKMv93fg1kzrqF/97/CyG5BriWlNCYYf08eaP0bWwbEOPd0b
6d9luhJqXNoO5DkBxhDAa2z7fCqJroJOK0KJT+P8bZo/ve6PtbkfDnZa+N24EnjDwFLPRWi5oifE
SkDdYBxIv1tjw73dDAwPdBL4lWCDbvwAmo/GOFr5dG7AS1Rp/xjRp/vbsSgABZuiH5To2il5ZRSw
dItmZDpXPLC9t0TZjq9CbRoSLQiTijI1WeuNtUftyu3SC2hlfQW0cslae4tbM41h0fsOsSdkRMBJ
MN8CPYppVo1TctGHHVh3M2s/gfgF/ZHXsrcLayUIkESTNIA+0OlqLkhzR2OIu9E40xzkLEX12G12
kcHJAj8VuEZEJnBi5wL0usyyeIydc/msWZcyXyn2Wfr+6+Gl61AMCk9bQ7HPrH/M81PJV/yl2+s2
/3xZ+6GBieZM+HydHsr+t+L9025uiQMJggEUIV0YOPBcz1cosnvgY6fMPjvOW/bQNCsrJM0ARCYI
CCFMjcgW3kAoxZkPX1cOm3SbDWc02vbBsrXjU7w3rd+b7ty7FLQahQsgWNLBMzOXYqKtotHadDib
qeNPX6NWXwneLE3jWoB0I+yx7sxehwD1awIkjImU8FpDE+nS3cxBOqoIxI55PkFEfFLBpKn8DqYI
wfe/7q+U5HL8RwoSNx4epHieytnOUmVuVHWQMvW+4h25z+yDvbZa7zruyrF5l4IMC4IPYLBBBELa
dZu5TZ1pRX8u21PrHlJUsvanIUl8J3/KrCP3vo4b+QtvRAoreWXDU4UW1Iir/jy+GNV+2Eh0djO8
ZMMHsyO17mb9uY1f2XTJNir19/ERQRVhJyTrUXo0/3wKpg4t6YruTF3mJ3TXGRujWv+RIOyq8HSw
+9IRnjJnBEog686tn7sOeLaUbcrqPwJEnhOmFeZPhvqwIWoL3VH7c6E/Rv1D5h1Yebx/eiV9eyNC
UlZdA4gR6bT+zNrHfjxtJDvF8EDTIeIHSwGH6gYty0sl1UrG+ZmyR5Ie3Omw9fOBG4cSBPgdyWbD
kjcZUAYPN3w8x7+ocXI31jyKz0fbMeD1QBy9UB/d6cjJ52PXnhv9OUqf05Wvv1VQiD4AqiQK4hCT
tSUFVY9Wz2g+tOcp2aVOgPPTWkHcvhC2rRBbzANRV4E7RJU0VLq0y73XpIB7NPU5emXWi7sW6Rd/
PldOaEn5Hh7FHFAfIF2EsewGfSJ1fU6V/VA/9f2v1vGtYb91r+F04KKhFhtuxw2TZ86noVbKXD1T
bWd+6bXNN0HkYIEIhMrAfZOdQMXs0EY9L+yX0f3euN/XWs7fXjTR0x5sI8i2IAwug4aKstIGNMex
XkzF+6lV1bekX1mf211AnRfuAEoIQc9yE21K9dbt3W4cX4oJPK2XvnggxpPJVtyP23lACpKDMEIQ
ocrvldrpaxq75fhC6leU+a0ZuqVJAGwD3xKJbKAWpLe1QfTC4bHBXzT+ydUPZeODVnDYrljxdL+S
Ih1YpU6ysVJ1/qJW/xDwLFVP6hoBzK1/Mxch3W2uu9zKdIjIPCAWRIpQGVYSbLfqQ4hALQsic+9+
wdzCscyMNFZAhNNS3852XfKrZkHb+CjQvn/1FnYFTzuBWUZCEhgG8SVXrkBeVY3ZUYApY3BqtOiu
ZkJKmTRBxNc47hYmhSsOjxMnQEfJlCSq0/LEsMCC+pJEfoToRLxz+9eRXPrycH9OCxs0EyT5H+Dx
shxmTBzX5VQpf1CblWxsCgC1K5hV/n8ucNfnywYIcw8uccwlHYOJfKb1oV67jvdngWDUXAQFCzSn
wAO/ZMV+6o+V8lNd0+43N14zkcEFiRHiUXjBypvf9dY02LVNLmPx5BzotHKKF4bHyOijg0IU5F5k
rLeSOUlnKC4e3/mPyP66xoZ+s0ACyYBAIAqCQJ4DKztfIHU0crdT0+qivrY8QGVcvEZqvCgB1wIx
O7zKEBacS2hIHBmJFlcXzg/lb979sd3XjUcVfj/gGCCTAU7sNn2aWbaCFxpTLmn+SNxHPfrSrVX4
3ezCXIRcY5HDUbbMZhBMqIehPGRreecbDYLxAceGnkIACqpEWqSsyc2xHVU0r4gv08Pn6MlYexcv
zUCAh3BSRUm1jPqgedplfQ5uaf2nS/1yf38L1kaXHM3G8KZKqTC6XeWBThC86VbuwY3iwwoJhKnw
oBCOknmlWWEMsN4gpNeKSzU8FCic4s902OlrAKKb8yoEIbosuEjgL8ixKBBvM93JuXcZpwB0Hkiz
KBthoHCZ0V4SiFlk1xCfhXmaXwm0cs0UQ428C21UX3f3aVdvfRoB4WYi44UiGswB3azmEpQuV0jc
9tYlrv/p413Mdl79Z/OWz0TIqpXmzOAeRFjPrZv7Kd9IuilWCVACmAWUHiHaLJd1RsUUu51iWRdY
oLjfNZZv2VuNnAAC2uidjFYH8Ndkz9waMj3nEXquWK5fqX1QO+gEvdbbeOFACbJyOOagGECEWbrb
TC2NHuFGF3sRKGpgpr75tn0roMDhmyOiKWi+5rutRkztnWgCrSfaP/UHtlZvvqCdAFgWjJ6ANuL6
Sed1qsdo1HLLudRu0COmws5VvdPXXpMLN1w0FEUvZhE0uCEnddpEQe6ldC/d12qiO9sOnBqUbuWO
fGS5rgSJ6V65a4Radt8NhXuZzABRD+5uV4aziUjbkTR226cM43/vxsof48q/v91LBwogXDA0gjcO
ylC6eZqJ1nRxJjoFtTu1eIu/s/IDKyTeYki5iK7fstvU1l0LK6I5l7YvT5PBDp69uz+HBYMhaMtB
MSm8Jij1+R7oWZLqRea5FxpXB6P9FcXuyiotSnivHsV7Ff05JAlea4+xZoFFGZl5X2n8CcjiD8zh
SoI+nwNSLk7exAPmUARt6tcfUE64z8JEwLm86WSZABSWFdHkXjL1gfd/mvSkb8SovKtYUaYIPYu4
ORpnz2dg26wjlgVbp4wH1QzHNc/sPd0xC31AwQq6YSAwAIW54WRSKchc9aT1LmURNFowgD7ZfKjH
IDM/ITRf/1CrAzV8lgaqvp82h3UgHNJRIKkjBob/5rNLkihiOlHsS8Kf2i8G20ZY8r5418NL269G
eTORBMObdeYfLPyz9Xi9Z5EEpbWKmyhr9Wa02Og4aJCT+cR60DeWUeHzMTz6N2GB0Db9Bo1BjEnX
63i0L5PHfJInfvZ7+/cjFgKUBNo3C36d+fKTCB7IaKF6zvHR0dQHoOwDC/TeDu+9RQFSt3MBdMxp
i47K0SXK90b2km2sgxUrJEAG70FBKEGZBwAIlrRH/Ut06Yo31y+Lt83rA2CY6HkIRQ7wp3Q8h2lq
u1LPlEvf7pwXay2Vd6v/8PV4SYhWpgiSy/hiFEHoEwBDygWYfl+0g65XUp23ZggC8LCDZnpHMUt+
DVof1STW0Dqopy+2i9R27Nfj5jsGhD0Cg1gfhFVuQqekK+sWpQTKhY9nQk71yhG9dWwwPKwPImkI
Q0DLzk+QNSogYkjRvkHVLmMXkJ/d8LRKjCbBJd6PESgrgBmC/yRQxXMhxqB5pKUtWiyVxzp50Vw/
8/yjaSW+urH5sRCFMwvLjYA20CvyfJoBKe3E5RHeLv7Ezl3xffORnY0vTSV32sIZbYw/VT6Sa8Va
if7CmUVJO0A9Ajl0i4lvm3Fo+tg1L3YEfusX+rr58xFBQYwG1e0oHJYR8a1pl5wzvCj0vvB9p13L
qC59vuC+B1UzTpUjF5MZJXq1tFCJl6L12an4+wNffzW6kH7ltjZN6xkdw+i0/lzqZxf06/cF3Fxo
4Bbg3CM5D5VxG2rqlSzOurzJX3Pg6kvuvFojyi2HjTyNCHOglhMZYbB/I6kDqpD5PBKFtKpDlOqV
6c+a8uyF92dxswnS8JJ3T7O0K9M6pq+1P5Cdw3b3h19apOuvl10mUrWKjljHq/uzqvWA9ADdbE1H
STOQMsvEavLOFjOY0r3SHoz/cYEkvT0QsylAHkpfO/WknLW1vs3iz2cuH74eMHT4Foj3weOTFkgd
tKRH7RR9Zcp0rIpHPhxo8Z1UbyU/WfoRNNTH+ztyo8RhQZERwUlCfAvNcqT58Gaqorrj5WvpHcgn
GOo/5dqLbmHT0UoQVGtQGlCyMoihLbKSgGOqfB3NAkHSU5OjcrtYuX4LB9cQ8SbkaoGKvkmBjaBw
Mew+oa+j5cOz2Tljtb+/UosSUIaAd6MOtnHZIVYid7CNpK5eregQK38GZwWstza+5JARamas5FX1
amaGr/M/2bRy+ZYEoHsgAHUokoFTKamODt2uq05VyKtjBIgH5Wsu99I+i0MkWiwDpSzbzzRTNaVs
J/KKrBQQBYqyr42tXhNOK3qwgqkMYBXcDul6pNROVQfNL19ZvPcQTEbZ8UbaCqFg4WwgPySQyqDi
kjRg3bve1PRq9tqWe2KcJttHqVT01/+R9l07duPAtl8kQDm8Stqhg9uS03jmRbA9MxJFUTl//Vn0
xbmzxS1sQn1gt18aZomhyAqrVh0/S8itoa05yvD4Xb69xUFYoZWWlhexbiELhfoAiVbvbTWuCbwU
PA6B9pTb8XNnnAsDTzQeoeH1H9ZpRy1LgyPQeSKbi8AUtuNnmpFMat2ymGVPyWdnOa4KoEDjbjv2
mQMOt8NXi7V2WqMUsZN+nWjiG/XBpkd8lwGfAQkrABg7tpJX1ypRsrKMSRNYwzd7OeqebMcXSSZr
RhaWjBjf9E4e+FWO7+/t54vtulOPJpa6YHjnBTG4PpfcFFyNhFeIJ2RRScTRw3ecKt1SpG1G6yJe
bTDT18OTYXyERrQWeVKVw64WlupWmHBW3akAO6pXFfGivbilb+ifH+vazgsHyAKfCvin4TEK45uU
zTaIjQp+Z1S084e88pkWVufHYnZUjgvgNJBAL9wh63OzxIppVRuDWoWVp7Z6x/uDPDmC7UCD4diK
jWWYk7euU1VNbNQfVdO3Ssk67Ww64EK8Qh5QElyCgntCKs+gtNfr2NJD9unT/K2dQ1ld1N4i4dZA
gBoWDsKXgmI7pWY2+QwZM6uDAT9HfRS4JqhzBGMSahHvi2SWDgtXqnkbL1kRLOG8vGcCvPsRr2Rx
wUEjHCZVwa1hzVkbf6BOExb4OX6KkLXBywOVuC//KLTKcybWYoHApDL02dnQnh5L2FEHeG//SRCu
7t5ptNYF20K8poWfOnqI9PJJGX9Wh0PI2AveZhuwVRugdDGClZF1aZfZbOL0R5Ndvfod+gajEm8n
CMPAVcCP841D5yhjqi623cRd9W1pAt2RmTN7Z/VWgLDV+UTrITMgwGQXTb0kR7FOsF4QArJQI49L
FrnG7fe7Rb3qkzLVsTEEtePPsqqAnc/fjC+omjF3S6JlGH9pfXXyta+Pj9GOsbcZnou/Wf5qWPWq
VXCMnPaquH6CeMNhTB5fIfRbBiAd5VBIoG1FaKAftonu1nFOX9frIKPM3p3BzfDC/tpqk+mDbWP4
DjRV6qnTTlNLJdq2uws3QgT3SrPZOKPMqI5LdnZhsF4f74JkeJGpFDbM1BS5U8d2GdBKXni9Nz6c
KqRHcWFbd0Hiuc1cRCnzOvb6U1P5+mGsHLYYQyOMAfcTyAFhiwljI2OpW8UMPZT+rDufSgztvU2G
n2Cj9xSCiKAm2J4ha6TNmNpzFU8T85vLkDyng8RYlYkQzhFpKq1WeojwiOLbz+mXvD5I1setVaQC
OPEL/uDZFJSt1SYlMUarjNkc1q2fav7xYwQt4+3fUSkGpoPtKnUJIeCnoCxOlE/Eekpk/Ng7bw4e
AQQ0EB9DJt8VdsFgU+eRzmaxul76ovaHrPLb4vL341nsbQSwLTr6OMBvwCO9nYU91KqiqUoZq3qs
NOjSCYWQvToyGcJOME0fiwk9ieL2O3PeWhaOzXHXCr2yuKXHOaCRfdjOIgcFkGYPCJHN87dpfDMk
i8SXWjDtQWiMO5XHe+496BqdbDVlpVVsaCFDajo7q9nFQMmydjq8G4gEYAZwsuBGi4WsbZWWiWI4
NKb9ryI/NdqZOpK57GwGzhJnwedRgbv+Walu1+mapUWMVqOrEhrZR3X65/EsdpYLsG3U1fFeY/d5
oEJnZedRncbL8iUfAW/xS5S1Ppaxox0wkjiNMnLILpghtjve5SYtSNYjqNFcVMV/mxX/KOEBv0GQ
zUVkhnfCBvOtoIHVWjhGU0AGq7vTm1q2kt3m5357rJAE+t1BC8gvTpaynYNVoTJ9ROflOLkkA0I/
h59RzlkJbg5c4rwvqGAsjZlSkn4y8ngFmOK5lcUb7g8S8ri4+gD6QurnLtFOxyXxvCmnsalfqAtr
+GTLikl2RGBgTqSAcA+ECZs8za6xtJlHYqKftXUE4Z8emrJe4Tu7sBHCf39jlKU8QpmjKV7Mfpgu
uAvzw0ldEEuj+hCEE0DtIkQjmDMIqAwdKXQI+KZ3XxXy+bEm7H0/rEpoA/YAPrRwilx97G3kBQje
IRrYVx2pvscC9naB47A4lR32W1Q1tyOlVRGXxHDcHDV0qrepCx6L2J3DjQj+CTd70M5tqqaNg42m
V914s46bfDCUeJUHYpQW+GGFLegsY0walmALyhNrw1ziQd9feC5QfXiseejnnvMjNTodlCauApaa
q26/6O5nD0Tf84tjHPbfIIi/ENy8B0RDWCcgPnqP33tx9qUCR9jP47twO7rwihYeulCjqVwGwzWo
ylfY9o/H3zlICBDD0uC+Ce/9sd3l1DabaWr1NFa911n5wBBx8CQ7sS+Ctz5EZQReN0GZM9dunMKw
05hY5449r8azkkhmsXNWgQxFIJ1HrKAUwqvQu1lODepmsTuSYP5jJZlEGXbncCNAUGilXVYTzRSy
uF5fNfpKalhlh/1oBJMQikEQEbkHmJfbnRjUKdHUrsadsTanqdd81nx5vNe7q4Sya4CwYDbdZQRW
qzKUvDRxaQyX8jPtr8eHB0qD53Q51EQMFaNvWp+XlZLFSXFp9etyjIgPLz/y6XCxoGFwovEAbddn
SQvK1hrDd97b9DVp3nFKQbvt8GwJzEqxBCLPKrdewZOHG7X2qZH56Z/NO65U3ula5e4JorgiGEd3
h0mjpV7EKr06ZuAc7Gbxe4k4EyIvewf7ovgqgLq4RER9ZHG7nFc9IO4TSOrMg4yC/08Kr9MD0xsY
fER9HlWzLFmqFnFuhE4b9J6fVD+WfpY8cXunFbWwnDQetsZdewO6tmlv9yWLte7ivfXFO47T7fCC
RrPESaxhxn6Pmu1PwJ0OfzxWh3trGBATJCnRYweEeHfArtpe036cWRkb7kWnJy07697FOEiz83sz
eGtfXBj8ehUzTKYx5hkoe7FKRVBY/6KW7h3bwB83UMEiSXafwhoR9WksWsSD9kTSF+swDIFHn23k
3hCDhsEtaLWzZkRbmVXEJEmCpU6DSZYH3TtHtxL472/smCXtygy0fkibeD4qFHrr+PuPGSCfDpOe
l+8I41tJ54KsFTm+1f1QhMP8jmcBGArkuVERBKy08CzobFlXsjKkcVHlaYQZOxz1ATEoasItA5ce
MKaCRwIKsJQVFcZH/FOfLt3f+nvuC97LBW8zL1gVAZR2VtRu7s1Iu3l+nV1odc5svzueScQ8EGrg
lFBoLiAeJGArJ8VtkNzzlO80cqt3aDP3OHHvcTS2WKwzl73L7KXDMhmBPl/NyZ+sU7MejplgEuDl
wlrxHmmiDZAaVW/rDStid37SyLWQWDF7VxIubRABYKXQukRQtqSuu6EgGL5nwWo95YU/sutavkcK
58tF2hunSgxfKQnxCHWACaBLUKFUf/XR5zeT3Us7FhkICRH5QUk9sOu2vlXrdDaJxVwENBrjsq5v
ivdGZAW9OzeHqeLq4OS/GmrGheWq+6Eo0TydxkWBtubjIlkn2fDCxQEmv5rqCYZfCcpDnpvjOBxE
D1Hkh+fBRWWkmFjqx2wpSpPlcQ+YzBKUklK8vc+/HV54QAdgWbvZxvApOxX519k52EGEP20A94Bp
XoO+ofBIWH5Nr2rXJDmJV6Te1jfj+PJzzhODuyXAgop5q3FFO8hy0OdYb8/un+Rgo2X+9VAz+FUI
NPDQofD1ntfrSzMOY9xW/lCdTRkIauf8b8YXTk+HIJhl8vFd9jNVwlk9Oenfjy2YnR2GFY9QFYom
EBMTGd6IN0wFcgLoEt1+ti7a+OXx8PyACKG2zfDCyzMMqpkwB8Mvhc/oJUd1IlhirABNxZrDkGXs
BuhkeScUxAzvuPAUl+a6WqdDnGWlT8xf67fHc9lbqpvxxaWqS2U057QY4j7qtJDKEN17m307vLBU
k1Ezmvb4fMN6IvnLOj93jcQO2HkbgJqE74bWn7DpxcBq181q76DqNSbaMyNBYVwrcOEd94DAcYNy
AdQnwt678xE9A5XBSup12HPHb6rGJ4drtJGgv5UgLBUwGZXXcAlZ7ec96LrDozvNmdd4UEkHYRIe
6u27o5ROU6m53sXkGwgR5urH4+HvdxrDc8AB6mU4HED4fL0p2rFW8z7W86tJAtRRH8fUIUyFege4
VCALxKsmBEvGvF/g+jRKZF+8kfgMtZyP53CnDFwAiBo5GQL8UNHgq5NURXcxmkTFa5UG+mGyAmF4
fpJvDPqmKdkyWhgeTIoI4/q58ndqHY3TCzKENeoGYtE+yZMoGQwf5ND+pB99fiABgRiUusJs5Xxl
21l4RpcqRjp4UbX8SNwTy2RlCHcnCQJ4KIaHuHnWWzhJpaHM4A6rvMjUPmhqFTTwEKfDQRkIASk7
Go6j0ASBDUEbjFVDw/kxy+LQ7H4Z3a/HB+nuTsLDg9AtR1zzIiwxqz6R3NaR0UjjRU8DAnMVJG7q
8oE4smKEnbXCBFDcBTpcAJZEvh40CpmgExCkW2drfGuHn/0oiY7tiTCwVPCEdEQDxNT3aiq9sTRZ
GhdoR2K/oT07Hc+Pl2tPBNCsQCFwBhIkK7dHypgrai8awSySk/0joWfrn3cIQKkXogDgjLujYWVT
aelVoyhRpr3R4gWXYCdTPH5gNkYBthwpgf8vQrAqV3f9XZCYxswLKvpcj29e8dwZvonegaAXkHlE
O1cVxHGXkXdZBK3pdslKw511TEiJmF81qDGfi6PPBeaDUnauGjCg4MVvBeiJ0qJwvoOA6m+t/rUc
v2oR7uZHCk4p2KgFK9OiatFrdqFEJu9RoVW+lUvO7d4KwYbFNc7BS+Av2E6g66vVbXJMwMhODnhx
D/aUwiOHBboZX9iBblwzlKH0SuSlr07nO83Xx2dW9v2iUtSW0lfohxaxKfRGMFy6fz4W8LttuXhk
b2cgHNk26by+4xKIG2jM14iff1N+GbHyS/v9MyqhYvrtv0btL8RPjKuM+pdvwd0HACaCZmww0+8Q
CgoBny1JRgWP1QlwUbBNaTIeqJ2bGEBdhKAQ/UAoVnzS52xK7GImScQK39FPmXuuxmB1JOGPPSlI
mBq8TJuncvhe3rzs9tqpOjpX4E1cr7V7beyf7Jch4+jfFYKSAmwZcBBQnK2QPG/N1bNWCPm6GoVf
mT+I6suqYndOHS9g5LBI3jpXjPQr1ajloDZIItQ9aX/V9GjwGhlN7sVA6fH0WqIRail1UVYdzBOX
vtiRRo8GZfnwaKmJVBoyg6Co2S5Rnybl2uRTAp0PVSugSvhYZXZX53dvTeRg0c1MiN2ola2QznKT
SO2pX2XMPwx55RlfFbFLD/cut3+2EyjzqTcGguO6nDTjya0kvtLe998OL9xZjkeztdYwfPemjp/b
TLL8O/q8+XrhQsmSskPBfJpEpLwkRpgMgbQL9q4I3scPTOEAmommgteVRpmOjgeyh9BVrqMbduZx
ExpBlf9ECLMo+77tuw4isuwyGQGRYf329BhmDrQLJREgtBLsW0btfJ7HMYkmYJpT2Ajndv2rkfG6
7UpB+gapWV4hLuLkjZx5paM2SaQMQfaRmX73mcn4X3c3g5PX2uCDgij++5trL6fdTAE69KKe+MNy
UdbAUCR2Ar/UhCcCnba54Qn8433PHuTstFzJDRdPxM8CtUi6XydBjeLtqZE8h3u6cStJ2BY9VSd7
nCBp1EPNDdrjbtNmIsLVQafWVnqgraPc/TE13w8HBXFxeL8dVygGYEHCoVVogXc2sd1oon6KTl+H
oeDC+Nz8vdnqsVdAuKFgfK38npTMJ7nMnto7TP/NAAmXrQRQMaTTVLtuZFdvhn2xkpOavEOzf3PF
uCg6g/3Gj8DNJNquQrRozd3IGp4ngGCT8/HnAQUXvDkJ4nUIz27HJ4kJq3mkbkTZc06fqCyAsHtE
gcND8hqEhABQbcdPFcUoMiAYotl5avPjdM58j1Eswlvc8PiHoAGKk+Zd3hVe5LiD/9bXB3uMcosZ
28qNcRvwqbtuRszsx0ZtoWHqX6jrZLLA8s6Nh89GxQunrkXwWlh95g6mvSSmE7lT0Fbs7VThH0fW
kmlnDxCO5fEJJNTAeCgskrrkhjZmmhNNgZp+d4u/Dh8h5DN5tzseoAAPw3aLi3o0lQbbFBnzWbdP
6nH7C92LsEKAJgCsI7Y7zOZ59soMsZWRgc9+Gfx/H3/+79yGcF8jscWrv9ChkzeJ3n7/oihtNbmz
F03lxU6fh3+d8kUzT8T12+U0/UyWU10FhRMqktt75/ZAUzckIOG0gm9PxEVODhmdJrPcyC1fTHqx
26eiOD2e285ThFwaQlLAOSFwJEY4k6JJFn02ARNan1o9mLOwty6oVwFH/2NBe0cMTCt479BjAglh
wdBfx15NxrrNYt0NJpA8WxJvZXd8lDOYuKcMANyFa6R0ra4tFkDzzOpFKUJPViyxo4ggfAUUDMVb
8LhEhgy8Fa3WjJMdJehgVWn5kzqvT4P5WrwjRoGINkxBrBGQSeJEiNWYaqX2VjTktl/3vgfemMNb
gTgkaqyx67hbxCDCbNKhX1EaEuXTS2s86YdJE5Cn5XWxCN0hrI1/t+pCGg3w9plY0WiEdLlU/efH
38+vC0EdN+MLW52ntNatFeOr06n6i3X01LX5yXXBIu0N/tHuxfyGB9ID3hdcVFDZijiuXrfpCsiE
GZmwbK8lvTyezY6Sw2/k3d04o/4dTGwACs6YU8eMaj0E9Vqj+8STPOE7Sg7KOgRu0WAHNaCi7pnW
aLTONJmROwOF7vfG1XOCzPFHM3w8lx0l5Jy/UA8wUwInI7wjeuEMjjqtZqSuH13naZbBDPbG531t
AWwEEyn6JQsnqyoNDfRiTmQ3UaJ8KOLjn8+5iMACAbYP2Ofb4efGcLICJEiRuVyasJRRdu6dW44o
AQIdcYK7tKeedrpHssaNuunEylB9Yt8VEOJ0AcBW75jIf5JEIgWt1Gelyls3WqyQ1L4ii9rsnVnA
lFBjymvfkXfbLpSlJmzxFtiEFb0u9lmf/ihki7W71TciBNs8zZe8RfcBF5HCT07/05R1Vt+dAudb
+d3f964FmJ1pdKgJcaMy+bCyJ2IG+eFaWVwcvGnj/4oQTqtONZtUPUQALGaNl6yRgNH2niRgSWC4
AY52D/FFwYQLsyt3oqHxGyu0vxewQirJUdq7O0BXh7J3/AXQV5iEsoCAZVYpDFA05zJeUP9Bs8A0
r2txPX5mYcIBOolcCdLewquRr0ljN4tiw8+4GAnCmeF7xoeJ/rthMaBQ2zObUY0qqAzGA87wJIWG
LMq1p928xAGtOBCVvcstwIDsUabo2jDWgjwJu+Y82SdUz+rtizRqurcpqGbBqQVTNRIN/HDf+HxN
XyKwAE6ZSBt93QpcelKU13YOal3y1O4dMc7Ki6cP6e/7gIueq22XLm5UV1cTDZteCMhlZPQ7O0IQ
vwNmk8cIYeUKt4lNrHQwW6h6kX3Vy2+987kvvx0uAoJriZY+yI/ytAm4T7dLptjtkCPn5EQzlgyo
QYku7lxXLhjsoPHAnTooe9gOn6aNurpja0fL7JdLWNmSIOfeGsFac6GFvDpEJA8HemyeWnewIzsH
Pk3xje6sofxR1tGd36qCaQX0nsZpnOBKATGwnUbduNWa1zjEKX12WeiCtL+mQe4Ei5v7ZAza9Xj0
Aj4BWCk4dTHY+YS9Z9g00jsztN4JwTlzmDQZS3Y7vPCKzD11SlXF8NbwfX5WnU+H7xQ86Ly3mQEL
EaTl2+Vyy2psQV1jR8x58ao3Kbh/91TdjM/vgRs9n0hXL12C8YsnXTs3smZOe8MDw8zponghhJgX
oeVk2sXgWriyvuVq7F2Or87N8GIJytSwctIbDJ+rNGgJKK8kPt+eUqBuEDBmlFnwHMx2efosbde0
VoxIZ5diPU/NVe+ux8lZcIY4ThfE2EC4Qim2Uqqlmts6a03+cDQgRJAhK3csEQ6H45zS8MDvEoaZ
rQ5rVrpGVPdBBgZSYhPfsSXP+J4QvOK4yznJHKzP7STWLim4zwTLnJ0U85qlH3IquQJ3RYApD3Wo
8GRwjWxFZGlmNt6UWVHqBYX9oa1OmX4+fqLgwsAE98CxjiD8VsSqpDodyWxENvuE7K01HHcA0IkK
3Nu8o5YGwvjt+J4CAhJ0TDQiZ/QbRzklliaZAR9BuGBRTOZiC3gbYOAftxJqeP6rvmCzle99fjK/
dTkEBUMe1uVplRUg7+g3/DDUQ+JKB5uaJkyHphXTvHrWo1kPAN/xTWodDyXcStAF3WCt4qB9l6pH
1vh57r9asiL2vRmgDhJQf7ga8MSFGShMpwvMQszAem7O/cHOsNy1h0kA9AyK8X+ztm13Y2FOV9tq
ivOUBcjzXQtGj1u1kICwEWQAWCZeHkpdLePY5Ua06M96+09a1hLF3luhWwGC4VFMzOhpDQHqFCbP
9iI5rztKzauOkWCA0vH7abtCSsUsrdEWPWLui74+pf1zN0pMm70Z3IoQ7o161OrVmnBK1epr/wG9
7g/fGZsZCG/oOpR1Y3iTHmXDd8P5fjysuRldsF+sptZGxG/0SP9mzX1op0b4f/t8QQMMcygWlPNh
A+YryIV8XIHvOEHotMg5PMEyh0yJsMVUT2nqIJxWa6clTGXsAXz7xBsPuTvgSGAn3bdRaqe6yPJy
tqKme1WzuKpeuvZKmPuOmwh3HIdwgj/yjvOH1k3h5KlhRYUR2LNfqxJF3lMEC0EhzgIDujfxdRub
LqfN1FkRq9+c/uu6okPCcXuJO5CIP3FnHqUi241o+jofu66ACPOz/jrmEkXY3QjeiwbpecRsTOGo
mg36XdopNqIq/PlTk4ZlfpIc1l0RiM4BLs1D2Jqgyl3SZibAT1ZkJyeHAU+OR5rlv8b6x2Ol2N2M
GznCVFBXaVQVkISRN52J6YNWI30HfBO1rsjqoZoT5MIi2lXXSIMK7RUi1tQ3q088MAEw2eN57F19
8Bo4yz3MjjtUsK4uvb7WiP3a5rluPifv8BphJv03vr49UU41zdR0EjPKllf8VRC+1s8ekey6bBaC
bZmZq2n0fBbMDspPgyNZpL3NhvWN3C3nsUHEYzuJGf7bqlqYxNr7s/2lL79mjUTE7gxc+CpodYqt
ED2VqrPnni2tFVnJF+uDMf35jm2+GV54ow2rV0d3xvCa5msvuox+ZPfrEVrCFY7NBoZru0DmuniV
ZVYWsDdPZnvNZZGt/fEROAO9o4vMl7C/ul3WsGRxcSzPlZL6bfrPO5YHadX/HZ/Lv/FyO30pVVCd
YfXRGvyDV0m8xN3zczM8//3N8L3a61NrYvjxD3fxLfVSzJKLe0+CAydURQEbSmtFECNZui5ZV5zQ
2n2qtYtR08tQ1xIhe7twK0TY5TxZrNQyIMQuX5qAzhJDZncOyAq6HO2JFK0wfF06CbhBaisy3I96
9drpwWKeju8zf5/BL4Pe85C13QjQaSAtOLlW1LpPdlBX75kB8lwIkwHpiR4r2+ETbe3oYtd2pJbh
Qr6S6m09TCrMUdeASSB/jUDvXa7OKAanr2pqR3n/7HrPx1ta8vGRlkUZJDwGxMS2UwBPq9ETC4+O
2gSDGY6HeeaE8QVVWPWWpqWO8S3YF+ObpceDrIXR/TniuTm8/cC2Ic8lwnkKa3Y1ymBNrqqfWECp
2/mpO1xWhvT4rRBhndaCAWtSQEjeXhgLUlnbu3td244vrJNLamYkfHz137H9TLvPRxUBeDYQm8Hr
QY0/oofbbZ4INYp87Y2o756Iez3+HmN4hBfA7gOs8x3lcseUrM0ZwmKJG6rlHJTdEr5jAjcShCd5
VMZsNFLHiLIvCwrj9af/2/DCg5P0/zuBfM39uQ6KUgaB4Cu8dUq2SyQcoKrWckddbQORkSwomrPW
nWZkOH4443HvCpJ48BBhH+y3GACol4pm5cjMyPJ+uk+ZdhhaheF5E0ueicVpEo4SQzOvps1GqNuv
0oRh9On4TsAd4VgOMGqoYtoh9RrCkqG0olmNlPwPTRb73FM0nqcGTSvAYciKbzWBTp2Td7jRoyl9
Kv2uOn6QMCwngcWDwNkJtsOrS20q7goAleGPTePX03HwIpK78AfxnnFibTGc16BlQT1UCjoWNN9+
LTKKqJ27lIdTeV0rLykSwX89QZtmWi4grUl8fQxL4y9v/HJ4gzcihEezYixPrQkirLPCIqOVtM3Z
0TPEm3moFrsM81q4KHiRCkETVxYr2QkUhQoLlB9O9qE3jt+oSLziSeZPM9IZohrMy6KwtANfFFox
+c4gmcbOMQW+ENR+qCGB7yyy48H0c2fbYizOpuf65BwmZ0Vu1YbbgYZ28Pvv+OvbSmtqtKnHKZoD
dVB9KxuCx9u8c5J4tT38WdgWHMW4VYRCbcdpJEYRZ2OQawEl4SpT5XvfH/CoGxHCm0kbtWQNg4ik
CNG6FyFtC32SZEjVXSmgS7OQMOahWyHCYDCvRymwBnLWLCROkJMzesRpsv3WeNxaeB9QWYXUHlcO
SBImU8Jbq80aye66v9jOq+r5UMFOO2ckcLwX1/mzyyVHjCvavURwUyHZhHTiHfwBzaGdhPeT6PrC
X3XfQ5XzHOiLPw2nXj8npqwufGcl0cESlwt/x3EwhCNBLY9qQH7SWC/CjgTJdMnXwD7MaIi0LpCM
yNEhuYuaZOEGRteptqlyhYJM919N/aqBGlNW/7NztjcihDumnCr0Qa4gomrPA/mVs5M6/zqsPo5q
4h3CZY9kiphoVLQRXK7ujGYi1kuZXEZT9UtZud3uNG5kCCYJK7qO9sOKk10EZe33VViqx28BALw5
2zeSvbyr3PYWKDVK3AxgnnjOPhUlMvufJ1nYbO9UAcTDUd68xa/IjN5Piw74J1opeUowkCe9uVbj
x2Q+3OYXxwoJG9glMKF5J9vtTNAVb0TwbqSxhQbh45WpErtnbzNuxxfeExQLTtaULzS2nTAf3hgJ
paiXHRFAosA04ZB7RJYFzWD2YKeJ1TWx1j832tVsnpbscOSDIxnhEXO8NfKmwn6bfQ/OHrtv4+qb
quJZjBPEZB9rxs7LiJI+4INAh8YxQsJC5S2piD4mVdw+5elr7klmIBteiEosXZbWMwFteWv9ePXK
n48/fuewYlFA7sHrNmFgCTfHXBO7piyt4rU7MeZn9EO2BPnhFj6AzXEOFDj28ALwcG3PqjVC5TIG
mv3hmwWaFSpR6r0lcoB9QNadCxLLdNvcLXqiamWcs2Cxg0zm6+2cU+92fEHVSFVXXWFifNMN8jVc
WKDL2t/s7cOtCGGFZr0yCzUxynhCBNC4FvlzQcN1kuQZd6WgZBoFQcBy37VGAXtS0oBlv4zXIsj1
QKsvdPAt5/T4TO0uFyoEAAEDEwcqdra7bSdI0M0DdrtjJ2B2vOZcdZJA195EXGgbqkJMA0kWQa3R
EKqD49GhZSD5aM4XI1jnS5tL0Bz3xwoNunnhEfJdoEgVE7+q3mej0pI8rtwAcf1llBzb+3Xajs8n
eROVRdajz+YS4+uWv7pnbz555eHLAyLgFGCpkMcxxMTmbOUlVTxwWme9E3YgnMyOhxyxy3AKfvcD
B3+psNnMrlWAXkoSN+4LyS9lGVImIXbbW6dbEYJujKlC4ZMwEo9DoFcBtU7pcSd2OwvhPC2AyPVG
hlnY3blnJyajd5dMwRWuWbepkXcpMP7QBOpyKYxn8/glxaeAw4qqWhNtKIXT5Bljl5RaksWrHg76
2c1CW2bZ7M3CQZEamBDwYqCKYntglWSclroHAZ47hSjlHJPPbX45enfAaroRwXXyRiecdhwdSjMS
V1io9Gnor8pxL20rgs/yRkSSmV2rtBBBnO8aoGDl1WkC25JMZO/yuJ2IsB281UIKfxxrlZy66dqo
53csFJi5eLU5LHKxJAch8gVVQAbQBOpTk5/q8iKlYt+dwo0IYS+M3O3HrtCz2Ol9oP7c8vp4Crvj
83o1uBQAgokeeadotOmJncWp7Stq0MnMAr7EW38SG30zvvD9Ho9LjRnGH7y3lPl5+eYCOCxDkO4q
xY0U4TiVCA2SFmH+2CrOev5CcUe58eOFkk1EOEvT0ttty0D27nx3AXV3Ay9/LieJENluCLcseu9p
GdLDWTwv58Q55bL7STa+cMWOBtBl9szHNwIXcDMqeSUk44sJbIWUnkscjA9+y+6fQhYulw0v+CpG
nzttm+MwITDRfLclZrhsdOF90GlvuLj5srjvn63mPMp6qO+eIM6whxge8APiK91PnessxpLFYGWy
mgsjb2TwS+OPx+d0dxY3UoQjNE+ZM+kt7iTqBha7Jl74ePxdVbsZXzhCHVjMqtQBgqpbn8YoZ0+z
jA5hRwKcIOQo4K1ww0nY5aanALvPaRr3ld+gmKS+zL0kyrWzSCg7BYM8Kgxw54lQhWXsiVlnAzjL
ksT3nL8bdT4fXSbgs+D0AqyNIAR6UgkPXNOwdaGJGln21U4Dp3zrB8lO3E+Ci4CFb6Jw+t7+ttPM
qCaj1KJSD5zUPPWZzBCQSBCTRqtb5B37LYH86dnBJPMg9sYHlS93htBDHbbxdpGoYbRWXmVa5HVP
/fqxlhGcSMZ3hE3IS1sZ1gSb0NmjX4ZOfZxpDdkiGykvIP52YLWWPVoaIg9aRM3PhPwq4Js+Pka7
MwAlKjLxqPy/uzPQhgXATgUrZNpd2CdLYMlqKO9vJV4FClMVUWaeBRbWSCfDqA7zCOi0ETTfFA1U
tVEj6w+1Nw3ElpCiwiN9zzRDvSkd1U7VIgJUUPplBMnJ8XW6FSDMwq2TcQSiRIuc/JXML+/Z59vh
haehNa2UotuLFq2JP2WhjEdetjyCHjTraI2ViuEV5zrWT5UqeRN29xicF4D6A2SOTiZbPRvquaRs
MLWoNgO0Yeu8j572qh+3tnGSbqQIi4S+TaipRGV05DU5OFhJ+O/xPQYrCNpdA6IFbgXByKv6FbwN
jbtGrluGJC3Dw6Yw0ixgBgP0GJ1wDFXcBV1JmgmwvEi30L7ZC9RVxti8t8+ol8SVh+APuGb472+8
HmNdaqK5ixoVqIa26kumycIZOxKgYPAMEU4ER4QY5KOAvBBHoQawu99T759CZsPcv83AHQEZzBsF
8eMkrBGy11oFHpI1Iuhm2n+0vwOp9XiX9ySABAa3BGevBJvydo1qrTXdxSVqtCof1LULnDUP2loS
utpZJk5AAIIr9BhBgw7xKM3lavSgFY2S6k1d3op/Hs9hb3iua8hxcCIQ8d3MVm9OBq1YI88I0tkv
ZAmUvfF53TssC5RH3lV50mlFlcS6LODJGdM3R5VYRzvXBUjH0O4d+SzO3+tst0Bfncwrk3aJXnTn
j3OgpMevI3DwAQrBXwNAtITVHxpz7UvaL1F/TVGrkL2t+hvJzof3gHOzYZtNgEbQKWA7CUROZqcZ
FwCnwWr2JW+/vmd4QEW5IoC7RFwjMx1shYIepWR/leBf945jsnmdH/wEFKNyn0G4TTPqTotKgMJv
AVlIL0yiAXyNt345OtQD5W+DGAXX3V0fiGlsy67tnahKfYJjFJd5+HiFZBIER2Egqd5BBGgBkpOm
ndQ27CTnaF8CknxI8eGPiHoxEsOqOJNUlHXPMMAq+qrLGCx2VAHL9J8I/gk3N7ZSNurSLYsTlbPn
M4Wrskn/Kr8+Xqodfd5I4V9xI8UqXH1tV0yEqFenuOiy8Ag/jHebDf475MWQgQNx9nZ8z67KuR8L
J7KyH3b17M6Xmvww/2xXWYh1XxCuDvhuuIJEze67WSfjWIHAS0N2+ppkoUnPyU9vOD1esN1twf3E
W6ZxsjZBuXXPUhb4XXakWD8LJejcjxTEGe/YFVxTyB4DGAZPS3jr5iot3G4Bu4FS+UsTpslxBQGb
LWrpf3Mv3hUVNqtHtHkZQdXqXSz2NPztpMctGjR9g4+LRBNv5yQuk9mN/YS+29EAuuxfhEh24f7Y
or8YfBPeYQxkV+Lw9oTHw5xzPermYDF873AbM6BeLDyjQDshOIm+PttjqxmV2eWFOUe59Sk7m9mn
x4eI//etVvCOeOCCxTOHS1Csc+rrrtazFMM7f9Dhtc0+FMcrFrYSBL2znIHNLDHm/6Huy5rjxtUs
/8qNemc192Wi730gmZlKLVbKlizLLwzJCwiABEFsXH79nHRVz7XSCmvUHfMwFRWusjIFkFi+/Tvn
0HBeWvNheU08vbADAYBdUPFf4D+/wBb4bZ7RKBTLgdGlkiYtHYn2b1+ln6c4EePgrwfB/IgpIsg+
s9bACcq618qpfvBln+4F6lnwMiipxo6fbDUZlih0dp4PTu+BuiKiUozAuNsRr8qCMlk2Nq3T12LT
L6wePAkfVixEImAHT3Q4carnyhj/UIRTlWtbT68t3kszIEKTwkBAVuiX1+Ieg4oVw3qIDCmTyjRf
37w5MGJhQh3ZqCDwToJ9Qwpq01Q2y2GgV/7Iy3lgpaNvDuoeW4cxOOQIQlmn2BhTM+cc4CvLoQMN
OVNr1b8mzl9YpmcznJyxRa8ecwFmGPMqf7CvAcH9qi3gMkLMofbzWGZ2autETbrEdmktWH+nMtGX
i7ebpzIqXhGHL04DzYfbcuwqORWHQCcFMEDE7UHQO5DQV509XywiNp0uf7/rLy0XEJXwD4KX2PeT
5QIgH82Y7Cbgrt97vMyCVzb8eGpOLiOcC+gNQMkAzuK0WnbVLphszOyBfk+JvlJfos9mGq7GL9Xb
3wPWSAZ/GDWOv8B3mYH1XSRnc+CuNmU8vrIfLy3TkUcSFwPbDkX+XH2k8ITDCfVNh5W39TcSvJn0
B/yLKPzC2MnxaJ3G81F0ViQi5csh9q9EsAse37w66FOGbXtEjkXV7+ndbkPAEclwPtBBl/I+Wd4e
M0MjNBAMgbuJ5N8vWBxwOVDATPz5kMQbVdTza5BdL+jXGHbTkU8ohI+dnWi/MVbJMhepO5CsKN/l
4V0bvOLEvLDDeG6UTB3RNhGEPdEaYYr6E6uVO4CxaE0uG3379i2AUkICEzV+qE89URBFK5XfTWo6
2BanHxRk/7PhT3ZY5ZFlw6qnwzjXa1bx1y7Ar9b4ERHo349/Iid8qhHkmDB+Hm8nUzZiFwTnUm6m
t5v9zyY6bc+Y1JAGLMZEka5VV3b5TbGAeBY6/M1tJpjoWDKKWhM0mp4Cr4+ONx1CRphoqFcd7wpv
2v9+T146tOjch85GeAtVcidHKlk4jIIZKYOh+RD459Fcu7dnJQqk2hEcOv77awwtnUeR9jr0DwL1
27X13yo3oHrQ8QbP4shjAX6O52IP1bUslqw3YB65CJeL779fn1+U3LFC8VjdAshW6NJTDM+h6GyP
WghzCOZLHQelB+K54U6/Vkz9y80+mebkamRzZlw4Y5pIJLUfc1CFPrz5RSCbsmPRJXQDuuufL1NI
xqVAE6WCzbFZ832ynml3NndPv5/l1/cAyRaOLCQggiwgon0+SysjALt3YX9oowoINqUXvLnyFccI
KghpwGPJESCVns+wFnLUucEMw3d10b21+u5k8JPHZyYXOV8wOA8vlqB2zfvfL8+vp+n5w5+oaFRb
zlzToD94+fl4u6RnPQju5NnvJ/nlSv94ifxY41zgz1PYb5IWHkl01B9Ydk7U5dJepMkrFtML23zU
Qoh5HDsegav0fBO0KASYJ9r+4KNoo3Rs8/s3eGH4Yy4ZnVfxESbotB+XrnHGgykRB+uffQNh+O9H
f2ETno1+ouVGpdSMNxOHxJZtVBPvDMDb/Wvoii/swjHSjvo4oDEfa8GfLxGZceGGjMrDENy6Zkfn
+8R7+zI9m+LkNFkD7pJcdfIQ5E9heKlE/eaFejb+cZt+CtM5o3zpc4w/+VfdtCP5fgHix2vEHy9s
NoxvOBHIiIPu4DR5sIQRYY5IebDmkmWlyV95i6PofGbdH2m9U8TF4dCh9OE0heMxzWO/SeWBp6VN
K72eiaCU7N4bqvW1ANRLc2HJgAiBRnjYgSdHCz9vJR0FUJKTMpD11G9QAxahtga4zPSVrMUv1g7e
CxEQoL4ckQSh+Z7vztg0g9/4mCv5wKdauooM28bu1/n296fgl/05ekXoJELuCOoDGD/P57F8bpvV
rT0Qfmo4w+bNAv1k/BPFtMqhicWC8X3m6nX1ymB464X/MQPijgB4R//KqVnL/HxMXAqBaPV2dDck
OWNN2b0G9ffiOqEHEmizRwzP0wQGynknw/uiO6yfPFa51zC4f5EneAn4wOgcQxkPfOCTo+XHU6CK
xohDW+ymfLNoZBheWaeX3gCxG3TwII2EpsiTKdK21004zZgCTStrKV8r4PlF8B5f4afxT05SEvOY
ZG4Sh1nVuXs/ADtZ3erk7Pfn9cWF+vcsP3oMf5JaUqxT2nuYhY+VHt+78WMTv3L1XnmRH9G9n6aI
TDKl2Yopxu9BXvLh0rN1+BoYwmuTnCiQPOND0i3Yja4pabQN6HWnqtR/+p+t1okOWUEZ0BaTFUdq
p4RV8VB6rwU7X94Q3AqAU/0oh3kuQJCwDBvRBuIwtVU+VN5cDn79+7d48eSiTxBcPIgN/hIXno2/
eNw5nFxac1qSoPxvjP8DKhk9xxDrJzdDKGvCeWgF5Lorr32E1X4//vH3n+mo4834afyTm8GaxjCp
uThIPLzYzfm2qSd7HrziA7y4TD9NcyJq/aiZBkvwGrZ/athlUnz//Wu8OD6CpwjOQ9WClOz5Todk
SZqwlbCs1hpoqtNrDUsvniREPiCb4A/Dvn0+/mJXGWqCZQLOGdoNqNu9Vsnw2gwnl474K9VLIMQB
bUTz11ZtzZuxbLDVMAjRlAZgSgCun+zBvKSznYZUHIrkfF6ghl7pvjmu8elROpJgIicJjxjNUM/X
aJoC0LwnuG1hdsF0ndDSeyS76DEMXylceWmzf57o+PnPQpAyObEQE4EApAVeyLp5+2FCBgGRZdge
CIMct+qn8REM4cEgiqMrWUpyl3Vffz/+S3fu5/GP8ven8XmfAjJPNLBrEEzzKtFXc7Hl47Xk/50X
Qe0HMobo2fzFHytSRrplWPqD9Kp7/los6qUTe6yKBbpgilU6dcUmmq3B2JoeZkfYfkhgQ6evbPRr
M5wIP98tY7JKzMBBSAw4L3uZN28NbB4vBe41YptH+tbTljGgqQ6NF0w98ujnvH+U7q3+KsZHH8ER
oBLpNnSMPd/rlFjLO7QhHngZrrsk2v7+KL10FRCGAzrysQH7F7RW07uQGphPAJu5Tez1m0Hu8fRH
iYqgzbG86jRG53qU6VuA2Rx0V/ZzyV8riX3p8X8e/+QmeLPsWEdwQNFNkosyfWujG5IdKfoZIetA
BofQ8olQFYEKdJtO5qr1QJybP6FB5pUrdnzCn4Xe6QwnQi9iwDcLkFm54tOZL9+lxZ26BE3623YZ
y48A4PEixyivwnl9fogK26xRvnbqSn/syXlE/uqT/Y8v8/8i34bDX4+r//Wf+PuXQS6Kktac/PVf
V/SLGvTw3fzn8df+z9ee/9K/Pn8TiorTrzz7DQz898T1o3l89peNMNQsN/abWt5/07YzP0bHIx6/
+X/74T++/RjldpHf/vnHl8EKcxyN0EH88fdH+6///COEcvqPn4f/+7N3jz1+rfwm6C9f//aozT//
iP48FmmjwwxpIKDYoOj8j39M346f+H8i4YjyNiSbAD6PlN0xBywGZdp//hGEf/4glz8KEsQG02MG
Rg/2+FH6JwKSyBoj84PeBJTq5H/813M925l/79Q/hEUMkQqj8TgndNcgyzgm8X4gWP8A8TiNUIVo
dXC5x8pJtslMdy5ReSzKIBpBOr0uYbrV0PJj5dp1THkZTKCB2zhYX98mb+2CEgBM85e4D6albCe9
gINBqgEG+NxwXWpArDUVgElEV09iLNpqXMcw2agcGrEUfTB7dSjy4BbYjem7NlIA+eETQXu17PIx
vFCzSsFpCpEncB+AElpiYplV/oQhz9a2WYYqmbqRlVnSTcPFkAx0LmOriN1nmobtgY0erGh0XfK+
cinhfpV5bS4rjT6Ye9SQoN9MF32an+tpQp2YVNoO5WRUQkpPuu0cSNXVc4CHL5s5Xi5moh245cOU
8QqU0PT7mFH23rJkSdGnOMW6smNok4oEM2u3YxSPt7EAhHqJnFpz17Qa5cMqmYugHLskVmWolf6A
2wqFuhCzdGUstdegwniYHinie+iWagIVbWbfF6Ic1xWhCxrr4DuqrZXduNwCLzpZWTfuWq+Ph83M
PNJiCeycX/fCsbgKkiaX5dQkzG61zMangocZOEa4BjaM4gvrKk9a+dGMUT/sZhv4wEuLHdpSktUN
70QcsrwiaG1LwHvuwGZL0AKPvpVuAW1hqLQOd2G+cLqNPFSxoQ+7yT6z0U5XlIX2m/NF2F0kio3m
mgLIRVdzqDqLbYBLuC9Gl5kz63prttE6KVqLxvdZibznEpbMttmCenT0Zu9EbpvvS+PN4W7Gin5a
wsYkN9S1/echSSY6ooiJiRywzWM2302z5l2pWRbRnQkNI9VKM8O3nOqGVb2jSpcmhh5K5qwRG1A/
sgccdu3KjMPwKW3rjkgC2kSfh0Vmj+xo2+3mNRoPKOlwfhmaFEQLrMjXqWysRGxszPnQ1z116WXu
EtnVvnbElF3IO1U2ebyqshj5kFXaA1JTGdksaq4Tm5gvWpPug08a/4PAAmUY27UAwp/sB+uiodgu
OdC1y6Hnti+7ec6/AuQ5vmfTMK1VqLIGJPRyaZ/8wHrvRuIavyosmXkZOQfY/sKBm9atYfSJjwwM
wd3o5f6VJ+fozIDz+vtEuvYidh35KsYlfG+g/R4N2g2BHiRE82Q8EX2nnVQPoXXjuaYqvmuaVDz4
0aLHswgBT8QgVUuW7ZCMIUM+WoAnJdXeQirgfgAvJPbB/1MjxNvhYOJCTtVMBvqQDenibcNmDoaS
KjhbdU78figHmAgzfPceAEaZz1JZNagla8scQGxLSdLRuioIKDqCxoLJXUa6Eb01cHVrOAvdgSoR
OdQDRX1byyBtn4Y2d5+inJq7CbLlQ2sL2tdjq0Jc6Xyx39Ife22CUaPNFSjv2F6BsxOYfY8s8pNi
ielrZLTUk8dGvBQgDaYAZyNyRakmzytQgJQl38gSGVG3asANb+VcoMre0eCziQZzYUI98rrlsfar
NidNhgdGan3Lg4TTasqsvaW+6Zsq9XTUXIpZtXmp0VxS1AFjqaogs2YsnmfMcp2bOerX7Qy50G1s
ELOWVE5nlB4EXNmdxwZ+rf0UHYpZpxeQSLVaPcEFzdAmnEgd1yB242q7EtJfFdaL00tNMLiKpYqr
KRUBe0/HYgi2yRI4uUuH1rP7aFyPZbSAPYzQ2zqGI6tsN/B5E2vhxtqADGirXMj4piFBetcHcijw
WCxIx7t8HXu/Buxwu/cobeerUbuiRSFrnre7vllUcC+9MFi+LEUePkQjYvWbsIN4OyvieDgUgxSq
5Hmvs2owXrNWvO3sdSvTtS25duhwbyYvXUrhhWNUJoUzj4Sgn2WzJmMk8GETkhIKvPU3ZOLyjiJK
/Jk0rPkYdmlzwFHHZWnCoP8+ZUv7DjqXdkDEcBk6bQCM+Fdi7v+BcXQtv4kPRn37Zq4e5f8HNhLi
978zkvbmsVt+tql+fP8vKynI/0QIAU4HAKJRVAt4qf+yktI/gVKCPj2EAOAuoKUUDs/fRlKc/QnD
KUTRYYASUKQOYMb+bSRFyZ9AwYNdhTJ/EAcc825vMJKOPtW/bXLAuAH6A2U2CPuh9QHJwpNgzQAh
thqczbKlZroA7udjWkxB1ZkwOltDqLQ2CdpX/DwE+47D/jztEbERrhKo+ZC1h69xjI/85NaHMWoc
48D46IIwer2TU87EvvdymdVFwwpbH3lB0suhWaR8x1g+ZNfr1ARJyeNYjBdMeIk6j5qwU9vIoWRl
0+gsmCuHyNC6j5tJbSTW9mtAwqCpGSeqqwbVFsOWddniP+Td4EdnslCjPPc17Yc6iRhIZtCbMdec
8ya6APaRpiWTobwnxC5fPceisVq1T2uYWgUEbKbdJ8dZ67ZTTNewCot2Uge2+PJDyhhvajfJNT0H
k47py0R3TbTv1iL+lKD9k+y8PAUaEePzZFkJiziLNrpAe0glGA1gGvHUsQrWshe1YLnliNLNfKEw
GVZFs4vWuRTWm8k6BWdZqXjamwZlve91QZuwHogrdn1g7Q1rg+A6JCRvq2M52kPf+9feOLe69lYy
XUmqxbZVqUvLNJqyT73odVwmg4ZwaqZs6LddN8zeBx1FS7RB2bbtLv218cMyT9nMdgGYIh+mQKT3
s+81GxGqNK4S2cuHXObq2hf59GR1jL6sJOF5Uzd0xYsOEy1kFWTI4T/5g+6nTTyi9KLsohYxqhwC
M68M6G2CM597+Dkax4vaer1MSjqCbrFcFzKRqgmjD67hWbKNBEr2qiYlZkNkbDarnboIdCC8GFEv
uCzOfdB9jjmbtB8f/GRoK9ApLqKKdIQyDjJn6zmjZnjHtfbi83zo6W0WDwHdMqIngTxOw774vRnz
cgb1Ad1wrwvT3RwZqWD3rzEAxJZecLVbXditbYUuLphAinlu+ppHag6i8wINiIDqjcnqy/PFt/2w
NbFGWakdKdOH3h/kg+8Y/pfDFkVuKh5jQM5QMFmS0mV0GGBkAtCWbVXTCJAaZkWjDlwHET+MkTV8
1yz9LEUVzgI91waoNTgtSe/rm3lUHpElyLqEneoJiGjTwR+tYHc9is27ywTHHqcw5cdvI+6vbQSc
zb9+mK8BRQlKAf1Xt36BkZt1zjJeg5Mw1VHVSZKD7yOAEe7WmhYC/knCmyz9HBOPLPVCeiDnyCxt
vXs1tli1FUYJjjZd5YODSRltvHHqVblMFm8tIo0PkWjOb4QUtC2t06N+WBJYxnUDytAaNwU5qSnP
zLyxCylEJVyM3/esMv5uyOaA37lO4ar4cgbfWWyHjn0EoJLihymNZX9r6NDrjerBELoxgD+A2i8K
SmuWMn1L49Gj+3FhgLkYF2SqvyCix7IaAWHt70Q2im9Ge/R7p4LivQkHmTyAn2yFQT8EZou6wHPO
A7X1yJp/jFjMi+2U6PiWjDR7N8ABuRqXDgxjMKp9Ws7gUqnaUbE6dEtcsiDbUZ3tu9DGpYAal2WQ
WpgzyV20cHeWEOyVEQ7JavRQGmezQ0GG7jAmPgAFe/Qngu0DjcYRD5qPbs2t2vDQo9lNGopbEfXf
x6FByR0cyWTndybY29WJAvaDxfLT6F0LadxVYxFPH0QASdjRcPga9g1c4dlPb7qhP+MzVduMJPeO
oblMiDau7Rp8lPnwrcdGX2WjGes2Ds68edK7ZZTNPhP2SZj+GsXW+SY06FT2G++Dxwo45hpOUHHc
mWIZS+Pl47lainr04OZQs5PGb7e6pchI0Sm7AoyRwXlwO6saUNnTYFNosI6kdniXCQHJCqY6OZeW
0HcFaz/mfbSh8bpWHQnNJhvypuSMyk8BCaKK848CPu8xplf5AWjr13yX+u14blJVq5TH+wXoZJ1q
Lle0qJdxDGUQ2fWCAO9t28MrLW1T0K0/wr4aI3MRmQ5SzLL3UGFTDUuZlCTuz0MJOcoA4QVZldyv
2XIbdWleml74Z60Oe9hmq9rHfgTyKFRk02G9bBr3Wa6oe1ACnvo4xqYM03QoAz4B3qVQqiQ22lkw
Bq5FXkeDrUkYfQ3zYu8F3ZmABVhK3S8PDboIQNzVYpfayfdLmP5bGXiXISO3UcHg0vRrqYqFleus
zAKHoR9jcAOwllfT2tqt76L8ZvQLLykjM17FJD1HVqd4Z5vkxpduqtoeh6kp7D3wSW581nql1fTS
FMmZy4UGSCt5F1JAfdi5AAx9zHZELmwT8XDZL0t3SLy2rwMdbtChjzhd4fFkhJ6EpvK4oHtPFk/w
BlETHxvKRBUD1HItfQhI0Dyt002RzyAMgfDZIExyEyhU69fE+GOpjDaumvNFPE5mhWzyZNZ7tZxd
t6Fr0nQlG924kSmqZeBAJmeTSNnd4jdTj0clOZZaTZSWcUo+gV+e4Gqs2qJIzlJZt6Hl56qZ5a0w
WfBYjD35XHhSplWaqYJvgkVeQnQs1wqEDvXQJfmnLBfBebxy8dg2WgXbvl3W2vaMm80CcAk7K1KT
LOFnJOVNXyoWSbZBqCW/1dIietWyCan+Zo09hGGKYdNAYVwhvAO/0ZKV1P7s9MPcmuBM+W32Wabh
uBmGjt5wmI/QE0i5blNktK5tUDz6ydhtcuLFUTnSoeMoviVD+pTwwgSXKD1EmgVxF+KX/bF4HXFg
uEkydRaBI5TlkNVrr8eAzN+BfR7WxTAgfY/Wa3qf5BLOS9iwtBrVwEltg0T7JW/GkG7iJkpdrdMG
Pnrod8tUYRvze591BuihZLKVCFs/3wqf+zekN/NUe77AS4dT49WEae9dv7YpbC6psp11aMTRTrXX
vRfoHYohsqfCd/xs9Sf/POc8q4qMRBuljak70iIIlM79Ar3IZll2tAMhtJ+iqQMn9SaTiRYlcpZR
Db+ej1eIL9Oqa102lgPXcpsoPn4Yx2U9C/HTucqbIdj7dA7hgWvQXS6EuC/IaCy7SLPg0wgvsoNI
7Lq1EvEMMh7R2faMDCz+pG3qNoA8AGIxcR686H6k/sdsKnZjAXJA2o/mrIlVv/d7f2al8iBzBt0k
VUKm+CpgIyoFw374kM/ZPe2UX2v0RHSl7/QZt1K8o8i8V0akgFLQwS4BHWRYq8gLbhUqRjbQsaIa
G3DsreM87QDtEd3QLqZnMQTomUF8Y0+joQPCU5ZAHNKklNCHF9noqZ2wUQFrp3N7o6woI8rTGwdj
+8YqO0FTjemFSZLvsz93e9kdhfCYu8aWnQXRJeuzoSiLgQSg1bT+eart+q4NadfXXsEoPNem77+M
uUY2l2kn9nnhBOhJiq0dVLPLuBK8alercbVB55e9N56CiUVS1uwCbzV1Dgzlp6XT7SfwMSt4LIXs
9ujSLJqzzAXoIUDEtSy8Hp6vSsGwlvV+Ncup/QadqoMyN2baZdOszpcWXgX6tosqQryzBH/AdAPR
Y2kJJZTsWl8icpe38N7XwHU7BAxtXknEjWoTZQwOO53Pm457Wxau5s5EkecqzrzljGmfXRjCzLYP
p+ihgKczfIuHJvUrRNsKe+HS1VxzXUwfJWo5wXfVp6kquxiB2nLJGvMhd2N+FaksgD3TufdwKf0W
CdFs2vmNg5cGaCKAW3UWwnqJ10GgJ1jPt5MfOIcLnbff097HkWb9En4maJGttELIuPIXgAEgfiun
rfW6gFZu8oudFCS3ZTrnee3Gnldj5JYnOYWSbQveurZSaThfp5OXR+ec5FSdpQZB6nJmZMgu9Jrc
dGZtk3LmxaB2yqnsHFwA/S0aS+Kq7Xp9bnk0n4u+Y6A1yNkG7HRf5Ig4Vb2awF0mQ+F5FaYab7x5
mc5ZIgCIpKJugwyeKLnPCZqeyRRs11g3vIochPrgAQWiDOnClso2xxivg7lDrltsP0EKIM2rhcFP
L5OwRQAxHnu6C20W1g1O5hlqYh61G5b3NDUd304T00kNW8xUsZHd1dQIb28gqS9ta9vKOvqxSVt6
AakeXOT9mrxD3DUoFaTmrkB4f+ts0lzFkOLXySSyTZhTDzYAoXfJBMC8bFzbzbCE7RXiSroGBWb8
JUfdxD3KvvTlrDp34zU+34khv2NRN+79JeKXSdKLOzWPersC93djfKJ3XiyGsyYMFdlCBsmaCzsi
/+inspR5OF1x8DsB9rbwh81AKSz9FafZZhOE0zi/X92c7hLhw9CgA+KGdds12l4k8Cg37TK6OkJI
WJYUKn83h6Pb+8JFBkyFjbc9hjvOc5EaXuHKeGdjPw3bSIm5zIGkITHpEX5AFnKgVWSH5GOq8xhE
onC8GcGtRXg4hBIHujDcygBRqg4vzE1ADuB0Trc9+giuulFkH0mzrN9Z4WWqNL6/Xve+uoYHqYtq
xNNuis7Fle86sL1zZESq2Xi2uEAIzJReagb/AsAsDAonj7FbkiLGqdb3BqHP2giY9rtu8vghzQaE
PL2YcHzVSAgwkhQkKtHI0p5b5F/mSmUonkBw0FQT2G++jsO6bABfI7dLS2O1nUAsY7ZiTCNXDUl4
PJDwMy+mbMq8UsK3vPSMyPaL7ptyTDsHiidcedTOx0/pYpMPy7Ss54A5RyLKt7pBw6SNl42/sDAs
UQwEfMJW5Y5s2ODzekY57n1E+PiQdAjECxVH74PIjptkIc0e9bv0XEhw7JRKd/2tnXRQVKlAkqda
+VB8TyCKbgHM860nKGISaM8FNHKoXVRh54uk1Igh3C8kV7QMmYy+KB8YsZGBgoMZ0MEBndsZDiqo
VS/aNeR7rajbAjhz7Eve5WQzjj6pPMroVBJthi1mbkGrECDWbBoQBiob1V5i9T2UW7/Xk4re2XU2
Z8obh6X0cWbCap5E96EAkOVVF3X0tk8X/i5e5rF00qxY/fwCDb/DecMURy5qmYNNk3Kr4QApGArK
5+xrpzu9dZ2l0ZfFRvyx6z0k5smSPSH1Op/LBCBuTIhh76uCJpusUCwoNed0gS4m041RTYa0RJv1
8966IPmwAsTOncnQiHvjsOnVADl2OXHfoyXcaQovEMbUBVh5/W67dqbwa8sp34VjO9JqMZzesBA+
0abhYfq5CwiSRQjaIJofrlITVi7MdGdZyNdg2xmdPU0yn0bkyAGtUuXLOkf7VrfisRPL+Oh7/Xo3
gx772GDrFQrXCHYpVq/11NWEYl3EqIG8E19wvkzbnuXtfZtKGD/Qof56pmBxfodxhmqFIWtDVBRS
j16F2ie2Rp2xukYkPnhAeMonJSopyQV6upv7sc9uob9BWe5Pevg6WeQaKymKMcHJWvQjR5fU+dQK
+OPNjwBX0jn8f+9L8QV6wbV7ZBWyGyDHOVlDWqo7yi3Qt8I2YsigIuaC1Oe4qspQ6c6RFRk3beBP
t9R42Yb2CbKKAAtr763Mu3PWBX1QAWGTPBqJvOUu8ZoAnlIDbDLvfp5k1O1tlIt7l4Z9sm3XAOE1
z2QIDfClnckmyDTYtwoTdW090xx/jhDqiFO0aE2sTB/Qz3PcQcEoOyAUAfwZBKPyvg3BPaGSQJ43
ujCyGqZWfcFvw+hPHEyNANX4D6b1mguhZTPBdWAc9Urw3TAI4H4xv0dG3207mcWw7BfdIdfQx3d5
oNcKmglfw52McHgLhyQciXqGAvUfP2c/Ak/JMXgS0j7a5zk5J0SQpSxYGnZ78Iv6fYfUtYK2LtOm
t0h59gg8rGedDmekZBAblMN1TxgWIwzY6iO7vaZrf9EVbsrCUi5I9W6jTHrrNusH7pXDDPaYQ7oi
C1ktxSwfRJxgrSTg4eZqyhv8GbA+7C8QtAZNMVr/dZjD/Y26OxUs2H4FqH1zZloLLfS/mTuvHLmx
bU1PpQdwWaA3j00XDJve6YXIlKH3nqPvL6RqHGWUTibq7QJCIaWSgkFy773Mb5aQ5gtfcJ4aJTt2
uPE0b0Vp0IMpQlqsf/dyaGDxkAA36QUNRZvkhzgVEs0tGyOsPKtQpjQAKBdnR9eGdL6Zw6Z+ETSF
D5C1lMf3q7mj1OTLe0GIGbYydSLvQK8jbk5XZv6OVU1N5nUaoM5m0daGntfUWjyoIWu5pb5T+Pye
90Trta7L6kpg2pSMY0ImFfumbYruJTfgStlRHaI2E+Uhn284LqN00zHXLDsKasuijCnXs2OxzGqq
OYuZDtlJ4ugpDuOQDU8k/l3/WOpz2D5InbjW/lQZ1TmgRWG/GVBxNU5r1nxa0a180XaCb3xinBPf
yjStQd/SBxQaiHH94hDSu/KUth0nysh3mPdAa5VFY0uhb8f40BAUTKjLwUv0ilucsa6XbVkeppkE
qY02yaBVxAy1OAA69TYSHPUxmU2ZKtVMg4KB71lprMW9it+zbv+PKMcl/TZVs6s+xL6/FJcQRjrt
zPpKnUqp2ppVp738hqz8TfP4ndbxnkWEQpGpDXBNsB9CfMQ+PPOkfoMO0imC258orFpZaa7KWUkk
+ikjY40t0WiB6qWh+Ez98nNyzm94BdeCNyZDRMT6E1jmcgAkyTQMFpInWzeE+oX23Sg6Iavhe0t5
58rDqmHb3TWNbY5CGVH3lILgL7Ra7H7Kmhuoc2kNXC1qXiqX+KvOYuEvSqN9aSazn1wtniiNG4iz
sr30Sonx9NibD6oujHdGI8W+JTXSrq8EqXVhKrafia7PcMvF7VkwDeC3mCII4eUzXQW5lggfi00N
nLC2q3YbxVnjdoo2X7eTOh0VYyqZ/hB9NsXrH28TjhbClbPViXi2oT///9/eZsNWGxOEJcjTZBLL
LNe3tI3j77EGZ8e2gKA+oyf/9CJ/f7MkraaFKo4UVWIs6ftLtmXSwcqgjdQWeXha1RECjCZYuzld
NcgsoWUeiqwxrgRtrHel2TLeqJ27iOFTZif4Ql8BkcexIv+7MVQs7LNz+lmCCyII4napTC+bVs4a
Arqdh+jrzaLAYiZuSRdbMSU3+HgXvWcT/roYykD6myboG/vp/UOwllCvqk4a7NEqKK7ivFYGx5oj
dfvxdd7TUoEvZZwtZAPqHyuLkYvgmL+/32Vc05Q9VbE5O9rtKACS3Gur+GzYX1TEho8vd7mQuZzM
OpIVINIzDfCCQlouUlJyHlV2/TPwJHMC+LAsNIE2Zphx6EMbODehCAx0lldyLPfjL4CPG3f0+/IC
7ESEjMxBA1PFae8C2kwmOZkzgCGb/L4ZnuIOgxIvVdVeB4IUoityDnX0hC6qgQviLnsJ17wS6PE0
Aw09oxVpDooRHZMeVPHURXEVIpI3zNrr5UyHXWOmSeqEvaJWjjqHEHYwfIsnp4mmhBpjlddgVtIJ
Vo0QwyELOaJzexErWQzqqBZiVxt6zv5fuIyG5/DiAiScc1A8lKsrmd50CySgtpCJhLn7YkaLmuxL
Eln5BBKh166Q68sStHkv9tf5NPMSrQ6mywO1BQEV6AZ4sElngm4/inywWYo8+W4Iy8KfRWgStjWF
/LcahSrzsirU9g2a7pvIWvjTBitMDfaJYgyMFhckaTOJ2jkSpzHZgDzCrONBMl++V3peJeda9BrV
cx36SSqZu6LtaASrvTEcUjOzfohKTKjkGSfkACEwA4Np9TB8Kq0Q8lIbx/Hj2vbrjSEsPcFUVvkK
Wh4CS8n03/ND0tYE9NwYSUJ6U5jXINYWqDVarpJFVxZ+zXdzqoT9dqlGwn03aBbNiVpJJbdazaTw
K8Xkc5SETpInr5gW2apFSuUsbUwWlTFVuvPp0yQbYU55liFozhqEXST0276YCdAM32Z+xq98RGsy
K9nNlSrMfqL0tFK7cp5F+E6TWOxnA2sRu08a2teDtdSNN/78hCFRucgAQJO6VTc1hj1HSWIFgHs/
H4LBTUMq5OqVgMHYYSXHT52pGOPuup+t+qVbUV17cj2HdJony080y3iSlZZVk4rgHIswNaew78vC
C+ssBNYXzFfIJ8cuLcEW9DJdTmjeKSDzLl2E3a8sbZ7SseLFjqotNGPhqnQ2f0hVJt8sUSapdoS7
nuaGRbnmO8qmT/15L8gPCPQ4Kkih4K8aGqaDF5RnS8+yWpFK2U4gVM5n8p9xwz1yTplqyNwBKPun
1Bx4BR8fEpeHL7MAUVmJmOQgAEERcHFEyBP1YWhOAN65xfkeCbSW3Yrq9hNNwGVwlXBoQSd49mnh
kqh23x++QFExRGkaIaVqpntFIs1n855h37xsX8YoGaVPjr/zcf7u8LPgsxBeYfHjcQjJ4/0V6eSq
Y59Wra0qgvEYW1LxPRWVtgni1NIKWy4NSuV8FUVzH65S9dyzDX98/HD/EXGQ7EBlQMkGgQamwAWj
ZWIXzUUGIrvGiXU1LyHGItGsfLeWlk398bX+sYC4Fn5HOoIFGBr4GL6/3XiISrVVUWHOa5W9aVoI
V1ONc/7AGivkma05f/tFefj31z1bgwGMYamLmOH9dVdrkYWy0IHDJnO+rhaKIxp4xg32T3BNFG35
VqAUCD9ZtmzIi9cri4ijIYmZKP55wJfKaWJRqXehNJGS9PmVKHbdblFFxipkS17CbFMr/VtiZPMP
Lamkb5qAvSMDsczutYuVpPcEc2m+yVXayh4cEm2fAewtbh1a+Y1RjMpDXRrFwZppOtoJFIhHC4z4
tUhksXerEEadjTHNQgQcF/qLSVJPrhyN42vO4D6oNIk172Cia5UrT9byqmhj1zhCKjTpgUMT5KfR
q7epD4VmszLccQtnojSvZ8kgiixJGyXPlWUWfe8wtYjRKrYuGIWyMX6WvQPxWnBq8K0CvKUwwm1P
q2r4bsk9p0MXmmu9m6pVZZSSXo5CABGGwzRW036w20FIKhDkc1lvtTV/Xv7s+QgK6f6xoAQ3r9Vx
4ROivE7Kk9hX4W1mRBLo6jr1YrEb9DA1PQw1alg9Q1FQisoddFK1jCuZeGat11GnrNA9TBUSyVpz
pRzY79hgJmf6ODVwvpRTKlx1wPZ388/+TBy1q50DpX5L+/Lc+Eos8arTip4bgT5DK3ghdlspvpxa
lquNo5TwbaRy/JHnioYAJRsj4vFiih2Uc86hQ6elNJK1TO3duq0Zng67caHxKGjhUxKXpeEvxWAF
8xopz12dTI+aScB3TUHX6p1QKYyPbCM1cpY4NROPoR0dk7vOS7uHJReAIpu6k1QhkWlJ1V51zBm/
2H2XrZDG6knb/zqqNZp2LRsjFLLDr15NqiZl91LH0/lVWSahuo4S0qRffx+Axoz2YoIa4ZD0KAQO
Bp3E51mrFBch11wH/bJaupvlnfAiAJvcq9BfaOrgV7B+ga6S7UtJqAoak0JDM5vsc6MtluZPizX1
fg5pvMC1exjCY1rSF/bbou8aD3JGURwTdAWjk88I0lwN4o3gQAdkMf+ipaztwlcuyz6Cq1qYNJLz
hYhGV7qORbtljxQAY+eXm7aJsjq13lbWvlrmefPxefPPfY9fAq6aqLIk5F+XVVoJT87q57SxI+ai
MguQyYDCTdXX699DB/8Vg/S+Kvh1SQp9p7T5rwqc/4XyGulsfvPf9TXH16+v1f+5+7+37+ij53/z
N31UUv7CWJ7zlmL1TCAlyP8S2QDQ/sXYbgMHFqyCaPnwb/6mj8ryX2yJs1cUTX4ChEpm8zd9lP+F
ORz2bdTdPyU68r+hj14U0zDxsBFi9Pll/Rhls1k3SBz2xqh6oXXKKuVhVo5TlPT2hADbA7p/GqBG
7vvyABHhkyaQwg38lmj857oXkY+Jch2M82rcj4u/DrtcuhMnhBzRgxSbgdjIzpXWt69hXrt6pLud
MQdGtRNEb1BvQddz/oKYm46+fj9LMYa89MiSnUq/mnJ0JKoZGFa1MbOXIXOyMtoP6mov89tv7/f6
Vzb0ewMLE8H/8uXPN/Vbs8Owzn2HKB73WbKdxe8pNsHJF1jn6sLQxfJFm/2m/lpKP4z5BKdAhybG
oMdrMaW5O58sjNWtFm3KSXhJ3vhdsZTUmLB0D5J8OPbCrinujOwhs0Y6G76s7EbGQkRO2UXevKu+
ND8yJsul4EjbKuiC8lh+6YiotuqLbuO3myUIPc2t3c4bPJzfXMHWDquN0t2LPNNNHMFJ3cwrrwT7
zbALuwPEsONDepAXp1e9KnyCqewYsi/n9/J0muMgbbah9KLXpzx/QDdRiJ6hPGT00CbRm/Ina05A
zAfbRJGwaC5QSDdeibVvRv6ouEu++9LpdrXLaM4kVzV14a2gOEYXwIZnBA+oEvwSPwxPPYSxbLZH
/oZyky1XTU6y4Bh6kLf3XHAs7b6V4BnpDiVi2u7U5jAVJ7V/bMpdtgSKFkh1oMcBIWYer5vhio66
1GzEcauM3/SKNjTdT6boVn7Gr4URCcttPIFHp06V2UUgql79FrvDQ6cQKG/j9agdc82HPqB6ueVq
t92E6Ytde3Pt9I+CetSR4vSLq7ZXVuvzS9pVsSs1QEigW8nLpOvwXuzxVf0qfh0Uu6cpbhBuzRnR
D74rusunsWCk29lwsCSwa2bUfa3CK/ON1POFaW882I5Sdg6mu+R5lnu/saSnidaBGJ26cLN0910B
lVkCSZ8al+HZDnrnTjgmgytV+yILnSV5JcxICEI2OV33XRZ7swFkZ6e6jRglzsHL9wx0VB5X/mN5
cuoX7oLh/PI4LBDlspOu73rrsRv9xgcM97qt4uW7/MEK5J3mW77mi57l6qEjqpvsrUw+cQiT3lc+
/zkeLpL/WZeKuKctvhfu8utw1+ykIL5STtpR2ZWn+VTuyqN0/Zlr/YXO8D9XO+/z3/ZzOreKKmZc
rTwMj82pvZ7vqi/xXbShzXtqT8XLcld67dE8fTZa879d0bhop8mLka9TbA576UrchTv9cd2ijrvK
jiizrrRdfhIPeiA/mSfl/uNDS6Js/POphSjz3V2O+TRIs6QNe+WqaQDmoP/YXWdLT9aJTsRW3+X3
c2XHo108Ljtp2wS6t/pZwBbYMXN8x5/5ratsu115sL4q/nhor/ur2qendJ0kGNH6eRfE4ZERpBD6
hMRdaztyG8lWJ1/OnEj24KkIpQO5NVscCBlN4cWyG4d2ldvykcR+eJNKB6YOhFVGww92s7jkiKkn
eXAkDUQBzuFU+TdGt5kzf1i2Wu9oz/VB3kBza+ZDP96IrSM2PuPsmYsldbvoZE37sDtAhjMU6gZ7
+bGULolo95gt/IbmzTpQjNj6D71yKB+KTXEjHsXMJi82X5vb5mTt77uNQqpU2pr0czbpsQ+6yh5z
e3hu4RReL4Id+pj3J5ozcMktF7ha4R7alpc2junW2kZNXQHCD0dJ7p61hHA85E1DPdB8tzh9q/qH
9Zx1X89oo/Iolz8icdsaAUjN/FU+TnvhJaOvyNQb1U03hb6ro2AgbfwuvqVHZZv86DRbzd32a/S2
vtAvHFN3Fuzibb4Wbx6ThkNrP2dfaNRGBTQyR9ADfhhyG/JtmAeifv6h7j0WRPeDXt36NTktXhJE
QfOoNDeWeo4jisNLsoJuv+yz0p6e9FvxVrzJt/G98jx4mZ34MVsyP1bB4LRsot791jqyq/uZG11Z
1zx9aeJ49K3eiRDqslbg3XH2UhNsFTf3ocgE2rH14NU7qy/fINXFNNuD3Ohlp/OgUKc+IHX1rSvx
R3y9j1xodQ7uM7ZmT1w+dSBbPzeedTU86jmLz5bcVLFVbzoS9LaGR1PRNnfcYr217NhZOha/S+QG
x31arqRT9KXLNr11EymcyY8d+yC6L+OIpVnZIoOByzfxu7VvbusXRIaV0/Ar82DCtqvbdoFpObCU
RAfVMAoRJ/oh+mXpJQ/5Xgc+MsetWW76e62NnPhKaha7egBk45/yAXrpwLyTbsXlzsx95Ua8NidC
6a1m+sqtuBVu2tf0pN00z9INsroDHWi/8JSD7DVO5lBf2Km72vcwOoPqVng2fO1wfpiCA2N496Xf
Wvzt1AdWdJGH+NnRcGr7RXJ0f7jX/X4Te0vQ+C+z83X2TH85ZN+AU5KX/jW5zk/h3fA8ts7MLUW2
fp3tmsg+f5pqS7t1R8xyY2fqbPU1UzY9rPsSBjwiRKebPOlNolnlih4ucKq+H5FJ1ovqEfjFxlFX
0gtbX25ZdzMxmBIRnJTlZVt+6Y97dpv6LaWF+SxatlHuTZ3maIWgsqQyym3U3nf1UUeWs2wytqwr
bKoDO3HdFIci9uoYz4aD5gmn6CYRHqsvht8fRij6UDQKd/qBTry2tnD3RfkojJtO8elJ4/gETVE2
Pa1zsi+qFwXqTvFTsiV9Kz1JT0rAALwt+Ki5ybut5A+ndTucmpO+Kx6F/Xo93YxfGfE8t0EHqQ68
De7NGY73ZToXo51+TWu3uJF1O0KzXUHk3jSmG4Hyi1AS7GREb3Ews/3QICR3u/lGU4K226/9NSTw
VXQaGSkwWt8cfsl1uJzmxVs3MGUmyC9P5V22j/b9oct2Vf0oSy81NNrsiy48Gc/Rmr10ohE08LsT
GB4i3ML7aPkBG7lMvfQhv8nn/r4r8zd85L0+cioTYsb5pJyC9Ah3lQQ1tmcdBzTMc0Z7yu34m/A8
3o/X1tOY14VTNc2XSu4OKEX1WnaFTC64GV48dPrvxXfzxbiVr8Xr5apYYfST7+V2+BXx40t/izfc
czOBPPQbEUKtPDfg824MClzJ8KabIO+dMPkS5TDbJOyN7KG2YcJXyYPabuNsm5/ndAFz35YCIoo7
83v/TdVp2KHUdbLxMJygZb3odyQ5w/KsCvoW7YjNDJGtBB8K/MqeDXt5TZIrlAjRuLXkII989bb6
lob7sQz01K7vzEdxfMu6b4u0FZ6Lx/5ZvRFZcaNmN/hmk9zCRrTeZKg24DQ8H7Z4VTg1XJrxcR38
sPSR2tJ+tmeyzzp0jXE+1KTCkR4dre6bYjla5qq1W09e0cHP3MYPdT56VaPa/ZPqGkdtclEUJxzb
HLKa0yQb3botJL8MkSpcN5JfK1eDsKEyavdkz11m6wc1yK6au9APobo8arAcWxf9cQE7mzEOoESF
3dPjS71lsms4ESSikaeOezHzaftPqjePD2vBCksc8YXoxq2FB9W1bsKv0bcYBRgNsce6vF6KFx1S
EQqDfHGEZTuqyHHJcV2yzCnaiIpD/0/hgFDs4ntBkdFtNOl2tW60fm90Ducc7zT9MS52di0f+puF
tVcHcfuqKPs8PBTqGyTPkAJQ23bmjtpOgmUE97ku4PpMQdbTb7GZ453OTojwT9or6X7O3ySkZzBo
cJ8s7BI+XPZYzNDJ5m9JeE/YNEhgel+4Wh45G89zjzt2vbBXhpM2nLIb1Utus1ftqn5Wqi/58wj8
95TcVVfKQ4iCQOofaRxW286db6Uv15xJXu+g1nUrdAgNlVacO/HMNgsQdtVEpwi6nr10rgpGM/VO
pQABTu4iPQ1puY8kiSbk6Ijbhai3Wb3sGs1/vgTLW1TdyHea5RUjlGnKk6m8H+4QUeu9bT5JR/G+
uZYJZqsDeZGqY44disv5ZvoKnwKYkEXXJN6Yb1d4ks7gsyCzr5WnHdLBUZ+Me9PvrnPNSTcVUj7K
hN7O7vovCGsS0RfkjVXvDfWeuWiJ6litbRTe4GZdAHPEbd5UqHQPEE/N/XBX3uTfUbjMR1Z4ZMKU
tPmhekt+pIf5BXZuqdr6Q3zInsITVGZBsWfNkaIAxRDUvyd6s8ifILuS2MhyAJqVQ2ImfMP78cVb
XjM8eFl0/idZzCatwmzcJ2E6IRmCXDgogW6mN8Kz7qgPSNGJANl3PXWtwZHEU9odBWw5wh3saJLc
R3l2NbIcf4LJHY8lUjVXFKdN3Qoo1l+k5nXIc28aimMOWZNy2pKeJ7izc/UL1PhXfbH/2vR61xo7
vcKX+FFdts/+FzbGZHo3/70vZr+WUf767XsX/94YO/+bX30xS/4LjJHRnedhS5BH/iOrNs2/mGOI
hwwkeBx9UVz/py+G5BpXYaTVdMIVRvgA6Pz/vpj0F8QABaMYGYa9pIv/qi/2vv5k+trZFIdLAwrR
a/sHslhE8oLg0UqCNa1Uv0OHuGEwrkHjqcw3jONQ/d+ezR96ShdAFC04Efkcllkm3uG48Vx0lphv
iVtAWUbBEpoz52cX3qv4h2AFPKbHxYzFg5zjUPnxRS+Qtp8XpZcImYZZxaB+F704uTORbFZqhHhE
Ew5dzkALlMCKLfDjJ/f3vvY8txhFBk4wLIqC+ty3vKhBy5E5p7UuJ8GCcOpgoYU6i1E55sUs81us
yuykp777+VNsitPDx3d6cXmTm4S0AGEIOBG99mW3E0hjnZBytQSPASlUXih+X63CtRzjBUJIB0kx
+1g9pYnZvJUKwMXH1/85ouw3XJUvgPUkXks8CUA/Fvb7GjybRi0cdKkJwuH8krNZfhigan3Bh6Nw
YdqvWLXAWt3XMiPB8magSiwpc6NZ1tF09J10Z+jDvDGlYXqeFiWPPsF9L9b7z+8ns3GYPcJcDUY/
vf9+SaVhZ5WLTdCYMQQm3HnIZWc9MPNxJj8shetPHsi5kXPxQJibY0oaVCkTDtfFghfa3uzHfugC
nJrQ/KnSIJPrgY6YnhhW6m1cNekt3HA3Q6zgFSbEczsbjOUwVxnCu4+/zc+ZTL9/G8xHROXniQP7
B0esi29TDAbUniHMglHuaBlDpbQo9Q252zWyhCERRIn0MNZW9ZwM9TcdP6tNN+mr1+WLelaSmvGt
AiL6Ra1kckxlbqMWJXSiPkb9UG9byMr0RGpDQtbYSwgUJ5MNB+k7ORRlI2DmYk4ArVEu++FYhUdD
KsRPZlwo5zd4eYsQL/Fq+LkPL3dg3fcSPlxJEWiYNUj2Wjad4vZ9PT/kyGWdyqjnxwqJu4iYTrJO
Yl7Dy8+L6NAOarfJQq3fVkXYvcGjF67Xfs7vcm0Qv8wW/vrLmOZ3aSbhGlBpCIYhn3xTJNJ4KFTy
67AKVmTPZT+dK5pReVS7Tmztrly7IxSV0WsiK7/7+I1eAF5nD3IGOJ45IaAu4CgX5w2y/TAzBUqA
dcCZSx/UzOkWTXA+vsrlruEqoGpEHCYG4veiX3TzTC0zhpm3EKBxi56FmJWDHcZ2bFftu5mJ/86c
2jjfFNQ0E4dwooWkyxfNUWPumnhtuRxmWNExq5IdX2x2LGUePzkOLsLRrytxTCoEW+KwfI4cvzVG
i1kuI6Xr8mAao+iYY5v0kOpifreCkO4GJcnvCilObj9+mpeH9Pn2yATIBZh0Bfnk4mkqzB5G1F4W
Qa/20RvccdzcjAy7HzvVKgktT6wrjz/561mfs4laDZHZx1/hIiL+vG8k/rqhaMy+I1K8v29h0o10
FLM6aCtDcBNNrFg3CEMQn2pF+ImNyh8vBoTHPELeq3gZlORCz3QZw7dgSSKMUQSCbmjk5d6KcGb7
+L7+9D4ZP8PkZlnS8DE9b5ff3ifqo6ZrCqqsvmlDJLKddBxQZu9wJTJ3qpKV+1gZ9eDji/7pfZ4J
pDCKzqMBLknJmI7lKxbedYDnx7hR1DC5jXFkoNo3crD0deEdwracgY9aTBypCYg6H3+FP903Ei8Y
hxDEJOOSy7l2ZjiOplYHaizS/kSHv4VAIiKl626KSMCPJpfzz2Lbn96rhaUuJy2sCezw3z9sk+lY
YoO0OIhS1TqhiiCyGXIDGSOBB/JJYnV+cxfHusSQqjOEawIk/wRSfnuzNZmiibFAFTTErBMMwIex
+zRa/+Ei8jlBlQyTFQRz//0dFZbSaiuOY0EfzWFqSzW6X0T8NB0+fl1/eHLnWTOwnJg+iPnkxZPL
uxXHLGGqg1lv1EcM8YAp6po+3Zgp5WeWvucQcPHkZM4UckvGfJGaXdxUW03ZOM892lfueFPE1lkQ
LxLZV90s9rHQCNfhUI14oAn668f3+afnCQ/kPAhKOo9KuDjphJSjsJ/LNsgzXXDbUcW+bZq9jy/y
h+BEoGCSHPw2Ger2xVk2Isjqe5yTglow8js14QI9LhybimIGvnjff/34eheY1s/whKswG55Miqh4
6QlVaWKKOVtRAeNjqeOoo6H1XmxUbG21r6C6rEK2XktGhBWdkIYRwl0zOSxyi3vkGCdmukV3aR3L
MOneBr0d3jiwYJaC1Sr+lOjCIUTK+/Lxl/7DikO7QBWKa7So41j6fmWvk9pkcimUUK5L1TeUMjwu
U6cHpRYKn1iG/+E4VBgyhn8YfFXtH2dRhR43X5catS8WKqVf4DF1KJQVx1K16W7gdC9bWenpxWqI
bQ+TWUT/Pt6gz8Cwk9KWQuhy8vAgIn8UjL4MCsaM2wVEugNuF0AnSWV9gt/+YW8pUOdV2HqKAedI
ef9YqY/1c65SBCop427GFGjXIewEixFX5TGSOyNF9b92O2jDn4WdP5z5TOVkRK5xdkL+Rwy3hLPL
pmgUQSNoHL8rScMazSB0/ZT4XdZMUC2t6LPk5Q+7jRhnqSiMJOL5ZQG1qvEcL3lYBKiE1ccyW4Rr
c52be1Op0iDVi88i27lxcnl8YcOLkRzaD6ZIX25viPxSka96FaTYSerBvIwh9gCJEP8gCBgPBERo
7INlTQ9rbYbXVjlhWBEnFX4CkZY2P2pVyu+wlqcKaMvF2Ah1r5juMsVvmpqQ+2daPykO+za2e7Ox
FE+JmzGogCTuOVnqp3+9Dxn9Jppn/+rztKuLfF3Rxa5XS/qnci0AnNS5DnmvCYWnPpXGT+aK/GHP
nxMCVqbMu/qHfsiQsTZbsD4NJl2IXIj3q7/i1bGxzr2If31bcLfZAozD4ZKX+2ARm75cZECnnx0P
EBl6xKEpuGoYp59kW+fW18WCQGyO9Rf0XooeUr33ew4fFmESkSEG+RxRUff4wdEv0OsNXpzil7KX
Vw3OilatVz0DT+iTL6b+TYyz/K5jjguDZVln14s5rofeqIsHdZ2l0eOVJDSihert4wcjn0P5++ir
EnvJtGnXEewvRzM3qO20JaYhUkzwtOpJqV9zIxcOdTcDNWDfE70NYtzeI9qLJhs/LAHRiLzeREbc
XKUrLFN0xf1NW2FfUBjUIlU+jG6s991OT0bzBh/geSMmwGotnnH76ew5+vEtUHC9P+boF3CWM+uZ
GXyM5uWpX8TxtGtRaMt5DTFA0Bx5aocXrBxolCOXBiNT2wZ6z9jpxdtEHswjzyJYEMvaTKNDZ6+w
oC+YZuKYtULbPq1nFZsC04pN/EAE9THGdALQXZUry6kq3Sg2CcxRfCdWTk6EzfMc4JSihPjQwYH1
0zCNFg+dffsaq2aNyZ1Y43NF4Qbor6qrodpmhZoc/baYxeWuMRXluCBBOjKzuokdDceZK+htK9KW
DocLp12p2TfN1FdvABypAC9LT/AstECqFzWyh5XZd6GVGQ+S2mNPPKiNvaqVRZd9xtNC6ry5kULA
PKHK75I8Er6ZdaiwNNN8/G506y3uGz9EqZJdzLlXL4Y+kizQcZxaj9Axh8P6Ks6tsNWQqNg9/sSn
XBZW7n+s77W1/WaFRnJUaksMaCh0oMd0Hx9iRcshOeWxvpWtDgq1icvLJpdWcxuWaX4VxU0eyMLC
65jKULiHBp7g2Iz1NzBGAmdPm4UfmtzVnmn16miL2An0B2xXrfukwROwxJWA9YpthyebKHuduq81
v687bfWENYWqMdQJvmAIQI9VTlZJ9yEcMZpSMtEfR2A5rGu+dNWsvbEQsEvoNcy+EOom2w4DYqS9
1A6bIVTi3DZbXfPKqUtvCdt4LYn5+MLZWXyV5n7e0tRTDnmR149WhMHTog39UUePASAiZzXvaIpf
CzW864zx0SryAqMfFf9KH3VupdupIM1X3VQYdjrngD3rsg4jyiZMLPGNyys/Rh7gzEuSAT7LkLUr
sboWmrI7JGSuTwkjil2xDZOd2YfVVlBKuA+Fah4X9IiqXVa9+aKrQrtdOwsupgAcE0/js1Hjj8Hg
qHiXKhpg/6j5IZ7BAWNCyAg0806dq1ej7wsY+LVw149Ze69hlR10K1niIFezYldtMZ7QxZ+NH1GH
eZ2kjzhGNPIbOVN3EyvgrMuoZjtaefI2ajAHkwRJ8FZSzYMYxp5epPdrCF1mSKZ+R78WcFEXoMyX
+P7YurROHkoC3cOQG58inIRBqFL9/zF3XsuRI1m2/SK0QYvXAEJHUCbJTL7AmILQgDuEw4GvnxVV
Y3Yrq+12zbyNWVt2dwkyAsL9+Dl7rx0V+a6fymWXWtKH+VuGIOJy2tmbDJLftB1NLSB9BzUlXLiY
YxqH0QCNLzX2FmS871oWFbUWMGK/zWFtacBQgsSmWKxhk1RrDZtmlWYSBLm64k91cA8UtUpImrSO
62otTK0lvhuCy8hRKdxpYykvfIfFyGINgjxpxTQN4Edr69j0JWQyTznGa7jk13FN17deL2KvdWH9
KmTefqaZl70YJpaKVT6mRmCzz7Ny7i0A3btUuOW9XlNxCWA4mnHVjEUQc9KHae9L/n8wF4k3N2IP
2E/cBZFlfhd9oQ9oZ/RpXg3zaXDr7H2yDJtx5NweF6HXk6v8AAuFxzY4C0uh6FX2L38C51TSfU0G
U2OpbO23wXTokhs3GMum1+MacT4wUSAF7ozVIxNcrq4TU+wLGbwAWJ7e3Io6M2t9T4FQ8fApcmyE
ejnay48w0O0AM5lqpppN6GmBUGiFmnKCzpctzv2CXQatS+PqxzaN1repAFzqtRDCdDAp8VA4LYka
k9TGd6tcin2NbX5bFqp5FXkenrVZweXqedYSV606aZ20v+E1ZmeIVVshtmmLcptqA1IXxczJi0iU
NkDW91glgYPzENviwWudHM5+rrD0Vk3q7jITTsEWoATaUZhDqthRD0UX3UTNDmjIhAZCOF88EaWc
nhyjOnLzbLnrJoGqoWqanz6H9GflOs73of3Uc8WIAavBL3qTzjYAQVvNoP4GhUPE9R4Hh8UX3nyA
H4HBbl2bwbO0mug8jlO4CTK/Zag9Kxbz3JHph6+G6H4UZYvXBPL6KFwj3WDYnr76c6OvVoNZFljI
GelTfWh0acYtmFPoQlYNgYIhsgV/Yc9rO+0Cw562EFj5rh56Cl0rY2eBYQLhOd52EGqIdyS1EEsk
7blnvN9R9ZXYhnJXBfaI6pf4Rx58AZBzXH55xAVcDbgIKH0W8Q2fL0OTfCofbeH1+wG+5HNte4gu
iFr4ubjt+kq8Ug3wBqGWbdePU+C+Dj2iP9OYUWDMWDPhFGhMS9h4LRIUcJsgn6Ot9M2tXfc6hV52
ahzQemtWzQK5x5IfvcUxkVjQwy1jYwUuKdy++NI2hChvcLdWl0a5871ccHtg/iEGfsu/4OGF0oqb
kNfZ4+qWQJf6yd82BnxdwOF2yUfyCqTZAarpzNFf+s4I9ykA+W3oMUQKbHEHd9ZCOiUyOt1tMYYA
bwDZgzcvU6wnvgi/5IFuMH6kAjWUbeTFfh6BTkZD4PzKTRhUbu0MZgKepnj0LS9P6iZHySnyLgNz
EokjFOAu4erXF9c0Dgvjhu9AwaKjbhQKMlK01d5PkbknuerrC6ao4WeeyhygrvCyNcGGRIQmTJqg
AZlY2Fsdreizsrr9rI3JuhN+7r2oqPXsDRyx7KLqwrmpGuyaxbRTaKQmX/hbXGzTI2mm9mENu+5o
NxkOvq4gTTgKAwBBfn4nFkj7UQnxs2/4msbQcTzSwscn5VuYdF3nY+AcEIf4KePFGOA9gb2qktkH
NrZIr3kyyQPdul4umMcKuZ5ZsH7lTgS6nWrlPADNO3Slaj+UznjggywRnQFfb4yijRtKdckKhg4O
9K97OQaoES1zwfHUlYlwne+lmvs3s/f0plwn62sxhMZhTINXS1hrHFYSTE1Vm+MmNwOUnjrSm4WQ
hRhKannw1y7fZmoek7T1jEOBTymxrNa5pJQI9jzfrEwcHeOM1W+jPPZ93E03TbjMnxmjNfsy6/Pr
Su4IXGJPtTsZKOe+qnLnyanm9c6AIMP6hWTTm4LoqRfp8NwzjxvhQ2pF2AOIg9lcwiPPfveWk4yS
3NBFr/iLhkdjxh6Iyyvods3tEg0BGn3PLqckKPz+EPRzBkH0K7sfq3hrZ9YX16pWyv7FZ0MzARAi
W2+La4YC3uIig/deP8Lc7lEUjeHOHirzYLWoAtNZAtA0erN/osD59I2me1dr259V3r9Nqe6/BX30
fRDYs5aANdBi/Z0rr0ia3nrHvNg9OKwL2zZr1qegQtg/p9gLbKN4zKE/orGhmN5nEuBUYyNAtCZ/
TiAUpxQhHKz7aGyupj9EW9cf5TaVTX8OowxIUVdHuyyd42YoAcMSfYBHbNovbLAg0pwFfKhcs7c+
NLIj/rwnF6xevRAwoYZRnNbWWGLtpiitnWa6vQNjIlP3+1RUt9pO+9vI5g+KzW3biOJb0aLTzyke
E6v3Uwxxa5eApguh9IC60D26Pe03EYuBHrZ2094Kzf66lBMexn58hbp5C7ryphNuUUIrTCsNY/Ir
ADpZPmq+XZCmRLoY/ku5NGu7wSCHcjawhMvrBpJsqLJo206Gf4UEmsfW2qm9agxjvxbgvD18llfs
h829Lj3xQ7SQLYNWP08AA3Y3cNEun4rmbZoztZ85+mztbv4iI20z5BHea10U1bXPsnk7VHN1zYwo
SsziUEDGOtWmMI92PZt3/TSqfd5108GSKJFGIMrgh8VwWpvM+TEXjrkbwWCiPoaeGE2hfnFdPI1c
fxEHws1PDHmnbZs770XtqQRG5rqtx5kn3Ep7WgLdoW/KNS4xxMa1VWuqJAOPJ85Asa16b8InJd37
sHOCo5XXP6yhGF/HVLoHVnR1SvuRdnlpoRmevOz7vIAJ9WULKct2qtfBn6aP3vC7x6jwi682KAhX
eu0eErRzHud0SFCK9Buiu0FpQbqNDpBW6kPnagF51hm4dzX0sAZh0ycRBkXiLGJgQdnnE+OVwjyY
dp/fRX6O9jZj04XwbmyNfLpBmqmmc5WqXWARE8otQ78mDAJjvREB+xzuHa4psDiCV1NQRhs5jLFR
VN7WQ6BbVuQNwJdeEmMB4N/MQPecIRJPuqqzgyhYC2fyAbaC6Tgo11t2CGeYpKyb7upXWnMwDUf4
kEXV7qxRSmDbLWCWPnPSjUthf8u0rNR1qWXxEPjKP9Oj6XeL76w8p/6pD5awTSJn7u6twrPuWyrA
g0FVdwyraULUxol4kFn2VHNm2vAL5mQMiU9kbN8T1aLDQ23gLNamuMkUpbkJ0/VSd8V3czH9u1q6
6rFZyzvVUuCDCP3pSiw8QVNdwwLYtg1+/RP+CfJKUBCPK+lOO9vM/a9OsRjnuutWEEB6IhHS9KeX
VNntRdL7TXKvvRuVemcWJjaErby1VaXuDeDmyZQjErWFP8bQ2+ZDbcF0c+2xehSqY99m+LMxR+vD
BUqBczt1iSwlCo+DuUz3pl3kvO262uZuGr1ikYXGWRY/bsy5ixzoV8ZdiYkiKOi+umpc9t6aNz8V
tdVuRNVwtGxRPsxlh+vaZs0NTIoVwFHMB2IJUPrdVRVcraY2tqllNy/GMKTncPDDXZX6S5wtFkrv
EVSsrbPlHsnI9zBDawp/1kLNlwffKylAYU+ldYhy1/0CoIo0lAYKiTXBSKnGBr1+4dcB20e5vgcT
d8uCEAh+rMheuii6WNWkD2Ewd/t50ONdHa7tS9OSZwNSHzG4cKrTzCx8O/gLBg6w/l98kuCXbh6O
kZv7+y5S/cc4ES1g9vquqyUMuZaH25si8ehnjffDrOWrDe/qotoAX/qie/j/ujjBdvB3ZQBjpvIL
e95pqBqXPu2G56Ua53hqOD/Gc63DegPPszo76YLfJcs/V5PJ4tQYEOpq30SrqZqTmdJX3ahW6B1k
f3tnNnpNyqY8dFiytyKkj2UbTgQcfHDjGsrYwfbc9VNTkV6MNED0vaZXA2TIs+NX+Y7RKrIY5HDJ
YAXdTyfNutiRBva6lTePFhK0hoDB4EOJPABFD6vjW1DADfZccZogs96N2WyfVa3fo6r/lRdlsAt6
qzvMXr/szDUy99E8NyetOt8Fh+KrXwbyqjY2sk69lNGSv9Vh2f/05GfZY2z2cD8fSCDuCU3zG4T+
a/Mt62SRAGifTr2aXZyA+PNWe2ELmf123NppNBxSmC/5xh8zf282losqmbO8yElZp2+XPmUzi1dK
6toBcGz5zO4K9E60ZIJkFQESosKx4UAd3NUd7OukMtYF/qYcKBi7SrynzawPkxxTOlGok8epyLms
1nJyguh779rWqZ+jdF/VUr7SmQ7ulxbW+SYvzYvnRNllJnogRrBA0lVfyMrkhN7n8y7nhGHdmGkG
+yh5aHrjLn2ltj7AWnPruYuLvS/rzYwPJKEcDEAjqY4ZPQ8JyVibniPIl44McCDugXcMquoh9265
GhkleL6GdewuFZbSapU7s1urI5ohogFkKF7XBnv4hmJWQ+iMysqJbUIld/7YowL3rMlaoBXm1nYq
iid6VkwEcDyNYqEcxPUuKKPRfTv+asUZUVI7fs18l4a4CkmMm+40ENfYxpK+rZsgtlBixb7EPTIV
H6rFMuW6xXho6ZjtrMjYytWXGwuM2nGVmOjmG7C5nl2AYwBEur6n/Mxt8WIqSEfS1PZmTafCID0k
1W8MR4q48ThJd6YvP2cGvB8d2+MjkRtLHFF9IfgX+d7yM+dKMKL9tfWDimWBShtdeWOXv0SWWfsg
dd8jIdCvR3BgJpSjRwsK2TEwLFj/3ls7hO0xaAaRFHJ66SyrOteuow5RMxDbK91120Th+E35kx/u
YY2MW+G6rL8DjMT9HKTec62R6tfAWfeOqCfMEX11Emmx7HLbzd8dmq7ItPs8TOSgxNW+IW2DaCg+
QQYXd4aS4Z6Tlkp8Kr7TxFN6pjLoQCsE2KqI2Ij70XdPTbOa1LCj80JLIfoIwo6Ewdwfrp7SwUMU
ZQxs5oinsAupw6elFTtYQMGO4xQwcswcj2ta+A8azDDcFDo6XtZPt1rMOw9auRRtlTN9VKqF9TFG
2iUHhWv4bI5OYWzMJQP7gZoB+xQw7IfWxpka9AunGeqGUzplw5XNOojNMA3OcvTJzwaZEBwmu2qO
rQF4bxNI+jvSG9Kva5B3xzJQ5jEEzPxq0WPaVWsFnjc184mlVa0ckRlFv4M79Q8kOow7C9bhlhQ8
mBjGALm7a4PyzQyd/tnqXXmXTT01d13OaxZrVjJoZKvR4/nIKmwqWdkWHxk0jz7ufdVkyRJm+uoz
BUuctdY/RtiTvDx5va8WC/pB2q3z/WoY/SPSchvLQSu+lFZWUU1glFgMVYmtzH1c3v5skmUCA6RK
wIgE5NZUlvVzht1+KbOZ7JvGpzWf+7p8UAuADDARovAvzdhSBIQE5l1gfqByqSQE7yTQhf3mFkp+
DhAqx5gIs/YMXYWNWZdBaGwM8BIP7VxMbL2cuC/mhDrw2geEh8XWjLVRSjP4uRQoaDGRys9s6bLw
TB2G6RGaGEYAw8rTeIqsmycN7PpZ+K1Hp2gw5BegfO5rVDfjD7MVgm5hmpUo90dmpDNL1fs0mCpZ
G8XHnWB2XLIJvVcFo+21jir56QJLe+cmB5vBLoDVzrZxiyIshUiYUGa4YeBuT5vBMZjTIy7EacCR
jv59ZR9SYHvPou6HuyU3cXlNTYH1PbM795oPDbOq2RxB5QMEkk5CBh6y4CjTL+0aIpiUXYNO1/3j
czmpAnwuSrPcUWDKb8OivWhTVIo/xciKNwNmpOkYRPcO8+2rN+U97ZEoTw+LJnqxI3DK3M/NEp3K
fl3lxvYnIgOyNjCdDYKoYnguxYxQKDWzbB80jEkLBUPrWZWisnZuU7q7pjRa6JydUz87ZpthRwrJ
6IhHFfZOYlZ9X8RrQ8DBkkYunQ2btx7iidMD+2coxIaQI5psFvRskEyaczAP9bMMS8JSpkZ7W7hn
XJBhGbikFpqsjPJfWO6Op7S0dgzMqCyagdFtNTDxIrKb7kacBmv9TEsj+0obnhM0gRbuboIo9t4N
wXCifw74vSnrV2IJVLWJPOZMtdGN+7RdyHicp/HOWvRy8snhLM4R4947GrL8+GpAKbDeJpbhCP32
lhSQXnXHgxn/gaphWCO++S2VSVSW2TVAm7tLpSoPYQr6ctMGS/bdMrLy4i0lWh5lhzRoe5/GU1zm
HJC2FU1LUNomyRWJqZbuOWgEaOpiqJYmGYuJpzFLPeaUQ8j/7J20AODuOK90BPAe94XoWSzqQX90
kSe/lHM7/ihVauNcCh3jwwCr/hUOjPxCV9PgcLd0flKEFc4mFM7zS286/ZuMaFhUVhu+cmbw7wIn
03B1quja9T71gazBGLRea/gQ1livGJtSj6f2TS1EdtK0K/MSSd3gQabQBnXlyEJ6x3sw3qLOCXqK
y6lGw+hYSzYktkgZHkwO0Lv9FMzmV1FXRRjXBIE908HiyerJRX0N6dCTDigdboQsPYYSvVlzM6tS
nElujO6chUyIJ0Qe7Ls0g5v7AnVrIlWYX6M6qh+isYVUYxE6giVb89Kv3G8aoGBstygYlvyEQsXD
59vwEAy++Fbbo//zhpm95LAVaUMuM8uDSfAjZAr3htHmZN4yJYL4xIzB5OWpu5s+qxSrOyVeTSh3
nhs88kHEE2gIyU1oJyZHu8GdkHuo0nPWTWuH6D8UXLEDPar5xQgLSMAIHO4dBgbPjEenuJ55cNkW
0mse+PXz4gXySxWF+XAqvCH4yWFnbpJOjbwbxYgEmYJgNRCpGh2V2YieZ08dnRGQ46ZYdlf6iF/r
ZbWpszphD0ccKfkTW5H0k7Cv0vIIvr089GGQ9ZeM96OJZ0Yc7+Q4im8V06u7tuLtXLyu2nXgtz+z
asm+Mp3icoLNXNr7eQgXio48W7cmE6Ny98fgekIB8ykAQdqwNRTLvS8cHmFZ3t7vUXDQuQtvMu92
GardTcyCtXBoW3tLThDrPb+EHxot81vtEJO6mSO7fx6dBZ83c95xV95W5pYNYBetWl9ML83iqO3E
E2GSmsmRNeotRT07UOXzt+k4m3u7bJcrvLmea4Du92EAxuy9kwFbFxwhc3Bkmr76rUPFTdJNPe67
NucwBOjoFr5gl359n49a7SXwrKNpiO4YdYZ5IiuCe8EmR4oON5gmd9Djr/U0fyb5SqwGK3yR3tee
zxpZrA7rnJd2LCKmNJxXjpTmvi6FTLzMyJ96nu97YpnS64w9ZTvmnjoYGYkXQlNTx023cpEW4Nm4
CVU3LAnZUXRaWyNMjdPSEE+z6ToeOFt5jhurpVR722bmmrSVpNg26ZLuc8Y1Fwama7gpnYqVBD4n
kkZU+Mibx0l+0cLiXWx7P7pXQqmE6+AfUhkZceU0GH3nviO4zxu8U8c84Qb1RFZkW8L74vJ076vB
aDLqss77qNlQqJKtVYLvnK8QIgd1YRTKljUCI05aF9UrxUN5iHTpHKBhe7sy83hUFBPaGBgncU4t
EquNmS/zi2uOPnVjzyblhQ4CK2epnym0cPZS9vDwjjDXqE1FaOPSDmo2TKpDmxTdaronEQK6j8hd
jSlzQMZfauuBHtX9ZLkULK1pQXpkbzAMjQRaaOM0kT1ACJbPt/FyJx1iWuPGQdeSErAJFGu80Q4E
8BB47GZ/inf/V545QFL85+9muN8Mc/8zW93+V3fLQx/+/qP+D/rqrBsi6v9vrLv+0sWP7q+muj/+
hT9ddaRO/gtZE1K0EDSwzQkWTcr8R6Y7pNXwXw6pnaGJSC0klBQF0X/zphz7X0iHsdvdVEo36hSf
4L99dZZ7g1ThbbA53jNbBgn5v4gr/V0x4zGtsLF/AW5GHYg+OrwpY/8iV+4dRZHd5vIKhLQIEtnZ
i3Vf3USYP4w+xShfGxznzyOWBPJW6r5cX/9yrR7+VBj9Fd5k/W484hPwvcFwMdWHJQixmm/6109Q
UL3n1SjUpRuktFkleMef3cyxpuPiRbk4cYayPd4KmNHGpixBu53wi43YuzOrz9Z54xMBQqjnP3yu
3/V8fC504bYXml5gEgv7b5/LNh1ar3NNri8RHQPqSL+45TmHSIUqJjWKpgTJGHcDdMVhVzU6Arzn
NMB66kEV5YNcqmqOXTc3ghPxn5P1D2rivznYUDhFHpNIeJwOykKbh+X361Y5tWsLxxMXWtVMn00C
WJezI4zwwdBmIz51JdbxbDFNIPbA7okO0W7Qht+XikNfQkZ7/0S4e6jOhPkREU2zPSoe5lYV3j9Z
y353Onk35wgydR5aIrB8/vzbHba6xYKua1vnlVpYH1U7EmIo6RvqTSZZC7e537S/ui6fHquqR8ZS
znLwDtLVY3H+z3f19qv+n8qNj+KgL/egsjP7hnr8dxsS2olU1741n+2bHiiWVjOQRTSvTP3XairF
t8KXY579w736XWn8x28N+Np4DwBZ/7tcv1074wbsHc8dfUhFL7aX0cbzK9OMm3GlTl7JvDdZud1C
7zu74a8vRhmqp//85X/XWd4+BgcJdDIOb7zjklL8+xODDKjFizDLM6cOG7oZp5npyBmK8pqecNH9
g7769uN+v9bcdg+2Ie4h3AN/F9Uz+6jzXIrmbJNfB2loEp0L0F9G7N37//zNfpda8jtYD3kHsOly
Y29L4+/fTKaZH2aurU+oAZYpEX9eQgt/0rkJ2PpfeqRQ63EZO8/9B5nnv/1qDtpQ312uJ05N/uv3
X234TOgjkgpOvmGVaBv8BohqJWz/vitWvqhRLmmPo24y+n94qv5+Oz0XJxg7wM2AjRbS/5tfwqBL
NPTYME5DJi2cfGPDm/7ncpT7M0/Sf77GqDv+tiTivEYhipoawjI4YJwSv3/XoQBX3RnoWZBXLt02
M4blc3Toph+cDK7vlve6I9QgapAqkp6yRVbonpuaph0Qa7ncO8HYbxSRNqiPFghMEkxIU5A8lPZI
D2a7nWm+aX8j+lGdardxOAv680Gahv80Rxhvdd9aW4fTsfbSnKjiYGbyWUe3OnAnYdNX7sk0CD4y
fqm6hqLay+kzGtP+u5ggp+EvApTkkC3G4/C9mYSx90zmuJZGdyA8mFWRnVqHGvmXt0GAGJ77yhr3
IbGgXwzthffo8ltaCB3TVtEFOzMndKTXnUwKwyRfvmzriotitzGb6ouDrOEpv02ZmTZwVJm88uS3
XbZv0+ZlFtX6qPBabREP9AkioxTqET6HbOjyDzGNn8G4+sx5XPIgI7RCt9j6NWkIB9tHtAtj6fWU
tVwGB4iNK+5GIk02llEy5BHCOoxOSRfHM8UrcOFma/u6gswg2v6jryabYGMv2GGp6IjRBbuxmmmb
sD1b38MZvQxyi37ZcpRZrq5XPQyOHzx64cj42x+tx7DNqyfVmeqTEyTxjaUXtacocMJNRbxf+4gl
xd0EfBKFcGBBsui15MCSdxI6715KOGbsm5G82DSXT5rBUuzlBLN4ix/t0ZI8l/RqAFT5estqMW+C
TqYAwfjH2mlgsI+IyjHOdjaspII20xfMVvk3VB91mrA8lPfVuPjPVpg69/TX1GvjWuuG4WC0lVNl
nCUKSAKnQwbOC/57BF9NaO2VlIzs6MTR0KhM108iDik/Ku2dbSZ/A8fSwMzKCGUUR//mWWYGD9cd
A3Lm9ASq/yC4yGNOMlh0RJfhSF6JhrTkBl/VbBRU9gysD7lhIG9DtDceOrN/tTOz/uksnnUU4TDv
S0eCZSHE7E7eeN5IoHZmQLQQR9PrtOgx46Z67QtBhNDcGPVsFOph0F2FTcseb0A5BUQ+ETgW96Se
Xd20IxnMRS6O+5gEVOHlz8ySLqXtIfdiOnWbi3DuyI6WWJpndEVvC7yDm4ZyZOjEUHOxtPnNKsI9
chVMB9kkLgsNyNgtpvu0U/Pe7la9deoKNBoqqW1hV1VsGSmhw7MbzjtlGUM8q3K9m5Enc94rxcFu
RPfQOsvw7K9pcwdTP3so0myhdevIbS81kEHhG2ArA06K8Yp6m4M5SsYeaZQiqc1jcg0EZamRLJF8
qn85orAZp04VPUdL11crR0NzDvO5rr/mVVrD9VQ3avcYhbOHqzEKyvxKGFpb/rSYc31K7pwNcdEB
XbS0np/MrRzHu7DEl/gWkX2Tvvac28xmU6yEr50UkIvqM8SyMcWGvQz+Mw4m82cf1jc2NSKO9UHR
e9V7uwhRbTkZfUHmRbfCjHbVBJfTx2TvHnWODWczLKWzRXpVmbBA9ewiOyeEtdjR8CYRsSpJ6ERe
Nel6F5WdTdAXifch4bC0Do4IDHMSuhEDX3Mrc2HyaTGFl6w1VzcedFtUJ9T8Vdre1LJdf9FW7aq7
gJXYdbdkvQE9vIXyVuvrlFckLje06EzihqaIvCxM5sPWZR0lYCPoZvfiidqrrhh/5frgmpId1jaY
fv5aF96PayMq98PuKRxPYhnWlzbiEcvi0uopj30/Y1cKJDFaXxGfc20GRmcqHox6PK12R7pT4hDb
yYorVkcNaKX0stZrunOsMVBPTSOz6jTlvlgfxlaH/hdaH129tWhWIUzn6VT0aWaUY7dkxJSYLMlO
3/4i4YAwZGkDjz7bzFDyoxkpgieI4EAh6+9WkzuUb1HTRn2/KwK/vfrjbDu7dpDIrjgMlcVFmu3i
+rHBNLJsrhZC8yo7e1NDTEosZ61Yu1jlTdTFzgw3jTss2x2mkKjdF2an0IPkChHbtg3NUidKko4A
QDFfB7tNrIrRAT3gMIdjhJaYZCONGsDYBuWgAsJmZb0jIy2jceKinZ72Hv6REHRPHnYXr7aq7BTp
wGWEoMO5/9W0M7fFCE2hhoS6q2S3nPlD7zl+lqHcZh1s+IvdttX0Ps5zW7D4daB7b9sTfIdfbmOO
wtlATfBGJyk5FWWfVB+9eFypTdcji6Q7PJFHEFqo3ijbDx2NyeJFjKgU7tSwrFwp2uFO+q1FzcKS
lTJWSJ8kzvLF3Qy+rN1gM3OocslSXXJZfhaULT2yl7pV0ojR2MoOLv2A9h+9eKun8osho/wtyEpr
axRE8dUhgOS9xjN2zHrmeig+UvduJFPp3WuH9MVaVHRCwu3Hc2GJJKwt/5Wy/E0OWXHk67U7GjfI
d5GqQMKtq7PvpnO9kxMxWxvRdONDNOkPejLQ3nu32Kdoyq/0jdN4dheeM1sMR4LFjGezS9v9agv2
Fk1qIYCRjl+pzUfBupIg2Q/uCzR8KGrgnFtT7iW5RLbZgz/3mKUEE6NaBfwWQ9yJ5IFpK6JsdUhV
ZmEJO10lqyIPAPZgVkNzXyebsGx0DQmt8fqUh2HNdMST3TUgUKU64mVCfLWq9FA0FcmrlkIO3cyg
FvP5ldieItj4UTbQjqTxZTaux4iqX07Ep8mz3czzhntSQ1rjqfZGrnUuOiLV21Z43+1M1HunTPFl
62ndDM3UHoH8y8dutW65pN1y7Ndi2LZD+ctdm/5JZhA7UUBMZLWkEKB0lz91JT9usDJMcPVkhTHh
GeLSm+1tKJOL4L6ce/BrrQOkC0+kBekKnV3sGRP4s1n0zZawT3ReSjn5EjtBoWCsjbP1GZGJcikX
13mFAk+/rG67mmmUgYIowvq6m4oBFwxnq57Qwzz1Xivaw94uiLIm/Ob2tKTv1MwchDajS2hP6aEQ
jKMhp8/ohQyvBVlVFEP2xKBlpTzAzkcP+rlgsyYisEBpm3XpuXJm+4hpHgmkwvfBUDpE8xt69gLc
JluwE3fIXjel6qeTxvP41o199zB6PQUV3z58ondrseczTUeSXHY6WTJlvxW4el+KoNTICYfuaSxS
mHS3g31CrMlwNCVOEGRBQ7FllKsr0hs8wNM+wenbBSkqU0ck+D/HaYlePasgnNufxGhuJphdYKJd
TmGb3tCy3QCY6Tb1VI4HfjAKK6nMok5w/02x1sEIY7GfkFRHSGEEzkaCVMslymMb/RIMs0lMF7Ie
+ncVFtUzerwUmKic1jfHyRjTmIJ006DTkXOHwswEcms2co7rviuvXsVrfwrDZXgZOfA/sqAjILXM
urzv0T0cxomgEfTe9bIbZjUX26yUDjb3mgwMF2XYxAht0VeyVrPhUEb5PHN9F6OB7V15sGCXsj7b
S2ZsrXzVH40Kgq2ml/2sJpJulbOCyay8bDf02tv3yHV2Q9oUX6q2/iAxxz3wBT2SZzlivXFppZcA
TGJe1BVWkCDH8eGz5f/F3pks141sWfZfco40OOCAA4Oc3J49xUakNIGJFIXW0QMO4OtzQZFWFaKi
xIoa1+SF2Qsp7r1o3I+fs/faCFKTrrxoODcdkdVA2YU1gKy5Jdn8OqQ+vCWQ3Dz66Rr2ZrLIgHQv
+/Mga/LLfMj1FRE8VxbC+leDJubKL5rgxhmJvbWn2TtJ7F2EjxgFSzyNz4MwyOgx5dLZhnnWXi5w
zE9553ScqezeOtEUbm+wE1rfAg4q60BxWV55WQFB2q5ffinSuf7mydIc5RB8JzkmRwxUDcGATcpl
ZOTGhsNViqBZphzHNJLMZifS+I1pqH9uEaiHMTUVx4wAruM8ipbzVdldOX3RYhWoX4YeedNhClBn
kPQm7n1OwTAOdXLiTF7vy9l7w8oF0qrTF7HC1NIQH/XJjhz7gbyt6NymiiUGNDTXvYnh8CG52ETE
eO/TMVPPKBm6aytDHxtYfXKsZI7GQdbqzEO/d9QSBa7Qqb0rgh7UJ0xyyFMO1Q/CwmYyHcZZh7+a
+8U5chfekaYUX6TJ7EMtofwWpSTpPS1gOwVooEirohqDL+QeXI+KauELHYieinaLnb+2rgLzV1jh
fhwtTaHTz6fSj4odkmmOo1Yeo2GJ++Y4Cde8zkY+IuHLz/POj889Iv9wAS93fuGqH5yxqvuRcyQZ
k7nd7WfMguXeBJa5iyQF8i7ohvrG6exSXc2at2tjOSgMEr2mfq1pOB6xGV7vgQirZv82RX7+4HG8
Co6kxTPIy5BtYN7FEfaV2kesQ2PgibOPmN61nee5bbojqp4VZohyg2sm8s/BVMAh8oqW6OvIu7MR
LtIbC2GkVs6XwYz1nVnDinUTjbdl3ZhzwjwYdbVKXCBAxFxInXAf2cFIuqGGDDqh8Jg8N3hq/DbY
dm5h3aSZ8znrhQMlfqYJaOMN3JVhcTVAZDsEbY+mJZF8ibHWr6tGC1uXNT2tTpp8K5mhnC0QYHZz
TxW0RXBt7YtgnK4ndKiXvNvFxh0lxhwkI+dZlL9wNM4+5RxDtpPVOJ9K2fOss0OdJuKqsfXEFGU8
J7AynSY/09UEkNMp0vssrMdrSflfn0Z7ZpocKP1VomV+rpumuZbIYbai1uBR08b6RuOURXwpygNP
tMpPAc7IAy3rBU2mG4kfrZH9dlGq2KNniglo9+S+Y4Tvk27bQmWucrWyNVgZ97IqRx7GRKPnRs+P
kuwWd3R75/suEEoXwUBizXa5Ka0cGRC1mY0l8VTX43ccDgw2x6bzq2NXpu6mRmL2dVGZ3NheygG1
ZN/m+ZtItqYa/kYOTasRWKZik9niVnQVAdDrXmtjK8fY1gRX0+jIa9qK7qeOaHUGzlo5pzGJLnAT
kGFTLQUQPlhtICUzsfKHLbgWHgXgfZIF5c3givRbSPYyPwhFVUJDg8o+4rhqpjre0aiL7hmh2deV
PzqEVFMTXpZobZH31YhmsFGA2Y5ste+W0BxjaZ2Nq0w4Liz7ECO7JzehFxClOKL3bwO98vU0yXgQ
meSxqECH4dzxYUrbzreFXkyHKZZ1jHqfCxZ06tBSsu65AG+FDJ/qGL43Cc/hnVxEvRdGwaeNdHES
phFYpPLuaJo2O4sxEqMrnaZ503ZiviRCWAjqaM97sp2m/zSNaqQl4nl8BQV6evAerXaevvlM5hgt
jwQZTC7YaQeR9BeCsefboJk9RneWxoASdgvOcNqNWEj7vPhaLIXpvswzbznVUTgeRAk+D79AJV9D
Asff2CzHbcqNvexGovrcCi865rBZ3g8ydfEBB3Z1WVhkbYO9wUC3JT/P7CAP5OkFLaMovoz8ALdf
TufoxTZxrU4ui92ADtr3nmCamMcid1uTQClLQgvNdSb8vrkceLCH/omMgNEgoiA9x8E2ve1F0Nfa
JQC6S9CWl91krmaRiKdsdEKc2PIJqQRmjTbXb/RKKDnq2Brlbd6LZkJB7ARVXtVb3+W7nY8/zzBt
QmeAuT96tkMy9oU80oHpfbLJp5CtQVEmXRC9zb916rour5o8aLE+zxH/z9wlUWlRN3oLms/aVi3I
+LZCE7IMKl2IQB7l+BDjLb4qeqv0r2rT2v7XoXSd/GoxZo4IQi8ChbzZ7stjWQQI0jZLE/C3IIjQ
RExQooaXIcNs72523InJVGnrjHvCF+OMkNZuIo/A6jg+s3BH06uVhHkPCjrymuixzX2G84JBQHcI
TBzotzTs+uVOLTDfJGsKTqVt7tdze0RY0iYXwRIv2UUsl1HdImtxmMG7CbJSegNOwj+kaGaOUHaM
bgi/ibZVfBbMKaIKuGx4tj2XL7JkhKt9XSrt0tKMFg6Pw+x2CmosMBAI7ZnlTDeO23Hwz1FjORdN
LbATrEZuS6Oo7yraE3UTg4UNwsjVt5hMa/tQKdnRBcmppc+agcSrC2SWtL7t0Cgip1hpmG2MUTw9
ecgEA7lFc9dVe8YEkYSO0Dv9kdKUZgGBOOhY5zTgwMBUqIdYJ70Z2TbthWEnCc3Lr1CXVdkPi0RJ
DkEjFfoZKgFQzMtg+8zf6TH3849FBC0xACpeAv+H8tysArU8dDxPQiTryKyquPCu1fK/UTj6451n
FzBw6HYua7R1JLv0skjsJrvQwuWzSxRJ/jOLcebcUgtlZDK0ovnkVIX4hmfL95qN5rTWcoZ3W1SU
MUdj3pyaCUm01jK2P++btB/Xxi6GlWjjhpb/o+ksMT4Ykn24dcUY2PxDef76sHiz9Aih9MQaa0JU
GqeROopRRUeUmA+dQI69iaY5IB9vMdm50yVKotbOWKQESZzupyFequrQRLUDfJ4nOttLgHIexCjw
qbdZlvE7k64iw31DPjAkgiKNxXOUqR5pcxcbfIcj58Rl6/NonNgCTXi5UOpaezdgtnsFOFA2qKOw
3H5KZAc22KQtA9JIA13u5iA85PmgiU2xF341zY7wQrTDFJCWsIbZJ3nMzfQDR5T7iGywNYgT2yrD
sQxhuelEjnKiqamtWPim5rwcJX9LqlEF1HzM3M47EyzBOUTPMjmj4hnHhUDudSqK4Z3b2gKAFPdO
MYR624zKJ0en9exmO+cWdA3oqv7qoqv78QANNXD24TKa8tp0TVcAtR6sCx4uK7weWlmdLXxieyex
ENXfwk6gYpuVnx9pZGf1OUdNZ75gBjcoknECvzwVDm7quySvyLtgIfSWHTycMbtGqu2FtBWw1F1N
siTWptPE6SwU+9SwZejDoWeqtAJ68glDLf3j7NzrnZTmrgzbp79Shm3l8/No0/Qh/vWl6l5llhNB
IeTYvMyDN97Gmlt0mh3Rdt/BEMmcorTidg9xq+ed63rOkyo071tV1xymnCWuv7vc6m/0iHL3hDS5
QsxOUhx2FOwd5AixMET79Q1jiQ441J+Kcn00YEjML3+9nH0reEYDuw2bk90jP0aA5HRmOZWjKDDe
+A6NQT2suCEn057BK6BLUhBaOokMhWrkRHnWZRcIxYj2TjHeA6iy41UPOSMgvHGRwTcXyD4LvMBT
NuAB7JIq41zZpyIggrNcdcmZXykYHjy4GCn6MCd2o7IyYq7CJsZVI+ofqrNN8sOtPLHQeXYioNUg
lOjsNJbjKgwipdbPsh1451OnYYqXt3p1bccVTmMMxi4/7tZB1tQdaiWL/IjHIj4ap3XiXVeMPZGZ
Os4bsPm9quZzTuyMhzcOK272I6O3k5+zDfg5kvIgIxbJs3lMD4x/6axbHkrhQ42t43MzlzOZUDlD
cQYRLesn8CFWrykvqbuz1jTxNg+Vr8+9JSN0hZRjC6B8X1dO9DlVidccQ8sLyD2pUBAnrNM6MjeF
pCd2Q2RUUh2CLOSJcPo+dY/YvZlnwdxY0QVFh39jo2tt5XqTp1VRnHc6sNTO2GSiLE6YkvUEuSw7
47gRYuSrELbzBuM3igO7530luTTZ6aVrXuwx5diNrFjgNaQl9tw2QWR2Ms8KB9Pvukf8NSqdNGgT
gICZuPdSH64mF8mrPpHmirG+ZZjaf67npPev/1oxVePk4nFs7So7TILUQfxmwkHZaOEqSPAZD9y4
cIWlwRyUYl2B7RLTyTIt2ZnDrTyrx0SSgDi4fffdb52o343seKw+PiDW40wd9phLYgx3+DNIPRTK
HvfjjOtp2CJgNA4W/AmzwtXETcaJO8dNRl6l6nksxBxRE1s4q+pbg2gzovPZT9bRxv8Z3oBDJSk8
reIh+AoM2Suu5JT7r7QZmvmys3oJu4RtcXygIvLGu5jKl9QJgK3jg4oHQnkoNcYzUDP+eFmUsb3c
tehYxwcfadFAG4QnKT3DEpPI16zEjCUOqc0meeEuy9y8sZ/8BEzbqU5Br9ikal93zPPrIwZ82z55
BMPRELYGR3rhjiN0NBmQ7eA7XiPd4rEIZJxUl0Hr6QoXn50LIs5sIGIk706OFdk7ETJQMBdlU831
uEFBR5hMo12NL2dkp/8KNoRUhYggLV4qhgMhI4I0RIeCl5FKntQ1lZTjfdcWY/2JwwSoB+axXnCp
isHIbZY5Wp/qSGdfcnIdyQPIh6Bde9gTU45TiWpSXNN/0s2ek17vnscMTWm2t9h4Pv9PjQQhwaXq
wm8hTx32R7YuVBmq5y3GAXId2/n4XaQzK4Dli8TqtwFFZf219Zxe0gswY3EVZ1Y93Qd1ncYgIAae
szIouWk2Ab3VGa2Luj5ZloVSsvCmfLhfbGqak03adX8aF2V9ZtDUnZDYkpsn+6zMLhHVo7zexv44
T0h3rPhNKWaf3zizWuVzrBz7BUhD1rzaMzgtgERT4it0hE1ChiCixy7Bd9drJ34Jx84kzyacQER4
c8SzEdHeDH8wYJma09wn0QgMOcOouqIA6WEnjCIu3DJ386suppDfR6Pf2fcz/SyAyeuFPbldavWX
paaDch2hxagPiyZI/cljzs9Cn6NwJHQpwStDjA4IK8n4kKLre5Kk/ojBAcggqtQZceplkXWcqDpB
nkKw6Fu3QfLEfJKA2OPMV0bBObh5tnyqI8bSF1Xa+92LLocWO7yMTYpmhynUcNHWiH9PLRo7sQ5Z
0uVyaYFHXNd0ygk7QHNJTkGFwpPkAWAa/fxceVhZ6Y6UnrnSIMHk3SjYHE9Y0VmbG07o+VUWApQ+
H8cChMq+tvsASIqVz116BoamCm+zSEl1HSw90nOa/ygAaYrUYn3re9eaLzgzAKGxBT2RJ+VZabin
DayHDjcouaQOaUNeS6+wiHXU7Iae1gux703lx8UeCuFs1TeuhSs0vCLINSVKIy0odCFz8LFp+YHY
7Z0KcD2+exD+UZhLB2beezKsR02NU6edjmMF+Oe+x5HdPZWZrPNvU+IxtAsFE/fbBc2594yene3n
p7jk/0tLH+b67b/+47XCEdfOd29xWpV/V4qG3In/s7L02L69vb69//N/CUud8D9RTCKrCpBtwmcN
kF/9pSsVIapSV9LA8xxEbiyb/0tWKsV/wrkMcCGQlh4yw0Ph01VDn/zXf7jyPwPUZ/wrH+afDTf0
38hKxa+aPxSvARneiOQVmQ18pFrFS3/TlZqCUA1iiGnDVzM9pclfbkK7oRU8hRhNl3a4lsqMn+rY
tY79MIARGCvvA2nWrwKpv76D8jhWeSDkhXTf6d0mPzWrNpxkk0GKU7XYzbUSVntRzzLY/e2+/IOK
9Vet218fxftjO8houazvtViTtjpvtFcOharVrncaBdwLblj2wYv6E4L7v0V1fBC9G3R8IVNbVMbc
xV+va94Tc8/ZEDMmuKr9sFRYsaGbAEHqR//aYJGSGy9q8HA3ZRr0W3vWvnXWqAGZCp6fK+Ao1iPi
E3COrt/W5OItfviAD28SJzOWROuBl6N6iisB9q+PRsw2voKqt7cZxvqb2bj0ORvaEV9wz3l7bJMl
YDvTzg0DhAy6gsIXuueoE4NByjBFgc6jc7Jx5skjLSuAvYYuyK8v2rKXdEgtnTGrMolK9q291PJc
pRbZXf/y9oR2KCjyFOq1kOCLd1dtcnGBKsuGURhPrz5WXbD+Vn7+5w95p8hVP/nSQJ8D1N4U8oH3
7lOaZjBOSvd/qxB+YJGQ5mKO0Gpx+goew9FlTMJZnl67BYI0JHToZoXKbtOWfgqFzbDTrhBb2tW4
S0aepg+enV+1r+vXA9fiOzYta7Vqct/JcFsHSjshAvEW/QFpiB36UwAiNomiTWvvV57gw58vyE8M
9d8fVj6RJUogNoWL4YX2O73ghH8uxYMPSwFs86PQ6Iu2iQ2FlrK7eY1zSXOMUkk/ATurcWQF4/Cy
auHTPeZnhm+KzsO504eRPoy5hpzAVN4iiLKo528wIpwEJ2+++su7Llk7i3UT/PtrBv+eb47iHlDv
T0Xk35axYSmzPl9KHhxbPy5AGI6pjFO2a3lVO+H3P1+v9+sVlwtVGEp8VmCAxOE7eiXbe1ksdFU2
Mnejq0gu8qjLYr4prcj9SJvrsE68uzUh94WjAEgC9POr1PNvPywpoxxFkhVtmFvY1R5oYZgeRt7w
vZcLizDCwIchEYWiw8eCleSNMXp4y3w1UFtdUuYwtYk5bU402oIzyr38sUOPcutnnDjxujaug1mN
PuDORiCb7OxwLq7L0ZneQNwAmwptsdJ4dAp5DkvnbeWtzsHRhba1ZxAAjWSOOgBN5FEQ51XFpXPb
Sz/C/eM4/iezzN4LikxCIWVv1edV2Vp03eKO1ar3qwWTMJS8644HJWFY0STmAzGs80/Xb91IeS4k
y/EaL/7365ejRHEWf02tgkNGT8upaUkFzpRwFJpG7xEpQvtcTIV17GZ3fl3oVh+XUdTJHh9eeNOG
c/Z9KjrEEungti9oBKLnji7Ird9k/i2QFVQyXmZy51CgUfg+QUzONg0I/w/I5+8pteuqANg9cPxA
+Ssa+t1GzfA2HwuP+K+qrDJ9YHJD8KNFjluMZ37LUZkUM2YRwRHwa7/rJLKPwuOw3voIM5cRuiHQ
vtE/Bz8+oHmt3Z2x2H92GlreR56M97vs++/6bgWLglZIf11gwSyYnciiYosBMdv/+TX8rXZZF3Lh
YfoIJSYPiO2/3tuunfEYYyXd9jqZXxpmwTuoY/O19BIIKDEh56BGXAY+SHKYNbvWxCDdZtj/5+/x
q2tgXa/5GoHE4cPZg7JsLdr/9orW6eTHUYOSTtRgAAniMHft0sZn9WTUpQYjxrC8tHco6MjBKgO/
/eDzf98vKAMxwbCd0UYUzrurDd0QCY6kpiFHZaA/nDWXXtXAyplLomftUvgf7NL/9IE+jHLWQCKI
QvXuuk9LicTH7uItGuQe5l3ln3q/gVwxdfhfe6U/2J9+f5wc22c3DDibcYm9d+ttz6OTDDN0UFM0
465mErHt/OCjbfcfP8XDo7AO3nnF3r1gxRSGLQM8tpA2pMlg7HZd/NQHte4/foqP98H1KBLE+7oQ
urJC1cxvCcNmRjuVNzRj+Kg/P5L/9CkK4RGq1tVGErzbNXTEUj3CAdrmDWp02Swk3PccWP8fPiXw
eAN84Unw2b8++F6sma0bliRVD2SdokcEDd4P092fP2Z9f37dAl1ec9Yul8XPxUXx68fYzpR6vubG
mNyYQ+VO7qHmjx5xd/lnvE4EU2aIoEReuh/8QM5Sv3204MUKsZfhvPsrGfzvr/ZkXHJfWMhoorh7
2sjVQ99Y5Hcmc7mvUHgjXEHyvvRDeRjkawfrmIIoIp0e6tmfr8J6Md9dBeSquILWM2TgvN/IvAl1
bCKHdL3Y9be4qaDaurI+hajBPjBfvU/1YkEDLI7RT7prtBDK11+vOAa6drJX6TPWmPAzbzsE/DIb
RrXlGCHl1i9TmvWpsW0mKTmyxaDIyB91mTtwZhiSz3UPAeZG81+5myR4BlQNnDEPGhEz1K52WFiU
lxSjf+h2aBXkOI+opAUs2k03TB25oa2N7WuQuJ1gOoX+keArMoWD0cSbf3tdJUUcSChMXwEl8PoI
/O0WT22dMDpm4E3bdjyQ3iQgNfXDaXF9/cFb+fu66YU/fUCrwyz07HfrJieHYpKCKYila/vNVOCx
rT7OOYaGP6qGAJV/+8s8WkQwADhHsDEF76r60NP0p5DlbOZ5tWvT/WRWim4UUgzJXx9cxnf20HUX
5EcR/xRg8MJ9FLzbhZDtRTLvMjrnDqGAjO/L8z7oIDPWBcG6C5Rrg5Lqsy4C5w7xT3tmw/Xe5cLL
z/78s39fLghmdBThUNJ1nd8SIV0EjqNseHjVONdPTmy6Yzq1K0GgbdyBTmW0nIHpRYaWau+Dcv33
l3Rd18E5s7ZzfpXv7nA+S6H1Oufq0dpvM6jmGzTtzRZZ1EcX/P0Sv76YcjWXrp1AEnHerYpDpBPM
8hkQ2Gx4FSW5kJFy4n/5CEl+i4ShwLGKkyh7/a8vh1B+LZqBWXCmlvwaNQOT1ymxLkfXqz74qHem
NeVwt3A+8imEkzoUqu92k4zhkaMrGy48MB0ApQq+GK1wWlO01yfcw27uuaexmO30DJsmQs0BvvS8
m8ZJeDuYPGFKX5529nbiyYKF35bNZdPnYQ1AHaXPJ9YdmD4lxA0khKWVkscdlsSgt4upbpnT5PU6
4MSf/+fn8fcbxe9a09l4+TEp//a7pIQ1g+Zia3W6P02WFcLgEMUHn+L8w8fIkPO7b9NUXJeXX2/V
nNDPGQpUZR4q/S9TkWQZLBdjMW3zPXODB0wHW7wVw33flRXrORIkgaY/6Z4xkkDlm1vmoHkxYGxJ
vGzfMTLY1kZi2NDQFNst7JkeKrs02ttZMJnNrmZk52IVQCqLxhGr3HawNPL4P1+/38p8HgzP42SP
+z0QbC/vfllo0n5pMiTffZE9iFC33zozAE+cU3UuO8lGPHnO3VQjCo6Ssbn0HSK+//wdfr+4vG68
Zny+y/Hr5+L3t01iwBs5FpFbb000Foc0ihCdpcv/cBuALsRv1f9Fc5LOJ0XhWuFIPJvue3dsPPZZ
ZqqyR8GGTK92IK9AGrX3f/4tv63UfIzCikpt6FK0hfa765nDEWPAD56EksI8NUqHP4ZUAQpsouBh
SN18hwqgmvaYIpKXCMnSrrSdnxDYhUD5D77MWkr8vayRnGXpYa+hMmhLw/dUgXpWgMeQim9VWHnD
5SK9RcPS8OgBghNXIDwYZZbbVkGv3dfOwOyfmalybu0hdh7+/GXCn+/iu2/DtSf9EtHf6pt9t94x
9hF9HOtii7ymW0GLC6MoFK+LOEyF8VJ44zL4RNgVMFfJ2/Ul68s+3+S5sr7A5rIf+6FynmTpZ/c6
n4nDDsvisRicpUBOMpgnYXcTwl8/esDgpfOdyzwU8l3iVoCRMM5i/XetBxl1VnwLtGhm3qvB3PLW
uRm6GTN5V46j3K95Kqwf2m1JqR8dbyj2ILGiz/2MJQXzS0lku+jDV8oN5ozY0CZ3nwQL7LpYV66L
Dgzh0SZhg6FnjLXpheooOI9oLc+4KCrB1knr4A0thblfsl5Ge2nHgNlM41X1xk2nnlGliZdDydz3
K1o/Q9pHLRKzQbhAq9DxW4X6Eanka6PQlMKVC9Jhl9GH8XGzzjZt1Cos5K6vgsneIg7tzeU02kV6
FujZ++qhfVqbGUn5WdL+BYca+zZCTTw0DSgsw7wxG0GxH5Hgo2/ImnW4OpF4EW61wwFrF9G0e4QJ
NFtHSD713eBW7SM0Psyb8Dk5qVK/swJX0ZBf5xPgYZf3DJJ00OVvNRiJr0EyZ5cVM1gD7XFF0PlQ
nF/tyS/3jp71fCbjNo3BIld+t2uzpr0I3RIpf1NV1lvTE+MCgQJGvpUhOUXmjNn4rGMWTSp8WYzR
xumKID30IyaADSuqeqm8Zfo0rzp7Tw3G7INZgPeaIzjHveD5wXqWoZVx+7b4pr0S5DTQ1+WqzHW3
HMfB7q85gZfPifGzJxgBq4hmblH+18BUuwODRIcDkm8hACgZDgcXFb6uba9c9J2kgoQT/g3HB04R
RiO680Hr61A3q+O4dFlg7aIa2uthAJuxK0AVsxnMUVbuPNVPmG2CBrRiG3X8VNtfQgGPuknsXeWG
ebnT3aDeqsUjR15WjtH0r/J2wjAw+P42Ar0rbhAmZVifyk7I0xggFMdaaOXpxmvaHNofrdVdk2eC
s4GZLSYUMNLCLfG0P5mplXsN06NdL15JxE0vehuHkL0o6IypyXcSzM6FVYUSWrLO1XSYdNQ/1Kk1
0u7WWfJctXWvtmZZxq8acAoGHIUk/TD4CpBSRIkJli9LHkenT9rPAwpzCzchzt99mEu0N43OYzBG
SVAOiMXrjHmSx4EFzwoQKuyefthe0CCsHzH+hAil0d7yTuJJ+1SohPMO29j8No0BuRI19FVA32Z8
yHXZdlurpmDh6+jySz8yfN/0k+ou4yBgpxUgKs+gOKsvRZwMz1MduADX2aaISfKyVXKLAgOS7RLm
D9jmfHmRz36PV6oPwPWaOkyORU4O0TbNJJjbWcp52Pad7XQ7MQ3Tl8pLGMarepxv00na9QY97iDP
Eb479rnzU54C6s9jYpUN7qGaAhw/+ZiXdym3pzoztQUulTc4dC9CDGvVFvLISEXSQt4B+NmHx97K
R0RLE5ynQ+dPxbBNIF20O3qvFQhr4ADbySCs4rgyaLFLswiyroiFOgBPNEQCENDyfYqBwuPbjLqD
5TcK435oXTouHRbIHFH9QoWo+FR6WbdFPNbhjnb5Sq0LtPMK1xFDLiQWK9ihX6lW3+C6wGZlC1gb
ahOGlDEL9tBSp5kxUZlFhyFQSX1mJ30kSHcbdX2ybZ0+9j1I0x3xKfTGVeQCl2UJNzmK0b4pNmM4
LUzkkO9ojHSUwDvZ52VzQB/orwt/46Z7bMHdd8jx2O4dx7ikPMMQsE/Qd+1m37heeaeWZn4rSpUW
B3J+3GfZY87cou1m8zAddiD8xE6o9yjVcJaSzD7utJ7B31L7Is/rl3TMd0OHJP129cu9DKoIzKUX
sumd+sDGk+71huZ4GlKAbwAsEyyTDXZFkPgYEKgwpMuPpfLNPaIhynEn9uIQSD6tfTEvu5hMjTEb
GmQzGTD/RlxxdPdQ5Y8XyGY4fGmb9xRcmopfrFq9aM86ljFt9iyadprXfWOBEqix/et8eChTdTv1
5UMw8sww3CF1+yZtgO3J/Iwye2/y/M1OswNDtDMP+wEH0pvK868xKDPzCTFjCr3TPMuBVw0bZJFH
lfj3WaOfOjZ3WXcXMwbQ+ypLr808Xnh+8ZIpsfHa6moRX6rhIY/1PnBfBeJvLdSZ5L/QAe8F1r9P
tXtgZ0WsCBARyH8ruKo+eFayXjdJz8/YxGXkfo0Tdq6yptWHL+JmsArs6YlIhruoVH4CSzKcTjRn
L2g98WdRmCCQxfNRdLa+jSM17VAWH1PVPQwjwTUxL8YABh4fLMtuwl1S6pOcijMgg1AOJ33ft+0T
9cYDOSk0ZPrEfMWN1J5sIgoJPvtKQMi+6cKr2PEuuP93rqMfPas6eVjvoYk7d0Edf8p8fFr5YxBf
uZ5udwM18Uaz013wlAH4NT/yJj5XlImRDkfmOP2jqOMrCayYMCyzHF0Itd3kBox1zD20zaOBxbap
pTprbfcx6rJvgsiopne8HVqxY2nIbacrj8e3XNWxz5Pl3IqEZgX2hQ2G/Hsn7XchMMhtHXg0/Kyd
4mf6G2txjn2V3JNEgZ8/cHfWGGfw/Jd9YxUxX+PW197zKMyT1Ty7Bmazlb1mffG9iwwuJ7S8TjZd
xlm+D01CPaRvInyzOPHEWRYL92uQcuOnudy6uGTORVLu4mi+MMtEyk+2M479HVZStCeX9HvqfjUM
OI0335jYeyp4nzYDaW+Lb59QmTV3RgR4rBLKOKzWjtkjvfsuRQ5YFaN/GR+9pvE2jOQ5T/XtF4fA
lV2V5rdF2p4qJOoYzm3wuMMLL/5NFczFGRLlaj8olrimmu6G1iDpdvtXfIqEmaVWlsPu1y1F0qTa
7ViVV6avbXy8kTqwMQdPCY+OPLONd+Ui9Ue9fLIjksSCur3MR6ZzKrhsPAmPEyf6pnCtax8hHhu2
u5KlyaejjjkmXf69zNB74yV+Q9/3YALxRbXJtO26b+PoW/Wmq2tln5kYICGtYWlHW+Dx0WWOdeaz
X7rWV4fR+nftQOHeQhCfhw2ka3CI5H8wWi1EHH4Kg5r4Ho8zCTUkBVa467u5uQPh1YRnXZ9AqbTt
eVbbpENNtyUWCGJi0pF9s82dfnnOFi3Ib0nmtNyNUR122zYZ82sVNL7AWUgLADw1e0uHvpSvp6T/
FmI6DHbo4MCHhbhPjn2GgYMUHkvsZCfSmyj0UmCdvBUJwnllqe0QrAKOkNXghbQo58W2q4bYPbeD
Bh7ocaazSbQL5WYtDHE0JJdZWwgGDZhXiqzzGTj0vLeRwokNfTL8s1aQVxjHU1d807YsPzVOMt1J
H0zHIQeW0m4gurdEQRU5Jl5iXgwI7TYIvhPLknztJWFTm8mtmk9q5OXaNUUeQHwl7Jrlqydu0dTu
HGxGjs7nkBqajqdnKYtdPWeUjTk2NjRsaokq6uO8arZdUUDzwEnVwGVlc7lDBL1Z2AcTcjHCDltz
ajCs5a5V74bGH9FNGFIctkJOlCHeJNrXupMTf0QH/h202VJvGBHjZcTuwWJZzxV2FTXWAvqioeOw
gRwhfsxgeTWvWoufH8bCiMHGwpC/c0ETZGwjhurWOLkGlU5fYLxo1IKYZhYjVIiCUfl1wwJLnBg1
Gn5i48YX4GpTsXNtQy7UiNfrR1Y23L6qGeInSdi5u/FUkbyI0MJT5ud9+9nC335ZgRTuGekOM/Oa
aCDv0V46u99g6M2uVKDZ2v2st9pNHqs19S7DxLE1nolJilINiKUlrLvbhakPBrZJLI9Fhprkvzk7
s91IkSgNPxESwc4tkJlO72W77HLdoFrZ952nnw/PTSWZY9SjllotVXeTQBBxzvk3D4TIfzVxLv0J
5xAfcEnPxQ/FD23+sZPLB4054l0yqSI7Zv2cUZapKcyKqFqQkDDv7Bja+dAH10WV2ZNndYGNjKKp
AHNlW5VvTdtsras5ptqGoWpHT8kgshupSos3tIb9PaHO3PyEczp+wYg9l5nYgHFFU8jEMqCKXChG
M7N8HU9x6ozEV76zeSu26xNXoztWh3rDQazDWKlI5AKBuo9RTZz10bdgzNH2STHeCq6VGRCRRkXt
fspaUDzKdazyYZPJ4RioCl6HJC3I2kwXOAyiArq6FI03Y+Qgt75BzU2Q5ExWlrtpXg7HRhXpUiHJ
2Q0s00h21U4zhKfHfvRFCprO9gZ/AuiKjC5+8I3BRlgYT4Z6pc91f1+rGSq2oc6Hn/QZOGtY6ty2
e+SqxZ0wq7ByVBIWf2L6r34zMDtGkF1ZSuVVNkoRF+MJixqikRAp8bTbR+Gn+Y8ZmiUGzZ2k/CgM
v7gDIe6wRuglE0t2Cu9fEoXzl0hkcKdzMxPWIWu0OKVfshaH2C7CUtyPlZAnivt/tm+JtTKdWpNT
dY8rct1i2d6T51bO8GKvghLy1yO4T1165jB3v4jgk1vPwurk2QiG/JH/bf+eCujBEKTt6Tm0KXM9
ckY6iOBN1f4VVY7ZRxE37y02zcFuwkwhxYw4N2mCyPVB+EAb2t/FQxte1XUepkhviQ7cIWOkojX8
hOGsbUeMPaapmUpvIOdodAiAbOOdZYvoTQRh+ubbkAfR/oz82VQmNYN/I3uocWRC8qAh/nakMigr
1JHIg/D0mOvJUdtsuI1qKUwW3j6OQX1Ly+7iK8330lMGHK2ApoZWoswhlFSz/JtQN9wwezzB3opS
K1rGSKkpu4bRhdcztjrkYkhDa3kmXtC1E0jjKLxEyYxDZuo3cZMxP8E3GtkSLMgbmS6VSbdu3aVy
h2kCrWz3Kxp7HKVzAMoU4woqx4Y4udhJu8UnqmInLV1ZVT7+7QR7oiGnBbDygbTMOBm7VypaqdkJ
zafKCmZ95FQJ9fBxmvLgJSAH62vRlCEHWJAN2o6JBWuiilsObntk3uG10mS2+9AwNNUdxGgfWXPk
VRjZWOoOvkBT4xS6HoqDXljytYCGjASgMcWArCa0Gm9A8/0YmlPRuEo8SczS22SynabX6UUau4Do
PWtSewNOrC7ZFTQjXhn25p2MXIEUFlGZ71VuIH+ATyf/mNjPlH1f1vJ7Z9TzH2Xqy59+gPTuCFHd
vGsHIzRxQgj8L1MY2cohner2WaKSqBCpILN0/Zo8Xw8T5qA60EQvEy5Vjv8IDEdYDGGFXhz/JIb+
KkSNnykbF3SalOAMD0WZHXn4qjcy9UTXHtQUNYk7NDNcbcvoZiJ8u6wkok4yfOSR+L4T2Cc0+RqR
JcUsZMy5OVRkYXgJ+REPrWAatrNkn+ImDHqVfA2cn3TWFeeXV3RB8KjXJYvBaCDEOokd4TUQTzMm
Lx2ODQV+YSL9lrWd/lvIHDKcT51CzYzZ1U6SmJeOyhzNB42o8e9xYmfqzhyxGZ6we6iuumxKfiGO
NO7UMWnviwYHeYbvfWkwaKyHH9aAvX4f2AyZMtn6AFA1KdviIpyPtcF2oRoaigZLFf/aU8wgbIso
4p5bvMfJv3YCa2jIPDGT+hkro/Edi/3+obbG5qk0o/Geem/8Wo5LPHaNhxOTRuA39GMSADlDGXm4
anrkFYc+LeW/VT/Xd/7sp2RYpLMc7GsUXt998myooTFEm/DaJxPRFTjrfmVATF7bVPrlvUy6Cqml
NXb5USjaNzqDABdsf8ImMGjG8Y6UHs1yI7IbmBAPffoeNwwkj/ooj5nrIxL+mZXq/CstxojOlNOB
8SHBiF/TgGEUr5xt+fOp8dlDNIBb2NVNkBcYiGu6JoVCLokJLFuT7OpPk6f2z7AU7QYKcuEqCt62
kDmIrDRAQU5fFX77WRlHxOK2LVb+zPoIMezxSvz8XpQFoDwZgHMBUEUTt2IZGHXNZaIWtVHjYQ5p
JQqxdZZi7+HmkVaUIfqHyGnf5WNuuoT58J1hP3SHZwedRqZkhArDOZPQIPak9yBePExya1ru7Evz
DXOg8DpNzebQ4DvyrBnTsAuoZ7zPf/6CXJz9eh3CPHA3JFpjhXhjfEFojVzlrk6SEJTnUHZUvwiZ
MDdbhFOxUGhW19L4dKClAHpjQrzCu0fU6v5k4iHJcYkfpq9DpGeFkjXjGEHU/W1MvRkP4JcpCToy
EZtsIgIeJjahFgilHL1ie6upIMVSt4FCX1grkG8xOQV2BFpZxAP/UhqUeBaFT34RHkl5fDMS5XTH
0GuDJHLpIlBjBFxbrgE6dnoR0dvA6aRquoyUol2dsgEmCMw2wHwUf2fPGRo4LHoFO1MLrGgFyWhU
cjhSIAg22jz7HcbCvomL3GbEUEm65gUTrv/wT8ZaIXooweTPDrTmNiux93NUxprEs+MAMZEHW1pv
hojzkQldTSpfhSK5Yv8viHgtyRVZ0qtwpGNEmYa/TFw9dLD7XCM23tLId2Nsvrg1TFXyTsK4ZDoa
Sv7xLsHvyXJBfRBWm6RqjK7ptxbXsGPZ9LqklCJIWGN7F7bYqO76ZDCfRTcT+giuvrgGTbki3xiq
vRQ6KlWG0yoyvaZtyMFr19nK33nwGczEofbW4DTTY9cWN38bpNw/My7SXYGYjYQnJ6gL3KzOjD/o
J0SMd5o1Vuiqw8R+6+u2gI6gtLrp2nKhE9Ccd8S66tjPvrdKXr2zT7aPZEV0pALoWvoWYhIUulMR
l3B0aB2VfdGAw97O5GfEzP40yMMiZSi9RKkiak5TLf1WRwn8j4KY6pgeidLtamBKIcGZDzsJ44u+
PTalZf/WzLp4CiZoJDt8AOb3MYZo50jtnIu9PA001orZVD7ihD5i8EJVslj0S5gZIIR4k4U2fFW0
opcAFFB9Y4RliArXB4Gp/gCIGDj1KCEoI6yQ0DNkD+JeS/PI3035PAYeXC2yyfouzJ8T+ir6R5rd
W+4Oo7uyp59scW6Udg2eHH+lLquOMNpqeu5gDF/wLJmFkwxWcBP1KUacZc1YnmRBBnetXREA2OVm
+lM05uxGrd6/fL6/nUO31HnwwFEF4QWi4nt++tFlohpEJSVoDkem9shWuasxtrq/epmgkI3wkVDw
yFli1+ZpYgVbjG67HXJa6aZcnHk3zr4zKQW0huXQQ5EG92DZa05/EMF7JELkTenWcVDiHmKgOfYb
7S0fAYCUMBU3aKPVB5V0C4oMJV/sW1+UbmQ8z1DqutJs/Lqahgmrxizj86d1fhosv42fhaYEsdwa
zB3zwsrJLyvdScc3RyHDcq8X/lNuxeMWpL7mHC2PYQGM4ajC9IALdfoYYHLFCtZkJVU7JvSYbtTm
XxsltIvmNobk1heevsxVcNhr9wabnNt2SfCO5YXsBA3ouNObrXzbBOq06xCMX1utDMwUM+svUDp/
/fzBLFEGq7ML2B11kgxXiYJlzQDAdk0lkrUv8N8Ks6soruBvEL1G7m2jHIn6q/fscJEXU+dfG/z4
HT18dx3J/hs+NraXMDV4AhkKmCeq8p3VBIqK35BGJF1pWTgQimqj+lkOk9PDlh+MRIVfDU1PW3No
Suz9h3ZAo1TO+DkXURC4gY33zKQYSPrkaOt9npdBEOf4vjCeZ1gCInP6PjtZYpqKJ6Jr6H5/H9Md
4XKsVTu4L/URMpm+xzpPfhpMpSQi2Cw81exrFLJT9h+53Sws+AhU52RLUPmt17CMK+RoAha6JBS2
fwgnxtLBGvK9AchxzEaCgT9fGhe+GdjPcNeYtnP32qp0GMl3DuuJAZbd1fmDoTX5t8zozVvsoOKN
AuLSpeAO84FqCHBlbVWsWVLIYHcAGQRHxKmbGD1ysn1ObAevV3ujsD2vVpgoktwhGxZaGl7q6QvV
9G5UVbYoRFxo/aw607wQi56Nq1z6sBBm6vSm1CsUXyv+X5GQ/RSrEVyvsfV1N7d1/82CGOnvFGIg
0QEmquhcRTPG5lHMHabTQoe8REaUBDHWTEaJJrzsq3tlBqxEpJ0ZD8pkGS99ExOqYfjZ3DnAv8Er
xqPGsPGVXXgjbOUC0Ix3z6tZvXypjCKmx2FJU4axlTKO0n2Ui/zWJ8P79fN1dv5B41rPCJI6HSkr
qpbT91H1fi2wZshgmCX9VVgn81ESWXmsVAghiVrG3n+/3rIxI/xEUHt2vdgv/LJjCOd2WKofho50
NjDZxe4owy4er5hk4/A532J1OFZ01pyKdCRrBn7fisEUDV1hipqAMYziP8eKVd1hDGKScpSAa5Cs
+zwJawa4ypN0owe48IChIqHDZwfDx/SD4v0PY60km1GjzszcDLPBe3WIA0Ljq/o6UGXALJXi6fMH
fP6BoaTkUojwLBIsjNXKB6vL5JqQXnds3shjc5g7bjzR89W5EABV7sWQEUiqq2EFA5IafWoJyZNx
oDP6vXW0lajc45xkbWxN5zfDpbDuUbkbGmJjtVuUfofNVNVG0P6V4K3hgGDnt/8rP5sdSWZ/xzDE
QDR0lruhVBlI6UTsIQho+lIFuf40aTGoYhJusUPPOZSLeoHQDa6CDYguL3f8z3KYjWHUJh3TN+Ym
2NvCWXHrHlChggiSAgDJwfc0kwYvhsC+j3MlXKx0SuPu80Vy6RViXmTSNRuLhG39K0qJL5QXydhb
tDsgvwFXlPzVrkN54xy79AYZyQg0mkgZ2NBO7xetS0wOEH0IiZzDET7ljBxrm5p6XvdhG84MjTPT
siD4ri4D3cZSerNJ3ERCvOE2vVJ8IS9VUTypq7Jf6qiQ6dBN9WvRJoFgqJLJ71EpW89ZVobPIVEo
+P3JM1Md3WzgDKULRURfzLcdvDTsPUHQxIl//hIuPBqGntTDCJ8Rrq0fTRMDZMEIWhr3ZsnZRhqH
PU618QKW0/u0YkNhz8PBy2OZx6xfdSfjuYUlDzriuc/wLczNLzhiNovPRvy1Vgi+gXQwNhsL7NK9
GQqtLYvdXIQIp6/dIpXBJuYlJqui0492ZZa4fvnZxr1d+poUSOpw49kj2PVW6zgSi5WWGpBQmWux
QjOWxKOLy2bM4ZwZ2CdNShkqO1/F1QvH0BkCq0XGyo1dTnLz37dFhbwgg4LDJiNMW92yFCWN+CDK
UjXFnqUw9oEsOh0sBUen/7xyFGQVvFG2YP5arfZqVCI7i0LEnPqIBy6ZFTtjQD/8+VXOJLvsiwpL
hqvAeGGvX9UGgd1nkFKhpmFdQ/qrZCQ/JtrzmggaWz6CKkS7dk7L3Sj5o5tXEbEsCD5g1peFC9pp
3sRWM961mG64mHPZSzZzIN8ig4bhWdul12Z1ew3eUHqVVFQe5kZbh+GFfY7GisODEQYn4lqxpsKL
HTHSjFwsGslvqSFJQua6AaCcNh7WpaWoKsxp6YvoEvjQTlc8MsxeZ7TExq5iCYfQFy4ZMtTyQaJL
+hL3WoDjfFh/SerZOJq6AjSKMej/usL8n8T1c/HBx2DaJEWDjV0zxeqDKA0MuwOLUdfYYpLpkPwx
3+nFpDGi90kQl6zwbz2GKlS6RD5IyhB9YQ/Sfo/WYqHPEuBvle01RYa8E9M2vOrR9wnYMtXB71WO
e2gsI76rJmh4nJK62csLJTGr4tdxElsuOxf2rg8qOvJJ5BQ4MZw+U19U9GNi4kMq1OkVaMZ6plXq
HZXRwU7Ig/0VsXu48QwvrBk0jjL6MGupBozVqk+xO7KsgRMaowWoJp0ggbSr4P5ZobxRGyKtOd+d
DVppEJ+PMfl6jgRanoTZku49VlCCHF300uCEIaOzPk5hyMk90SNOg7gM4XyWJC9RMts7OVCrL3nY
kD0yYzBod9Jt3eURH2qEPbCXizl+mQ20BOBzKURUgsQSEhRiwkEPSDuF5mIIqOrXARYgP5SkED9K
Y1Z/Foxwsp3UTsp9DzGfuGEiXpCT+oCkqHiaDB8HUciQ68Yx+0qKd0YNWBYqucKqIj22oRhiV3R2
eo9m0fgmJbl5UySlDtnbl8f7pJoZmPVWJe5htAeth/2tFLpmW5V/OqMjeHjMlAJO+GQ2NYxkqUyd
souNl67VxVsfjOU3FaAJC+XSLKcnybRyf6+w73eemWGM3w4lKCo7WXxt2+HEYBiM+imVsSpzUGWr
PqSjAZdNJgaS/oBjfcJ3oOHE5fRkzf8qQeGuARSBjatgIt+RLgyLlgbrUG+arIavyRoGG3G3zK9e
WhULWEuVzH3mZ9AR7Qyyl4tWG7ahYZNQ7upKQEidDFHdxwLCjB6sQNcD/D0JWMO0eJjuO+zL1f0S
2I6vVWLgXmmnQfxa+1kweeDo9Q+jyHBIqDnj4p2ZIv1xjJTwYsfOx1nxKPDqWzhexFunc01oVOaT
FYj6B9/LvUQg2AQXLy4hbGtlT/TU2M7tAUk8XEj4+HPhCdCs68HO/MkrS6v/it8G/DCJWQEJsWNc
HlPdN7PbDHfoa3zjwPASZhG/GUfPs1s1S/BB0hrhXd/hPLhDgNDdYXk1KYcGNhmsvVGGxw2L1vpD
wgpT2ZRbuzVLWSl3Gu6irNUxacjKaPoenudYEQozDlIB+0IrR203yYn1mwHJmFzjE1orrp7CHNK7
kpQI6O+k8OL8Pr+XY9CNbiv3Q+RFjNTgO+TU106YR7B+lRGKKbwIi7nfoNvBg9xOxBeGmq+SpTJg
xOOWCgDNrpCN9Bc7Cj1pVWBt58zD8qgL7JrbgxQFbUa0MUG8+xkdW7XrsB2srnyEQviyMjvFJbey
q3mfGYNWMn8ueuNqBmEFGWhEqbLyQ/j2LMSMwWRYqDdzL2mtV8nJ9L3GAbS/1pWyJSgpMVJz131g
l2Rgl6UzqwTAO1JFsi36rtTW3SoMkiVTYCRGt4dlUt5bHbT9gw0VPL5KMKyEkVNKpuIldWTmx7nE
/3QX8PlOu7i2hueAxCHtilOKjBmCKYbbAhnAGwFx5Y+QuTbWnRyScMcyu5I9OKwliTKB0akPNnnz
EUJOJUDvEQW/o1bOX4YioWcxG6EXtxoOegvLsWOxxAaIws7qtQ7eee37P7Vpal8bMyF2iI/J/FNR
oIFc900y7HLotLeDiAr5vbcYWztCZiyKCMK33+Fe+pCQ+viR3DP1q0RB/xRmRNFk8pCQJx+0ee5K
pDTBDdFbcY1xXK3uEtkIfk8Ipr9C5ShePy+PLpS4SHkBw4DFaHDWmL2OxFHPZtpghAXkn1Nn3meS
nPz+/CrnpxH4r8k0+yMOE/3P6REYTQHEu5GrSBgWKhWBVQG8lP3nFzm/FSTX2lLu4T2G7HN1zopW
bZn3cX6UgLY7s+pZ4qq9hYZeuBVYL8iieGg2ve+qQoobuGYhbiT0aGl91Ftd3hvxmD02ZVF4n9/Q
+dBnMf5iamoAPCBjXQqLf7rsRM8pa3GRgH1awM8JakC9sjeKn4M/G9dZP6LIQJLdvFRSHQxXehxI
W/WgcnayL28NyS4cPxkvpFU7AFmPWWczpG7f17H8BPKclW7TCVFA2tJ9zeEDw1sWVPddwgP7WupR
NB9sLah2JYInusJgjjZKm4/y77QZNDWsizAuWFAHZounz6UIra4eMbWClNRoXycQI7hKuqzfGEVe
cTJlmvZr6FIsQVNYhTIAukhtR4kG2FCdrGY/9FCevmlGpE7uROT3j89f2wWM2YQCY2ugTTIY65pc
AftlMkUPM10kepzfAvhCcGwagQQrRcvXeIlp9b99yzcJ45qa9rc++la6y0syPTBUVvsfiN/qx75v
5oU/reAhPXIgIkcV83xIlUTNXLydEH6ZVSVVB8kOkyNW/lblhGWFLKPqKjJrPr+rM8cgBt2gBxh7
Y62nU5avplj5PJMESMacS+Yf/IekTdS73G/63/VUD4/UeaXv9plikw5EBuyvHBvZCGuzUnuWCG1v
YUmpRAcOtiUddZF0T6HBLNGxKgzJXCItTG238YOX7321TFBeKgZoL0iiZa82HeZeVTfaDGnTBQLD
T2x+ttSscyszT56bvpugpcri15zM0feQJnc/Jb2SbWxKFzoq8AGZ8TRp4AxJ1q4mXYnnR4BpBc39
YEs3ZscMxk3R2BE2plINYOKcTt/HtkiIUijncdhljE9+NHOe/Nx4IOfjJQp03Ck0+gJQ1rUvG5am
cKtgO7h63cZ36NQKR8GikSRobbyOVUJ1hFXJu4SUlcc2DsevrAjkLSKRHszcx5IdMfOOEfx0RW2f
7G3hGweACe2uBW3ZWG5Lf7J6eQxn2c1RDzAjWKu0hQQVZcD8yO0TFSvZXGqPcMuQLJIS+KIp6VaP
vSyG1fVALhmsLzm34JirPaXv0AxmhES7BkOJe1iv5VWFDf7Vxiu4sCZpxyyL2R4ObOa6U5qrILPj
IErJ7UoZN/hjA/FNBLoE+XOUCOnR+B5yxzRaxFip3OeTowOjvAezbGxso+dPmAB6+iQcJUHnCE48
3UVnMx0noA10m53dfYtEYe0aghNe9VknibUV0deNe18e4ekjpicDd/yAiAG3V8cZTuqFSnJU4pq9
Lf1JG9TiHG/iSxXT7THm1O7IOqyg2Gu918Z6fPQtc/DUFHElkZdS9jhjI3+FpQpNPna4G7O+C1w1
/FpoQZeJNijLGkC0uxyah8qcKK+thhxKRYI50iaS/De2hjncZbVt/DJUbOrptNr6UUeW8NdIsprc
K+p8w2ksI7iH7TjUkHZUPBFm2KBs/MUisGJuX/0I0jr4os2T+bMeDHncdSh5/x+zebjMbFy8ViYA
bNSn73WKa1sJQsZqpAjB8VT9UOrvSJwaCR5hd/8bTVLz1HRD8FozSYRFXkvKHUbAxbhRPFx43wo/
xV7qBkDS9eCtUeQmHolUctvR1q9aJEsomVrthsH5FjfjwuFkAawwgAABXo7cpY75p1RS1GhCwYEx
XDPHxl4erfY6n430WSft7FlgZdE5VFjBgeOgI+9WNA8puYM3jTDKKzOvsVOXjfw+sVsbw/uqOBK7
MF8JOoFkY1x+vgdbC5EOp0cOBTa4VZFKYJJdtRjvuUt26Ls6NoS+BTIR8eTE35pkaKBM7cujjXPF
lk/phQ+eOpKS0VIhGVK8nj6jTvYJH1JJqSnNup/YyHHg2JMCSzMfWIX5EELwh1Edz6R1d2Zl/+zj
fvhqy30j73pohRZqsLwhN8PqQg8wFoNGLLYhnRlBLdSN/f98P8aCjjJPBcKhml/vx2bTz3PIJumq
iZUS6iUHniHq6f/xNpjJsf3pOgb+6xMR321GNkuMohUU/XOSkQ7WggH9HqlYHtumGunM/KYlFFO3
NzxALjA+OdXA6wA3sRDm8Dl9HQaE8VQarMT1bfyhCDbvbxqD9KAWHdNfmCExdg+FP+6R804PqQ2X
wYl9tfqKBMA4RFnjf6mSmbyajV36fJYH4IqRhwY7hHnzmnsUKHYNrkaiZlVaSO0GmZBdBhFkNpiE
1EDCUuKfWq2jmskUNmKS2V+6hLCSHYYw5tGvshI5W9BskcsvbCa64LNhfs/5wRd0+rSkEW5MEiJ0
meNufibbNN8xtdKPiaVlG4/gwqVoIHHTW5hotvjYa/7ZS4xJqFBwiZktbFwcajwPyEAhcbkYjK2q
48Pb8PRMhFprfTQxH0D0at8K/a7xCb1r3bFMtekBnV22s0EB4yP5zuU9cuoO1z3yQnsXB3vQhtrw
UWA2tvpGFiTTgiKbw5cKAohwIrkLH1WrCOCVmvwhaUk4yTtWPFfXJFJNb7OiYrdrU+foCFsyGRv7
vlVJYAEU+Q4fSbxhU9K8pegbX4Ukfil2Kb+2ope/10ZzDTCX7gnySfodTv0R7h/5LONVV2kcLG1a
BYciNht570ctoXE2mRLwWGVIlG3FB4CAMUK7g4AHnxKJWB0cNMseQI0oxbB3xtL2/4gBheEhSe1R
7EPQoc5ZkEDVKfKMQKtCDkiB1ElBm90+VVqGj/CXXiO/ViqUQcH4czB4fE48jO0I6aef3/RpxEdA
ZIic+M8jicO4NSq4GoM6/k0VNpQDWZAIRlHOpy/EOxlbLfz57J+P6MOPHQhxIcOfLlv04gicNGZz
PE//SOOseRpRl/sy0ZUrnD8CRIFjs7GrfZysq1WlwLmCNoSSR8Zm6PSqyUBob0PKgGtP6NEgjve3
Ojpzwr9kgzHhaBpegxQS+rHUXw1ALR4YZHdI1Uz5Usv2vIcuqx0DVE40c3Jl3+aMCDbKzzMzREr7
hdJk4qNrYle/dspTdT+TOqa6LvEW6c6U7cRjMhbvcnxJv0eB2d9DZbIgWjMDV6lJHwqKwNu0N8aD
CH0EdJ9vfB/WQKuHhpEmrvUYM4H0r19VUg6yEoUL65mwTuExCutzYldDxvpDiQ6oqjS93ZHFqz5N
kOBfJqsgLtUSuQCWghH8I6kKfGZQukcGDPIIxxG7LOKXMPKn2enwbKe27UVzpwrSQZA71IRICR1r
CrTDtJ5Abuqge1rVRfYVOnfTcNFzTgSSRrb6O5oH9JFzkpCSOxn+r6bNu24f2Mb0oGkK4VhRGGq0
c6r0p20hyW4UDxfWMQgPHC5aFtQia1wQ/naATUrVuNosdV5VqO1vBj/Cq7PAd2IAH5CVcItldX5E
qouzIcA7SCKMviU14d+qLmRui+JUH5l2PHEWue3s9IGLQ+gm7rnss6cvH77RUm8wLIBhtR61DUEh
h4xp4Kp50tN8pX9jJnvwr+a/6fXQ4rWxccRcYPad8JvWdntFnPed0sFv8r4fn/48HY8HZ+deDY73
ZXA22EcXdoOTa60LjSlAVCAv17rZv+y50OFw+Pt882XjMhdw9uUyGnUtxmYwxFYvqxjkoIEMX7rV
rvk63hKz9thf6TfpfnRx6XEbbzxg4kNOmxN486O0t98//4AvsNlPh8zLuf7PuV3AfRwiwZA5c34+
Ocd3d/fly8YlzkuD00usqpC6NLs6WC6ROKaTen9QLO/+ILx3npN95GFYtbFOPjad03V5esFVz2xY
AW6bDNJcLNF3s9d6pZveqUdskj3Vy/fVnX0vDtJTcjVehXvM0/f2odinO7Er9voOLyknv5uurB1y
xY3t++xJmAyFoSjx1bBbMt46fdh+E8HzxlrHrVMpO/pm3FwjPaW3KM2tPvK8ueMCIMsLnM18hpJs
dS21Anbj4HetHGu0nU+e72+ALfES+WH8XdI6ujs9wCQeS7jhGQEPuRPAGfpdqMzid62Iv0bdyU42
qfOLXpnTn9Bo2i8ASPPbxvo461pAUNhEmDkurTdkydNfSkvemk1ZEbUqwZ47zKRBD243TIO+10Q1
RXciRhDnlaIkhpFuzB/w8BgHYHB6KoAL7BxntwABmpwujrriIetLdWvQcdYHmsxeGD7JYuEkUuOe
/sic84G3p6LjnzSCfpge/530DKmQnSk+mUXki7rmaEy/gjKOX/tZxsMLdwL6D4y1iO4MBEpUNzXT
CnWOGLLgKPdEMblDh13iES9K+mr7Y2LSwq8/cH/Y8QRaiYAJ06Sk97D2ssqdoqUAjJYEjfRgq8Ws
bXSQ5/sBTsvIWnBasHgTEKtO71Mz29wcEvhoTZ9pJHIJcDm1Imk6NHumn6nlIf7sd53Awy7sQBJs
lOFIzyAjbCyLZYGefMXLL4E4yLm5fM7r3b6lrFVTsq+4TPZuAZY7it4cQkW6DqJAHJR+3EP6OpoT
LpjVnAG7plsH+Ec5df4bEJVBW4eDsn7rPlVE0ZjLb1Ca4X4g/3oxR1aMdyPQLJIUg0y40Iso602Z
wy/A9WiQBYkpsGIeF/qR14T5fBxy37xqglC+szVwap859m096N0+yv0Kn6hxPKQVE1vyk3HgGkoZ
Z4ok3RmFVu+hghGRXtX4RJBrtrdyLD4KucWyvLCUG6sm4u/zB3++SXGjQDCILxaK4kcJ+s+JEMeI
kRtbp9VobP9llsd+1xZkdGL6Wj3990sxdmKhKarK+Hi1UWPORFhthFKl0wYICakx7gkWDR3UdMXV
55f68Ms+fZXMRJiFLpACd/ZRyf5zW60pETZYxZST+YxhbTVMdFGIAogx63co7U2PdqrSHLWrLBc7
gnE3pgwwB7HY30mkV8tmJcf4Hhjf5TLtjnORYogwFNWboqI4jCzepBUI7TELM+kBGEo8BsBwOGdH
5ZVW9cF+TLIuxVgkl4+qMVXHnGCR22oqyi1q0dm8HAR0KTiXTgbi+XpcJsiUpCwE70rMyfgjh3ma
E44YS4+JD9VoT4PRE6tIBIm681EazegRe+rDIS2Bl+nvEbzjcllpLpMYcTW2XRA6Itf1kmRDTb4q
hYXYsRrMkIDAMtVflbZUf33+us5KZ26BNBwwheXTY/R2ug2pNvt8OCf4VMV9dC86f3woO3M42rOS
QFq2GVfO0daWc/mimHUgdV003qtaiCyONtIIWYKgPbSPDFWIofWDzmuxmf4xJ+P8orVWuVECnrd0
3CqpXzSDtJ5IeZcq+5+FGRXYeDLSzuHKJCTzpYO4KmsabJShdCR+ohXuzN9o9yVsNScFe6ZBJsLV
6USNhjKWttC38/N4AdA5j1lEDMTXUyNVw091SFFVEykKwgIN5EAKhbzxQV66b758A1qAAfsAwOr0
vsm1SBLgeMrcqbZumygLvk5KlbqozMJjaze65xMvf19gufc4aZB4cRgab426b/aYkE0bhfCFXY/f
ATcBBwGICmu7/W6OhgGLv8wVZH+/G2SJHgi69L/LgU1l8vniPoc3F97yPxdb1WYTJhMsMz7QwPbH
HVmP14h+9mAcAwY+DTGMU/TOG8b0y8JbJEsPG9dfltRqL6Ta4geoQJs2cSmnj15NE+jKNIlMUeP3
2JLst1ivwp2GRxGSBA6Yco6HtwnWxgMho9kT4cQoiLNGfWkGfdoorS4sNzYr5BAMEZYFtxrpSnVf
iVwNczcRcJ8CQ9KvdMzDt5bbpReMM4RNpcmQByX76T2b2hwqYW/Df2CSQ3yQ1TwpJCRj1wpn1unJ
B36MSdu0d0WW5QekpmpEyBY/axzkJnQaNUn5DzSMs5JcDmLgkiytdp+/mAuP4uMcRCGywJ1rxk/Y
sS/lJu8l0Jmft/jz3hhJpR8/v8qFJwG4hNkzPu8K/7DaWxEeTcRiEswzWZiDzX1E1FwaoxIwbLFR
xF26ISpJuh1t8eJfj4eswoYAYbOVkD1g32jYKgY4IOXz8+d3JJaqdLWg/5fvoxmL+mktBtCDqMxt
DYOqkZCQZ0whstiR/dgyvBgWy/UUDlDjsrGZ+n1I6C7eJX04mA6pgSZRWWH/rJLunB/wg+vCndSV
sDHnwJqY0uSaojnG4LfYB4YlgMrnv/zSA4IXCu0HqjqDm+Vd/bP5k0aBJWGLRKyYYVRbjWYTum1t
JXBdeOMgE8A1yE3Qo631CUVYKFYbAT/EIsixN5SbnSppWQWZexYbn/O5HH2RFkF3RiuLutBYQ8K1
jptVCLEFXtxAoyBhJbxExT7kGR69aSGwvZzV2bPywrxTVGIWkyKXXD/Q7AeQfsnr5J7CuLbbLyMU
wY2R3KVfh+CRLR7PHRWcYnXainKyQ2ZZOUa3td85YOLyH4LcjZ9U8cK6m3zZNI4xstD7Mla1Ytem
ef9kqBa8A5NPxcedTP4f5s5juW4k3fOv0lF71MCbiNu9gDmGXnSiuEFQIgXvkXD7ebJ5sflBVXND
PIfBc2s3HW1CrSITSKT5zN8UnWtbE1GSprLm3Bao+ikM2QfrAl0XsO+0/JG2OUw8qiihng+eyaOy
2O6FCs950U5d9MelQhq/uPnYHIqoqGBc9X714eziACYWrVfKLdL+w4Tqc70IX8U7EPx1kvgWOnVX
adXFVxVC0LlPbTH+hg7010WRNB/0Yn3qnD5O+yDRYNIKP5i1Q8r9/pnQAG7BPeuIglXW+KXW+1Vf
scl+IlC+bPRxFjvAfdifF289SXagTw4m3AodoM835gcLhaKcTnRi0WniYQ7uiwm+ewcBp0EjxJRB
3Od5QLc5vWlp2NyW0YIyPb7O20iW8ehsUiswi3r2JBzq7lq5gb0PUC0wm2rZK5nWnAgajyNVACHo
tEAQBmqoGwerGNlmx6hLvpkkgY/uu8q+RBvYOc+1CRMkGJpbKR/tE83XDwblg9BWXmeEitJB1LDU
5dAZAhWxLly4nZB0u0SBpt82UzV7TSiVfhWjqnDiOxwXXui/q1ChV0qLSmT+fj0MsZmp6Ec23tQW
3beYNXNXgVV9sutRv0K5FC0p1AydF9OMEUumzKIqXmkg4oZCSpg/mnEff++QTbhS4Aqv0E9r/ibU
0vz6+XN+8JjkKSRcID9pvB9+kSoXmNDLNQwFq+g3otLj86ZF1HIsO+0ZgsMph50P6ns4csBqJlbH
OYnv8X5eGtBPTWowoD4AwucewUcwV/TlCdJZVHCZq8X3Wk/nG0WKpq8zIo6r3I5e2H5Y90aQwBlR
dxXBThq03GxnbZhmb6iZFmgIpROi6J/Pz/EVtN5uwDvJSGWCgYNoP4d6CZCMRpoiySOhbhRfRT1F
DWEjIPTPh8KijoYL+xMU3MHMDAYRPChVThAEdgKkQB23ttPBnVFoPvFWH2wJDk74ZeAR+Armeoz/
dn3HGYU8SaZnaFUI3MJlqOzvi6ZGZ5KD37xroOUONUBr5VOCZx9MJ5hSwrc1rjIZ/P3AiNLlSHbK
KF8obRNE3eD4pV5mrqMP0Ylw8RiZa6H7wUBrzItGxKGil12mwOv0dawwK21UoKf4rWyhnq6Wp33v
ZpNGzoxu++JsJis0xsDiRFp2dW7iCSFJSLm6BJy4zpqNI6HQXAATMAsbJ3t0HVt1H+FmiGB8JJrA
idQm9CUUgJ9rExF4d4Bp4eDzQZpw4mT54NsB1gDBApQfevkhw6xuHCBMRVh72WTEjzhLinONC+HC
wH/wFmiX7BdLmn75fG0e3+vERAYwe8JVetuHsmB2RCEPKT40MJoqDGoKoK6WjvKpGEzj87+Ph38J
O6y4VTiJSMm9Xx6TIsasUxyUAJJZhdEym1/MaaFNB3dpcRNQEnvkYQ1q0Lp+JVVQpIG5IbVSEzZB
G5Ls/eQs3UmU3fGqxYwQNIrCiqLAcrhdJJxcZtLI1lNjm2szJePw8QYxHJRHlMXx0niE9RFj7Sq7
eqRZG6GIZjVEavIcpdrQityyy63nWC6y6yTsBMKnIn/8/BMdn+Q6KFM6xbQjMKU7xAHYuU4buZah
oWEf8mzmMeSZStf92UQ22e1zM95+PuAHYRiri7uNihc4PMtan+i3U4QzF9shCfPSomq0AJ0mE1F9
QE0pEmfPRMJxChO9tTF61pszI5/GTdthtjhMWnQLutw8BxJyEni6npLvlxCUP/YHlRmTjtXhri+k
UkE4W0XwBLnGGhatbf3I6jj9Fhv18lZl4DA2ji6QCMtqqEjBUAlxR4mqqDZhaGP9kdMwgS+M4OpX
qe21V2gmne7b3aLI3rQA4FdoM/w4MZXH0SNdNU5EYmcqLHzI91M5NgBk5VaWUGgbsMkZupxW0mxM
exW0QKBrsw65NZ42SmuOV41j9YY/yLX2ipa3ufn8WY4Xu6GZwK8oOIOLpY75/lFqtKSJr1FR7aL6
BU68cu4I7Qfssf5EMHh8pjAQeG8uVUCcwMnfDyTFVlKwvBioHUNPUbIUiAPdic9f56NR1nxEBwUJ
oOFIskAN07jpSXSyLmZRDKUdTBXC5Z+PcjxpnI2sOdin65F8yMBVh4quu6lkXhJXrbeigDdIuEZn
nWq8fj7S8fuAVjFpUzE1a//hYNYacuLVMwET2KwszykMUr4fu5MqVh+8EKEI0BgiBAJ2e32M3/Z2
74hFU5oQVvaYOZdJPY1vEZVnv+2QuxlZml+jvE9dmNn4EosFsosiBh/Z4MaLypa+JnJ+53mUYGiQ
CevE1X78cOQOCtwGcgmywEOoCMe0EoZ5DgVZb17DLFeRkOu029TO+ufPZ/uDvuJa5uCmpZ1nsEMP
NqaG3CBHSCa5CKj2bL9FydxUUbszANdpMKYTnvQSV4YHxFv1QzPu7kXXRo/Ereo/FiZBdoPkjroU
704AcPBN0pLSwEg7iOsO1JEuL9PeVKNsd+KVj9swDqo/BocnqweAx8ErR5KYw6xBLrZU2+zB4e53
E5tWDJrhYMd0OaX6gNdD1g/iVeuq0UfWZ/j++UMcf2Eq+eRO/AttAiQC3y8/yOywXrkjIRmZySae
yQwpXAjMJZpTs/rBNbbKDuFFTMiNlewhHAh3Ps7cAn9CO67wsTKqfC2jJXmvnGPsU6IyHRvGz7xa
rMSlWKVfzjPxgBfKOqBFHQ9aZBPlgcbH0tmp5X0+ER89HW6kRHroEJLAHupBLPmISBwui8AgbdSW
B5TstioM8PseHNU9fgTtWSoPcuJFGoxBoGjRFoH5W7u04W3N5A84Di24in7+WMenEKU/NgVuvwQb
CKO9/z44puSx1GeF100iB1OqF3sTHfl/ehWtCGBYaBQZyRidw3dXprSXyVBLjw6U9L3Ok+qchvlC
U9+QTxTYjl6IoeiB2jIMPsY7XAQIbup1Cb7Pc0ZMC4dUi7ak6P+4rowWrQFbkLsekiV/eD9tZSgh
Pj3iQgArqN4BLER0vrUt//OPs+ak70Igyu0UoihHsYNBdx9s4CS3lilEPdLL7XJ6aLJEe9AQQX20
tE7ewz0w3ciU292ErwDagEv1z78aJeHV85I9LPMQ718yCQenKk1SKyApayHVKbe1LXA2qnAg+/xN
j3Ihvpe9AvrXhv+6hd8PBcCToL9DtkZVK4B7hVuqCt5qZzGhudb/c93mVRto5dv8Qo4ivfV+uA45
IqceVmEi2yz3Bbdz0JijTYdzMX01S4dt1gjdw+Ox3kDQJUeyATwoNH9d7s0kMEUx3H4+A5T2j782
D0X7AJgAXajDG8oeuXjsBoMdygSYsIwC5WGPSp4M+KVUR8czsglDlqnQomseAEfIGarHS95SonPt
StNfkwh88DY2ovFl6bX5nA622Dbo7KheoZgqHJqi5NqLamNGlqIT1QI4yFl6LogcgPcSKeIW0IXZ
wyRrZOPONHuhu5CQgIhRh8XKLlbm9j4OERH29GhEDiXsR+R+rXacizOCUCDbJYewh04AmkByJGED
3Y94MAVlr2eJH5uVetVJTpiiUjN05wLZM/wkyth+K+J52Jn1lEs4h6ULzhJgzKHxD2Z7RdPKTpF2
HhHZdlqhxR5AAukltZLx3ImB3SLRkGis0SjCsFuMlvRcIRX9NbJCFYPJdn4SVqe9RmklPddyYpTY
phtx5Qo1sxzuAiFd4c8r4e6ujzWyyURJzcWwClb59dCj1ggkC13iTF5Q4gJlk0r7RY6T7aSjobUt
IjNe3Eat0fOzqxoZCgwZZV/qVOe5wLyDF4Q0+lRjuau7spBxhpNm2JzXfaxzUCmIRQPRLSY8xkQ+
m2YgjAbjtjxdUGdFhZTPNFHxSzc0oOtvQ1EVKg4C3QI4s0+ne1D8qu5bk9w+tOVYlL5wetx/QOK3
lltBTGl8SHy0OAxlRn+scyy5dse5Fo8LXqH3WAvQj0rrpi83OaskAh5cT1XgYEhanS31ynytl7Kg
/yC43DD8oJjvD+jpDi6rzDR8FOnp47WtiWXcVNZoC5JBq5NvrrRVaNNL/pou3cTGxiRCdaPJVr5p
SuWUbuQYWHYB3hKPwikWGYHlgUiT2nOG4/A0Vq8UOsV058iieczQkgNNCACLFUImekFDQFa8Xulg
WCQEUTFYLG24kXt0p70yttpVxoH2AxjCuF4N1zPkTdhPsRuFo/WA9kxaeVrs2Ff10g4XGrPJr7Oi
1aFRG/QlWCA748HbwNb3qnx1/GAhWivKL7ODuaqMyaUwzDH8+VHwwRVG0ZHTEPAZAmaH+RRIoYX+
vY5msFzb11WZT3ddJzsnRjkOSDgEQf6Sudnmepcd3C5UF9RCjtPCk0ZaC+OyCXUHr2H53oiMjVUa
jyB2LlJ7QYILPfsZh1LEaeTrthhOVIuOYkTExDA0gHNIZ5Ak8uA0VtTa7kcV0l6ozeF3ByMRv6yW
7rwx8cT6p1PLF6cCZIMZ575xDor5o96MOaHfqopfW9tay8OfdWf9Y1l8umZrVkPYCxmaLvf760V3
ZsPq6Njgttpnm1GP9Psk6aITafcH00b4Qc5NPwRY2WHPGf1Y7KNqSiNtOGT4u7TLBku8VeHcOpE8
HS9IiB6rDAiQPPRT7YMP1Gq0zC38rj3D5n7MEmvehDWY18+/zTEghy9CYxSQxHo3U4p6P23C6OIu
TTBJdxCBwWGrpGTiLXK22IEIuYpdGKsj9kyE7tippfP4NTfSOsVtSwN6G9aN2AtN5MOJjfLB2xMb
0xE0SSoQkzxoxHVxk+vtgNW81JZmAAfXDjIF6aXP3/6DURBqAIcFGoYWxeHLh8uUtmlGO8WJcJ6R
5Z7Y0oF79fkox7SClS4NsIoLE1laCg/v51itLStRq9WWbExQ/Z7i7C4fVRMHHRgiYaznO6qBzhdl
0nBOKQ14p6rUx8iz18aNpeTpwyQafP2owzv3Wu6YAFfa8cRDHoe9TPUquU3l2KCtob5/Rh3YxCJy
ChBKAzHYS1bRdvYrB36S6F+WyZgfgAoiIYZ1sVvQb9t/PkkffQrkMlbpGwJSoDrvx8/UpsNQliqx
lSvYIDpivJLzXDmx3D/YvnTYKcFTOSM3OoQXGyIzhzFVVrk+xCnHtKs3VJhhjrbWqSTvuPixamJQ
4qXXsALMDgGZdVhVXJsNiYQ1yDcxbkeP6eLMDyIx4p2KQc+NEEr2JQqjBP131cQKLzPum4FE+fOp
/YWbfJ/S8CQaeGY6uA779eDbxjVCyWECUMZEXC45m8NFfooz0X8HoJiAR0OionPHZiztc2ThtEdl
bNL4bDCTOfcKu9fvQnozD0pWYVpZZvADcrUS+7m3pjjI0bb9AdsF4KhKffc8d+a62yzLKL9m/Thp
yNpEVPDTuih+2uHYqn4VVdQSE30xHz5/z+OPq9JiodMCfnFVsz14zT41p1oBBeTB40l9So06IpWp
+gSd2T4x1PFuWeu7Ot1LKGNgJg+OJ4PqMUQ7RKZnTUvUs0UWIrAavYvcOq30q6bAWD2ocBJ+oipR
AwMfjeaUNP9x+obSKvc3yJu13nT4DGbbzDBesMaaME5/LFMsN/AB6jaa1WjPapxNGz1sssfP5/g4
X+JQhrDBF6XIfYTbw4SjYy0hJGwvHTjRcDSMr4i7GZddmCwENdkpFYBjxcSVOMMNwAelS+IcNnYz
kgw51yFNZJnS3BX2gsW3shSY9DWRLbT9HGlRi8ugJt3GqgNf187q/M5ySoGhXp/HN8kYkl5UtYTA
mwLK6y7DTMTXeogFwAtQYN7Tb2p+VF3Z3sbLWNECNOLkG35jDlK5WG/ddOgO4FJa0r7CzE0SwMWl
NA/qqMqyiynMTMnFzLSBqShqDEsaWyoU39RBy/jkPfpPyZq7cpfiZq6DGunQXm5abHaTJZufWqm1
4hV6GYrdFBGwuCXn1inK5tHWQPCdjU/zEagEucb6978VpFsDS13sN3HWW7rugoKZgJmA/bcOKcH/
fIUctZCoW/yK8iD4sA8PO6wRjEdbTgZBYdvKLzMV4uoq19buMHZodqS4EWwJS70KqwyhyM/HPrpE
GHv1G+EAoGzKf96/JrRLKYLNjHARHZMz0AeNxw9of11V/+ud6mr3n//izz8qPLaSKO4P/vify+QH
nrbVz/6/1h/773/s/Q/957p+K+/69u2tv3ypD//Jdz/I7/97fP+lf3n3B7L0pJ+/iLd2vn3rRN7/
GiR6q9Z/8n/6l/96+/Vb7uf67d9/4MxR9utvizAU++Pvv9q//vsPtvRvE77+/r//8uql4OcuX/L+
5eiff3vpen5U/xMsGRgh4inCNnzd//jX+Pb33wBngwDHsgC4QgH+j3+VZODxv//QzD+pCZFZklqh
ssT19Me/ukr8+ivjTyqKK8aFbJPFCyTs/733zV9321+fhHn4+8//KkVxUyVl3/37j78auL/fgdTS
bHRP0JVaK5QYerxfGjIABCnKpN5dIb6JbQXqqPvCYFub4ktZD14yv/SadqPkL0t8Y4sHUW17agvm
HH+RRbrVUvrq6UXRZ0HX3Y1h5lbdrpUf2XY7gMtuUigBa59eSu6Hy85Wvixq75nG01JfmijtrUOP
9b06bXsaXcO5VP+oYt+RAmXeRQ/m9EXOt1Z7X+GeDqksnso9FpyuVrsVJSRMFPyq2i1NvjXrrRnC
7I3bs4r/y8pl30z2dlH4rRq5coOFcPuWF6nfsrvk7qaOMmw/3/TqxiwwL2/au6FM/az+uYwGUI6n
uS6g/TffuTive3neQ79yEUp1x2jXGtplJhebBIvdqXjCZZmiuZfQsrbooEjYMZqJ6ePzXI1O0M6a
J2c/1Lq+qIw7OVS38fCCSMOjYUfBFI4bY146DCqrXRE+OkO5Uepog23ZeQQG3dKijTIpe6kamMR+
MyrDpoq0oMcLJ7Pq3VjNvjL9nMZiC1Gotr7MybMOgS6eXL36JqJz7CtdA/NqGc/dub0qksbTnCgI
w94bwx+FSjUCQQR1l8tvyvLDXu4l50UxBQoiWoDOjRfP3w3qjH2U3DhhfC/sOMisndFGQZtlsGZm
b7Ke5GTZzxK8pXoMJPR5hdFfYgVI826L110AK7HD5NQpcy9asu0QieupZMpBNardtMGAxBOxhoYn
eYApgrYe8KWsr7CFgDPoK2oVyPkYxDGhmKR66IsFcfNSQtGRUpYO1tfy+TjEZ0ncbansIC2YUhBK
zmsZf8DqTsP2Mn3l7oA8QyEGOSi9308gTdr2WZ4Sf9UpKY0ZPgX4wdLk+2rbqWN9G8jpWdQ/tdgt
+VVa1O3NbitxDeJpj+iDdWEWw7kVaW4Z6ghGJtvFvgZM5mng9hNEkdT8LDIfh+FbvXDS55d5F/Ki
PAM7YR0xMp4VIbyqRK64/JbNVMMmVqq2T5MfFiJudQspS4NbtFbykE2NmoX2fOsuMeXIEAlYXUJl
QdvoybIr494tnJGnj7xFmfykx4BN+1Fkya4sRswpytnHt9Lr43nT4HyN+4JPhZQQ/MZcgZPyxaDc
1dl0XYQnrr1f6JqjAwZhf2gk4KXkQ/U6fMNUJ+5paqn5z2TVRi0espFvGRYbc/QX9SbSNMRgUdyG
+IJi/X62kJcdYvyFp40UjtsqDzeTWW8GTdkMEW0GWGVhvAGfz49ZXq18L6db9E7pI/ZvaMt4CT/D
DadQ09Pn3JerzZjmWNcg4DicV/Ht0mwqS/IKFT85W3FXE2FLewaxpmqTa8uPjlQFpKWeOcRo1bLH
G9deLkwdr78EDLx0blIOKio/7/Zp/KJhXjvH7pBtpfE+5yHokXm0BF3TvO7i26LHc2va/na9fHBs
H5XLfp3av03qGo7+FrcIay7IOpjUJX+Q++wG3zk/RgdumTK8W57nGtin/GRaTMqWKjnyEMWJ76qt
ofzhd4WLZtIfAa3DLfX+EcpBkoAIZNTxFSvQzBQpX8BjftTd5LGfmiD/3KLzltgKDFxtbM9QcYzf
l9JTY+0ncDLVNUeFrD7KmIeKQJr3k3Ee2dscNy9c4WRzV8uCw/QEbPcwTmfiwFPLrMX1yYnI3j81
VurY8jm5cFvnu+hzX8imt1gXMx68n3+iw3Dvr4EoaAJ7B8x0iA/GzycX8ohUGLtMzX3Ey4sI3elt
Yu+i5tRYv6qw7z4GCR49MeIImBMGKdj71xpteZKwakevWbqwS/PWCpV90o07DIV3gzkAh1x8HE9d
JdWexhqJQkPbKkgfIVVdyNgHXuaW5fYlZpPZnD7YGBorGTbbKb2JvPhK68SPuOfRX+PuLHZ5Wd2l
UeGP2mPM5sWG8ZVyFDrQNETyZp8MMjIlnOaiduvoaux+KHqy7Y0Z+T2/s8fLyWzPpmtd/tLYItBQ
kYnmL22srH1wbCZ/zobmtWCnIzamZOESnoJ8nFHXBxTnhPXzUGj7Sp4uprx3dYWjZJwC1KB3avSY
m1hfxs2+biNfiqUdxuvp8rOQbqKsO2vjrd1Z1A1VZLAmvx+ulMFVUdmLChX5GuSPuBDtBux/eC/j
XYhqldGj7fYF0X1O9XozJp2rWJ3bMg3WtyFqN2P9VTIe12vYarOtMX+NddPVGvr4xbJz4tYb9Lva
mtFqxHRcvkRVx51m3JkvMrvxzQWJe+l+ThOvyV+xlD+Ti8BMjbNZDLg7/7SVV9jnNCACCRX+sXwR
WeLF1rWl3KbF9dDvhLzP+tuBm8NE2aWRvkZQ4+Xm1w1QVF97zOcb2/BkBb16Kpmdiqq0r6UZHZ/O
LSrE12wBDmHeYqLpm9hs4ZUd6ARtvU2SMGF/MHF6zq6EsRcWpo0u8+qO2y+T2yxISCzFPeiBbQw5
yM0ThGeG0c8tfTfp2GL3WN1Uu5mX17LadbjallVuJv2hQp+T8WFckJhQNM9JcNvaRsBt0lDZWvMP
kFV+SsCjsU8qlfOeuw9WhhFd5Fj9gSUPdGIzhitjM3BafZ8iY+u0j/R2zkbzTO22pbbtYsMtq8wN
zUcljIJBNDvLvFk7iKDxduuVigMVXZ3UrwlkpLLdyZBO89z0HPPKSF5DEX6ZsiDEfltJ+y1LbyNn
m0J9soGMqgY/JqKdNunbyIAgbZwPNsHjHJ8ZqbM3QI2Ptuki3evGS4IbJ43I7nZRjbtcexiM4VLT
wXhY5plSb8PoAV4dubEGNE7zOlzabbTkVSyMw9uMN7ElamQKdgJfGgFgTiP6Gr0BvAw+4sNMSBDi
Rm1tRhv0kINkPVGsWvwUo0k8YgZ2pd6WeouHG6ZDRQgw+Wcl78z+tsYAINX8kb0Vaoo76riI0udy
oqdkGFmr4OdJxatK3cfODeHfaL/RgaLjRVznwP7hilQeG/taGOjQLzuNiKvQuMQLh4taujeSr2K6
lykiSIDvnDG+A1AFvS7ylLL3WvU6lKXAqtud6H5IFd9LfxppcscO5d1xPIvD6G4NKalEBsIpg6Ib
XJhpm3hVBf5aZ/VOJdacs2sQ9ptefJOT+EFfrTs62TObKFiRxN1OCi87J4jsx8HipqSKn0Q/1ZpQ
05g9ObE8CQMku6JqvJkJSOceiXuD3KKgAj1ZLNUbqKG+NrFW5tuFcNQWXy31krKg2w1fQwW0VMK6
xEWipz8Hqcgr7QlO8lMln3VSUNORmwfhx9W+LGlOS/1GU2+UXYaVla4HavzYSPFZBMN1rrJHB3rY
iPqknUBHIPgQSn5tWRGkmXmjlcuW0plrlH2APa87CN0v4hwRtMSd6DYgMHjdKBgQm9MudQo3N/ca
9ZZpFVY02cbtc9SCT8U5lq+FdNmjSB+U8mdJrCT9olbnPizCfTgTO6Wo0svBAkglvcunV0wEQExT
gilqhr6VEA7s5+UsLkzsMGpPxsgFLVBkBPd4o7jYzLhmq6OAu0NtyqeB60aC7i8atAvSzXZ5x9XQ
KegW9/m9PJ7HLas03w/2eSO9KGPpGmZOi7z3Fej5I/6D5CtRNAdmy5MCgbSNztWNH+NINUth28qt
r7Fae9mbJ+RAGA4myIaFtImJaiP62YJ7KCOztaFJRQiUqNZXY74rdHS5wKLhw3GWYqyAKhRHngiV
cxLybYRqK5L2LkSG7/ZyNji7UTe8zLik5Hke9g/QcQUyXfhr4hQ4yN9GwbXZ0xBoScHKvaFfS8Z2
Ur1s/NJKfjLsInlbh2d6T1f3bs5gNe9yogJbubDa2keGjt6qs+vwF+ikt256Csm9iH0cI/ex5eMs
OEfrDQuB7dg8L+VjvY5T5FdFi3INnsmD0TyDZ/RCIE3pY1N1SI4tHC/qppvuWyu6SGYSCRatI0+u
nKpuGcmemK4zY/bHUXgWsM+5tq4k8u9+bDB1WDCor57tZIeatS9NzTm4iiCHcEYOmwWRPN0r1b4y
r4bs22A9K2r+AIKYIuvPAq28edlQ6/XnGI76xDpdNjGeDYtMYhKr/vI8DQhW09+Fb01CFCd7TSyu
FAY27G7R+qFe+LNsuLPFAZ5xEtWl63xZ+GApkjE0qP0JpIfKUp0E+rikrujmpoM/wauAW8uH7jdN
WHkWpu8xUAwOU6PeFr22G5SHxdG/qJURTHbMZsm2WTtsJhtGjCN9bTjqx2rYzKRXcX03dRdC4KDt
DG4e1hdKftdxK/e40tgjHifWE8n9FUxISukP4fQmSfNVpxV7SR+BDekY7mY/qXG6TY9rRbwvYVIj
7m9n3yRNuL3jBCWMSdDrHq4Rl9iOuOHEQZwBFAxJ5+9HDWgHbslTIYJOI19hWdfmADLW8Nb3t2fy
ozhyFb10TWxKK7QTRZneJ3jnzAA77CU7W1q2dT+6xQDvZ5ICaARSqfoIb3lIsBfMj7yEQctiTwvO
EWZX4w2xl+VyLy9VnEnMmD4GV0w+GK40cJ9jRFM5hV/Ku7hIz3oZ8f569rM4CeacSK46H0ouXzo7
mU5wMnpzYngFjjc09X1Yx24f/mymwu/UfIfch29YN5NzVputa2uZm2S8i+YV+rKNdMm3KPlkqrGF
LguQxcDOd7nQyPilMH0bUIYc8LjJinrbaiiKdKsBhn0Vr1GK1l2nyfSgIRyT6Dv8ajdzh4tTzuqR
60s9qvwqxNI1rPxMPE4hDpxdGpjhSnBxh5XHmU5XeUbYmRWXdX9dgJARRRtMa9Y6lS9q2lwh4bUH
xkrDL0aVfiCQEK8dR+Zg5mdiUPaRGW1sfSRdbb2puVnmJOiKdJOay94hEIX8Y9dRYJnFq2bFm4Fj
vylBe7TP3TRt1Akbb75jlSP6YHE7IKuTqUSfzJGNJsMgbTiMexmCzuJPdGUjKdno5rfCvhO97g0R
11/5xGrWwb/P8laHoZvSNs0k2uVR7Ofhc4cde4yysz6TKleLP1aPrbpsEB4I8uphKR9IClTaVfKC
6lS+cIZt2hrtaWtbDpfFIj1FbXYmdOW8SZ8i+wk/Jlocw3acL7XVatPp8mtpbK9GrdsvfbNN1HFL
EQ4b97OB0Kkok9tfydY/qjxTAuTfh8Xkd0Xo/1lxevtWrWXd7vBX/X9Yl4Z4QAkZRCTVY6oBq1PX
b1nqUZ36//zv/KV8/de+W/+n+71g/eEv+quArSp/KuBUEFiFR0ILelV5/7uA7fwJ+wEsNxcrIBZU
Fv+7gG3Kf65Gr6uPKBDKFbDx3wVsw/kTie2VnyGvpCfQDP+kgH2Qz6OATTtjHX+VI6O/cVC+1tus
UZIhWajjAZrvhRh3CLSeNSnhbQgqZfPbfH1QePloOKrkzDQwl1W+7n2e3ZvN2jyPl9WWlBMY0Sl3
6ElDW7kIgy5VrRONm7Ux81te/+v14BajHgD6loL/wXgYXhhOY1DLtiT+axyV/hK5T3Ejo7y/2tRj
zhni9b7HMzXaOGjV7T5/3/X3H46/UhTofBmIWx7yjdFoShS7Lqilx7W5b+RGonxpnJJgOejCrW8J
+pWqBQKhaKcejdJGtaIOCh+xHrnn1a7aiNKsuTpQ4/j8hT6YUJSvQFwByUfPbV2yvxfO2rpLaTxz
p2W63e96R1qCwoBTac9VvlOSWPEMMOpBP0qLr2Fpdapw99H4q+YWy97B/ts4qJrpdrWUjTEuiLQB
q8R+JlduEbahipIJNtsad7ZbuNIpkh1NnV4WerwQHFQzsUgpNfHdZI6aoOerZw/0ZKmtR8Mg45Ii
pOhmUfX5NQmF9UOu0bc+sRYPRQB+fSaaUiseitk7ahWlqB1wEXLppEXtEBzg8tag6ho4iObcFJMM
ZFmWLgFHKT5qiy20qBTLUyzgdl0l5dfsm2Sn2oK8JQyl/eff9aDc9uvZaJOt1KKVWn0olDAldl/W
Ybj4krI2Chqr3kaig9kQ0sECVOc3iRX6baNOJyD+H5wIAN9WZBAHIV7EBzuUImwZzhYSHmFtiY1F
crRvBuTUymF6Rff+7vPXPNopvBtUHfBoK3sc9Mz75RvqtMbbNaye6CRtoNI41MJJ8+oGm73Phzra
+utQgD5ZpGt//JAShjNL1ygdmopGR50gJ1Hc1Y4cPXw+yno+vztgGIViLFwMpEQgL6wv/Fshewlr
3WzjkBfqoZPMSt8E2OO9OgYu1JQH8HVcLHHiDDj6ZOuYq5ofJwGcjF9iAr+NKSkEfHhRQXaswvFm
LPPmctBDmo4ZVUO7VLr7z9/xEPGEuAoDrlVZBJdALB5aSwCgh1JGYc9PioxKWV1mHqrHiU+3OPH7
OfvWYep4Lsymv0Mvr90VyCQEklGeJGEd1Oz/ehBWz8o4xt5So6v9+2wb5ki/z5b4pou07ETaNZcE
dVow5hSRCqUuziQsEzdRl1fuYkzNvs1G6roDt+rnU3L82RVc1ri7qcCjbHc4I2Zd13FTZIZfo/ZP
u1QOt5XeU7bJdddJgIRnvRqdOnuPzojVAJq6Pw0ANPQITt6/vVlSmAVir/uqJHovI3ebcqqbcqnO
npmncaCNernFT4VnoDkr44ZODU93NlpMX9EM03I3jGTpsaVdaU3TnjsmgBlwV/2JBfPB7LAV4D+B
pAVQpK1//9sCFY0O0wUsry9Efmua+fIl0kIcPGvzW9VjUug2uR2fGPPoYqJ5oHOM/pocMtSDpYGV
WRTCZkJfOWuacww7KNIaZuJXHKv3cjz9qCQWimM34SbSQWJ+vh4ONatYmQy/HjUr88YEk/f+lU0V
yYiys5lcubOYZrt5MPCBIAGGbN7lGiJIuaQEiZ05fqiSGvapXm1nTL0pcelGYEyduhF1YfrtyE2e
wXwI4NT20CfGU62vD6cKLDxILxBfoITfP+uMSGWSI2rrpxDr3GKU2qul6mlVD5g9ZFWyB4DlFV3+
Rqz4f6k7k/XGjSVt38q5AbgxJ7AlQVLULJdKlmuDp8pyJWYk5uHq+4WOT3cJosUur/5/0WfRtpVE
DpGREd+QnsFZn9jDPuh4uA1EFFpvq3gpYj82hoZlatumu01DipqkgvWlavB/koZM95Kb8HF01Dk9
yOUvv43UrNAPI69OT6Omzmwrl0051OkOJgP2qkWf7LRi+vrxZji1/bnlFk1A8k44sm/ntyodQGNz
R6NdL9tdVSvyiVF4O2kY0QGEbnwZmrN9ZgeeWtQfBl0nZv7g+oj9MmiMVujBsAEnFmHxx6zb964S
VFTSqQpG2QuITOpncwg2PynLosPHkiLS8vaDO/hASRpy3kvgk0FFaLkGClwcU5yX9wVlpDOb6NRS
OrABQA4CkYQm8nY8vMtdaDoCYV3ceCFThekBsB4oFnrZHy/liauPT1ueh0AioQXZq3xb0+y5rLn+
gwLoZxCnkl5k0Ve8Xez84IMl3FZuKQ6jh1PCqDl0P/xO7Ao9Oqt1tkziev9iQgnGGdgkt/5qV+Fe
mpdFhMsc3lw1YgiKElIsPOCLiAsj6uDdaQtZrM07e4dAH00L1PNAPzXRHVKk+t422/Gy5Kl8PDNF
5okfhmiNWPrES2q3Wo0I3/E4QQojwH25wfPaPNaeejAncDd1OCNQMuXDMTJpeAknDIHxVDVtL0Jg
YVjDmdTo1NFDXRrhQPgocMFXk9Ri71HZNV1CM0sM7FkUChGuii+SSRMP3FT6LR7J7Zmj9z4foz3+
v4Oujx42xTUEws4IpJkBkRFJvA9nyfvBwXvGQPnm88czfuqoE/vBueswroijb7c/dk2REL1hBPg4
84Sxe+/CzacbrfXLjaOjPFg4lPe7ugOEVrXp4ePR16yH16tO8AIEark8Rdef68UzbyCP0ychtB5R
raG6rGsucm5eTnUzi3ZOhkd1sTwKpRjqy9YKx1v+tXmbgfEJlKUAw6AnBB7JRoeIZ+I/WBCM0BBT
WhDUPFTfThDwarfJUotDi/3on8iE6gCFoIlXfTns0ad1z+y695caiAyH7GxJxqkzrILEwLNgSl1h
BCOtgm2GcthWr4vxGNY5/pKVceO79GYbQz59vBTvQwLjLukBSti0WNZ1Bzs03Wouea46kxn/CtVu
cWW3vDML/n67MQoiiwh+IsSChN5qNqGoOHZImxR1L3HvKVdsfatLt9gVtscwhbFXlVF+oZzwxRs9
70ysf3+4ltFJ+P/Nl3pn2dYnOdBt5tbXIp/U1TGDKPXk56wgQ0A07ZxW46m1RLaHIgnlHNRHV4lc
1mq1jaqRSeshybnLqHU7M5Ye44K9NOyORqEj3Q2g63OUrVOrSRHy1TQBXQNrdayt0KzzJGJkvbCH
G0n+Rvss+0nEOKeXQ2sAZEM3YRHlXt/VjiUhoHV8H4+FHT7fYvHe6Y5J5p2DEC0/+O2NtQy1EH9Q
piQrWF0MSGHFIfQfFkwl4Dxz1R/GWW+Drvz5uubyVcQi6hcLx2nN/2kkUq92NpkADOd5P2Tpt6gP
ZRC7LbWwia79xwfv5Jf5pPkLXxChwNUmmV00E3uHZlSVYPDcVDxGTUxN8QXmfz4e6kQGAiZq0SKk
2sf9v85ATE1VXFmlGaCF1AW9p+iTc3vutXaYt1U6+juszkSQYFD3mzaYVqBytL+Munb+0S9ZNg5W
lsDC1uHGnKu0thxaqmOB9+0QgnGJPI001wA/Mw35GMyIk96nRakC6ct+46rJBLKp6T+p1Pe6iZF7
oS5P7YWTuiojlZprQW0G3DDkXn9RFj5tyBYIrH6T5CK9yLOwPRPiTx1OugdQicnq0QBYHZsZdame
lyT4LzwaLoS1QMS6Kt1/vNjv0xdgd0gIIL1C1RxmzNtQiy/GaMQho3RTTGNZB2fIt3TbvCsenFSj
SwxQ5EyKeyrgkURDEsRSkAO0urxi9JkKCljLJTLJnVZq6tJEW/uABkL9QHui39Aq0A9uhYPdx197
KrSTOC03CzIjKFW8/doqsjrbUYkZJMr0t2VXT7t8MKDcR6Cuewnc9+PxTp1apLgpAkAkxkZndZEN
7ZjY2AIAicGWfYcPtrNHvSDaG4LT9fFQryWOVezjxUA2gP/AUq5Z7Rcr1M3BKWJObaONtGGrY6uj
TG7VsR/kVQTl1lCYcBRHPzP8m0np/nVtep91TwGKdlCY5JHjPbhysDcR198mMnBenB21t+C2Xgwk
mgc9K5EOsOLPeiitC92JjM+mNkdXsYIn7bQSoISO+HRYApFpMp9uQbNg4aZpOMZJJI65OddXzgAn
fRKogkjL6M5s57Ws6XJOAXZifUvnBcDG+mmQxrmuZGTyNGgs7Tr3J4hKBlDVOHer45iMdYAwYbtX
6FejM2c5+76R2T5J0uxIba/aJJWFJ1+rwCHWfXFVTVEHeL7/SXG3dz9ztVh9X5jpPHIEogHlDleZ
zQPlmJKh5HwmjpzY88wIxEJU16jgrSXRwoy2u1I8loC8GpdeNj/WaZ0+tbTPCKYzaLuPN+LJ8Tyd
u563GTLeq0gJAktLhyV587s+fMj1ob1oQt/Z110O8r4a0jPfd+KM0WyFv7hwomlnWm/PtCbhMrcu
aPimNuRNMmVqq1FV3vXNNJ45Y97yt9ZnjLhFCCEJhoG0WjbNTgY8iil55HXePs1RmC14RfiCo9MP
ErG1KL5PRyHu/RbF7XTsAyeFUGDBer2Ns0o9K2PcRJX5Z9I1xk090vYH8m27wPhUlrMj26ixLpUa
/a0GEYTSmGrR0QG0pY0AU7aDMMDDzijRt1sI/YC6RjfsYZtoAJG3VaXEk94ieLetotC5DLVqFAjm
wnTcwKgdgI7E9aWfFflMp8nqPlWCcgkuiZm4xYLWsvfFnEV3WWZmEHOl6X51EIQGn+RYRh8MiyDX
wRDY8u4jYXZyQ3MHf2JnkkjR4fnc/u6HWfrdQMmR5kQn1aGyY/8326S+FojCnZ5zM+9BJepmvVdO
VwLo0lrzt5yHTrb3B6fuiJOqsbYxPJUvQ1JVn/TJMfZDZfKfNUZm36pCqN/9KTZ+bTsyu80AHoc6
0KzvCgNi4rZ1rRbrOxk1L9LpYjTDsjDUt8ibEQga3hsHJbEtOrPlT1yiPP4Jvvh60SdYk/9nMgbR
VQ0lRjoxF2nhPldZF++wAjICzwWk09OWPjPmqW1PWsApW2yM3XXF24FVgb8GY+rI/gFe9DHsbKJp
19ImOLPtTw5lLdYIZJ50t5YT/0Nx3amq0DP7lmJbRwRBIQYbraIrn+eZxfk4eJyM36QEAvEUmk08
F96OZUZ8Tqd6gH1+KgLLb50rPY/MCyX966YU3V2LvcZW6V6195HD2dXW5GOXGgMB94AjSxfgeWHy
hNISgvsAs/oQmp1/+PhnnlpwuIT2gjGgJLEGNcxeM5r6NOpBCF0gmNIaFCqKUduybWuQ8ulwjdvo
mVxizWBZ7owFNAL5HskX+ourwApG0xwFvlDQlFKa3WNXdPs6dUfwalnilhsFTv0zHLkO4/t8lJ/7
xBufpikPPw0g9agLNRN65nRYz2VVr4oOq7CIzhmdZAyIgAh4qw2Sm21bwZfXg3SOsU5u+hHRpGwy
wLC5RTr+lvJ4x6DatABDaGOW3MKBqHBt9cz4uYhU/d1xi/xaxq5C26ex9dt5rFOApwLBdtigDwpX
cgUwXQ7fKq0Rn0cV2y+dNQGh/HhdT9xdNHKwIzWxFaOAuPoQxyP8IJVEnUsTYi/i6UujwFiP0JCR
sHDMn99GC1sV+j89TioOq6uLKV5EBqB4FI1u7zKBbZ7AI47GWeTe47oIv6rgSH/8jSdOs0kmynNq
8SIkUXp7wurZ66tCtAaNxFhSoy2hHCEhdwTpf86PZi0J87plyURBGCxZN5yet2MJUZX9jGZ0AA4m
C+Qk1S70uC3E0Bob7BpDMItNuMO4kJdc7l3hlVPstWpKvgiYFGcW90RV6fXtxvMNLUNQWG9/TNIM
fh06GTlX4VfEFw0KWh7NlyoGbJ3oQ7FQEioYHVjsKSc5V7N9Dwbh/MLm05kJ4A+Iebwdf8DZ2Wwj
iqhW7YqX3OjiT7M9O1dNOKQHP3esh7QF0Rulef3Z89LuEyxI2lStYqoid9iotoB5GuOxVDb6dCbw
ntr5mHy+YmzAMKy34jz6WZiUlLq0vDIOSk9u7Ho8mJoXXWYymc5cXmsHq2VjsACvZu+8/1CeeDsX
fl5T4pionoxNqAJ6ZCa42BncI+Yo2zq2hsAsSsA+dvtUa+HBbOz+TAdpSdVWMWvRn+CcU+rAsW05
Jj9caqajcmnTMQjkcrhjDMs28dCbFx8fthN7DrdAk8sMPVOQDKvrzBVZbzQo9ARO5hoP5WROgZJT
t8n6dtyD8UJfTe/rY2HH8tghbnXm5j41/Ks+LxkIZk1r7BaNoSjrp8YK5p7SGyJFcNp0vFCTME/3
dg9cliKDQCi8elSR0O4//vhTO97i43mHIf0P2HAVTqMsFXrcUY6Lw9ndoMLuXuHO4wdwSPN923vT
xVKUp+Y4ejsvG7M9daVs24U8JJPBjXa4A6aBFTu/YtahzkzNssPW688FQweGOjZImtX6x34/2xDD
zWASCsHk2TTua7KSo9XQRUotZKgmvKfOhKBTg9LEAPDIJUNavxp0xDgknFxA/TA0urpOb62umPex
sOKLrJvF1dSe2eWnkgacLGgKL6+xBfP6dpsnNvqKo2JE9FSRoPSLZG/qY0kZq66uIxFZSzcRprEV
5YcZZ/pNn/jjY+rXXzM/GTaao+ozE38i0ljocJElkCmId+XgDHX+rqyUCU0orj9pwu0OWq8+Nwpm
i5ln9ZlQs3zgep1pFnPT8QomW15dQSh3xCE+sBZ0RSffYRbAi6hbBIz8zvsHq0tc4/0CRopc2Xw7
1yppnaytKmuxuUy3+gRZse7qEmi6dpfqmQKEgjrEmTO23Frvvs+2KfzAZEUvY4lzP8QxhzMOyS+D
l+Zm7VXsKDoyEUzCYTSSYOphppRD42yTWqMMns/tUUVucebyOLWtyf08bOfQ7XgHJUwKlGiSjt8w
K9gw7eyAss9TsdENmAuRZu7z2f/94+8+OSRgqAX6gqvzWggtMWJcb22kvp05am8LUk2yphrwivTK
ANzMFCFc6jdn9u7JiEY0W8CoCPu+a4SWNfy11ECV1Eqt8FhlqdqlY+deVeE0H7wqhhLYlx7kbjuL
EFdNvD0kunAj26IO3AlOi57Y7m5AWGmrCRbo40k5dbRILlgBEg0S2NVhb+HS200eWYE9GSkUMOuP
2Ctl4DuxdmUjkX4uuCx7a733gMUJCDALpNxexXfspRrglebrInj4VFF4cBMj3YfIqB5CS/0Zu+kI
LzaXdyotm2OINPVW9V5xU4zOsPFDuSEXHY4fz8KpE8/xEwZNPC6ddYLrKNhlPL/tYAYWOYcmALUm
m4JWWMWZ+T61CV+bAQsSExH85Z//cPakj6U3Ks8AUDQproWdpRSRZ3FobSg7VevoV9L6WZfZ19QJ
rBBCAgv6y16nFAko6FjarR1odjHsplEe5rZO96h6mQA1ykdAUI8/P6Eg6wTykQK4+RrXOhp9hpVO
ArBBimw7VDbyI00lcXKI5zPR+gSqDWwwPTwH/UgeRdYqSY+tSDpGPVgUznTri4ue7AVag1ddIrut
rzriWu7Hu4i37QEnHHhZVKevi2LS90hdtezybAYGrqmjIo3eFbOBckhP8XsqozOR91RuRb2H5vsi
I0Av8O3iJ7KRadq0VuBpk6DnLr8WnVFfQqOstih6wvZxZqzdysjYAb8zz4x+oodCF2ORqIIQgu7k
KrFEirjoZClt0ldMKbO2BH7R6P2vUPyQ9aFmcaPnyaPrjdM/OF0+MEu2IEQaZOvefjacNFQHw4yB
I4fyi+7JKzFqQ8Azpf0nQ3mL6iHyqJRaVt9ol5aMwoqd3oQFTFa9h6cbmdPOq/JzzbbXa3IdyqhX
svOoqdHZtVaf5WUQKkYKl6WVNLeG6jrw7828Q2blW+QV1c0Y+cllheMMHTuTpAlCtDP7GK/PqHM3
3U4vNf3gNw0a6IXFyyUcN0aGhLFL8QAEUjZcSW6LAwLXcKajcMB6r7J3Hx/UU/HIBwIIW4gO5bvS
+1Rr2SyT3l76+SOE3hyAboHnTyWQaOhk05MVwA38eNBTbzlgsIhvkcuBmnhV2vghClra1KVFgwZW
WXXxVUrkgogPIGUUZRzUrT4FVmY/oXguYc61GWYO5U+KcS4xkeC0AAEXNf93SLWIdlqYCnaK0oYG
CFKu7pQnfo/HPD6jdH+qOf7jUOtGsGOD7dZD5hiuRnoEYWNtRVh6m94ZIFI1/nzv2ql2PRtOCyQs
HVAT8sPLPJbWmaTr9LzDKREoBAEzXb+uqGb7YxKiHW7IHpxxCwwBAv33tBi8vZuW7UF0Y7fV84mK
g6tp2xFnhzMn9FSBh4Ik2402NXCkdXOpRJpbi1PDhrI/qK3VCrgjBjIZg4kzUkEKsHH6ft5b5Gq7
gcLuMbOseqtQ0d1O0EPOLM6Jmx8hTWBiBA2gauuaeBUjot4DRg8yeg4bz9RS5IawbB5q61zf/ETq
80rTW1pruEquEc3FkE10aNhxSelHGzSk9Z3ZDP+g8v7jKGvh10aKqRjM2g5qPVykFiKCrdMr9JW0
s0u5RLhVBFxEy1+pieynNdZCeKFAaYa0aSqm9qtLCQihBj3dNADgj02fErEMozjq0ioOnoUImq9R
X447sJUN4pgHr0uTc6FlifDvfhMbC/lHIsxCfHyTYEVj3VTjctkg7+cCjQK3F1mKioFZV3vTzes/
YmzBkFcp5puhVOUxqpvokAyteSaynsisIfZARKFzuNi6roADMql9o650G2VztwnqeIDE7Ev7mM5+
cR8BKzhzuE+Px4BUCmhrrjFoDmZxOB4t5ypRAw2/KrmxOuViy4lZRBmlzrlUfnmbvptpqgS477xW
AVd5l7Kc0KlGuEtKv7etbEA5Y/witcE5dFPi0djI0QurHITzY5lUN0Md+ft4bNKnqB6in1Oceo3m
GHgBTEFO1353F6u4dLK5xOxt8VFGv8idD01WVUHViHLvRKI7Zyx4Km5QCgQ6sLC2SDvfbjNt6kvV
lL0V6JaUl3lWDAEcUgSk4+rcbfmawK4nGjF2wiVBgSi1GgsfeTloRg2SkNrvTodfRO+3GXdR5qDZ
VMgmcEsq037aotwzkTdmHWx2wO7avtZ0dH6aQe5MFMQunVYpdFKq/NrDR2+D8eC0T6tCC+i+o7Vh
m8UFjkkTPraDtZ3srDxUTh5ti9Hy9pEmqrsM1uQ+igsTUIo4V187kaBijLYQrZe+6DtN4dnG97Oz
ZyvA7wLNQArMgRlF7qGitoS0QEtxOY2mY93N7ZlX2amzQ04M6xR/Ux6lqwwVgpLv1XaEJqcnmkOn
yuZeutriFpKEvBJ0/cx2PfWlWAkJHWVS2r/rjNhScP4jgMUQf7px0/YIQdZadA0Kpj02SOWhfYAi
Yomo3O3HmdfJD/3fgV8ThB8Sr7R3EYO3K4JEg2aUGY/IFJcS9CiosU0ZW+7Fx+MtE7feuksZjf8T
NJzXz93ISWiO6SAtAAGn3z2n8C6TiczSm6fhMw3a9CZnN2FNKiT6gf65NuOptyGryZMXKVeAz+vb
QKtrPEDI4IM56bB7C8v495B0+LLM/PEYFd6wbRuzvchHO8S1oTUvKngTX0Os+TZN7su97vQdRX4E
zUpfLxCTMOWF5Ca76BHSODNXJzDr5qttH88XSv/84rcxJTEStv9Uod9im8kFfocvFn70O084zaFa
UOhKeMMGAaEcHNpo7r2WDgSUav26MZH3GCaR3AyVsm516Ta7ntz308ereTKTJVVmJon7qMovUfGH
7WM0WmUIRg2KSosL5Ewye4c3zUuMttl+qNUcAPjwfstk6u4tjWKwK9zsTg+j+szleir80huBCiyw
EAHH8/aH5JFTTzgS0wwaG/tzyMsdOgl1vQ053uePP/rUFv5xqCWt++GbMbE22tGBeWYbPNrbxSky
11L76M2hvHQ71z10vf373Or6Pp6oYZ5JaE6B9JYXO+0gyCK4pazGj/tE93EuAoyVSjMYzCnfdYMO
zdp2ymMHZeVX6ZnNtYljD+lOsvjDF9FRIU6DAk3o/Epa/5KbySf2r30JPtOBEjHaV/YQ1df0gKav
WuaCjk/cEFUYq9mYAzJLUTcbv3eT7QU43rdozAmudyctD6PfA9IxZXEd0hlF9KXx9lWRW9cObehL
pzOrfZeZHbplyNl9vBCnMAMsH9rvPO0XG8XV7mMa7MJAPyrgyuoeoghyL0Q9AeZYhlvkCKzrXnXi
0syn6ibpZ4XZnBqu5rh1t7Flz3elSHqUdcEtWpUQQae6+akaXPNOdqo4oK5ZoE6YTH/OqWvunF6c
66yc2rTwPbAHIFPx3DWIlcrQYJi5ZwQtrgvBlKPIB6o6PdDzqM9cMCee9TzpCbtLEYQHziqUOHbc
e11PGw0J03RvgHYB3dLltwrVqI0ABxJM8HN/ztXnNQnzCA54jfCBoAXenhS0CXK4B7RpHJF1e6t3
8qdhEF8N0GH/4NUG5GJZUzzXEbV4O5KRCx43GiPV9dAeUeu8DP3evE+FdS4zOLVmS3ZLK5QmDRia
tyNBvqjg5RKThzZTRzMvyt3cG+HOFIN2Zn+fHAqHWNoE1E15JL4dakZczgI3x5rZ+H+5bpXt0fGN
gzjyqjO5+4ntQe5KkxXOA66J6w5XPjnUHEN6EnUjW7S+sUx0DKTfAL/CtU7pqE7a2V7Xie9z4NJS
dOHwL2iGt9/nY1DhFco3A3fwfPwL7AwUFvJ9duafK7S+sstWeQdvTGIm23DBUa8SugZVET9EHS3o
/bo4TC4YyhjcyE6PdPdGiy2UpuB/77N5ym+zDsXrJCqqTeQtAgVelAawUpChzkrqsr4EwohASMCt
7eznSvOuQQl6DzWoZuDQVvmnMlt5NWdhgVRdKQ9xo758HPlOZQYAYmiW0QSlabBGSxm4xv4bagHL
qLyIITVslNbI6zqr5WUfKhLlDhlZ0WTJvkqn6eCOenptZxhJYj+RB/qQtJi8DdZN0yO/rflu+fTx
TzyxuEAKKS5bALqQ7VldyF4fJ4Nesnk7/FUuoyhLtjZ0f3QYtXO8ihN1lDdDrS5EamnGQuQFtT6B
fLbFiI1qpIdnQsyJa58eMG3nRb5i2bZvd2s25LHTUsYC+OBA+hZpf2iqTgECEv4uxrfngdQ2+dUv
LHUEg5ufOaGn5pN6LO1KKvbceav51Dsc2FzcRYKxrhGWLePkcrbbPxD8ag4/v3IA4BFswMebBHYV
4YzWAkmywHgivHE+lZYYDnWHemZlWX/ZPP2Ugtj/d64UlMUJn//1H/+Hd3pfd01bl/2/ALvVnfrX
f/1rh7tk2XZ/CYD9qP+1yNfwp/5jWeH9QhMUtWVMDLmgF4jsfywr3F+WIg4cuyV8Ucz5H8Uv20Hx
i7cBT06gcaBj2LV/WVbY9i9LP3VpfEDNAd/r/5Til7eqo7Hz2Q6MhS0pnoGk2m/3v5ryokZQyP1c
O8ZL0ePY7eo1QKskSm/K2TcRAk2+R1URHlNP3M4Y0u7DKL/G9dfaxEZ/00WT/YL7niywmqGgOrbm
wwDT7gE9reo2n7zxyMltfw0Tuq2Uj5w7Pcmdu6znNWrP+TXlw2gjsrEJ5g7Kj/T96aqbwz8y3XoQ
KokQuKue84jWsblU8YUuXyYjlttRCxHY9dSnfJJHdKh+N3rrQSkbVSS3Ubuh6PNtLmZA6Ln1ILPk
W1dmX8Kc3svk4ZShD95jjdvtxjA0lFIBZ2zCDNR4qVPM8kEZ+un8ROfusxnlX3g5jxuhPPIC7Wtk
iKPdZd+7EFnBRLdv41nuTc2qjxaWnBvLbH6batCqZq2M57xKvyH69dhM9oXS0ADWTQYfG/c2tLVL
vRMabRhlIYQfXUVdU9K5Nb0grGo9MBLUpmNjLg5626t9F/HrEkOMm3HUn0LJz8zy8LFzM3djaFhl
FBaTVRXZ99BErLH19Sc9ryecIJoG5UKj3QnJ/wx28iK0ptpkSDTTDo3VXWhKdxuKwcPNo7hv5lFf
1HsztMnL6EWCkNuMcdFd2H0Tfhkg1j7LBJ1F0FrdfdZjfdRnENtlqQUKzZtNOWaUyDqFd0Qt7Ut6
D/XRB+0PMRFExJIwbPFpRwt01tU31ymN506xA2Ih5609Z2pfzTWFLj1+oVr/4Avt0hj4aBHhIaaV
0fdCi77Hlvweq8Hc9lZxXSLCg9UIUySF3WBM0oVHfZy0i7jXxh3bJN62vtQv5KB+FWmBD4YynItp
ri1Y6YnPrqUNNo18PmchAqTR37RZPG2ioqBuY/bVRprTU+9F9qEvNbo5Bqi8BKGhS69AxbpoYus3
yJ4In0dsMBk2h1kfnkItm7ai6aMAUupDA2UZa1J04qXu3mpN79zGyq7+KDSyEeXVCbrc9kPUFWpH
C+sB3/oXfOufElw5L1JVzjdq0MbPeYfxSovMGjrAU7215uLRdXtz12VafCGQ9d1QH70vatCicYXu
JZBZbFastgH10mco1YaPYZV802b1qehY/TJhDlLV+NvXOS9U04PLcR40A4XlymsTKE/R1ZCqe33o
b5DjvDbo4ATzwkAOly6mKAVSvgWbvWnZnc7oHAANI4FasnUdg/2oaYO89nPv6AMuDLSyuK8sET/M
iXtrspqbelLP2mhmKKK648YqnYuyLT/pBcs3zuUXXAKfaHRkSGibT2HLPpmGAiMD/OJw5Sius7qw
95jOxweQumw7O3E3qkk5EbHXPDZ6Kqiq6OGjaokvSZVb1A2cXabVu9jm22u9u5Fedj0rfq+Y/MfG
VPdlz37iZXdbzXyTPjB6FOUIvg/6fGHIFtcNs+23pZN813AErjI0gi1T5ttqNGnu6qG2aWst3sIq
C7+8xr/Fom1jFxnkZoDs21pnF2Xh/KS5MFL1NsQ3gEXauhWi8YbBGlcZLB+4rw5KSvG3xrQfdI0E
mrdmeVfkhU1ZTSAmv7gdI7Ci7XRNx/UGCBkVC1akrLFl38gendONFzIlpcE/lzRYERD1CrxNCB70
fZ8Lo37W8kbfiI6QP/mVF8CU+SRqVW2s0W6oKTAxuePuHX00d1qcewEx9QkvskWE3XsMe24BnR+z
EUX93EXcFCr8arvR99wZ6mOZ4f0ChrLdvf7twjJTZHKdY9+JR5wK8b3BMhlmQPpt6lFkbMq8CRpJ
0jtAiNpHAzri7WAdALo/hXHy3WyQGZ9DiCZ+P9xUhlZuMVxC/7pw4m0ZZdcoUl1XOf89t+et3ww3
VhiOu7nmWvLs5AvS7c9QzczL1sMfQdfmJ9W4MagjNiJtTLT1h66iCg6/q94XvpZU+0SgyLNtkrm+
8SEq7GN9glnUm/jh9d6tpayHfuDc6VJ98rEKqbTkc1KFHbGAvZBWvgxEt1hAh5W1MQZCkTOndpBm
7q0hZXaRzUX7CUV/sTNbLCHwP97hc2dB4GieM/hwl4ORvCgjszZoA5oYh2vTlkKGdZk5oF+kaY+I
SHnGI5x3BFgGy9m2s/2Atq1/cDLNP9LR2cm+aDABVaxt6D5SRcTKGbAh/j/sl6aNvs99Adq8vB+d
9MvIz8LZkH85ceJvEhWprTSL66SanrQWjeqyqg6J2YuL2AMGi0ZDGrSyfqYD5KN2zky0nvanL/l/
Z1Ig1Jx9YR88FyObWtji0c/9P0IteqFvPO5McyZ6x4OOIvwc/hqOBRLx05PM1HPYTP1WjUl9YxVw
fp0G4XTf1f7kplnkfOPvmo6yWpUXyGLn+RdDCy8n5dLNjeSLJpepL10ikMIInB4GPeexeR4X/+9Y
8hsNprmfQv+IZd7TWA7hZer15a4c8+RBS9FTKAx55eq4SQzTlO5qG/lTimIv2Si/A6rat618wWeO
UFNG3YWmMpwZFJ6AVsSv8wbuuiGGZoRN0niw9dncVQ6uURYV2w0XFi1hiLT0PgYmSUu++zGnrdZY
O2PgDoxdzgwEgG8I/1/mPFi2fq49dkipwMajcD47y4S4BOcuYe8bKk63Mh82EobvppjgReuYNm6G
epnBqC+DvpUu+1sveffbTjjd1L1hPxnIIIA9JOg6g4qmwC7jb47Fzdtq2b0qLIAiOHDXFp/uJ3j/
WNr4lNLR3Tgp4ytMwDdmGj5G+I60MULy/lyrHfCXeDtXwjpg/K1uZWtg75FF8Ab9YrxcIiXoMBrD
hRd+rXuXj8ma5yW/a2Kw/THyeJhOAU/Uya22XkFSo6ijBWZc+TBuMIsqG+JsqGMBoZEI7swsu25y
42s5IX6XoLKelzEFKd85tEufl5bZS5w2bD/CVZoS/XUNE4AKbbaNFRblBb3U+gbQu7WnV2HuItun
GGARIROAiGg2szWFPWabxCZ2a7B+bym7t+A59Ac9EXtLmsZ1LDg1LZPpgt/edoO67wd+36SD8oxc
TDNmFHWBAREj44jp1q34Gwo9MfIzXLxj6+ALMfFfei3hTBpus8lE9KnXzA5xGDZqao/4QS73i2vJ
l1KlX+TgT0hxkmJHWe7etFaM14jrpwt5Jd6GYz4EUeg9epFFOu0WJeV7RLRreMtOf5i/hbW5mFVM
2jepc5nZKqcHonHQs9Aej6/BMLYjBMJC85L6+/e26IcdfqPTlqTnqVdhezGM+IL4oZXuYpr/gEgz
fCpadjBsh+lKFtxvS2CRA+tfjXIioRaPc0O+PM5Rtali1w5iE6h5VXMTJcnINKaudalHUfvvV+9P
PUX/b0rVf/tv/T8oVb00ZP7+pYrOf/H1xwfp8q//9Rq17F8ApC6NbP0/b85/v0aF9QsVHQDClNEW
gPDy5PzLQNHhH/FOpVsLrJnWhE0l5q/XqOH8AnWLghU9a/jVqG79zGv0bcVH429zCVCqXFV62rnP
QY/78l4vhgGDDlzxyqE9xyz6u7++KrFQzgvrsUXRN/QnMgYbJ+Q6qbP9D1N8/++a44/mj3/311dl
lbR3xjzsDe8urenEiC4ZN11oqzM9w7/766taqhRm6jrKt+/o26LIrcU3VVefo4/+3R9flb6iHECo
0Efnzmn8z5bjfaZofU7n+G/+9row6yW1G1dotN3lUXTAoZFnhBH8oxlfwyR4uA2YAVkYg+j6IyJu
Cc4FpPcf//EVhO5/9qJHIefHNuBQun4ies2+m1SZ/halfndZ623xBb8PsS+hOCDqX1p7VGXNixg6
IjRFNznTYPm7SVt1BmpyD4Ncwb7DFZZInjgXc2/+8fGH/d3fXgqRP7Q389BXTTiyIM443FFlGSh1
YDDzz/74Muh/c3ZlTXLqTPYXKUKskl5r6dWGdru9vhDXywUEAgSI7dfPKc/MN91yV1eMXu2IbEpS
ZkqZJ895ZpxWhHRxNAcQ92yqAwoiaVNjtt3NuOW/jPgoInm1nyJd/+z09imug99upi3nHb0eHfCs
8dMtx05u0YyHtu+7RYY/lbdni9IaGC2zwk9xtQ+vWo9QEHbLSy2Qc/tpOS+NTZ2Ho/RTMfs3uDl+
KPpLqIozptlfJcG2B6EZVw9KkR6vhjyEjMbFQflz1lH1fH5WoqCO6RjglrnOtajx8AIIx6zRlLsd
l79mPAI9TWzqiwe5jgWgL2jmB0P36e0DYw3P/Sc82IhmYrIG8Ls6f2gi+eTjhXcoZxWhMiT9FQ+L
ZrqayeD9xgjZjHk5AMUEH+MjoBzLx5FDWSdCNzNy/KWWS4OTKqwXMuo08+R1X4T8xm86dfv2Lz23
Tad/f3Z6zbRCiZYVOh3r7CNAze0+3jLHpGkTs+R+vgECBZbQSAvUjXT3Yym8C1x95z7c8mloUo8a
BKRdWgKX9SmEyl+5VNmF/T9n3MrHZsOoIFFLl+JxUpUoYGcC8pxBc4nq9Zx9y6t1MIciUsCos8qU
d1KZYg/h1ODJaU9t+JvAxbszS4YikvBR/RRg9ouWYP36tvXTsfu/nux/XCO2HDuYlwmUawNL56mb
DxighZSeaaK7CMMGh7f/xJnlia3kHGR6KjLUe9N4jo5ZWAAMGThurY1XD+YiQ90rjFMTi+I6ENVJ
47G51Pw/9+WWr7Zr4OvAW/xUQ/QuzlCryqsL3eNzpk///sxTmxjjnxuVbQoxpZMsVWTWL33W6f9+
SUHT53V183PmrfTL5xpgUMDB0sDLbjl5WkZ2fHs3zx0Yy1MzqD1oWq8sxXszPGaViD/7aChAxNJ4
n97+E/7p6vTaobQcNia8y1DW4KlioDqqhTfc6Xz82I1s3Ae8hLT4Apqoz2ULGchN/7vJPLjWS7R9
WoPB31Fo/16PORTNUBJoIDEJXWwkRK1QEl6qD/kw/EBbGeI4XfuI3u0tL1G49TpQkfZa+eJuKf3P
b/+Qc7tgBQYKBbZek6xJR39b96ryR4zrN5ea4Wes24yVc1tOnfY3Py2N/DnN87tq8j84fXhkRQUU
JesiJ1qkjMxfgnh5QPvgl5tpKxrUDWrh69aK1FBfocKFVhZwbm7J1WY2UmsTFnKB8Txi9/H97KkL
+en0w185kTa6LTNgHhhhFIKUNU2irh4gAggdVOyvfxznVv8DOBskGYkXXgCLnfGz6LTrzwJEMAqj
chSZU0CS1ncaTFx3YoO2eg6848FtK+wgEXoQTqRSpC0O/q4T9Xs21W6vosgKE14zRFVR9yIFjkM+
LShBfzUZtAbdvtwKEMrHKLYfIGvxCtNwfvu984sLO31u3S2fBQmRCutc8bT36jKJAgKiRYy832eA
7O3f/npr+vw/SddGeFVFZ3izBTydqppB9x6SpF2MindRlsPT2ETtB8b76UYpk/Fj4XXbdVVm5Di3
jXezyc57UOuoUYxm8XHpZPPz7c86E09Cy+mBaiAq72iULkFBd2FYXXtx98XNtuX1VRnHfRRI3AFE
dcMpiDk7CRFPN+OnNPLMVVD35gGGnXAJqHr/KmypvCom8dXN+OmcPDMeVh3EU0fqpTNDmSuSdXxV
tr08ulm3vHzzoD0908nDcxMdhK6n4svE88wtjP9Fnzx5HTiZSj81KL4cqzWfdgRYCcdlt1y8KRYf
HPJZnOZVPd4CMPupFtpcQHqdO4yWh2M8PKz6CMaDbHqMFbQTyz5yPIyWiwOzLudaojaxdMu9FN2h
kfrm7f38A/x+JVHYc4TThFG8NtdxCqLY+r7nc/4jBGvPxzgL+700kqGlCJ2Nx7AGWQJvS/ax3dhP
kTfqqSnDce9hvvhLoVcdu+2SLQsG3qllCVRUpyBJR89/Apj2QzmFsds+2SOaNAcUTrW1SnUErD31
f2yxuTRjdeYM2JhbT1cAbAOomOYNk1fz0GOCALJ/jgtjOXYmsoIQzuq0BGfNe877HcbvB7f0Z2ui
edIboIwU1ika/x9Bhw2F+EsaPOdWxcraJAblTTbCNC7C79CrgU7OBXjjOcuWQ1ehjvMthuq2oPUP
0LxdDV7leEwsd1abUsPI1i0lhP5ooLS668c1P7ztdOe+2/LnClAc2q9+nS4hessz1BOvoZ4Uup0T
G2s31LzCkDPP0mzpsgORgB2D5291+3Z7VJGZGDCvstxSr2PiZoFs8C6X/FIn4pReX4lGtvACLUDE
pjPKU0jr/N4a0CzMdds8aha2N4HBGCEYPza32tOfx9yzRDl33hSCKpenq2ny+xbNz+MS1IOjdctb
BQfcsY5UlTY+XgskG5+oHC4E7TPnx6ZcMjmNWDOgQGFkx27R6QJQDsycbqHAt/y1mExVbXNWpRA2
Ga6VP13R/KKEzrkNtlx2G2Yvlp3JUsDfpQ+tntq8j8wM/bZ2nAEaCbqSn65xxaVR7nNrZTkyjbbZ
BNmKXxPjyYkZTG88FCtA9hfuxufsW74MxSHoIWLCLh0NAW1jqK/WHKpnToHCpq8kHq/mENylKcAy
AEWMBVryY7RcOEbnulA2Gz0FkkQGEIlLA12aY8ka4CqAjLgGWCu7UsUw3ulJrLjQB4Dx9SL8PbYe
bn1uv826YZ8GRoC792SqxnKH2f2bQFyaTz2zJzaLKtTwqKaggE0BuwO1fvh7yQa3q9ifF9KzoKEI
CNIBONjSsNZkZ0p/b4xyjNz2cF6xETCyq0Gm4PLNMACfN/vZd4tHf1oNzz7cx9b5M5BqCWR9AXrF
27DFhLnjXlpevbBl6pDLlpTN0wmclCfxoi6x253bTcuDEfAbqMpJid43lDZPCK/o27hGlwYCz5m3
HJjnPnTy0EfGzae47gTo+tklCeEzpu3B7G6rK+gKhmVKGaClOwWWIdymS3Lt5EG2JAvbprpeVY56
2tJB/HMUH83SOja4TqMGz5+RXi+rIt/oAuK06PMY19X+RHDudl6o9QDuCrKhPpAv6Tbw4eivM3Bs
gDMc3NbFSr1Fh8OxQeI8rZkMfy2s6oF1nbhbjZSeNvuZIwkSraEe6JbWRf/b83UqLs7Vnz7wldsP
tTKvj4HUiQLImhbrUD5k/Wx2XVTWn3o2XxK4PXckLU8VdWx4yPSYsrgCDlEDlF8oFbpFR3tQtF9a
jMuClC8t8FK86VXH3+NVyS+EsNPpeG15LE8t8mkAIE8PKSua8J84EPVBzrK7XvPMXGuTV/rC8Tyd
8b//EMgjXm5xPINgDGM6fapHGgO73rN/mGq7zwtf88cx1F2+g8RAfiENv74lwDm9/GtCBF2u14En
voY6iwBDeen20AClyUvTgYzjraCLTjEBBiUWzpe9jiDX4OJn4PJ+aV1WM5e58nhStfpd630EqNzp
YQc5ypeW4zYE1kCHPAHRAmQT5uV6C2c3pAce5C+NAxcK6l2wNSRVEAKGXDGwuq1Zf+22KJYPQ5Kq
jiAJShIoY4Ine9ijBnpwM235bgO6LTJTnySStTf+Rh4wK+B0i8VUubUmoDxeWtRTk1gtAPJ7oDGV
jgtieS3hGG42/QbTpvlIWyAwJnVJHvyM69j4LyrRtm4LSpKCRMG+AIP0blQAgDqttw0Bq/2gjPsq
IknZCrWTFcFAv1mcCgwY0n654pERGL8bDAHVnz/vylZfZ5grcdtOe8J3mgSGMNeQJC2ZPxFa7vMq
v9BuOLfklmv6ucymFTfVRPP2CE6PW6mab27rbTlmbAYvbji+emjAMjB+HmjtuB6WU06eERHYvklC
qXo3bVB/GdxAaRBHf7mPEwd3yJbBc/wx/DD18YGz0e0OBq7hl7Y9airQLuCzlxz8j2Y5Qk78X7e1
trwy94NxbcVI0BrkOYZvzLdo8Nyit43sioRe1dTAdgu+ot02Lw+hbz45fTezkiWEs0kNHUqSAFL3
CEpHdDRBreHm8DaoCwpPoJqhCw6gZjsMQ9yUa+B2Am1EF6ih+8qXQiTLtIJmZ8Vbw4QgJnRbFcsp
MXSgQX0546C0y00ckQNq2o4fbjnlAP3DkoQ0S0bWHHsgVYDquUAjdSaU2PgsZDAf3H746mJqEtwf
yNJduCmes2w55VzNuemziSQrJCV2pywccv8Sl84545ZXKoy6GojAiCTU6yevDzcAtEznuNyWX+o8
nEWrpE433xBM6ASfPBJfAjadjsMr99q/kFlj3hS5t/VptbWfSxnVVyvbHoG6J0enc2iDs4Z+HES3
KPyBrsQkig/iKxAG/v8oG/63C+3ZuKyo83AzCWNg7sDWg2Fmb9ecdH7cPt26zEbl7G0QF+9SyU2w
b/Ie46DgzHUzbvsnPwHggg1fHpn6WIie34Kb6FKD5fSJr22r5aI1xBjnTQFE6cnFfI8EWKnbrTM3
flVFu7rFUP6Fw3nu/AQv81HXsgW1Tg3cYFCBC1miknscSSAwIBzDx95eq3N/xPLdbAKNCp3WLgUZ
VPUQbozdY5T+R1Nu0YUb6SlXvLZetgN3FUHbKAKQJ8Qo3eoHMYip8lAmstu8R93X5KBFxK+Whl4U
JzwTNGLLr0uQZDOCSSvkxOAJrbxy35D+59srdsa2jasqmdQzz3STQjrWvzE6rq7GKgzcsrkNrYJo
EAm2LcOrI1/Efdhvt6AFc2uzgfzTOlEoLuGpnZ+Q/EXxvgsz+rh5cnPqZPwhxXheqvHjPCOZ2CYU
O+RTOM3fZhOpC8f03KJbLp0DW64CXw6A/FUPWuYPU9y5QePB6fFyVeZmlLRR/ZBGVPu7ruquqNy+
ux0Wy4fH3geNhlRDSnPzE5KtDyDUcjRteS7YlXM9+fWQDqbN34U+GFOBLzMXyiRn4oItzNcOE4jr
CJ/ShmPkEoSKeH+UoJPb8WlE48htdSw3bTEFvfanQnbHSYdhy/DeG8yjk20bRAUKEH/0ITyegvLo
jmTsm4nNLzfT1q0YMvF9NI+KJ8tA4t1gvHfxENCDm3HLRyMIwsfeVBbosq8SDAPVI0Z83I6MLeAx
Ar46YZJ1BvrEPFRb9p2NoBNw+27LQxdtWC4XCJ/2ehQ7zx8+RNy1FnMaVnweWsYSzMCmUyIpShyU
9SSvUkIEx/HTLSfFZUGCJ6gZ0y3m76BT9i6T/ZPbqvgvP7zJJ39pAtKmrEVsCddgF6DS6RYUbVI2
PWUk1lr0aRGJb3kYQJEWdTy3R47NRQ7yW1zR4q0Bwko/lKiVyuKSa565QdkgqBa7WXkSGZTO8e8O
g/nQAIu/gVMhvmmZa73URjZFYonibCX4KwydDznGV8yEs1uatnFNjRfPmEnJZBo303gjvHI/Qaj0
wo3pdKpfuTHZwCZZQ6R6FR1acCwOrkvCox2Gtt3gDODifHkk1RAUcp4KmfoFRC9b9Lr3f+qETgfe
RjaptuVF044lGvTiCbQNxY5TNwjJX6KFXRSBcs2nZbps5fUWZT83ome3GGDzX2I8p+63iZcpJDg/
lOCBidbWrdEM0v2XK35i7656NpXpkBn2XoDk5ltYBORCpj53WqwkKlSpCCTiyzSW5JGq+ReG+ye3
VbHBTWwoKxKUbZlCwY0g09ERQu9l6HbObXDTEHSYIgooqCQ4/cIjiIbUQ+sWG21ok4lHhulznafV
CvD6nJc3oc4u6fudWXIby0QHDL1Pw2kilpTZni95sYtb8dnJg/7QYz7reAK758smwpfTcgFjRqTA
7LDEleO6nH7SM+v1BsnxiU9ZArn2ct8LkMks1epYT7HBTEyRdgX5EOpuUnz3ubnTnnpwWxYrk5J8
2OoW6htJWIJVPuifWO053kNtja1pitepG0qeEBnRo1zG/ND2jXRccstBw7BUlbe2DOUx8QU1uEM3
xZ+cFsVGLHVmKDSo3lhSqbmFhvtKdmXluOI2XgmYARG24FpLWmiP34Dz/5qstWMb1iaX78IG4C2w
eiXgAOXfF7nG/y4QeWNugcvGJLUd9bq5kGGydppf9Sb0jqYS/7qtupVBs2KQZB6XIEFP9hNbu/ut
m9xu6DYmyQc9mYzBBpXkveh27d6XseMF3YYkQS5MEoDA5gQcfM1xAqtubArldlu0SZ23rcpoy/M5
CWd+T8JTIgrcqnmelT21kE045d6cRCsVab8FVF/V+cjcUH/eH7jes4i4as5bQONGcD5WoIdHaXJf
j4NbMLcxSZjRovWmgzEJyADCpWD7LVbqdgxtQJKushHYY39MSOsflyIHsVHFHUOiDUjScgomGnhj
MqvxZjPk0WSXrv9nsqcNR4oAg+kW1JKTjkMow9uCfAeI0pOTb1LLNwtoRS3ghhuTvGmuYiW+igLy
Km62rdxZDlBxxjTikMQyVHs/rq8wxu141bLRSFBLMFuVsyEBp+8nMJE9sEm5BRVqpc5q7vtOtdmQ
RNAHznceN97tOkaR2wXUhiHJ0oCxuuUn88UvRVFsjWfhmDyplTw3oD/nCWRkiQ6KBUIBNQOx5fDR
ZUOpjTzy+FRJFBTbZPGFv+emANtVn7u5ELWRRmE0bPB/2Sbgt9+tpj6Ayt/p5gziype3OMmLEdS+
ZQushH/ozD8+XrduSxK/tGyEUtE4wvIQgxVP5Ut3yMGl5mbcck4wUYV6lEuTLCJT71Q1+3JvqrpQ
Rzf7loMaAe7rafObxI/XDNpJfjiALLfzNjfgDhXBy9XZ+EDXQAdNMg7F/WSGpOGX5IVej4pUWE6K
dgUYZOOoSWooUpY7DwhNtgMxRet41q006i95UJNIq2Tq0I/cB/3S/OuB/uvRbektP/U2k2EIZm6T
qJ7az6TL4t1ElO90B6A28ihQehCFl6tEqOGpivQvE+ovTh9uw442XbNu7aRJ9Pq9GejPMGROYRf0
l9ZhGSIQBlewPM4eOEI3MDlSp0xEbcQRWmUm7OfSJBMFL2QT0r3Me7e7MyRvX363jFk+Q7h+TDIT
NT9RE9k+4SHglJ+h9/bSOM8xJg891iYpOeb7Icf0MQZ5rNtWWt4ZjzwveRY2SbdqcVRDvdygLk8d
rVsOqut8EpRuUB/f6rtoM8GhELNjZLSxRyuoT+fa97qEbiAd3WT1geTi19vLctq3v8uJ1FZ6JLNc
e5TNYBtS7nfZGAQ/T88vKOnMrdslmtogpC7YeFWGc594fdyVu2ya2y0t2yG6RERzJjzaSKRMYTJ1
6Lc+4TmJOnCI0ui4kjC4sEbnzFu+up60zWewiSdbnIPHvmugaA8llbc34JxxK6e2oNPnTG5DIkv9
3l9ICkEQJ1wjxC4sd1KRMnJTuHtN8klM/XUU9W4xl51+zbN3UVS3G7qLFXKcJGyPh+OTiskPtxWx
PLWQI4TgQQGbTCEBtmQLbpcBbMpuxi1H3Uy+FSTIdVLpYPnAM8jUr7LLr9+2fjoRr3gTs/Ioi7YR
XB+kS8aGivYg2ol/b8tiKXZqZGYf9abeSxXXjlcOZiXWbVh0VmqlE7J44T6r0aw6cgBj+8Pbv+cM
mw60RF7ucw9eXBpmQ590FTPsn83TdHrPx6z5it41N5/AeT7xCnOzOWuuwX8HOhnwmtDu80yZ39+F
rA0UNA3I0N2hyg0lGxTnzLobO+jDBrMXbKDqlxht5NVEwFVf5TUUEunTMvRivp2zlan7koyBuZ7A
Cb7Ly3zxd5oErHU7DjZKyvisXbvF75KCddfAdH/tl0uv+zMjfdTGSPGMT0FBOp002mzx3SJayr9F
pMTzh0M44sQjtg6fWnAZz7edaaAK1WcDWOTmdggu3HnPRHeb4kryZs56vumEQSVBHEduFihFbKXU
eBgQXjquohVowDTtgYQ/0AmHaKzwGnaoYhDlvX0GzwTI2Ao1UDdWhle+TlbamUevZvpYQL/8wgqd
s24FGz/2wOtXjToxstBPjVLBVUlM9cXt261oE7N5q0EsNiTBmrWgAR+OMYbA3TJHbAWbGeou5Wg8
nWi0M8Fvze9qRtyupzZGapvIuvnjikWvMwyqCKhJYB7bjQ2Q2igpGkcGAjOLRq0ETOJ+Ht0y0l5Y
8jNH3sZImWxUUzZlOsm2OtqD0724ZSUDv5tasgsn0hIh/V/0Iya8X0ZFsJBDUm6jCLtKqH8geP/v
pLLmBsES47NbvnwDeWl2TyAKDhlLuu6GSpkbI+hw5WlTfFABVEKgOoce4iLZcFtkPr8rMJve7zz8
14WFOHOybT6rmI0QSA1YlUDO7MMWaAiTTMBSOx1sm9NKMYglzAxuw5b6d5Gvt512I80BocrLxQ2C
SW3FWvcJVH2PJq7uwTrwy+2rLWdnBOTBEVjJE7/l+h3Ohrgxg7qkLHhuwW1n37wWhTQE20HO7yl7
yCJygc/rnGXL06slbrPWCJ0I7T0xU8QpYXL96LYo1h0Ck40LQKs5ykXBgsv5yps9qCSenIzbQKvM
FBgXrlAxEk1b7XnBIWrAcc7ftn7yt1euWzbrVBEtEF7J8z6hBlVLoqLpvVxpczdEUX0HzdP2M64R
xgkiT0PL6RvRBd7QIQ/lRfVvX9fTvsyW5frtX3Jmh23w1ZBXSwDtoDapsv4K3cUf4HtwC+W2tG/e
FnwaQDOdbNVw4KK98or5QnH3TKy1kVd5Dp6lNurxMKpJtm8NNHJX0gLHC6iwW5Kzaag04x7rl65L
Qo/c4dF+3feb2/MITPYv3jBBoSBaSbHmJZuizxUKMh+WuPsfPYL/J4smpFpfWoeGb1FUNU4+uHrJ
vi1R+Z5ax1qmjb+q+6pcZoJABsmr9qqGQPSO5fyH01m0EVgok4ZlkakWz3X2K8xnuVs6Vbrdt2zg
1dzm2UorvL/iniwHkIGUOz1Fju8hG3mFqR6i/cq0CSXl/YbJdox94rnuti7WS32jqjbzgIZAuxVf
O/joUE9uAd6GXWW4yYlqmeok1mS8G1oBddKwdzvnNuoq77Jlxvxem3CIvIDm+0vV1J/dlsRKqFsB
UayQw3QMuNihrPOfUBB066hRG3Wl5xHCShBDSyoK8tMlzr8Pm+/4qrBhVwG48MlcInS141Dd+CF5
4Fk7u7UyAiulDv2cCRXQJoHuVXtcgb86lCV3204bdpVLr+ui6lQkJeMPVuT3jWYX4vmZLGRjrlQk
p3pZ1i4RRRFczyYPIEHWsTunw2Kjrkoyg7xuQQPGq5AjypzcNrpzS8426GrV1RzIfG4S0h3qMIww
YB9kF24Z51bllP2e1brClvOBx8gTdGp+1sVwW66gyXFbk9PffGZ7KHrQ7giUFqHPswMPz77PHa/o
NtyqKKctJhHCuBnY58jfbUP21e2jrcRZAQE5QTEQxwS6wTu9Z2EsHNfDyppZN+dNV5Z1wjlsdmMG
ia/wwkXozG3Ft7ySj34FefsYZyQXuKkwaZZ/eyMhnTVu85PT0tiYK7EwvBZ7VgOINtZHwmW6RLN2
y5025gp1dDELEdZJg4oZCbNbk81uj0UbcdUXW7P6FLmN8eouWMOrjOlfby/JmWW30Vb9mAsQaq9t
0uGNfDuGjd5LFKNuQ7Y5frzloLKlZtFzhgvLPPhHD+Ly72XXudG0QHr8pYu2a08V6sRt0nNzFaq+
AHKkLt0iro278lbi4Xqed0mTR9dVfGgKt7lbaoOuTA9hO1KVRQIYEIVi4vBxrEq3aGujrkwTRxMm
ZrqE6NXsuGbp4BG39GYjrspxkqHXIyKi8vQVxETvy753u63YeKuh8hmL1rpLeG0+m5U/Rn354+1D
fjoMr7xEbbhVMPHgpB59ahGNENATHSrd0YUV4WdsWw/PoKvmSnWqS7RHIfwWFMEj86i85vEoDjzK
ZhDUU7LXub7Uxvhzl3jt51hX3WjaVDkw3ia1Htev6zBjtrdQmTwawcp7VUJ+hE9eD636EXpuvRLV
o9gorq8t677Ini+PcTOaPQosJq28TF1XtVyfqArHQ16yxwBqXPu26rb9IET1bsQ8O+T6OnPooVp5
XXY91E3mmV/JNfsOLVVyTdeF5m4pxgaB8cjkIaFNlwR0VDsMCpld3/SOCf0vSqoOgpNljIMwDnjx
QSl128nejdCG2jCwSQDjTEHsnsR5Dr5PSEatUVUd3I6wldVr2eR+Br3kZF29I1t9ucsEcwPFUxsG
1rYTNCvKpU48BTpJEvEHEZS/3T7cyutMejOGHCOV5J7+GkfiZvU7JwbkWNggsIlmkbeOq0qiOP5Q
C/HTyzyXiViYPrn7s6sf172qOIfTMJn/zIn64c/c5aIA01bEWDHvKTKD1ZZeNF5BE3lB6cHlbQPb
Vmgo2ehl08ByME357a1PW4hET2K44JyvxjpYt1J5zMgE+ZFWJdL36usVWsw3G8ACHYSJ9hULCeTS
mwh6vJETcR/+oJXdIVBdFRO6NEk/+VNxNAaDcpHyEIscDifsWy9kUzDV0a5pEG3864BhRoZ00Ct2
M2657LqyeMwUnoJTWX4i4TwcdLGJazfj1lV8zaD5CmZkmYS0h46tpNBsj5yme7Asls9uGxok1C+q
RKMKv8sqCIKHlH1w+nIbEBaHQT/WClWJluiv5RL6OzFChdfNuOW2ID0mAfDUbVLIKcOz/t0WdsuF
w3Lyz7/SbixsUBhUp5XvF3kD5GC2QpB3MOUe0wR6r/vYvw0h33jf5o3TdQh/7S9PrswaYk4GsPzy
Y6Fuw5h+cVsjy4srtLsB3xxVAvH2ahc08QxhHfX4tvHT5722SJbHQpagWRXzAfdbxVUhxCGS/JqK
+pu3XUIFvC6ygaWxvLYpozKAsDZ+wMjpcpzj8lcTNeUDFLRlSqbCe9rmPL7PPT6Gu2qi1bsALA9m
p0ygH8KM4Us6by7XvZcVy89p8OpLuOGzn2b5PKgTPEMBwUtKbxv0buqQqOs8696VDThH9ipQLb3q
Q7+86fBOuS5YH7wLIan4tVnL4I7par0hc128bxmLD0DFaZdCPZbMChfCz0s1aaKSja3RoYZ6NZSY
nUqvMG6Fi5FucShDpHgTCHEVzX4N8XoAVd8+UaeT88qJ+gufNo0xGduhBY/aVGCOaW4OGWjbHK1b
AQM603Fgmg5lBw9T3uOWm90yOL07YmHTZIUoc41A1uPpS2e2iyEeAX7V4EI4OrcuVoBossKsMaMq
CbZ5Dx35fzOfOAmA4MOtEOEJiaKAQlWgHhiOShPKHVjbLryYTkZe21ArRNCp60ncNui95JDf3Ap/
2TdrwO8XSHBfKCadWxsrQtQNqPfCNq4SNXJ+6Ed1N63lpSNz7vstHwcXF8QGl0lhco/PtxzMoftK
ewGcWTO326eNVCvLALf7VqpEx9HwqZ7Lh4CMzWc3h7LctQJlk6IgKk7QoPUAfROf8xH4FyfjNiRt
BjhgaZoZX36anGDtu5qTBzfTlqsWSzj1PFPkParg8U5Sme0YH368bfxMcrfhYLVC9aHpsalQMDtm
dX/Ph+amDfixxJSWHxdulx8b8rV2vYhohrWv8uyryMU70YxOWFWIiltOC0lhf4b01Mn29DukxU0u
oqe3V+dMVrdRXtOEZmkEDBxKShpF5SLomlsKyMx1UxnxJQ959fHtP3RCLr4SG2LLcRuwFkMCW9SJ
yCPottQxNDmgE95cjxudb5tVL4DML22/4xmt0OMfJicY9EmSHV/07MFHKA7UHGP1Gs//WtbV96pz
YgaEaSv5Lo0BPWKFynDI1FWlML7Z9OE/by/YmUhnQ8HE6uu23WB7I+sHGYzBrptbJ+WBWNhIMO1t
SwnlsipBo+w+yyN54GU8Xjl9uQ0FQ5WyndCqwa3BKLqvzPgPOn6OlQEbA8ZBjNarnsukLHxA+2Kw
HwVldyGBnVlzG7tlPFlUbZ5X6PGtP2evH/fbXLl+ueXFAOz6xBsRiOToX00j+TGWkxOhM/bz9IOe
nfGoKPQcL9hPgekOkDa1X4c8cqk6w7bludPUzl2t1yrJFxpcZVkc7UHgWbo9d23RQSJ8L2ASlYd1
6MlHkNTftd60XQg65/bT8s9u8dZVhXOVhOtW3LSC17eo6l5qUJ7JLJGVbv2tmf3Ba6qkHpcm3Odd
Ra9iL5CfWw36KcPi9d1igvr4tleduZzYkK5atIXGHVMmBQ3LYxSDwteLo/y4Vq1TnTMWNq4rYCzf
JmaqJNAgUVzqRwwwuEUzG8XVRY0Z+DKVKKZ3T0tf/VhNe/P2wpzZZBvDVUs1+3ruq2RYWHGchtbs
MSaSX1j2c9Ytr52bsoVsDs7nvJh4V4birqYA27t9uuW2kD4VkK/A+8oP23vBaAHPipwYbrCblt9S
lAv9DoJCSVSiDS2o3FGDFO/25VZShYZcO+kFL3V0uaN33K/FjrbkEs7qzK3EBnFpr9K4ckcVqIK9
HZmiL2M2HGivPkkhZ8dfYHnvWoQ1CtZhlWwYvepLcLJX5TenxbGRXJjY8EfdCfiRbD6BGLfZTzW9
NBty5kDaSK4oAkRc5CNeQFp2O2CBl12WjY51UxvJlamBFf7kV0m2GrXXtH8aauZ2zbcptNa2kFyC
lSIxa9HuUbgR+zEaHV+2NpYLIOAmXiVivQpp8HEW6IhB7ueSNu6f/u0r91cbzSWipilQrVAAAXTT
+2Ve6SMbQ/AvTnlzNY7E7ADoFfuyKUFjH+Vk7zeyfIobVr5TG3FCOMUisHzaq0OyDAbgcuWFB6iz
flr90PHQWh49ha3vDxzrF2/T10FfqZm5xX4b8zV7KDgrEBEmctG39Syfqnq+NHR75llhQ776hQ/j
5PcS3POqV/e6+y/OrmNJblwJfhEjSBCOV7J7nIajkV1zYUhvJTrQG4D4+pezJw12Wh2Biw4KBYQG
USiXlSnElzLuq9PQ9yAmDZsKXFA8Xlgq+op8N9tW+GXyLh5MxoEhS2M6MKVToKsXED1DR/On1wvi
IsImGoOWLInxgnAiblHvoLfrsG9+T5+LCOumREGjxrRPQUDu9rno0z3xDXNdSBhfgQmhW4gYut3j
zy0Z6Iks+34lXLwQBblEXLycGWO8Qio8meSOV0f5nACA/nNR8BmZ3+E7XlnSxYTbsOMXzGpJ+02h
wtcbz7N3LBga23SmM5KjkVU/ukI+aRAvem7cNWGNHng9Ly1ayWhvmvG2abkXOThHVP46w9gHaflc
b93TXAbjmXByEwnqGWS5EDG925HUHUK4Wb5od5PyeeqtX3joQsPEtiutS5iSZjNYbcAU0XybNkAd
vC6LCw4b6FHPtEEBhWBSM1v4lgxpQ0TpeV9chBjjR7R0dOyeak4/hbVWKJ0kXgzOPIle4q9f0kaB
IKieamQw5Ri1GSVBn7JyutZUvmCr/7ZSflm9UXKbtpfAnGB2/r6yq70L2o5krCWBX6nBBYnFK2HN
oVb1FNJqSldIDYXRNSmMS9t3LLUkAPmiE9iixj+rPl1YO5+n1vQf6mrcr2BzL6SQLlqsCgsFGP6M
Un9ox7O0rc62PtoQS+MCaSH+3MrJS5MEH9uxYHZoaFnHALsnZSjeH5Xs7mVNPXNHFz82g5VWqQ51
mV2Nt0Pzjc/m7GVhLnxst21Qcc0akDCx7bzTiN0GU/HFb3Gn9BzPmkFNBVl1sYoh46SUJxMZn2l9
nrh8XRgl0FNn8DYUhHRZKNb+FMTbn347d2y37w6VyMI2T4by/3XjocHalXjpmmHnLzbxi+mG07q2
HV9RZcMg+Z2ixfpAVe9XZXOxWjPg0bSHnPvTuBQ63dfkexUvnt/TMVpgqKQmImyeNrkm9wYaB6cj
rIzfc+OSdjVqFmJmgBkTZj5ORDdnKFd5tkNdrJaYQzvLEFkjyJfKh4rP3fNSJYvn1t10F4pV4xKi
caaX4R9JzLtBXpNHeLlx/02NpAvW2vTAwyZucM0nYle0WhN0wm0EZTZISy93/RDxKzH3vyXkt/4r
x1xra2wYcCCsDqVUyuuySFsRyrt9Wbd7NoPkfC3Nj3hMli6jKqBpF4olxYz5ctdBHuhxFoTfQEqK
3BZzI7OIhdVzzDd6OrZw+5CAQQq0FEV0Bxp/fjOsYXNTbMiLMraAivxEDqvPZVHENzoZ1blP9iJM
62mld2LTGNpewaJ9pvb4UgV9dzM3ZqA3kRlGk6F9XkzpZjRYAUs1ks9tTaAOa9ag209AeAY5KSw4
/SCocA7Dl9mpGmR/t93aQPRYV1bIVFZM3dd8jHpoJ028+JNuUfcJujtoM0Uohn+VZDmeMSBM7oVE
oBOGYnwG5Wt/xVW9XXeQLritsnw4uhauFuQNT4TYUz/3V0K0l1flra/qPGUaPC88iGY0ofZ6ueEY
2oPUnBJnFuzlvc9rKV2AG4mX2bQ17iiRFhMfU/jHMK7X8EOXjsZJGAJBG4EvhbhbiCSzJh7Ore5G
nyE18CM7T1o3gdBiQqr51IENN/0SUuI1qoKV3XxBWnCmHKj3Lu0R33XDASkx3E6vbES6gopQGJcD
NFBRYNuXPpMggDxruQxnvw/qvGflvDdjPI6AyZGhz+KNvV8wdO+VpEkXycYCIRrUwBH6BeUdT/oq
Q73FL6KXLrlZRBRKp90AgoBjuYmb/REAHi+QNZcuki3cgVlnwCY/HeUBYc8gLL8ke0k///7M/x2P
eMNQXegagNsMDWJUB2taincx4uIfKOPFJwMsXmqPIvzadsuRrWM43MZ4DG96HcZVNkUHv296bWr8
S/yrKxfsgt9xOdF4VMQ7xYDvUxcE0Akn8iCgL0WH8DStLz1mMkGjzPNGOCYu405zZADNk6yKx4FV
z9KEkefajoEnsdLkRbfgSZe2RTzUIYMceuZnKK46Y49STIgcqcGoy2JSzNRRwH6MV29QuuizajQb
K4WowbUTh2B0L+GcOuoVsgCT/ToIrSutVyXwgAzJEGVFL+DojL6WDl26zC78TEDSKVHzhCYDPZZP
dWPY7QG0zxlg4UWmM+ptjwfkk/LOdFAJ6JR67uW8pBgXLuZsZGp7b2YdX/FPF1ygS6WmaSdLu72k
T4n8e6nAIFqOfYAqplmuuJEL1uJC1na0yYKkYjVoMrojCzEmC7RH2WNqRrK9zaph9MOvSVfosTRR
YSxLUJPl9nHHT0trFV/5FRdcrYNf+/0zdmkNx5bFOPAZ6pOwZa5RbdINgqt286oHSVfRkW1o6icb
4NvQ9OHnZGLHWbTBl9/v/G1uKy6F47Eby7UBarJ5ipZIZwgRwe5R7Tv4jSBlA1C3Wu7mZFJNagU9
UkgpznnQgmDw9//9pYNzKggE6gTdNtZ4Shj51pTtLR6uK5H9paUdW+/jQ66cIw9XdPsgDugPQl/P
S8WYY4L19UOipgnh5IRv0i8G/Gfr+sUMV+vd/xYS33CKLpdZpffjKAJEIsMRKugmTgX/tBgMbKWN
tL1Ndc+G/ynRLkVWaFR8T3XcFGPW2nC9i0ZLb9laBF/LvYWdzKo4kSImDwfwXoDmrzKFlt30fS5I
6FWUkC4eTpORzMF2NE983z7LpgftrFH0iku+8BldFFxXxqxCNIM2f53VBpNqjJFr5cRLa788nb/U
JMSRUN0gI3raNDnOhpAdxH7lFcu6tPjL3/+yuIzmsZ0oJjVZ1/1zoI9TYOrIz7+70DeEKWaTIKB7
osEYpVyW79cw/OBlki64bdMUSK4BMdDRdPcFXjUUn8tnv7Udc2ckmW1jVP1UiLHMkjXKxKS1501x
DF6Ayt6UW1I/7eXybSHNnsZlvJ+9du7C25gKmpDLrsZg5NA80oJ8X+Z2v+KqL1wVF94WskgLkNbU
T2B8vJHroMAB43nkLrpNWIhjjYctQR4WizShh0wD61UwlC64LQZwy1Yxr/BObZk6hi90CzyXdkxz
BMB7VXVUPYH7zJ7WdWoeUVX1osfg0BxybHPRUyAUaiRV0sfPq2Hrd9WK1s9hu/A2gLjYAtMH+Jjx
T6Xsnodk+uh3DR1v3bY96Tk1WFr1Y5bEgzwtsfQ8c8c6JWb5Ua7mQZ403ZiZ7nY0y+pnnC6yLR4Z
acAYGuQ7Js2zKCjqlI7j4fceuki2SoStQQCGnas1emR4cT832776RRIuiA1cr3HBdlOh0Nmeq/GU
LF4cSly6GLbWxnDF1Vw9UTndToO+O6j+7nVTXAwb7aa43ImuwGN9iBPl64EJc2n8gmaXimzoJtuF
ETbeWiQwNEIiNdfUiyoMx+KYJ7UzCpoKn3OrdPioaRNmkvDCL+Z0UWzNjOn7Zm+CfO7q4hZCsMdp
A/bG79gdAy2FFCtUa4q8LcfnoN/e7RP3veWOfVYW04rg84ENtT3iIIUplWCcPS+54z3NZgnHcHH1
FHByx6KhvBtNUl0px15wcC58TY4losJ6rJ/EYdW5CWuZsf64xuJ5aXX5+jVP4g4vvMbqi35/JN/W
4qfXt3SRa1DZras5QugZl+aO8y2f6mvzvpfSLhe5Nu6ii3gUwHW2C/3AwJKdtiQpT9PQynd65z/L
tu/zqaj2p2Db9mzbJ7++qnRhbSuiogool+rJDNyCJtLu59L0zcnv0BzbPXgfmWPh5RPDoS3V0abt
Vvq9Oi5WLYjwlScqwYQS1mMWB/bBxGHpuXHHcnlfKl0GtHySc30a6ZZRP51yLl24WrJpgSpThKUL
3qRNb/+Kq8mr9SlduFo4gU40aLF2O/PHpJ5+Dj3YJLy+pQtI2zSvWnCDl09kKuu0D01zpxHB+4VJ
LiKt0V1gWjpj9VXvaZTwc19sh+fWX+ARv2RfbctVSba+fOqaJUyrJuDZtkKm1O9gXipiv6wO0Wlo
WhocjJ27rxAV+5KslRfzIZcuHq0ckg7wP4UQD2MLd7Tov1RUKL+HmDjWKaN+1l2447aQGC3G4EED
N+Z3JvHrMxkQIJExlHCrBs2HIrQk1XLzbP0QxzpZ2U8coiLlkwgOlo06RhBZzeyK7b9kFW8UXFwo
GuRKWvB3JEHeBFGRomU4p5NU5mRBX+R58o5/BYlBotuIBPkKmS4gw0twxGvPeoCLSJPBkPBVqfJp
2Fmf2bj+tETTd6/v6sLRyBahf61IklcIZI5mv5NR4mekLhKtjcuxGdB+zwUo/zBMl2x3q9DUryzl
QtG6Wu66rY4kD8yosm6OxGkqDr/qjotEE2tNJzQ60WWXy7mozbtZ9FdO5UJZ3UWgdaQFUdmogxyo
gv6GLoO+b4p4vd/5yv5EFt/c+H1Yx2CPWgtpkYnlkP/aHhoox91hHNCvXuLC0GSZyC4YEQcXRxee
1wk8d3sfxFeO6F8f8YbBusizzYqyVhusCQXe5hSG4fDQHg3PdLt/M3rGCxESk4Nes051sT0LOr9X
fVicjuRFPj0pP1aa81tzdHuGzikgF4P9NMRMZdPEwttNVX+oTZWfWD3dRev8fmnA9AL2+yFlYq8e
o6hrAL6SX/0+hPM0aHOU6KPYIq/wg4iZoL7Mp89ea7tQN04IQY8tkPlRk+lUFdUzsC7XWLtfvMYb
X8HlSrON6muzHUh2aPcoDRiy+t1PwphLF+o29BMERcI4yYtRPK5UvgB4/YzXlaZc+6AKOt4kuZpj
vaTKhMGYjXTp/KawpAt2SxLdzBWJkhwsrGumt+RvdOT93mMX6xZH2xxtYpc5LcOSn9a91nUW9YG4
EmRf8IUuNVk0UzQLNZ7Nti3nrAB/yp1mW3OO1tL6PQ4u6I1UhtTzypN85mGuph5QWNl5xvEu6O1g
tT12haEMcLrwLsWMEBhUTDKW1K9+4GpVNskISorCJLld+QTaOdXf9EEvvWrBwoW+CVJsioJuLy83
83EOwj8Pyrw2LlyeMm13vJF2hEWR49T153CsvFyJcJFcUELpinKfE3DRlKfAHAeIvTznBITLU2Yt
KDvjcYC1UnrDAK3BoEN0rft7oWcvXBgXkBJ9uzcNrsu+NSdTb/JmIXbJusKMD2So2hN+mPqGMnpI
UjXz4l6LMThPIlG3jcKP3KElfMUu3pYj4cLlMCt4JDY+xkUuxnB5GGXbPyQaxba0tmF57qSiE3KZ
cv4667noMsDI4z1lGmioE4l4/YBmYH1qYzFtKSbPj4eutOvNS3+3TsOqbm+jFhzwPo5FuBgyAwKl
uNxkkoc0eJcs223E1Ee/pcnrTAKhA/BvArdpsuRLP6+QXdlnv7l28R8MWYdDs2pJ8nijH9tR33f4
rn77dvz4zmMy02GF6RbyuejItz0hfq+CCx/jDVniJcLSCzkemkL+DBrhubRTPTNrxUA5FMs8Zn2b
MbGC2A4MSl5H4qLHqnpahl1JmSdct6diA6TWTO0Vc3k7/BAudozGRWcGVFxzI4ESCtvOYmJeXLmE
b7tB4ULBUASKtmqeZN6vcX8uyBo/2t7wzxACE16xmXBFMjsKVQn+cvJ1Sf9XkvHbNHEvCRsOeO5r
GyqaDiyuc4e4rxpoFg4zS3fDvXJZ4QLAFmMBxllamZcD+cIwE55t4fiX341xitxgGFxBHStFDmQU
P1fK3mK8bTn5Le5YaALtxzgEijSPbLHdFiC3w8gr/fT7xd/O24DLfX3kdCfGAK4gkW/y/VZ3TZhS
UdiT0hZfoImSK3ntSwnrv1G3cIFdYKHEWC3dJFKFDaUEDam9Ciz50XjiPGzvwmQHerWC8sTvf9YF
K3NRXiZIJnu0o8inMfw76Zv3PIq8KoCgqXt9YhIsSqQKZpH3aDimjG/vLWuf/bb9Yte/lOheqOfW
DpIz+czMp3Epv0FT2C+OEi8n9evSolp52RDY7TIUf228qr/YhXnpWnLhwr04oYk1LTYuj2I/gXTu
j4kJP2CocNFettnJWBRYvJ2sTB8TCqTa78/7xV28dSsdu9UxrUgFUeF8amL6Lm5o81A3zX4bQ/Iz
VfFU37TRFtz0YTlesbdLF9MxZlUnErnnJvJjbNnTGCxRpgLhh0wTLsIrfmGXrvgucotPdDLTC7mp
Cfx8rgvwsu20AbbVcBS+lDqVm1rOy36NVvPCubhwrGao5pmLkefAwjwq0972c/HP7z/ypaUdg2V1
tbfgweV5LOvkZJvkeXhRvPZb3LHYdlsmSzfOUE3AI4qssPoECFV5pU9yoeMmXF4yBqoSsrYDrktC
wyHtK7b8UYGb6Ckxy19DNB3nobXrGXd4Syezr+8Q2PrRrQkXr7XJcDHgW2M5JojK09rH7Q0lil6J
gy44BBex1RZrZaSeRF73DAX9qU7rrvwpTJwLtDBPRO2f/b6QY+PbPpDysILl0VHEiORC+t6GQ3wt
pbjgQF1+MkWqGRK1gufJXIEB5uDNCRzVyFiKOTQfLFpFnkmAi+bCkKwlDGWbnEd0+cj4YjLD1HjF
QV+wEhfOVZdR2DUN5TmrEnmewZtoQs9M+z9wrrWMjt2uLN/7+aEc43/K7dosxqVtO8atwhqTwRh/
zsPl2M6MHPH9wvR48ro7rs5kC9vaMDXwcuRmywba0RODMrDf4i8/6RePvAcxn9qO4lS0blOUDYP7
uBPWc3Unli7nfpz3CLdFRAOkfVsT3aK6/T+/rZPXW6/3GkPyTYJXL4Bu8kBydP38ZncEc+01saps
K7yoC2/DdLTbzdxVns+1i+iapxVD64NlebkE4alQBQYMoCDtd11cRBebzHDU3ODMdf1T7FxnY4kx
HK8zdwFdQ4H5FcU73EXVN0sWrkAU84Iyv9Ee1Cpef1OFyi8eR4Vz34+PIYqD6UqpZ3zoAruOfp+H
qO1ZXodBcb/O4z923NcrruTFYN6I4lxcV2kZOk/A4ufJeiz3xS6HG9B/XJvKvLT6y9//YqaCtPVK
MLmOAkn0N4QWH820/PX7T/oSJLy1ccdGm2XFHKu0JKdtSz70Juzvx7mY70rTNn7POnUsFbGInkLo
DqAvNwYghBMp5Od59vv9Xzoax1QpRqoi1gU0jyPQ/pRsuGFNfI1q/NLiTqQcz1Z2oZ6weK3XFDyg
D7y3fnmWC+0KCIppAate7noI1QKNYj4UVT3rXi41GfBXRQRWbJZXEqRFncqASPXcuGOkG2O4Mnxg
OSR3fsxN81dL2Cevj+mCu4qqjOJZYddxK99b09zu0TUt+guf8j/gLVtU/VjVJI/VwE5GT2M6DYEf
jkC4lGSqqLRo6Ehy6LX9FdXBaQnpT78zcQyUmJ6xqYbmypZAnQNKJ306lNSe/FZ3bHPfiQUCeKD5
GvV/JEzhlgPk5peYuPCtccMA7I70Nkc7wKRtU5ZpLamn5bsALibXEYwhO83BgD2mkN/9bk33p9ex
uAAuO4lyXhJN86ETP8kc/pQT++K3tFM2nutBJvXOo3ycoUiagkJUfe2p3P0Kxy6h2EwknxG7EHi5
8MT7NsxUVfnh2kDQ8NoPDauuw6Ls45wV6h+KtohSfrf8P+AtcIVGFPLSeWjpM9h+3yVR4hnNudgt
suumKCcd5SsFaYTYFQrqpSz8arquyGQ/JXVy0DnKW6UyeoAYs/GjGxAudmsA4qCNowlLU/YjKauP
HVgs/G6h4zZ7gmYcAPQk5yDtB2lF8GPcPKuTLoWYnOe9jvVB8qhZw3M3yJs9qTwXdxFbQZeUzdSW
cV71/ZfYdiALbdY/vA7FRWyNMfhw9hWDlMNiVGpm/jyiVOwXqLiYrWMw4F2QiuRi4P33uA2rT2VU
/fDbuWOYdlLiaIaN5HNwmLtYtx+G1Xi2i1zIVlGENCz3KMqPKThu4mUKTlL7zYgIF7RF4yOeGhDe
5+vYf97FBCme1UtyjQtXWvII52EvQ6y9lANL6RC+a5PVL1RxcVrVWHeosaxRvpftnJVQmkxtBNyH
3/d0zLO0RdesI5Ja1Q4/TalhnYMfGTF0El8/4iB56rhtSJjXTcduRdCtWSwxDem1cxc3VS5lXVbR
GOad7U+rIo8Bbb77Le14zgrcNCPpVYiX1uYVk1/3TnsNcQgXM6VnMk2GFTZvDTRxM0wR0i/rZorP
v9/5hSTLxU11K4W+uQ7DfNNr1Z1EMw+olRZx8HdZTf2Vasu/V++NVM4FTwEou6velmEedzUrMhqP
6qMKOwhL2kFlEuzHqaE92MkEkxGBugO0KE2AJ9oG5fE/NlbV2e/nvsTgv6SrkEqo4i0pjnxsJjNl
ywya3DTqIwmW4UL2fhRgwgVcjSbmYgkTm/dHb0AYoXnWeUfGLtaqH4t1XBZcie7QP8HXWGe0ra44
mpdn+a0v5Zh3vyfJIUxkc5EAaU8bov6qtpKcj7BjD9s8NMzTGh1bD3EeZU2ERSGLHX+Jms1ZBELR
a62Bl/3+93egxfz6Q492n2rZ1DZP4mQ/Y8ak+VFPkv8vAIrvngtd4bOH03wedhudOAPLNBVRAMku
28RegQy6k6+3UJK5WsBzGOaW/iPwWqZzWPul/5BoctaOzDqgkRLmYA5jWQep9rhu5ysb/zcceuvw
HJ+tg0iMmL22+bGEJfjGQIBhwA//uFbHcCoaWd+yEbN72nR9VlAbpSpp+qyNBuho1Umb8qUY0IUn
S5XKOYjPYJpFu7PaIZVEq+O4bcYw7k5FP3deuSLkJ14fB7CfSbscsIgggmJt0dwN+MProoIi//Xa
yWHXqk4Gm+/0+HtStQKykXkVLEDV/XrtnnKpy6i3OSSYvu3Ptm3+9/t37mVzb31B8nrhFZMJs7QL
noi+m8Drz1G7TDeII3oeuPNMqNAqjP9WNqdgqHsn9ThmdN6uSRxf2r3zNmzF3o9jMdqc05WkkDnr
zwcZrrW1L6zuAq/adSLDNGH1kLAi5dUUpjtrvdw1yLVeH3zYtWMy0c7mEmrWtzLgf02bvMZrfWnn
jtXrvRvIolqTm3jZzksChIUND79kFAwor7c+1iN/4c7A6n1ZpcCI7DeCSu13Y1zwVRjMXREaZV5A
epgsPlRaydIvcMR48eutKwK0/WKlznWLZmyvQHMKnRvPnTtGGmDI4KgUP/JpLdnnZomOZ74sgd/z
4gKvBiZpRwJ55H01qLM6MI+a0NVvZo671FtBo+jQR9OezzT6TqK5OQ115MdFCjz/61Mv2wbYyMlg
KKPbm2zRqrgFrqu84oVeLOaNJ8zFXiFciklfrSaPeCtuTKFidUrqUDyqljXfmCDzgxElIAvJunr+
IheHVchYj2CL23JTwX9MM2a9w+PO60l2QVcolNQTXcotByhiuy/iKLphGBS+EtheeBpc3FVMteIF
WEZzMkeQmayFuI3Qo/Zc3fGveowO4ET4krc9vVPrJ2DvvYBX3AVeLXFCVjvQJV/a4p+w/llDVsTP
slzUFe2M2AtkZnnP7A0U7OZ01eFPv4/p+NdgtxhlIesCqPQ70ZoxBfiqvrLvl9f8rYvv+NajnxuG
Eb0lT8Z5vmHjsZ6BLInvYoh7P/R7Qb6Jcr82tX7p3jg2rPYISXGFHxJbGaWsS/YPZlmav72OyUVc
qWQdjV3jGQM/m70Hvn1PoW3mh4riLuTq4EOJIa9uzqES/kMXYc4wL+23ccfTxn0bLYOgU45RnK8s
MH/XSeAZf7j0V2u7J3vU48r3yzLkDeHj6eXZ8TNVVwZyYEFcBME+58mAQTgWhmliaj+6Cu4Crvqm
2maDqaocb1nzTlhASVQw+omag8jttT+JlzYw5arBRtfYBozcGwYhzPrB74s6FgtU3mAT6KbnY7ve
BGGnUoj/+GlqcFfiUaCOwJedT7lpRHC3NEl3e6jF00ZdEFUcRGXBST3lfU8+AaSddcZ8+/2pXKjM
cBc2ZTBDhU85TXlMFn5XGHE36R2uY8iKeHgOInaeE/EXL3X1oNayeUd7gJ8O013rUVzw8i6w6qgM
Sj7aTLmM1DFipEXR22WS5H99VZlHaOeVUapVrL/VU9X4XQUXcAVxaij9yWTM+2hZHodhHs99T+fP
vz/SCy+qy6C14dxaiewlD4HiPu3B+seoPNM6F3EV6q2JFrWO+dJ/NaiepMPS6ytu59K+X/7+l9KY
GBiZkp4OOSRYT3O0YtzlWlHp0tKOYR/GHOCzaHEkWn66ifCH31E7Nj2PQh6N0lgXAxFQmG9TGlC/
SVjuIq3GeAkSxs2Y45mbbgSoUM9xRIvMb+uO323ZUPwbnOebKKJ0LLt0xgCr3+Iu0qoFH9+mgmjI
ddb2oUiXo/d0Xi7OCliFFfFJPORzFfaPfJr3RzL4DfFyF2TVkWmpZM26fKmje7uvXzrjx8fHXYgV
6LS7phC2zxsu/8aYTplOuv7o9S1dhFXLuwJokGPIqSSf98A8NgwxuN/ajlUOQLWGNXp+eUB5o9Ju
bMpHEAnUfk+hS5yVmI2GinCVS7NNWa2aIzPh4ekWXXhVJYej6EnS5zQpvgV1YdNtXfxs31V/JA2p
6krGCndlic42DpZTG9XPfqfuWOdQrBRDYS+nPod3SFG+zlV8+/ulX1KmN6J7F1xVx7RuInaoHABv
/ucgA3ZiFk2IBZq5V8a9Lzy3LsIK/D5HXBQDXnIafIaYBdhsk8AvX/sPgZaISWO4VTk1uzwFYi4B
Ee39KAW5i7IKO75FZVT2uez3IxPd9GAhnXvFlC6dvJPEsrXipg+GMQdPxPJhpUSfRCGnd6rAeIDf
x3Ws9UW5EoOi9ZATC3Oyy9pkfBqqc21C6wVZ5HH82k2P5W61XBvYFB9yKGjfbZZfqbhcujfk9dLV
EFpkyG2XG9LVObRbi3NjYnPlbC6tHr1evWlXMxZmGfMOTMftWCRpwPRXv3N37FXWMTiEgqHLq7Cz
96Vm8nEcTXGCCPi1jsuFrNzFXWkwjIQ7K7o8CsbwU6C1qtO41cu7upHAGwcNPx8V4VdeiQuH5RJp
hXNJAPOSQ76IRZ3X+dFOxI95HdKQrz9EoCAnjKo9XPgwiLRr9ocoKjxzFReHtdbhPiU67vJ1qMDU
EOxtWk6BX1buQrEkRHyiHpQtOYt+HhLAvb3mnnVYF4rVzvu4EF2PeXsUqBQlpL1ftp1d2TnH2b7x
6rtQrJWIeKmDSeUrkCrygRJWNRkAiBpSCIKVPxQb/bgswAbz+vPOwJPtx9gr8MmGt2LdP427nw4a
dzm19CJJGw+6z9uu/YbC1J9jAKoeLxN2oVmDBtZ4HODPq6RSU6Z4c3xulxKThg0IJv0CYxei1W2q
LaII4Y5Z9J5JZSEXV1xjMLpgsy5GC04dEyUHUXkU0ySL+NadRznzK+dz4f1xQVq0DljSrQtcYzJN
77QueqjVDpCHQte82bOIiPH26FR0BbJxwVm6TFtsGUJtp71HZzIaIE6gCdBsGDyMVP3j9x/80nE5
7piWLFKYcoO3CdpUEmhMEFb68TZg5Ou1EQxLsUDEF4vrgdLHLtpuJ95c43O5dDaOC+71kpg1HGEG
YF05J9X0T0fX+qElRF352JfOxrHhLhGQklmiLldEZ0sBlQBqus9+5+744TXRRx10i8p3Xv6ogvHL
Ekx+sYmL31qacZkn0KDmR3+85/X3xfoNDXAXuwWiIl6WZuzy2bKvSTB8iNtroioXDMtlvNqg/2PL
Q3f5xPT6kQPC+ceEsdIybVs2p0M99dANlX44Ze7CufZuL2a0K3F3WB3dcjPVp6Sgld/75qK5dtlb
joI73rdm+VGT5S4CS7Rf/OZiuHZumtEeo0LFuupPporf83btz16X0mXAMr3C1Bx043IliDwlfBTn
FmwUV7zvBXNy4VhbDbUTkmwqZ6Z5ipGzpMm8fvPbuWOqW0WjCggZlQ+G3w8Lr9IyKT3zIZf4qu5t
KIZibHNN5TsT6odu3fwyf5fyaju2BvFU1OT9VIEvbRpMGi2rVybBXPRVQBK6tUI3OfSCugxQoiAr
I+uVgjIXV4VynFk3G9X53BdfW+SJVq1Xln77LWAurCpYi3pcMJ6YQ6A8RDW6Hot7Os7rgw6H6LkM
gghq3P/n7EyW5cS5LfxCVxGgBtCUzNPCcVO2fzcThcsugwDRi+7p78oa2SqnM0ITDzzQUQo1W1vf
XqupbxS4/X5aClcFS0IXq1W71S9dYuUjfCOLE/KZ6sZ6/f0pJVwmqpyKJhL1oV/srLov6z6P9wUN
9+cZvpNe+71w0Sihqr3Q26xfWq1QnjNVx6kZQn72WVnChaNm1SRQti3Qutiflm4r77Yhmh78GneW
7T6tWz+ZqEC9yPK6F/ZRTYefk5Bw9ajCaJsVb1jxUgGnPDVFxFICD2WvPV5I565bo3K2XeK9eFml
/VSXsBCNy3deg+KSUbFtbEyBFYLtFh/UNL4yrP3k1/Tl/een1wXFi35OdIOm1+TRNt1H2pBvfk1f
FvNPTcNUWi1TMRQv2k7Q5+EH7p2RHxQl/gNFsW3oVUdIHjfTeTXT0xL2H/367QTAlKwBcmhoWoX0
Az2iPq0I/Nb8Gr/sOT8NyoCzeokqXbwQErO7DbQzJBe0H1YkXCkqvC/bTlNJchG0bzTfXpRNvCIB
4fJQRYuKiGKjJE90H7+e9y5+XVjldeiBJf91VKhdCzP3ZfFiO7a8Tkq+3g0y4V55V4hN/Nr6TuI1
3DtRgIcKL9XnGiK0QXgjzrhyNLk4VKmxfgxD17XVpEwl4cNrAR3nFnL/dH6weNE+h5Lcuo7//l1W
uCQUaNolCe1K8nogWpw20ulzV0Tzj6SZo3sk29r7vR/I6eCi9NuSXUAqJPDE07Em+X7Y7gdJyHzG
LUh5VR8KF5AKtyUstsniB4X916ks3sRQrvNaa47d4P+VqhMGusQ4S6IfkNfvzpoKeuMQvPYdnHXM
2YRQpCXFSwuTthcT9f39Ec71c9PgNahh0qYGZf3PeKv1SzALF5uKlJXtPE8kbzfM4qSCH2jd+xX1
AtL7dYmUXC6YvUgIhlt/B4nON/1Y3IjdLiPy3xQb9LN+bVrJmVXgEGVul/2DWatXR7X7xTmxs7DL
ZdWkRT3EC1d7nPbr/nFWwm/yuIhUsO6Qlmtx5vJgf2Zx9MPI0Q9nFC4gRek26QgyV7ltp6dmVyal
YRj4nTCuJpXlEFoWxaryujZPzcQ/76iN9VpQLiE1lTGbl4KRHMzk97Bf+wcazn5KIcIFpGA9aIbx
2GQ+B+ZHGQIBH5EE9AvOXECKN5jbVI04AnrIMiTN8iUOrN9bsPgPHyX7QY9rK/O92j/DaObt0q9+
4ZmrN8XnWastECrXB7RfD7Z83UdR3Nh6xWV1/2ZpunhUMwgeFThIcojttC97GM/3y5zYV0VlA/us
cYl4GFAyn8K9Vz3EhSBvsMW1Tzt8L+GbN9r1Uyjn4g0NYWKUQtCIn+ZtlknaL/X8naPG5n3csfpb
FR28SGlZR29t1cZF2poIeZxCMvtDgw/8xAIOtokMdQPScaV3TZE0pzkJ7Ncy6Y97vIqg4Hg15nVZ
hsSmWzWvcH1FIJz2RM42LTFlXrqIHzDNpvQUFUkLPaUmWFNelnicX8c4A3hRfd4SUkJzNVnEPV2P
Oi8MaR4IxEafonXt0aVV+kFzwoXDel7CF4Ix+E3Xk06PasJTvp/rnXDhsF1MKL0YpcoFTFy6NepS
S7GJ/HmR//5JRLjkVx+3ZW0vHe9RT/9jxGXvCZ6n/+jYFK8K2s2Pf/4zV44FF/aatn4UA49UHg7B
g0qadytC+hs/4Vrbl5/2U5CtowbyN8uY5CrAYxRp9jvBBz/TGOGyXo1JogPIhMojy3KtxAcIIfoF
qq5XolqQn2nklORNmKiUkXckDG/V9V1JO7hOiUkXdwEWj8xVjfL6me3Fg5lseGqnw889Geawvw57
ZJbJmgEW63M0tWnE95cK5rqe39QJI9YDcG5NoiRHUuYpPKrw1C1h5Xc8uAJbdAEHHddHks9i2c8X
66vTUHeD39XJxb6KTs+khBh8Pkzqu+7Cb3DB/OvPq+jK7cPFvsQxQ6AqmFVeLtycdUGXu5jBvLtK
YN0jW3I8HVDmv/HHriwrFwNrkJbZoJau8q2vKJJw7RthYq9UMM6dX+cOisv5WGrsOvssp9Mgt7ti
jf2QQeGCYIvgU9KKCR1XQXPfB/2rYlJ+anvCdVBEaQqFyzO+7tImHDIHSXUnIpOc//yBr405+3Vc
hNkiqAYgKpqmSJ1IOFSpPGjvt6hcEGzqY9g+xkLmvMdbJQxGlvTg1Qe/rjsrtqhCffHWlnnUWni8
BN81V34bJXcCf1tuY70bjArUjB+T4bGLB7/biouB9QXc48gRyhxGTy+o34VYiBjfeg2Iy3/FZGwt
Xy+9jlC9Haj6FCfErwRAuABYUodHO1SHzDuY2pQ92VIOTwO/eeLyX5h2BVMtl/nWyVetseO5DCrt
N8VdnS29swmaAkWcb7p9aCu2nKqk9Fz6rszWlFRlU+siyvWmM2bUU7J5hv0u8bWVOuoiUUY5W4sx
bcP1gY7yi99Uob8u+z4sQyi/V1FeT/+befu67ha/TdxV2DLQ0Q7iSkd5o7HaJY2eAt6+8eu1sywN
dqYw2XuYI84kJ8sXVh/vvFp2Ka9NhaYNwstYkyjIQ1KRx21Eus2v9UuS56d4sTHwLht3E+XI5Qmo
DqzbqU7CG4HuvxDLb25ZLtdlTbPBvwPoG1SRsdz31ganrYqKJ3jEIHwX8rskcZnuySayQJjoK9ay
edwn7D2lGphOizpY7yI2CzwzEhQXFDjQXm89LUO8UTfqtFdD6LexupiYohMuS5TFmNN1hrpFltI4
9nONFy4mtvatFGW4RzlSB9+iwHy2mNl+X/ByfP70BVvYfkchlSLf22A962Bc75k4biX7rhzCLiVW
l1U3hUUh8mHh70TdVymoH7+ciouFbTKE8U1ERa6NPCFW+yY3P8944WJhxMKOWhAucomLKCRdFmQ+
6sTzwHHBMCkLRDkT1CcgTffPkkB7jTM/31zh8mBHU0MkfAHlp3lPID4zdKh7v0lMXCmuEi4R1lA2
ds2C2XKhkNLlYuoQR7AASkOcFae2SNibQtHxfaBgPnpSsxx1CgMq+dDu83oK52H3m7YuPMZgJhKt
shH5FqaXM2Tye+d3KbGosJ2oGrQbRNEK2aAuSNvqRtboymL4j7bXNCwBkYpeXOhekaPPUVnlJdIg
XDpMa6QXxt3yfCpZbvouD1Xh2bQTRyd6t1HbJywPFgB6BIbPbK5uMYDXhsQ5rTHIOrAto3mv7ZlF
zUN4LH4309AJoude9BOITprjIfVOizIrN3Gj6SsZgf9QYVzjQUFipKOub2GTuv9gkxjOR00bv4uv
S4cNVLfNzAnNEUg/HeH07L1DuHRYV61VAJEsms8GYxIFb/tG+k0VFwULEQjIbdnDnCXKpjHRWXgU
fvlcFwQLhO77Pgx3bMlDdZaljVPohrR+L3UuCkZYT1GOVAZ5v9Hv+zjgXUTf6PiVyeKCYNTGfI/t
ceS6lHvWm8skn5cqXST3jMJcGkw021Hanh55Fw0mlUp97it56x59JavpanON49jqIhkOvJ71y/uW
F9XbZh3Kz2LTxSMfqtHzVuCiYQeSj1yKfcNjgHyH+koArrPfzuuiYYoa8JCrWPNkafZHUnTdKbax
Xx0Id9mwQOIRI+zQumTxeU6m4b7RAfeamdxlw+Z4P+pimTAq1qwpmeXrAem8G+H77+cmd+mwo7H1
eOASmWtsNicTts3jpJPiYSlremOv/P0Oz10kDLX7ViYtKp+LDiwLVMNOY0dv3a6v9f/y/z8FryQg
De33YM3jPYbrdtibHKoq+vWieO8VEHCXCFNlPYCLmNaclcPwOBHIWFfIZJ99om/uEmEQl+kgkY3R
YcAR0obSzyy2XvExl87ZOjRdBauvZkOlTQVRAxmnI2ybbsyca5/VOV0raocR/kBbHohuuWew2nkI
DOqW/YbFvQ4HMkz6OlnyKGnPox5fr+10Yzu+0nGXCFsGJlVv7JK3ZH+TNGVyooWd/Ca7q5WFdN00
8z4Y82YmZ9t+gy+M16M6dz0KKRfR0hzblHMZwu2z7e7WpfZ7QOYuErYMfN7oTsack6448SJ5S6rS
z0eXuzJZQ8xNUgXdlJfyQx0Yi6ta7Tvel4/88/qXS4CqC7RtefdZF9NfqG71W5kuENbUfT00ZTWB
6yA6hZznwObGb/G4RFhpGNJfophwKwYdUdLgRKIh8TswXCJs31pTjMul4+VynPpOPUczo3deC9MF
wra6gy4IXH1yuJm91EH8dZfVO6+mXRzsGCCXuqFGMFeQd0krNr/R0u/85y77ZQeLYzQxY25N8I9a
ovdBs3ohz9xlvJA5Hut1RtNqal6p/SGYJ68rLnf5LitU2Ut4UOdlaItz0+vwBM+GW4/VV/ZBF/Fq
4Ng89PDHzSe8gr2wNozuLyl8v43QFcFCkq5rREH6fJfbe9qGL2Vfv/ebJ+zXNc8D+Dg3XdHn0R4d
940JvpMj9itm4S7NdRz9UFcoXcznYvubAkyx881g69qIO0dmrKRsj113+RavL9HYn/Z180p6cxfn
qkRZQ9N/a3MLi8NMRnJ5CkLjp+nJXaCrB+9hOZilHKGtPqFk8sw3OAJ6fU6X6GKN1iFFoj5voYx8
1/PO3sXJEHrl1bmLdKm1gSr5Rod83+WTEDlbohshyu/fj7lLdLULpxXeMNpcqprMd8PSgeyZAtt9
i+FW/DZcyuQxXpuj91tRLuQV1zKKy3DGOPEouFOxlad6Gr/6fYTLlP3pHKXCQCQ4ips8Hsm3oY1N
mgzK+J0ZLuSlUOwaHkSavBi7DyFcp7UM/YI5F/KKiuAY9NyZnMSWPdpJnBt1SL/I32W8xK4lVfNs
8kmASZ4JKpuTAFlOvyF3Qlzsj0nf2crkwgT9uVtGlIxC+t+vdZdzWra+NBDsbvOjiL+abs+VhVrg
n3v+b/L+v88y3OWcwB8lEpWzbY7RsY+R6ss2HdpxP1tuzCsoe+l7MYTHm3GN7ctcTfudCbvwSbSk
wt4Xz/AD0405XzZDma68UdMJUoxDpiq7hHdiBPVFB7NjtCF1fWo4woGuKpYXOM764f4wTft1wgcW
hk2Dxuple/x94eHDYHevXAPi8l+bLmlc7SHc2/JpUGnXw8VTWO73dMBdhMrwYxvCCnmkhio4cA2v
Ve1pOs9dhkqzZGHYy/Zs6cxjAx/cH+Xald//PGmuHH4uRCWPel1sWB0Z0ct3M8nzSqUfi8Fdespy
NSBLXR9ZGTDIToUTNK1QneRnOcld2ayg2wBJ7+bIoFA/nDZURj5MMfeTbuMuQBWtiiRSzXsW241m
ipsqheqG9YIyuAtQIdGbJL0RIttsezyFrNKnRh+739ntMlSVVHhYLuo4I2J5HyPxkpZSEb8tzGWm
YpgT9aUoIsiRMJGuiPbSqhB+2nDcpaZmg5fOIbJ7BuZ7uF+nsr5flZ+3KnepqVFACG2CRUq2ivhz
0ep7PvV+RcvchaaqwGK7FTXLOkip7vJDqzq/885VzkKqPomiNqEZk1ifcTmyE1K/fpcZl5da2IQg
AKZ+GalspizsfwO4pdw4ka5sLq5yVtVGqsWVmmaobt3Pk4z5uWKeaTSXmEqSWHblMNHsGMLxtHXI
AigI1/p13aWmkha11uGitqzjZfPJ0GSdHssjKAO/bIBLTm0LhacBvKeyOix0Cv3G5ya5hVBeGXYX
nCpWmGccDcGu1ek+XfvpcQiWD17nhctNyWXnLEoYzQZW8vuWgEhfJG7Afq07eeNkZTWE3OYtq+ad
nmo6Pyky+SGx3AWnWn1Ehy1imkWnZmd9GhWjH57NXXDKWBaLQ0maFRt/hHgTvBvNrbeAa1+T/hq3
yH2Ik3qIoqyx8v06q3vUl91SEbvWtnP1XUwf10W7xllYsjcob30n9tjvhHOdCXvWNmPVyi0bSdEU
p7GiF715sUOS32uuuABVFO5hOMYcKwgakXhV/ljZ5qNf08mvQ95tdbIlWkUZ8MZXqNBY06qr/ufX
thPhEhRrQrWnYVlcovA00akJas9p6LJOZdwRXNQP7LdRP6bhCpnSi8qtX8edtQl3xiba237LgnXZ
0q6c4vOI6NHza15m6E833aBpi0grHHJIx8ASYu4iuFlG2u+q6+JOUOIEsgb3uUxQXIIKPBu90dtm
H/1GxlmhVU8ZaztEiR0ZpzTuk3uIM//l17azQosGaulksjSz25KF8/q4H4fnB3VuusMhol3uC80g
KLrdE27xhJmsgWci0yWe5LwBgg0x5v0OwKNTrHqfxIz4jbkLPA2HhIh31G5ZM8fsPkE4fVebrfHb
vFyKKZy0gSbSsGdzGfIU7+xr2gao5fL6pi7LBEnFCmawestMtFZAPej42OJxwC9n5NJMM4/nZi07
lgVB+cquy/O+xL49d1apHIOO7hFZM7EE8lmW+/IYhRv3S9mH7Nc9wCzwhYHf3JpVByzA5rpsPsR8
FGe/UXdWaSh5j1fwiuGMTs6RCu5gOeZV6sFdpGlaY831ZPas6qMhJcjrnGA542erzl2qCTeiaJh2
dFyOA32SyW7uFJQi/BaSSzSxQciq4Bj0QNT6KdR2zJQ5bukoXg6H36SkXKgpXtaSNbgdYhMo5vsw
iNn3RkbmHdvteOMHXPI3v/sTzoEazGNDICkeZmPcJq+LRI/nJhqju80kBGcI8wNyuQs6yQFm5cMa
h1nclZ95PLxRin3wmpou5dSQhUxDy0OgcHXwmiWsTYs5ivwSXy7otFCOK6O+tL7GbwNJTGrH4G+/
njtLdtSih8DVumVwRK0/mKZcX68xg874n5tPrnxbZ83Guw1i8NtrZki/v+tDmNqkMDPt75qakvPB
zPhGjwXqH0xZGr8AzcWd9pl1ez1y7HFi+QtY/tdYar9jxcWdhqhcRd9i42/X5GS76e+iP/y2ZubC
ThWMugcYGS3IEjTlaekXpPMTP6sP5sJOIm4CKOsPS0bryD7BA2u5Q4Q5eMV+zKWdQs57C1mXJZtH
6EBc3oZgfOe3tpjLObEmRlYACEzWiI6lSYh/is1rqjBX+EpQ1W9kCNHxcCXn7QKXjLHxk19iLuFU
BTEAraCwmSkgTbOSJbXBur3988r6/c2PuYDTuMEJo4FbcoZrfPWoY6JSuw/JjUe43+/JkC3/9STf
pgZ1J32zZgtkzt7PFAJwaVPhaTWcS8jLzZWn+hBzFbDITHaF4sQ10wf9PIs5VQtSzX5j5ATIEwC2
um2jJVv0JFIIldRAW4dPXo27vFPfiQYg7rpgVy5aeNLKl81uXkk95uJOC9aSqdfBZjLemjsYjnTI
SMbf/TrunLfGdnjbX+yajQWfHqZ+SyBrAfcWv9YvM+qneyA8AtYoZsOaDUURnYJjMWmQiNGz9UuY
8lPrnYJPOt7GluzQg03rCXLsRna3VM0vrfw3EmGuN6CdrOwaiNZnyNfy+wA7cl7wLnncI1V7nSCI
BH79AcCVy3UpiilbCXsFPv/HGkZ+1obMpZ/asKiiocZ0p3013wkb7KkQkd/LJ3Pxp9nIWc1KzRnh
e/eK9u3yWM8ivhEEXtnOXP5JyjLAIXWs2T72XbpR+a7S4t2fp+RlYv/ms7oAVLnh7golT5t1TSge
doI8uSbkPgD1/nEox/3NHA54Gv3zH7vyQ1wi6hIdRGqulmzlwVNlviyFX2UOc4GohNc0EgFds27d
u9M+HzQ9mO08++2sW4hWMhOu+AAsaJa7YJ/1mQvmJ1KPZOqv0z6sF0oGiV0+oHuVtbaEGD6Mgzz7
fvkWP+0Kq2VhPC01Wodk+r0+pvE0JJPXdZy5IleylvVGAr1kQxJ+gMjkq/gI/Ca9C0VhPdm2rjDm
HTXtXdWqN21A9nu/iegknniroWwVsDnTKKI/FcHYnob2RttXNkoXizLC1qA2pM1gbbidTD82D9s8
1We9Vn45OeayURA1KHUx6zmrWBLcT0h0P+hGeK5SF45qizbYhiOZswRcS07I8TFc2u4GUnxldFw2
6lgYrrRxsGXIiNb1I2T+mrd1MFRPU0GjW3/kyj7jYlKx7VqY8IZzRqv5sQ35xz0u/UJLl4iyu+HN
xeAj68KRpfNIxrQO9huN//5GyFzZKw3x5gB20NgftUB9/bjIu3WzcG0FzfwunGl7on0RnAaF+kOv
heBiUqjIolCjXpZs7Ed6slHQ3AXF4ScVwFxSiq5iDyEVMmaVnvJNJG9Y1d5Ip12bR84K1rzpaTAj
bRy1lD+RdQD6bml/HiAkdCMcufYnnAg5SAAyNDHeBJKSbv90gazuVotVl46tvBWzXTl+XWQqgRxW
R2dcmuVQ2W+2KoM7O7HuXOk9fCqiiT2KPWj8onIXoZIBZFKTsV8yw5KPRb/qdCxQKus1k1y4qQRo
SoJNTHg7Ff+gHP0ZdT0//Jp2jt+u4si0zZdTBshNl7J2af4epj70M1thLt9UR7oMexmvGW1o87pQ
JYw5l86rIIa5gFNb9VpYNU1ZsqXr0ervY6OCb34D4wTMMTw+FmPliAxS99FQ/XbsksPze9Jf4wYG
NX+AAXuXWb1P6VSIp6GmN5J2V/Y5F24q50s96CC6rFDhfGJlRoNWp0tfh2kt1tc6Vse9aPzegZkL
O6k2QvYX+m4ZQDZ9YmEp0ihptF+c4sJOMpAGMs+7zSwrui9IkASPSwjRaq8v7MJObJdLF7b4ChOM
ul+rvVYP4bKV5z+3fllAvwn+XdppC7hdiAxtNvOddWm3JuwUw5mmwPMqDhsTU+I3m1zyiYspgSBg
MGXLRQuwg/lTStXenv78O67s1C76FEWGLHV3jFkQ7eqdbqHy3/RteD8nUOm48TfklbFy4mjSkdYe
SbFmcmvC0x6jZmmnLXlZqa3OtSyL+w7J4TRZQwoFRtxiPUfOWePwZg/mOprCZ7Gp/u6ArfUd2fyo
EeYCUuOy0GE7lvCZFCVL1SGAHHsWezAXkFobjtc/gcabsmlTKPB1IvE7EVw8KhpZ1LMQTcsIWgnJ
3Jp0Bt3159l0JXp06ah2P5ali+mSyWPFac+gpZwNdbzdeE+7MlldOGrXOipiDvK4WUqr0mHqyrxo
Y5aZLWE3AslrP8FJY9WE9sFmkC/fIv0DzzknPUM048/D8+/D3292DZeSKs0I2+1iGjOwI6XEwAM0
3i9vCSUMQe9QyNc/qqIen9a9Mqe56M19sBh1xzpj/vlzF679vMvQ/nSnjevG2BVfKRMGQqZJ8jVS
w1e/pp1lXtNtm9t9WjISbvCI+quK/YSVmYtRVcMBX0M+I4ox9RtocbDFDxZkjP46HKsAMdlKPGAI
Qd4iF/qVF34md+w/8lNtqVD2NGItBPpHFKNceErqv/2G2omv20XBdnk/hosB+tdpe0vJ7LmEXXyq
adbWzkkZPhtpENBtd8zIGxfYK3PPtRRUIduadi+w9RiQB3G/nvjafvQaEVd6qpbTUXKFtgurQSFN
LWoUIj/sg7n8FLG44TVHUWf70X1vq6G6iwK86fj13FmRKPioWNjpOrNt+5kZkWkW+DGCjDpLktmA
9CqWwXNp93eSkw+xrW8EolcCIBed0l20tu1MgueCDfaRHAhLeN8nr4wNxBkqTMd7v+FxVije6Nru
iFXwDNXMVNXqFdStP/g17VyEJ+T5K/h6hc9Ktv9Ukz5bWMve2OqvzXVnhVZk20W0JsEzamD+CeL4
0z6qWyoKV9p2CSqi+qhoCwxJ0favBkPFGZ640Z3XoLgAFdY+5iFFxwfTv9HJAO9POfnJByF9+ut2
O8ITuBqUCJ7lOr4umH20u58KNXPhKcjDSZPUaDrZ9Clh4msRBbcqqK4NuLNEu5EvPZ84us3wDi27
bwR3ML+J4ipB1axPCp2w4DlK6vdt0/8v6dob4dK1bjvxr14pFKBGdJsd4dOi5cM4Cb/L1b96Yz+F
ESP8tGI9XEak/NqN+3PSRjdSR9c67SzKwLR0aUKMB+3qu2Q+bUbf+81sZ0kyVZEBYfVlJ6n/F9RH
uvd+NWTMhaXoDsXQUWM4xqp43TZ1qlnjd0l2Salit6WAAZjJpmDp08Rsx/kop1smK1dG21WAOlDF
vtq6orCOLN6XZIfm27F73lxdMqos6cqCUdNnadXnapGfk3rzO+5dMsomw7qx5bJqBvWqXfUpagO/
qe1iUaYr5bSsmCbK4rI4FxqKYSo+e81BV/mpkUW9Fyg6zkbd60eo97Ozrditi/a1r+mclQ2qDAJi
Qix4aT8vzXi39dZPNIm5+FOSHLrq6qMGbciSlBn+d79ufoGhyz9VmkaKFCYEkkrSebEPx2q8mqYu
/tRWm9LJQqqMwg+JV+k2ffb5ktRFn2LaGak2NIw6Gmyw3cnYxCsuoS73BAswA1d4ezwvYmFpFY0b
KiWhPuLX8UtA99PWvRFaK+hQVtliq5ewar4N0eBHbEGF9Ne2Z37UsVZVm2EBgdYKgNKyFPJgs+fX
vEz8n/oOn4tlrYOpyZa6PB6jgplztHjmi6jLPm1FPUkx1V1WVf2XkfXfxnj1E/WnLvnUEGUas7XH
M6xIonSnS5BSzb1iNurCTsfQLbSKzfFsWH/mRn1grLyVs/j9nkJds78hMcEItLvNCKs/qwNl75MR
fndk6sJOwZQkXddZ+mznbWtOYqxiyO1Xi58hNnWBJ7VobFbh2GSKiC8EehtVUPlF+NRVeNoaEoxh
Ebd4SVbQfOyn7Z5peatU97Ji/pspoq7E0zoFE4TMZJftfd99XWse/DV2Vr8rFskevDYCV+gpgUYo
Tw7WZse6f2kq80J14AWaUZd4GukQqBAlzJnsjH7hfRw81WKwN6b7v4rBvxscJ7CNZ1Ft29q0GZS9
zTnezHDPOr7fF80enqjgy6kYukCloZ7nD0eUHA8r5vDXlazzJ7w5FJ8oznd1hhm7eqiXMvq6jcif
ROFYtg/QqJxPcNAJ1R0NxHgu9BTdH5NovSIA6tJUrLTQBMS4P+Nl6wzDvjodt5p6XSaoC1PtTO+C
r9BOTeyRVqZ/qOdbJZj/psR+N+hO+FwdHIYVYddlmmALPmnAT2coM9r4sQIm059muMOIU1ANUH+D
69cj+FrSnwhR22mRBb+bao6Uo5grcqZNElYpSjqm96wJg0wVi34oiyU415A1eYhRpf7JDkn8CgXw
KFLXUo5nFe74MOElqmmRMP/falV5D+Xt8WWkeF42etqeoFbYZWoYbj2OXNn7XMIrhpOJbfupQ/DA
g7fDMm8pnWXs9bxJXaRLTbquhgkfKzLfx1VmgfWzp4Fu+a/HpJ6XZZYFWoZ5zKto/VR7UtPU1biS
8C3B/QDVSSoqzqg3/ZwQ4UeqUxfm6mqYSSpB6mzYxneyVPDVUjd2jGsf8vL/P8UNdUxogyLCMuur
tU7nZKwe4N7jV4hPXZTL0C1u+6ZvsoMM7GWLuw0CKp6uK9SluYApCalKqbOoil9FQQDUpPGLYf9j
WBhszDQQ48oAYf6tyPjhCLnn5HZ2i36B/SvRWmcY+jcxQUYzNpufJS51IS5T6Y7Dx0hnBe4k6W7w
9tYXlVcCgroMF7D3MCZmJc+8Il/qGRkf1Ml4btAuw1XMhuzFMZNntuuPtOgy3viRbdQlt3RT8rro
cJWfx6l62Vr9NBgWvfGKFVx2ayJ7E5XJUoIvnl4FrVnSaur93mmpy25ZtQke877IWlpuZ9u30HAv
Dr/rjotpsbbgBfzL8JQaanWHGsj9ZEzrlSugLqXVMjjSEWRjM9OQ7a6jKklRDfbOb8ydTNgx98mx
YRU9I2s1P4nkOM5mpH7v19R17du7ZG1sGSbP88GHF4NXn8fASD98jbpwlil3KE3DZux55Nty6irB
UlsuxCuTR10aq+3GsF4hEPk8hbI+TeFx3obSj+ujLo21F/EUxtGePJOuS9KKx19EP88nr2/qik1N
I7SC4AKcPGvCyleKsC8kmge/2ejCWMkcNkMSQKkhKqt3qmPrXSOOW6VeVy4kLoyVlM0I6WkVPaOo
kt/HnJXPwLOGc9ezxfOzOmH90Ifk/zn7siU7ca7ZJyICEEhwC+yx5rJddvUNUV0uS0JIQmIUT/9n
fVcnfHqI6EsPewIh5cqVK1NtIqbXaZuTJnFp+Fpuvnz550v/v6bXXwDY322nyL47EoueXT0bU/ZH
ljD2Ze3LuBK7TK4Tok9qSmAat7hWPWbGI55pTMKXILLlaULQ7M8JgRD9Mcvh7tn2PTnm3bg+s7SN
HzKA1SNCv+JviS7VaaF7Wc9wiL5g/gDx2Duyaf/5R/wNkPld/gUDbQhnWppfs7X94SL7JQE6/W9v
/duJnUS4p59g4xr1SbjuhdtqTst/g9J/s3x+13qZooSTnNvyKxxLNOYyHd3rlPrkOZGL+W8n9++K
rynNEX21zTnYBB5ei7kIB9aLf+PNPsHzXyyf3xVfNkb4oEHw01WiI/6sHN8uHXY3Xru5HEkdDx5O
QzRL/5uBZPq77isXS5ItTuXXnOjhHr505G60FMYg/3y7P+m+v/o5nzfq/4HEaH7Oi91dfl3Lomww
whJOgkSqgYuMPBrAlPd//pz/CYv+6oN+w95xsqupW9EfSvs5Wb7YrOh8PXiTNEXvdW3hQl4Fktsv
XOdx1iAxMsU8XWJnLJDRI62g/Oy8pz7PLlR12XeZb/yrUqF8gq5stFXmFoLnUceQhewr2n9IoP8E
tU9F3IuHbor4Ce5e69ceHjaX2XgxVjE39Aa0wbe9y/jBCqtOGgM1vq8KsiSnMphwciQy33pio1vb
02mtEFPeVbaX43eeIpLzXy7O39yE33Y8g4zhXrp2v5rZwEkxMduBSfIvZOnf3eHfugHELx7chaLX
DpvGCUYE3THXmT1o5YfnUYbuXzpU//Nh+Ks7/BtQEWHsnCkHHA3wJ44vg14dAj8gxqhWxCYdIKAy
32FV4N4xHJEfVCo+klRlVaJDX0k0Qk6jCMW/yBL+ZoP8/+RtI3ewv2XJFfeT/RpY0R49HJP//Of7
9dfq2/R3fds8B7hyzUl2zfuyfGHxtF1JR/Vt1jF7GDm3x3UowpVlxfrfSLrfJW8+XgJdlMuuHSjA
a4bL1SDXr/1vsP53R7BEuCD2SWdXV2b+Ko1JKi+T8ss/X62/uRe/q92CpSQOOSFXs2/GVN7iVORr
kX7757fHBOLnUv6Llfd7oCJI16GXoC2vNqaCZ7Xo4FHqaxuTKEurEmYb8fO+LnT8KcGllqbq9m7D
aH3arREMbWSR5q2vdoU9aagQCWc6+sjR4Fr62o/JvAhkc9MCraPdjiFRdcRIn71MFvaSWTVtaOX9
4rMr+VaByp73+46qnL9jel+BHtk4wguSath1Z+5TufYHH8r0xOHkHR3G2GLD2pZZnjUmW4uDwAzz
j6l1/oRW8m2qQoc4PINQ4WUweVxnWuQN7AnhB5cInDHlhDGss4uK/LaHd95TIuM2a+JdirWaWyWO
MO39xWW0/2w/bV76eeoqF5fT95Zt7b3lPX3V5TY/OGHio2Bw5l73Vne/whi8rfqN9u2Dh4XDD10U
cXQSGEvuH9g8YnlUI44ljUUuu6hSJHEPpVS+GXXcVXAIwT0OaikaP+ca9RZxtzKRAmnAbqgU7b8M
as9uS/wGmBaLaav7MWkbGqmuVt2sn5jfEBGYeseOA27nYwybk+W+7NvN1m1u8gf4lLcPUcvkuZ91
ElUz/KhrtcOV9ryrLR2+QG+MnHChyx9RBye3gnGaNkSn3zIu4/c2S3/RoOx16KR/ycuC2wojMbGs
oWFSDSTKeaOHcWx8Ns3HruAjZAgyakFoMvhm+WUcXoaxT5FD0QskbXpRpvN5FXsaP5TRBpW5WFa3
njvfbuSbs4Njh8gavH4O+fbJhWZG1Quj+uwkTS64ARbf0nRQj1+GlcOcZFjBQEyVRKRd99LyYoX7
1ajKIA5J62w31ZHpC3ObFHhpRaRd6t3z+FFqHmd1j6meY8utRp7rvGZz1EzjavllUr0UD2ab/VFi
vd/2AcmBMxlGRMOxgTVmlKTKAYxNY3rthyemij4+5qNj8dGUKaHHLt9K3zaD3lGXViBy7fBgWDQX
d7lrnXgxztH4wRbJPtGqBTiKayOMcgrfxPXRCQRWuptaGrQzrjQzc39Mw7j6I4Y4OXlbpkXuj1Fr
kE0ioUsffqRLUCvSqSxJV1elYM2XSg3LYm7TNO7J7YbmiHyXO0/kbSJH/FeNa5I/IUkljqqAm5Ef
hcwNPZLRl8V5Na0vahO3EDlVQ4wkl3oZQ1nctYaV/JVB/OmPkHLDG6aweEGzaxthCn/dsql9Qg4B
LKWgZqbrUbghkx8wmhrRT0KBsPCHgWAhnop5WejV2qFD0tigJWregc/otE4IOV0eVTHzQ+ejFo1F
x93CqrFcV/q9h+h1eHUBkYtPRaZznJpxgcczm5OBnHeTse1Xl4powcTfKh1MxbeIX4iG90CTiK4T
l4mKYfogpe/IXRF3anpVvtyKMyG5jL5xnQ0AMXZkWwFVQEeyumDr0L7gVWZ+HFy+x6xaSVSYe8ni
cT7BaZHOh0yPsfnas2yb71iCdQ3bWx2xg0tpGL7D42nOUe30AusYUQ3laVBz6e52widxLrtOux/x
XqT6LmTDyJN68S6eeYWgKEIvDDP35qdvu8+BCYuxiVOXwIzj3G868JsBsr/kTEUJ9Aih8tbvl63U
y8prledWNlO8ZZ+765xEy3ezUzsdh9kN5DbFbhTyg5W27a5KYmbo+5JRChcaakqaVsasbcYrCDoh
HemxV+jLht/UPXkM19hDW7ZjfsHQbN6/mjaM7CoQz3iUXuT9qV/x/2GEvdv2ANO7wj21KWKS+qpL
VGrPLFnCqpvcLHF/xtCb3MxxLwvYeoceN+Y+ohk6Ukg5nTU94SCCMD4ppZwuq51X88GQjknPqcV4
XiXh1MCr0VPvm2FUffJz90s0n3QCA7Wu8p4toaIijxo+JjLSdaytm99syrb40fRGGcRnY1iXw+so
iR0HVUJBZYx92cV7tScWB1SZa9n+iWnSNXpmLknmq4EVzXbKdM+K20QlS/He2TRJvk2w1THHjpKp
/UESv6Z3mmVues46LNJfSxot7CLQQnRxNURpkv2Zxenkz2TPovhmNMtmqhySdvfBlmUJoiILgim/
s1SOydHC93C7U1NMt9vVEQD0ql94od7maW7L+yLpR/G64UFYRJWxdWy/FUG20bFr15QeUxY2fiuh
kI9qR0KSi0anGYH9W7RGJ+Vnl9+s6KTKN/AXae8wnrMk3di0Mi1R68c4TOJ3pLHFssEHaaWaz4dj
DHULY+mwVqlJfcwOKU1ydStTRE/LeocFxfJz125Ub53Ju+lt2mXEUCKELnwrbKHEV2KhVPiYe0mC
bXwR0Tk/UknAaRymaUiKW7iYaf+UdlE8irOGJ1ux1phnnNx5Fm4j/DyUrQwfGnpsHA8yJ1l7gPy4
1LIqejrkW0V3LXMK419MvgKNpEO03KaFk21lyjZjOG3bdoTfI/WTz5MDetO0GBtBTG6zE5uXaX4d
JZxj8tMKV364cIYMaq0/ujl3U6jpvKBhq0OLSaeqCIYvtKImiYoFcy5yO7V9YUd1agmlPGkkLYvI
XEERz+QpXWBgt9ZkK6l767SZh6EiKhHyasWni1KdyaTXe9UXK1MYzlmGnTbFMhkm6hIdt/jUmQh5
PnBMI11+gdFhUGcWmWT5lccDZac1ldFwEqiJiybfqV/rkekOgGmTo8jlMbGs5T0aAws1B9otezj1
dFXpa9QKMx62uch+dTszyQfTC1HnYUNoyJRmad1P0jym0ZbHFVVJl50QLcqLm5Kn8YYwsbzYwjnf
E3It4OoccF6vWh1bHy3xN0MU3w+0jNq8O/F0U9FtGKMleS90Gp+zLMm6U4F81+4Ah+kxX+pyQVLc
nRRxkt7ZLcAcpwZTlELR4tb2kWtuMLmsl8VB4U/CJZq9OfB1hkvtMMNlb8Ec+6kEjPJ/oEkJ8RR+
MhmLi1fl6spKmK1kh4IUUN9UO6z5zWUFssSuITs5VyVcGJ8K6ICMq4Cq1sycgprS9DnZ6cajI2Gx
266aWtk9RckIGzX4uKeAa3h0E/hEMGJK8SePiPPnQrJrUmT2IlI4KmGHLe3rOpQwxHDjrmTTsZAW
lzwZfYF/G000VhGIJvmnCi0GDPZFROIKZE3Jj8nj5HqA0Eynz+2wx+qyTAUWIEWPHOT61OWTPiEP
2+GbFCrb5zPu36aedpojc3PU8icaHzgMu3Y/c0T8/WJsFPNYrYtZhkcC3+n5lg0idA8Eczf5Q9hA
MH4JBFLQM7RyWopq6UUOF9aehHBELMBoP8okifJjz6e4eM1mNq9f8hli4y8t17597/BdgXcUY7v4
o50YYrshWt0Ffdh12VnMBvb9FOOXxdRUIu4lBP5jFvD8+nHZkhqsoQyVjTPGLwU41mO3WahuYFg0
yFOqFjZir9hU99DSmUdAlH2MpEW01mWpIVs4LEWBAN+cxsgZrGOpffRltk4O6wHkeJsP577v+lPJ
ChzVE2uLUtS+NBEBONtz9rOF5xhxNV2GNb6ny5rLS7rtua1S2Lmedp11X1inOcKJFUMdd7SdzWRR
rfEc67us8GYQleoK7e7TVvU2qWaKAFqcz5FPR9y4iHf7HVwzxWzrbgihwt9HEPj0uZifRhwQ2P4g
5mz9VvFRmoYEvw0/8zZET3TPUL1rWL3dGMD0aceOlvodnFEW8a9YtfDgZLBWXC9jARBdYVYqxPcI
LS7QEGzLvOS3FIF0GSDDYov5gDfuzwrD9NtXwYZy3e5cmQzucbVtYE0/9338BKAgY8wKqjDxY6Rj
yp7nEmjlaDydiydfDmI9jTNrb7NiwlxsmfMTIBdXGH+IValPkAGT5GEHDNSHIcW6sgePIdrRXZbc
5oMDov7kmESyRHdy7tzya1y7if25Ytz/ZaVp8YHiFJvZsQwaZrdL2m5zM8Du8mdATFAt0c46TiP8
TtraFy3PTI3Nhyzh0K0YInGnbEbl7C4cocLugAK/VEWTzUSvX8Ug+Do16ApOjjdRthcETvezT+fH
vBzX9BGBqtGrdGsByQZHZVDUJBipihdUxvC0mNWAHDukICEfldVd5GkEmyTQe1neiMxMcKuayulO
bCR+Gwl1YkD4e9SlbZMuQ5SwSndQo/9wSRatTUQ2MytEda/tcue2tUNoyNQCyc5oucR9ehg33g5/
FHIo1oPCE5E/F/gR87V0bM37Gm2HqencEOYqGwvbVzqin/FpBs6sKcrdoV/eLMmT5BSKz1SYmm2R
j16wyWrqUbtGKhx2gWiOtSp9umV55QZ4+ZyoErm4C5sn5LwiCXNG4DdsPUQ1cQ3Kf9xBvudfkDCj
/K2GNWNawvZuxknaxqRiXlkcj+AIrrT/TM7MYAZ0KNY5bwzhJG28irdXuRbRiaVp9mDmEEVNtOHP
oJfJh8PY8HCcOtfdYa3Qm6xQJRohU4jqaRnIRZOwfO02ar/MLFdbBQOvEuUayLSpStCxCFWMmQtb
fqVZtoFpN8MH6Uaygt6F7MH5ba82XtKnYkGJBUgC37UEZeFJYqeFHGrPMKO2qseReOzwW7uTq7Ta
3+DpGpPaIs4FZGu5XxTsHWo67RPQ97qc83gCQNk8wqZDoWsoef2pGxbeJPk+nkeStyfG2/XaSWxQ
RbLYetA2v0sSEDaJGDoANoiziqz1ML3f4wMbfVLBhE7VRUrWGrl79rQs2fA6LiM2LVhpNV3LkgP8
kCgggmEVKdbvfioVyrIMwGlCyb33Y3wQHfaMOWV7rSakgxcWcZqBgPBAIPYLEcuEJQfxNTaK9hCB
P0lxDaL2OKnYo2Ky0yVE2zsCIilQI0fBphm+j7Rqq5NtbHH9eZqMtVaTu0EqfIoqIJt/OUeTb0OP
7SOT0fLa23GtXebpIyLEum8d6doLAv/aa1c4g/3EjRWJHK11l/BDkAQOIgnV/ADlMmCTKF10xijt
3ATXAdIh8GH6Yw5dUQ0tJLwdtApfMbmEhgol/FggOPesBoBAiL+2PavzSLdwqUPZHKB/OUHBRG9S
5CMMVY6t4cTtQpHxSsgkDlubFRoWSvn2Z+Y8ADCK2+zRKStR/rNt+ICALz6PWRSeM0w2nixni4Ls
fsdF4zJveOfiQ0/c8G6WtbiZKR2/8G1IsfJTCUKfrnklsBiOLufwfu6G7Jx3XB9g2IyF7rU599KH
vQ7ltB515JSoYteKD95r+dCVhP+wq6JVukRaH4hI7Etv2i0cle5GepWxVUepJzo3SdabLznnw9OQ
9flbmwzyFzLFIsQbUQCzsii+7TaKyB3yCsTD4k17WVNRRtUGa4UGk9fAAEHN9iTRiHibsA+6M91B
czWd4O2py1uk7mVDH4t6l204t2XCxcHGUbRWLFZd0gzW5iC3xiV4UEfdbBqF4+vQ7m1IXke94Vyu
ZB/imyRj+/SS5hOc9st8ieShRx0zHlCtZ1k17qW4JzvjdyShakaAKOtBIunwHsdBv1L0vO9oBHcz
3DuUiCgrF/AJOCejw8QK/wVOXjC19DOiPH61slNDHQND3fMu3ShkjRPirJnax0eeAGJOezdfw5wi
dcokheP36MgM6n4H/OUHNWX8IUtLUzY7R44svj3wRV3gqH+jdGMXaM3sMaWR/9VOsd/Bea7tFfpS
wSoDrJrXWB0dr/sYCVp1CuHzA2ErHqN1+QzTYkmOKffeR2t+TLec+cqzsoQT6sgGjVnCjrhLz3D6
HbQm7tMYe5BAkDp/Eqkb6V3kp+JnzKQRNUW8Emo8BOm+xkPGsIrRAYgPEGUApjDcVXvoizD9AYw3
fkf0WPthnSd5lRQRT2u6ZoDGYjYLFMkbqsw6LOUy42EZ4x/SrvM9NoXkzTuxfni0hh7XAgNsVRwr
rMlo3ae7dS3pdRVcvNN+yv8EZGPfTawZajJulugmwIH7l2iB36p0yELXcOCk+2UfxV5nGylvEj6m
2MynMX1WE9BbFWP9i2pfen6TAoGI2nUmHY/tNu7myMdssReaWH11yScFwvBhZYW3MBNwpwap0TvR
1wRqfPYdSdFZ3/B8htg1hdA9r+cVOXj3Ux4rmGOyAUNRj+PGsLMVGfa/x32f2+jHBlR3zf02HRQM
1mizxxsYV/jvqPIAkcH0Bb6AcHKPs63IEbXS8vJpR7/vDMYDtRk2xbgFMVT09tZNcexqZkIEdajD
fiGso+l3wYfyYU83+9UmcLZqdja1vs6QaOObybXjPuM42Eb3pafZ/j5NMAPb4mLMDlHQ5pkgCvuP
yGp2sr6Y5M3sCOBf7jI1nsMq5QvdJVmaGPXs0wr3yI9uV706Q+a1z7XfQO0dqcboIET5vX7tIcl9
wACQuR8YJkcObW6FP4CzoEttUIPwKwcrP5/xivKaQuZiToQltGsy6i3uUywdr7ci9sOBUuhcaxEz
gZoDuoOpmXxGnso14IbivYWrmDD7Q6yhn60sDgtkeJANR5aFO6S5WXm3vsl8HH3lQo9+BnVZcYoz
P4FACQEgPBtXKGEXqVYGcpaLRiAVeD9IsnF7lXuPJ1Whh5xecN04PeRk6i6yhERsNVMSX1Jcurdo
XkG99wAmdyWBOv7YxsMYLkwpm11MmbEffraLemRUIgZ8VrvBA4GTjboLyAOhDp6BIDvv0bbQOpt1
cdOKLWC6AfEkoLXpsiQPwF5hQpWwTKIuli2WKOG6ZW1aRz7P37S1ZXnmE1ffMxmL4amcEhE9sZCk
oQZAt9spGgf4hKvAksd5Md2bmnYU0rkMoDPhWaLQW0my5L0XDAiEFPnID8k0QAgce0/muyzO8gk1
7RJvjXSSPQxdtPzpp1nCJUrZ8oAKD8QKxkuGHkFHon/Ll440bJ+7FEs9LKIxFMjAozCzx6Jcxclj
5I9VSubR+74wdgdGoqCnQFy4fIYndu9k8PHz4rlGLeRbfTvEs3aPTJD4AgryUfQreUgQiHiFOxmu
rA0W830+bRnIRqMFOZlxg2zSyJm/DmUfuipOyHLRdOqyOpUbP+0pXNR/TDDFP8Ru9AD4dr0dsi5D
lb5uxjX5lvP4FLFk+O6GMS0boF5voZ+283ByYVE4kmcUZtWg0uJgQVSWlbYJQiqWTAx3aVJ0UzUC
WeoqI3p6FgaOBthdVn2ySb//FGQu97oXcDS9H9LFT4eyxMjpNXfY+sHyFkAXuTTjpylOBLAWpw6O
GtWUy0w0G93tckDCedmdFY0LWoMdJfoIvyG9NiamsqxXjmFyOq4UPY9Ag62oBGNTJfGKHZVkprzP
i2iro6yQ7xtRakGNIePl2MXeMiQTbsA8ceBHmpqyq6ISeRyoHGAEV3Fh9XTZzRBcY2wQRdX3yNFr
tIOMCjbig7qwmdAH8NZ50/WE3xdthnWSSvZCpxR8VYEyt4K3Q6tfeDSNeaW2sgfU68r/xU5lnWpy
tBs/fwqECNVaztxVa0KmEzFmjys9kv6w5bl+bWcxHdN1RtEvRo0+y1L659nb8EcezzmmuzUaCPXq
AbkPs5TYCdICGfePAg7nX/t9VzCZagf1HCmkMN27ApEmKNZXOFlYtCbCIW+jDewoZLLDySLql9R4
8JipxgGGpRVaaeHZchfmBpw+zoF0Bv9XTUM8TJeY9+yNl0KZXzsZ1q5CeQm2IB4sLpJBVutN60mX
1sZkBprQVkT7o6O8VSdvo8UBIU/lLfTi02M7wx3sQI0sikZCODU1GyvVXvvW8ecN0wVLHTDn/xWd
Nf8xJCwguKNLunPeJ90J5zxOJu70VYMXw6ANqsbPzsIiHuSKNQU3ttDnN8KtYrwGyeiAhhp4hvPM
S70d+i70bw5k94HbVv5YM7q8wpY0/AwobK4g4LHqSNi+wp4I82o9BkaKo2pd9jCjtLng0ZJrE0jm
+tp4DM2guukZgTcPicavic0meqLa9sPlU6YdajQH1nuTQRdwgwaWKf8I256gG+eBvrFheP0xDD68
+12k/LjGS/K14+iOcemSC5QL9GZekxYhl0M+nra9lUDoaMZ8TNRjFfBiSyDhIANDY5g61L0t0kJz
CuJvwUTB12JdH9I2zxqdZ2o5AyDYqkuDAKZw08/SbuNyh8RPkx4M5fuNymh6KRzxt9Oq85OICwTg
gpYTOThfhCg1iJXdLhY3GgQpvFwvmo044IDm5FjpLfOgHUCXIqQQYv0TJN7pT+HQVKmWCM2ZSXbL
rwUzKBJb/aIqy2X7Enq3MSyvkdmGR37BxrO66S6PNvlLZyVAcA6L8xx+/hm6LIzL9W6YjLNnOxXq
yxYJNDkxuPRtw9GGw3jcJQjMLUMj2BXm2uoyeQ4RgU+HiOLDMqT2kMTolXXYY7DRESBDUgh2IGnM
r/swm+NK8PFJPInjKC04v1LhkNFo8lSGFeIIWnjg1coW6ZoZzNqzUiUqMVg9ovXu4/ZukBaQd1Hb
9LZ0yjWtz3OcKlGvq6FI92MrYWGHnhVva7uU6XllZnlh2zz39YR09gpTD+xu1Ww4k9CaDL0dSR9Q
gaHfjaZZbfrcgwRoOXkde7kcJ835E5QDRTNRtjbbkK/f52gMTYqW87NjUf+gEdlRg+a0Z8Ha6AVP
OySLMUzjK7BhyWlufXxYRxAIOAv5qSezwhMkW5QlBXLQaq0lnku9G0C4gJkDuoq3JHEYAcwLi9JN
zvdeQ4hWtMC9dYLW1jkdwQHEnsu7mZi0AiW6oeSc4Aa4+cxXSFmC72+ZkSZo97xAFdKkBOM8+cby
s7btds4SNGONCeEWxUY4bngiHpc8kueO9vml721xnCK9n+B80d9OfV4ekOT+bjBOVeOlGAwafCur
2SqEcgUrQ2PLrXxUXR6/rNKmDRqT8QNI3f5+kDp5x2InzZ4JWxOytG2z2RhdDp7yyhIRV63Z20Or
lu6NcHCGRMf8PMpENIzvI3bxKHqD5KkFoSnfkkD1CbGgxXEpNv25LrKfDONvszjsiAbgTYeg5ifB
5HQEI422aLttDfFsPrEpsKiS7fInvORAzXTzfnE2+wnA/eH4Sp8xKoqQXoy2328delYrePqvMY/Z
CW3ftJHRVl6K0kf34+re6GCHg3IC3RXelkiwRGsPJUiH07Jj2VcwC+MJpJW6xsipP0L45nCQh+4j
zSZ7Bg9Jn3o/fR1ZL1/6mCKNbQYGwJTM2MJ/TKkbuHcWz0kvWbN78BHHiJa6UsKXaWVt0FWYWNy0
JnnH1NSI67nkzV56Df2KCJQdDCZHfQ0li6nKNV/WWkA9IXDYQz7fOAVZk9sm/rhF8jXtYJP1JlZD
NlhhstjQ7MARYVbPYheanNZpxkGoaIR+zKMLXcxv9TymJDoGivEesFLTxPccD4DOl+/LXm7mDNgW
ti+gUjuLZlXwWflNjEv2nqtgxUMsNuYONimC/yUD2SdVbavKh0aMwqV3ewlL37dCuthecbkxMp2n
UBKgze0H8ZDCG53c7l6rJuOLTr8HkuzumqpEo91IplW45xJjTR7H3pLglIx7l6zfytkL91FEK3Wh
MoNMPBSr+AegDTg6rhUckGdRz1nHwemGpPxjnnpg6IwV/B7tT5Uc/GLa/+PovJbj1pUo+kWsYgLD
KzlZM6N4ZFkvLDkxgAEkGEB+/V26bz5lH1vSkEB377V3/98RV+3dcBzfimUqm2TR0WDts7mv1pSh
bkhp6Y/gy9yILFGFY1SdW3ytvfTRvDLLD+p7mWf9Ow2lokaqOW6atKy39d0mn3p4jstoKQ4kNzl2
Gte9ujFUccEZZCbVv9nKxvZNVWJtXxwS7oc0Lrn4DesulqFKSl7W6tpp1Tdp7BAhSd+JjOUnXMtt
+9iO48ZPOt+Y1iZyZWCd1oszIDV4PsjMJY49f73iOczyj9Hq1uiRassu39dFbCrZJnbcv5dtz8Pk
ukhPzt5bF/cnwmvkPEmGLPm/gny7f1MIbEyGGgRtuZuFHdHNdkwYzt0wOV7KpGmznih9xnyvo8J6
ixeeEgJefVn0NmBCGcqM1c1CsMDZmsqWrWJjydx4FDPpwmlURJN5HQvEmV2poZ6sJOyATeE5u9E0
yL52Zk//nEVB8O3R8zpfXE1dsLJGBxnoA/f+OOzZzWtNH1JY7fI3ZqQUuSTDDYZt0e5EWKlJe651
ZspcTyXinzYq/+FVFoo4GRVeZJ0bVeio2VUK3OxSuyBHEjGedP1bvIrGOcH7DOtZD5Zuul2om6i+
azOY+BgWVaT6MyuMcsoilspun/48NXm62B6OzbydUJp2TUPM638Foy3v2bADQPU7o8MpyAhsYAU4
waDOJu5srognRGsXQsP2+QnNicgABlRiWbm5aocg9OaBnpRuN2ld0sD+iFUIoQ/eHJQb+E/RMbJ4
wFyad8PBlDMzsMnOg/rWo4fVvxGw2u2H5sAS/ypntBEmg7JeSvtkY0X0G2qFEFYObUvyve9Gtykj
Z785QdvSOxWjNRLRuTkW04Zjw4eZ12fOExo4Vq117vZh53Oodp4eo1K+IBasS3ePbDds7B0JGP32
K3DywHzV4VRIFO41qH8ZJgJTfyg9Ly8OKipNr1Ltiq2/5RsCNpnHAc5Ww3igOW7f/u0XtbHvDgF+
HvsUPTSnMyIv0caYWIHgJ0QDuv+Y98twz9tXR/MuGtfhBhldtzdH0Jp1B+7SMGKz7SToT1aPc4Kf
dFOrX7zMlX+zR7fsk37xFv/gVGPB2y/ZzJrOjo7IwBjjf3lhl18z9Y8Z0bkKEemUhZlxkx+Vn2/1
SxZoruvNZpUSh0lQnRG3GvEqo3LKHhe7nsebpaBTL4QlsMEr00Ozg5sWe7adC2qTuY/+FHEl48R4
Vc8rmlNWUDL2o/XecGZ3e77/etqXTevUeLgjb+8E9jbdM5+BzpfIt0B9Qny5f3rPbBGjBQRUxtpL
5F8FIjU9B9KGd8yCAeDK6eL6JVJlzBYrE9hBsJtr2x2wtPv1RwFkMz3GtBdrijAa9reiY8PmYfV4
f/cqRgROvMlsyk171sGL96UbF28fO7bRCf3D9rh23bJ1yYyHYUurivnrkwX1Ig5IzGwiqbxVrBQk
pn/o3X4yaZbVWXEit6xAlSxWFsTw8uAo7Fzz0ufW4v+wl8A2Xzbrm53dOtGQMxyd13fjOvNAcUwu
4c/ZibvjuECseXkQnmNvZOwnYEtTV9ZstIlcm1eJQUbFi16GTLBjNjmkMffYtus6KIBEbEVIjDsP
gPuWScGUSNVWTQp6VT9pP+qDR021S9FSjJNBLayai5RluJ0DfNZn3W3BbxEbu9gDbNgfbhDOrzmf
LNl6S78SStoE0KChPbwMMALhn4DZ/K8s4205Gdku7Q4vPpPB0KYUPIeo7/4FKGF+9kt/ZcjftBHb
hYQ93xdpVfKhkkVHteE105evYs/cbROrT7Q886fJwkamscoKP+km30fVy/EqWNCr6RJnc5RWc1U0
XBysDmHMyC8nKmGkJj6sPCk3q76pOgr2bd7MRxGFpiLvfGEMYX+/yJ0bo4asavgslnHD94Oczl0x
qzxkFOrKd1fP3d8aofAPEb/d9rr5ov9cLdD354rdP9nDMEiLEN3VmuNDhkI+7AEnN7WLW91QmCxe
0d7FSiRX2pYMUQ74jirrJYDvwHC0yeEXktw3Z/w9rteJMd3ERN8UCslO5vaQocTklZcu5QQBJ1Yv
7thZFXmSC1XY2SMDXPxGCbyr1P9YppQ7+wKUhWLLjqdY7lqxNs7RUoPlfthd1vXvvFXh8s3gM+Ba
epZYPsaMsYeED64J/+pYyV+l0/UOz9A2FQeCJlXwAEPGVV1qDClBLPsw3SzHPQEoVRp/H4OFUXfq
eQ7cnuHmAKpQPuVu5+cvDKqCF0awMv8TaHoKe6rmj478wGdsjqZNnYDzAVfQpDn7ram2XnLOrmc/
M3mYhuEson1gCgl2GvaWXz4stfLqH9JXLcdlXljitNCAhac4YmR0CAPGIwcIr3La5fYCotKsEf4R
kfcwPmFd2etrz++aIWHnic+5FPpttOo9CfhEPnh53rtvjWG4a46122zeTmIee8pHkuz3PlQSz9XW
LE1asCiV8ezixoArCcnnYfdYrLLIPmtRV+LKQGjOojRQWeQnDJG2fu/1QShuUU5p/MgypuHcdKXn
I0IPPefSVMX6Mkbr8qb01rPwVri6SOK+QXXokDiPzTrl57DhpD/N66QXFgIC8CFwcA49qFWz5Bd8
1JavHbcSUHvrr3x7uWJQ+SG2qfP3S6x8vox5mYfdspV8F0FJxGcwZe1rbJbwzY6D+Ifb8ySn7C+z
rX+rUQW/Fm321x294TOy57A7GBSsOSkyZfJ9vTE6Ti3KsuC3y9lnFckUk3TxEi2B2PZzU+j+3cdd
bh1q8jWyPy1lRvhjU2J+HnK3frAodV60inoYFDnwedWZWNEYpilMbMuvNIPjcNU89VPd9sWT37e1
/Tg7cKjXOhutq2ogWrg52/Wu2KXsQmdXUt77sUBTgfzE9NMUdb0XoVXgRa/HTaCWO7n31sLNnTtn
DPKnthmKdKFLSBTN9JwsIohPQwvfObdW/8EKGx0nde4Wj8oh/uVJcCoWu60au590JjkAQO9TdXUM
cdqbbOqBJVts1anhlmRVpHbkGw6x1o2JJvGMyxkVFdvPYHW6FGxZT9+4vPtUa23nz81cDd1rxFLJ
6jwUdf9d+/OqJNvqMV5aZ0+8mGAsYa9dAL9jQfXfjEmYrRvsC7PKVzqSuNv3gzvffbcVt1xl/Tmm
XgC0iC3Xe4FoMf6OZkvr9612wSvDJWjqt1JldrsvcwOx46DBMBFcMp3fbS+2H6VjtwKFQWp5yJes
iU6tmkV5BeKrGBDP/Zj9Q1Koxp99XKvuLWNPsUgopEY+ga3Rt4yBrH+AgR8jRo/zxG/qseuPA6B8
wUWExnSKu3FezjVk70s1udI9KFdl9Q5peM2fnC1D6i4sYMx7gxhGyEnj0JsnXufay8tmTTz2Subj
iEuCm0/cELj5JtrSBVSseKtwawsdJG22jf3NIxO+OflyKzYElhGWkxn5dtSd1RxqGJ9zv3BUJBV+
izmlUB3vmr3LlyEiFqbtuvw5DnV3GWeXDa+xFUADWSv01IDWIvaCDZu3HP0r7SaL1ZH9kHneBxXF
GqSh5Xfe2d/E9q9SvEVvy1aXt9q4/afGcpKzW5yVXint+rLexjEO4Cu4OsYUIRbyT622Uz1MqEPL
vuktfV5I2uPL7LvwSWTfcazW5E33tVblryEO1DE0o40/afSMfQLhF8MhXraQhLuNIjltv6c8F2aZ
GXOcrNiOPks1579RLESY+vPitOlUju0ZDGF46TvLL6g3V3+Nd6Lj6krBwJbiaZ42KATexJFWLbT/
gU40aTN2rtzzj/c+ckMfeA9eb6n4rJt+qHdSNix0yyQ9+G+e6ukz39ZxD+eFHcEPsm7YK6eht/fr
xp0Pbq4VBaFlHkU/R4cqr+SaztNELNXocFjtut4ej/2muz9UWHI/C7lche80B1x7085Q3l2nnLlm
h+fgc4m7igdSScJ4NtXtfD02T06VqeZYl6t8RBppToVjmsfeKr09Z5mL5mjW+TBQCyVVvMUnoar1
iZ/yOO0pCWsFTRLYY0qHC13qqfww5egFz4rLZuADZN3wq23YU+PHatqBVBAoavIJWNUfYojuToYD
Y8Ft4b7Q2kcT6YabL7b8p1C+cf+rBmd0/OOCi8j9GIaqJFW/Wuqrq23x6hZB9CODfMtTPEbZnEQW
InGIgVInQ1O5fw101JbY8bzcCtEtp9qTQDDNhkDbDt9jA+LBH0gIj3J+9oP32+tk0B0QV/EOIG/X
TTq3ZK+f8w1+onHcXJ3sTMQeJYFLapKd+1c+McoAM2SAVdLpyda1/XvG9l1eL+Vb40Hgznk0xTre
+Es+wLYI18AMv70GNThLKqNBOmlWTPZpE9BG+7yWVpcO8HIbyUDcFdGm83O+WCZRtF8n8HH92snB
y5gpBfP6EkYtg4aNdLgukUNorXeAWbhwij7rv2D2kMOXYf6+67fu6JAuMB4Rulazb7kS7b+2PX2v
IYB0kimDCRjDxfPqbTfS566PzIWB1ThYeqH21uY0C4nHDnfFhrGnOxq79a1djzpavCAusbtnsmIa
iwRxr6ewrOzYii9ZVWQDsE9NdxRDHImHcJxQSFcu6BPHIGDW2KqMBnPp5if6ef8rVjrAcuTPhWF5
sZ+/B8BtFzu0+idBopS/97ehc+6Um1O2czoQ+R92KS3GgrYV7cPFUC3z0EannmeCuo0Cu0gF7SOy
mMPOqh2mrmlNmjDohqetXYqMYZ5xeibfOs8gOmBrX6lU5on/t8yxZNRd+0ZUZmhdFkXHt9ex0//n
+53ZcaDkbyxIoLQl3K2k/C63OGBNGJJUkcBpcxAwTuQUtxEB7iS0UXShys97PmPny6Yx2ReTL8SB
qxJWIQcbQvOSVNLJsEjIk2WFsL3NFKxBym1q9JW09b46OEAg65Mz9dpBNGG/y+H7HGaxC7KkHSWi
hmJI8ZI4xT7fqiB4Wgz+5EQFygSPcSPC7RGQr1jOcBHf0fw2b9Wt4lVtLnMotH9ac1XS+9lm8Y9x
lznFXxfLAZl1Vsmoo0BwXRJbZtHPuIv84Im1strnpbYKF6dRV+e7oLBZmzaZTAbpyKHQpoMasZkk
Pexb/7yO3L0c/XkNhJWSGGi3qeYCQYyYshGaM109YNtrPPWDAKJlmG39x5+d/bPxKdYn24uuzdB1
2c0ZvDrbL63J372pLb6whzHu9guxhLthWAXj29j3o+kdNdZvH5olRPRhTAm2Cc7aw2V7vT4omw46
mbFMucxVYQB2EjqeYZHW/7mYdtSh0WFpH9sonP/mhYoPRbBpdRo9+oWETaDrIYT6zFFnpuned+PU
HLZ5jYaXdpukBfRS5mxCyAo1FPs5buVvCxFf39sij/Te9+P1GITWsiZLVxdWUn27DKiXm/ywZmWJ
ecS22jQwQfQHzsx/6TNVXosuRAGNCpfONlpKYJNtG9fDQClhUlwytnpDt+VHb+WhzRSeyOEqyevZ
y05Tp5rs7lmb/e32HFsPoNyGFrv5hOS1P7tFl49t24YrW3ED8SYU+zbp0e2ouroC1+Rt0YgTf3MZ
4vPa2iJ8Hb4xLgQ6NOSLz0S7ObiV2JCjLLPdeJAcKmm5bCetRfZUb6CVrw0N+5PPpQtDgK9ulwlt
tqtblTI8RMjcnxRb5Lq5LadomcA5bz/sUcQDXsAB8jpavZlR/1T6iXQ3wYPT9T913Le7AeXnb5Db
K6UKmWona16KH8Wi2zfeZoRLkbmnCZX3d1+K7dUYEVzdVm+/1rKqD+TyVNfQDgNWRsA0oD4AGJZD
9ZssB9WmtStWTNfCXC3APJ1OQ29Q/fLho8HQQGuqpvDe4AzlhuDudKy2wZkoGZGH7qh+xmVgIafV
2zsQo3ncUB/P7G/HO9hkcbmviFN/sExX3p16pjPeMovpV9gTz0Ir5oYQ5vl06B13PoKOjJ9wZdbj
UpQo7JCYDxhL+3iPoa39AxplpzhmmNbrxXqLimV46VZlvkiGNlcHs8qTCc1F8iAdqZX6V3vuubvs
cJiOwOf5JZqH4dxZLnS1JakxiaCy946YfzOXwI2ji+oKFYYLzDUO20li8RNwWJEkY+Lvi7EBymHd
aXfecmGf3KVdbyGnMMBJ0/3ocqBai0/kdzGX3b+2DjCzmNF6M1BDL3jql6uczXT2gUCunlcNf+Tq
WWeGfcuZv4rOhrK6uEWBjK/5/E306cypIQkdbJ4DdXE9q2HHSRYxeHTaHDHMXvdopqiQANmC8ZiB
uYkrtElc9Lhg8ilQL+QCmRkELLL6hNazeXZdAEexWO3eHcvlo5kbRq4Mt4p4t85DcdKFGWmLyU1P
h4qmb/b8cqfCxuVKtYFO2cSqyV0RTLjTvGYxOSOvYYIBDPv8pq0eFGHIujq1pfOlZWidWZKQXbLI
hD+N5XsM5SJxQwMZf62VNQFt2NX74oSoLtPiXhFYlrM1b9MDRph2l8VDtM8JCbyoySp3VsWeb2RR
wkAj2yQjle+3+9A5ejSv5GGaAwaprxC+9jRu8XyimfW+ol6ND3oT3TNDQ6avnqbWJj0ttVQ418gt
ts+RV1pH2FiJNcGODwYTJqGS2fZ7c3CaVZjBfwRjO/zKcdA8I41jeF4QKpVVz0e2kI3ckDxG0MfD
tGOA5ep0bcPtnecXaKXvov8y9C25c2c7/7fK1tojBNCzolnfHd45xNsps0eqUru96VUKJxWe77zm
lugN0rzdXNZcKhrpyrg3ujD7ohA8uWyIBAZiRrUh+J9F68zZxXuxDmMq+ykvE3ZoYZGOFioId9M7
6U5AQExV1tfRmlR08OVa/4gCnyksI7g9/RCsXDjr6gkmjKkOgwLrvKq4OXUeGiB76DAOcUa3CZW/
3OG5m34HbVB+4M/QiB7hQtiVL28qL5qXWK9B99z4uAiKQjUfumVXahKvJIYkxehHNDj4onHU1RBF
7ijvSnogXIBlx1pU1WVqMsberHo3aIBmvZTKtx9waA9HC+2l2VP7yjdDUQj/h8sNM4ZVozCyaUu4
yvvRdPKzjYIe3/E4cRFOQUUyPUEdCJOB56bOAlx9qtYBSLeYXBRoXNs7qop5FzBTAB+amqNfreLL
Bcq7a7wkOzdquWn5WANukYUWqECbSKmKZcpTZt5tILMpQRrDfxew9uYsbANM3ms69MJqy8MCDYGv
Hb0hvOCH9J67JRie821bT73TyBl1uZigmnrnH2tgmwsWdRuev7HgDmOfBgwoq4//9kxW82T9tv6l
jsdKVNef5I0UljF8QNytBNZ8WsMTiPoK3QRbVCUUO22WLJjSTpSC0a0vhmzPMBicZFBe2hBU/wtf
G0IyJNi4t3U//pfhwXR+EGUQPxtnBdTI+3KqqyTwFjyAmFGmQ9iMzrkZQHWwfE6Hdc7xfBV9k03p
bI/hpa9zkuG6uGvNxSGbgNJsdNrjqI1DQqutticRULTLWM3zLgzq7UcWFFnaFGSDHiWRMJ95F+i/
FBXitNJSHTZR23vsM92bu0XO2+bNzl/V4V4RU5RxL21IfotX55/FMLsFeI/rX4umHfckkoIZM88R
MiEknX80X4gkjUvLuUBcLMwhR+tzjDHjMWAO5X/90vjnZiytL0YMfntacUA/YC4jqFQ25Xmx++Em
cqsF8oy7/iqtmWeDJTn3YuV7iwW1LW8UIymSUgs8THqJE6Zf5p8flHqP40DwNdnibSH9vUyQvNHl
oHdfyaHKbjbwyj33VHtk3KbwI/XrYWR84CdWPqtiTwRc9zp3Pc1aVTOKKSqvu69l2/1qS6t9suLA
Oomw39566C/8nwyjtnSMJ1XhdamYVAZBfHAnWT9v2+IdWPQsGD508d8AfxIBBpv9DWOzrHYkSYf1
nGP85A1ReZXZurx/IzF3F2X/vzD054+6oPrAT7X9GRwNLD7O9A4JDWx9YYS2pt4w6YsF///8bTLE
9mLxUKR9bM83oxvMNKO7/S5sz3sJQa3PmRc1T5W7Tb+8wVs8zBuB7DjtkRogfZmyEvUlEQFo6jQW
CIeD0A+n7OCbbL5D8hG0R7RXW6W+rhhmA0cEkFF51P0XzXhm99w062M+TlW71yzMew1srgmJv/WX
mXzQIhMjRN9tvFjVV5k56EzOCiUeMzv5Z0Ma7v1hqre/JWlbBz36U/QYzQ5c0WjV03XI8V1c2N5j
v2vNmGpfCLsHARxVWJ2LHMakYyicj3KX6QoGp6yIZzvivI6aV6JWYmev16K7QQpb/7mKIfQhbv2+
OHQhCnYq4R3zA2Yi8UcVWdAd1x6nTFJE3N8E8riN/S6dIHCOA8vH3HSt+RAI1JjnbQig/lpc2Way
soteZxP3qeIaIDttFU62pjR8S3+FslvZhxcP2KkYJ1WzwPNTTCs9KCbpgz9ZXsU8AMzGHIZxFGcr
XHv3s0GQT8c6c+YXLsFwfFuWKC/OW+cu/jPpYZtJZG/x5tLMeQ/h+n+8XGfrI+hXVF+bzKoJLKOQ
rvRd6L4yLJwFxjiQ1AESbobSj3aW6merO3gi6HdA6C6LXIbQVoo/mnfrZO/WIrSXn8D533Ihna6F
5Uh1EbEmhMRcazLgvPcWPSl+Q5uVHSdjLdcfqmACW95UoD2YhrZfnL3dEGe3HvW20u8iy0pxIy3F
XVKmOz1sZAyUP7+YUdIGyQD4pclsX5m0Er4ebshoUYTbpBFDDkcWQt8lIm+H7UFNsde+bAPk3aMd
2MDfKXbDbXjyIvp2KGch4je7tYcxMbM/mSvTtvVLdDEwSIJPZjp0BTpnnAwZOBsFdSiCmdVKmFcI
LRiHHTBF95wB4GAbYhneZ2Ai/BkMCI2Xop+VLw01ygc6YX/hI9SvsZAZYwTLx6wRCv9Xj979mWNa
uUy9D6XvLEQ4dG3DVClGMfvF68JgfCCphm5zeCycsUzZZi0TEQ0gKMsY4KbAwPez9caWPjGub2uh
ojduhfjoq5GLqZTcvW6kjxvcKj0CM/AdHbP/M6htT+FrIOIrgWRw0mr4pmIYOzZpHdFo7UpmJuwP
6NpDUIOya13VgrlpVvs7CCT3Sda5eBiHubtAtnUvoPS/WHFbYtur9E/Kxuqg3aDarzmvRuw3zqsd
qfEplrJ+M9OcPWuCA0QKRWzfgiHEf29rPWev8nt8ngbWnM+7frO4adAtu4MzrQQebH0uP/w465f3
JStDdYxZZ2xIKuG0JxZsyLn2fMefoTR90h+iBb55x60xs9CiM21xLAQnMRV5OahDUBku1jmDVyTB
IGLM/v/JaLO4i3NChY+e+Tyqer+ZyInvXRV5BHOMYP07WUdF96cg7CM7lCS3BHeYoWZN2RAzNLew
NWV1cIut748C4ZqTwYTWrca9ApuFdfUzmDa8vn1XfmkXDG4PeuE92VlvqC+Djs8JYc+LfxKzhCrt
AtioQy8nXmUTk9JzDrJwG89od8wdlqHVXwugfXnGWlVbGNwMC4Ec/LQxcTcVrGIIUldf2kAtX/0S
zuAWoBI+84g+shNvsHG9YTse5GluWo4FEAvtPm3sopmegiivxuMg3DV8C6Hdru64qnK/rgSBnBge
zYj3epJjCtoyNvtc5O62r1e3bF5cpgo03QBOGCiAOroP2bAG/Nq3WM13c1FN1NGic5ykAQKkyaEW
UFd2xFIyhTai2F4yRUjN0pj5qbVDvkpZKavdqazbxEGFYlZgNFJvCQYyl+ammoJ/Xt1wpXDFhO+T
q/RpNKX8jJjWiO8x3cypHcRnm7tFZAncbzBhQJUiu4Uz1oqfvR3j3rENwsWLFrZbXQcWKtrJOuER
SoEhZv20Fij8ZVM6r9rHwLbDxbweRyxUA4BqG30vnYVpYbiF72zfGasJU9fkrQtCzMTjwJDGiljd
EGLxmHMbKRh6zFSPuFDUZ8DG6fIwK3+iFCJnzyQLAQ8oZ/nASaNnlihQDMzbW7tV+Wcl9cLxGLbM
GSGAAlJwnFLhPMfZY65FVYcf61L4IpXsFSjPEzHq+8o1rXX1lZT6OH4nkBwhLGuVECaYm6PD6NP6
Szj3XKW6zIdvPieu8t81L9vCXpjZXaHPHcJBvywRK9hV4nha+bLGWcOrNI2SuIEp8wv/z1xWffNv
bEIUfgb7sj6vBBdQomSGcJxiqIt5F7tDC3wXRQOOjq2oy/xhLfT3imMCvEJuh7AV6iVu7cIvUp/2
ab7U/rKER5y8k8bA1Glx9MolHE7EDbQvKCnxy8DS7rdxUcbdD3wozY772DQ3a2ym5YGZSfXcslTt
xzYHa52ypHkpD17QLNmhJqjm1ClfPZStZP5K24/gQgSFczE8d2kh++i9HAccJz4F6++S7cLZxeuo
Ln5WBAIFOCNI1oTTW9evlbltz56ORX8BexOhNk+UmA9iiLPwyMBZZPseVPWWS6f8MpiRXj1r9X+M
1D4I5OAuHEqiKP3LRKjCmgxqsolAotKNXlEPlv61yroUGIRxU8M9qqL4ISNbYB9VE+62CFuG2ZOx
Bs0PXjK+dIxvD+642feVUIIbQqKABLHykUxBEo3IPWPU8h8AQwWgKvPs8A1VwX9VoDv0Z6JMm0lM
5ypzxJQsiwtmZNftZ15/Dy+3OVq+GENXr8Vk6r/GoHmmvGEQcyNF0I4DrDkxuskObLaULf7qTL1P
xJEd57AIHpqMAAk/dq17nHPtTIrZ8zF3lgW01kKJa/ib7/EYhe6x3kZ91+RSYdHUWXg1AdRMFbu6
2hcZ1WUqbSnf4slyPtq48UiadSfnTCdb0aznldkvLNC2d8zpBfoTSD9XxGZVUDsM2I5+5oldHDno
6Yrly0RwYEJJNtU4mKGa0cqQZ4eSMR6bxROpCScY+tBGNdvWs8B4SAhO72/HjNYjIft2/upDtWC1
l2O8nKd4DQ8D5edBDFX7CA9FEA+YS33pKvatoPAt97qR35VCVtzbrsoAakbvv7CxHHmp6gZv94RG
cY/GPj56VWztBhE/r7bvXHwyeJDnMhlf6IXVnxHF5BRWRgdPbZ/F+oZY+V9O+7KvQrfb9ashWyq2
Ck4mBDNe63575qsQN7ZNz2cG95pg02UkKgxwgSiW5oJv1ac+bcVZ0+iNjzUhM5jWiMLNiSaI4ICz
smj+WiQGP3SmlxcMZ0u6BayTDqTOf4OOjh9R2Q5wf5j0iRPQRIoEET9eQSBf4swMpZEaBjyt7OSR
V5738ViT5rGv60nTL+AX/e4MvgWcZRqwewZQzrvM9wRfgQ0BiHfjBykVIg089adxlXMfW4L1OGEw
Ghdzc2zjTbxNpa1/swV5QNEY4/NQSu+1g20hwpemMudVcGBsohCMI3LU0bMYijGYQZdnc0ZPqYHb
MUhINVgfPG0Wag4qt4R3zPEZF/r+CFDZDhlDwYbhkuokw9dgK26wpNGlmXvDfxORuKV4Odt30ztq
n5Hfci2UH30puehfHTFF1zX4zqQJVigohOQTdj4H4At55KIDokFC18/v/lIHL9ys865xmKwShSFe
6VKsa1Av07V3inrc+Xz67QUA0LkEPlvgePmJFOmwp35jAFP83sLXO6nhTi6vfl2rr34YnJMqIn6s
AqZgn/tjdWoIKX2Q/+PszJrcRrIs/Vfa8h3VcOze1lUPJMAFJIMMxSq9wEJSCPu+49fPx6ya6UpO
1eQYzfJFFikGBcAd1+895ztBP16t3N24Gwh72zMP7t0g7LTvlAfzsxpojLqdqS4bWlVh7WF7tTbj
OOPHTBK504gUwg8VZJRcIKS/tmaNZr/GPrQyURJv6ZqyHAPVrmbP4LAa7pwyrZ+dRoyvJCKESNYK
BQJehVpg0ngwkSlwA5HKVKuhHSh/WszCC6XgF0iJ5tERv+skRq2m5lLYVBnXatUq79TigVKuQ3dm
0ggIFpTkWdTUuzlri5MZycDrjKA7TAmDddS9gW/UivpC/jHklFlVsC6UVxbcqq3Vn1XN8W7M8III
S0RfeKmnZ8uKajfUrOpVTftsh0TBOjFIbTezNrEHVPR5t0ndSZdeWuqzsTGusaKYTFukNoPX5YsF
tZKqI0Bddx0HsVYZP39VxWy+jW2vbJTJSE6cmjBLiz7zbB35ZVg6A7A2KEk/Uyzf35frfjvbWnrm
rCZm14nz6ST6Ei9mv3SJByhC4H0pOadB0oLZOcL7jyGmGvtMA0E1bySY/gTIQgyf+3uSlFp1THip
RbiRRrNuyUtBYp+tgIZRMa8axTaDBzWiaKN7TvhL/wWRZWwkFMVVTt8zgYQDhVGPpJOj9YQWhvYJ
RVB+sTinm3BcgqhjY82tamkfaHtzvuDo0uXpmfcw7uZVaWVoLE+M10mo3CwgRsLPOQd6vHEW1G5f
FCRm5ef/m5n675CsNzDmLhwR4dhE3lLNPUgklTV+9vs++oZljKFEpGEcCR/Z6M9WNPYqQNrr3ffh
Nyxjpf4dudpovtFb33hU6Uz+CVH931CSb2O6dSVMsRjhiWaQOKHzAh+rqrAq7MVw1o2Kv/W+f8EN
Xh2ZixWD79R8RUn1Nb6JbWGLYXXXh9+GdsPQyO1xrjSfB/Nr3U5+0ah/QpH+N0/MbWh33BrCzrJC
+NhTseNt26y7M5XnNrNbESiDUo4w/tTNHJsXa9WqY3XfE3Ob2R0qAX2nJtX8sO3PHDXfKDv+BHj9
7y6JCY34n9Dpc8ALBEkkt3JUMMqHT0qK2P6+O3mzQK1RRaejYVEp8+C70c3fbLaZOz/7ZoUy4UFj
pNu9D0Eo4z0p9rFyZ/bE74Tmf7omuo4lVmPi4Ef4GVw91nTwP05z5828IYxjXXASUwVDQTmPwSzd
IDy7LzRAu1mXeV0BxYjNyofIvCrf9WT+k6t9fRr+BZv6NqW7oXiJOA9XvoXuRVlnaBCRLiGAioH3
3pmzcpvWbdgmppey4ZeI9Jde5Wd82O5dT6K4CRGbaMxQXxWVn0nnW9qUF7pIv+776Ote/E8PS1jr
XZrbKbHRwKNVw8NffF/aj7hZmlPdNwzz4tlXAdE708Wc0/vA8rc53QD/Ylzq4eyHZBq6hrimq3Cw
u+8B/x2t/09XxK6EWmutMrHsHf2MUqXeo3bt77yV2h+vd9Si626dfvStcTi0ItyqZfJ43628WZnc
yaXmLTn4hdZ5xDd9be3uzit+szIdHfhiJ9rBD4jC9BA5mZ5dz9p9V1yVf7wmsMggDSCc8sWcBA/N
RHuByID4vrfmbWp3CjijNnV0wu3Vo1/11mcQmHd+85uFmUg0JGMDrdeMUF1IpeSglhvpn2xb/+bl
dhva3Sh5FeTa0kH0tDvE8PTzgkjcd0vVm+XpyDZKIcbmxMvYGCXCY2OU95Wf6s2LUwlbJx3CpvaR
sGBvyLC01wKY2l2P+W1utxFOJvhvqPFs4AA6lPAlmZLxvleQerM8SdJcNDPtKz8Q4moFtDlIpGCs
7vvqNyvUEch4Frss/bBYHCAlwwMDkfK+qla9WaMF/KlExHx1jDjpCirLRmAwvuvDxW12d5+1cd4P
vNxiNXuGrMMcrOj/LL7X1K/f8f9+QYvbBG/sc6o+JyYXBn/ys6Yk29LoX5ngQquryFmECVRexeL2
vrIXfyqb9dwWy9F0ZL5sYHmEr5hJ031ikmdjB63knNmU6+shkxF5+9OcUBchn+uvtP9mjczgMWjo
NMDHQMmj4OttZvSgPQpPc9ZMv55B64/DD3sCS4tzdEUjxrmMhUzPmYpyFNXg9IATJvZtQF6rKFL2
WW88xY08JyRU9ePwNs3R5E1LSoOSI/ZS8Gsru1DGZ6co0k1nqaGHpElu0kZeJ9rVY4q1x8vCXqDF
joa9QJxpIg+BWz8fpskON0tp9u0L4Qs7PWvGcoWlTvkJftmma2MOqE8gIQ8AaRBQ6dsKfcMRF3BJ
AzAB4hvFZ1kHwRkWqaeG7fA1mTXcpZ3lzoTDengpDsJp3hdG5Xujz85KMTD4iWrl2W7K6WOSVAaW
esiLFIpPUNk7oQBDws8KEMKJr5RlTlBANaYB8avSTiuhF4h/8EkXmKOMFe2dYxz2iGXLg6iyPQ2D
4mlygmBrKoDHLSwED2DjsBXOyCsHaIyGdhlM/TI45rjhAJ5j2LUnnHSY8ddFoHSenoz92kpk9pbE
SNriTtkK5DmXFLgY/LsHBoWFm5fJy5LlzprqrJg3S6XsYMU8V8o80pLCvkq96UqmkbML2/pi4IBa
I8gFNNVM8w5mAzECaeQcIWKOKDzmo4LPFd+huRZhEKwd7n6t6KYNN8GatgFU152lCwwehb1B+9a+
0uFFCjIwzSdvgU6xnVsSUlCGgnStAT5bA5VRN9aoaNYaVzM+QEtrDo5OOgAkIaOGbs3MtNNbc1/V
c3cMZPdQ8jBewcCeI0Ekbp2GKguG0Wiu82He9Z11HMPiZezmrUidvvDKAWOZIa3sS4tK4jib6imB
Auq1kJrXkS2xiwmwpQOM3wPOsm7d1eqLQI2zUSGQ86AlMl+bTp769sIg3MbTYDm4rI1wS1gBc9/2
OlN3uKBV/0umzuzmNl54m8bfvseO5tYG5tTQcnLSRBaYzL36uRjLY9cRO3WRod2CkG8buE5iOkId
nGFpFyxh68HRUDAx9JpOM1lrcGjmesGbyqwOq2Y36H5IRsi70fc4UBtHfQIJYh3NscTEATc4fxsh
7XARjHFN4JWcnwAHnUx6StpLUPaETJT7VLfUYwxO972tW3XTa/JSK0m1W0Ymc3bkgpDaWzqaCjkN
m/Y658daKLzabFa9Qe/YQf+2deIQNhGsCFgVPNPrq60K/9H0mEJh2uRj7HepfoAh990OB+dBJBrk
rK5hZc9LtbwvcZaBpIhjc0vsgrYuR/rVQx35uaozb8zbGbwHeGESPiTifcu042VTD7F+NDU7CV2t
n9QNrOyTGUvNceG+IwqEhOahaAkUt5ira2X1LYoIFIEwQ7h7YpWfIigUhhZp/RrHyA1EWzRehNf2
OCzBaxZbV2/eMuRng7bbRstLH/0DawPwseyv/cPSQLGJYWEFs4htJjB2ODw+MKeKV6lwiMMuQCIs
k+vaVeguo79EusyfB/VsAhnxpnFW0EBUV2GZ3SiK5+BEeolwqnlO29iukzZwiuyw4V5EGBvnWC2O
7ZydETUFJyIzzgpbeFXQfdV1BWE8+iVyXEbwbmwHAnz7V2FVuyJtdjxgyjnELrUJ7AjgNMMdZ0Ij
VzY5ygyzhmCGyZLlHNTLz6pAlJa2evqEeE5DyTmG70KR41OiGtZ7U/TKSS1Rna7HvpPyG8KE/ocC
+LiBaFTUz0HTfyIaVA5wB9GpztxK1MW9HyrgAGfuqFt39vKFomLZdHlULS7ya+QXTCh/DEbDeXqw
yGNTMP+oOe6r2ci+MZSYiTQdUoyLlebJpandSDYFtPzm0o2YINOOJD/d6EI0Ps3EnTFKS4Jll99o
54Y7tavjN+QYXekPijHM6w714zEZB2mvddl9bVo0uDoQd3/IR6SMaevMDNGs7qNHe7IuZLcgiTHM
Z6lfhTwd5s+AoY0LWgY3H3xonDfgfwTYlnULUmsnh8rZLmkZHhlagdsWjY8HO8LXXhsX5C25qzPq
3StSZdyjVZ5uAvJez3l4oedLONRi9OMIRkmPGGdPvxidW/ZBgdhef7MZra3TqQm3ZmWDUpPN8xBl
4k3llqKpzHG6gQIpjcqsXuBmLb3r1E2pu06i2e/ZIJly1qrqPNT5soOFPe8ME93VRPTGtk4WDMaK
kX6EaWTlLkOMArGf/gukifOlbJhWd1n8U1cZk6JoFOV7PxfqoSJU/X24qhNqvNVuxoYM46OM7GRF
TZOto7jvsNzEMEeSTAxnpcfL3gc5ZDC7c/Q9QP1n3HFiH6LUxOJrRy92Xc1nJcmN7XXEhBrbmIQn
NQyAwP+Y8AFaPCfdsFwMdeHgoZs+G1oIrjKD/r+p2sxOSBBBULO2maHX61zNGl5ZpY4OXgoGTnlV
tAeUnKDCCMXqH0cMp89lMrRHxx6KF4xqvdeZeviKJLiiQMCL0G1IZJp3KC+m0k8FCUxQECOTpK+W
EWkfFexBSVauxorDs7IYmGeMSHExDXhxUJNjYM26O5bGaQRSvMKuzq42Zi9GG4zERASPNfp5gXGs
ybYab1LqOjhBes9vSH/39cT1S0AhtkbHV1zmMOHO5bZyV+SmkDcnua5ETgimzfC70qjTdaLVJq6C
FgXTnxwV/3VzW8ibRgs23w7Aw6zDi0F1vQJQwZXXQBEBcteAZ8/jeNfJTsibk10SwRaIqHJ83jBU
kX2LfZb2K3CRe04xuCT/eFwHfTjkSYXlrdW1Zb4E1pQhhOqCKZd3dXWFvOmOZmUq+wZPu1/ERKMc
GsnC8Ksk1F7v+xfcnPJSWEY6kkvdt82rWLqWh6wi6ONPHqXrdf5Xh5mbU56k3tCTcFj8sMeCtNcV
BMxRIMEZapUWD3cdg4W8Oe6hGO9L0wx5nhyjfLWaYnpDZ9uc77pCzk1LxhYNj6ulzn4/tcgQSZMc
Dxjg8Pjd9/nXVMd/arJVSQTPCJGnnzYKmSA956uIAV+V3vcEOTfLmRmvrg/YWeluIHGKoBjihsuo
KO5bA87NagbjN4bGyNyBQbCNbEsHfa/MJbqr+67PzRqOAC+AJnUmX13AsNVj3B3lEMo/2YuuK/Vf
PKHOzQpGMNaghGQ+qOew7td5bUN3jjkS3vntb9YvudcBYItm8juEtTFs5LB048ieyzs//2b9hrbS
LQiVVF9AnOekgO8x5Sbnf5Yv/O+uz80KNsjuCdAFL36mounPnRZJEemc4+N9N/dm6bYgMlWRl6OP
UlVctDEtAxdJpu3ct7js28Wb4fvqNXhQZhb0HwUgC+IYTfXLXd/evlm6zthWet9Go48ZFpldGfO9
HSfv7pvOCvtm6Wqa3sh85OoQWSFLAElC/QL2c/q87+vfrNys1o0Ge9HkZ/mYuch6OOf0/M7uvmfT
vlm5g2l1ldHqox8sTviUDHo/e2mamvnf9/3//DH9V/hZXv6+TNu//Td//lFWc4P3trv549+ey5z/
/vv6d/7P//PHv/G37Wf58JF/trf/0x/+Dp/7j9/rfnQff/iDVyAjnB/7z2b+8tn2Wff75/MNr//n
/+8P/+Pz9095nqvPv/72o+yL7vppYVwWv/3jR/uff/3teqn+858//h8/u37/v/62Xj5/RPHH7V/4
/Gi7v/4mnL84ptQMlIpAqlVNZyWPn7//RPuLKpENQ3owbGnrFnsRAURd9NffTPEXFZ6dY9uWYyLF
c3iS27K//shw/mKawlFtQ8V9YBim/tv//mJ/uDP/c6f+o+jzSxkXXfvX3xDvX5fc/+y0Nt+I1DXD
5IP4PSYf+8f3HW4/cucspM/0JZ2nskjO+IjlzpL6CwFr7b6eaQPCzwRRFyO7xHHxUcOA453SvEG9
qSET6ikuXJnQ5/iuGukjvFgvnHKUt0Z7HCriJUAPnGgFArcy5IEQNrSK8BFIirMf7D4C/93idKV+
NgYdZm47HbKmRYclqMWlR+s0W0l8KmF5Qli/SvCsEEr4zcrVH+UY7Iyu+dUq8mTTZlQr+0sEAaQ3
vCh7jeRnOR0G+Yr2c2cGfjiiBouPwnlhVvzQJionSRimajGvAjo7ZHHWuvlDVt/5duiTT6rF7hqI
BfVbfqG756ogShwS5OL6NRvAnKAzdfoNYQaHln6VbczrBOpXBlAOPFuKXwrue5KqL4u17Ee5PDgS
sXGd7xT5PNJxsjTznDRfFyy1JIUAqqhXC+2XMKJ5VJKGucaovbWt7wDI5v6VBumWazn2+PPi06Q/
aJ1fqzitiLVateanEirPtMdad1aAOyjtcxN+wLNaiQD37FNQRrivk52opw3IfEj1wYU8Wo/zi+s0
6iky6CyB5ljlEj1l2SackacfSTNt8wEuzjABEJxGrN0jIxlUgXO0G2LC2cAvph+EgOgIEXNcQPRR
sM9q2jYmW2UuBOdtZa0rZ5R0FbnO4NQ1FKmPIb82CnVogr4+XBrtNZHYIqE5VeMl6664wFUxDBvk
W5wwIVvuo748Duk1xFcBbRY0X8IMBZe4IMv0Ilt3CW68hNbw1DgpQRA06loiDFcVDnee1PzrREmH
GHF+RCp20EneXNEfXxXOslFpdq8nlaPpqKJ75+ouafoOtLFDIAoKYRG/hPppiM52tXI4zcmr2ubb
kPDn1s7XzfBW6ZbYdxUnM+zi2HnHFfPHl2vyj45jesyxNcw21I697KDhdMUhNnBpAXo4W/NJt/pf
iT09tDJzC3T6TlduAxxtZvoVmyQNs9GF13mIqUTBL8zRU1OPbq11bm9+zH320oRkIiCXJeXYhZF3
aRPygErn2Hb92tGJP2qh7kQ/AbpsDJG9dVr/FCBf1LKBpio+J7156BJsZrH52NokPdEAzwzChPTx
NJfqD5mZX7EY8hy8S+gDSuUGJE/IvNlT2XdlcxgKIIKFH5asZkc7DNqkriYZYWswLrM17Jz0Gomb
/8JTyW1Bm7s2RiF4vnuXcdZDvwzdh601P2RTkgt5vRvdpojUhmjTcoWLO0cdSKd5Tr5GSvCGem6A
dqb/aqX6KX7XQTqD9DLc6+RgetGSHDQl8/qGQUiYXyRtHXVyIJEq9SaHO4YyVS0wIE6k1YVfcSQt
blin9lmZdfAyi7OPSoNwITTs7kzWy2aKsvNEEpILb/FlZiE1E7uCSmwrU46i+LpUXmya72l6waS9
Y4oBoUN/irsfmNyWFWJGl+ijFSqg78KpHygzgWTBRol6cORpZtOb5PiyJlNqOWOsnL6wiY6usGcI
A6zpJkJWT2rZguT1oOF6fyoj5Uivxtizpxvben7pSYleDG241KH9jn+wXgGOfUqxcNlwdD2ja1Gl
XhM+1KB9wryBwHDWHvO2OBMQRpIgYtmNRRL5Lmjs3CuFYm2WiDVpA+fyxjT+lmpomh3p9WWA9RBk
u5IendKYn81cfeMgDDybgCnbfBBFSxrqoVfCxa2G+BNT4ZeFDN1VLK3PBufBGj2z47ZzArlrRu88
Zk7iI46fgNBPMKFM5aveySHjhjspPkENkenc0/tvknpj1UATZpaRoQTHYFyah7iup1U+wCwiwOmI
/LLeBR1GJnbRonvoaiM+xfgScfv2xCvpTEx1CG6ag0tdrVCWk2GAol+19g7QrCelMXvXbqaIHVs9
YW0I3ru+aDfkFsWvTVeNGxNz2SMPRuK1XRgfbYQeB5xmRFoBz99ZWVuu8b+gQAiv+AN2VpTmFlEC
EwlljJhPdiM39dJw0xSWXR9tQx1Dn9B+mOrYY38llg15dvoU0un1mv4KI4DguhcLKEWt/Al3+Eko
yg4oVomW9gudGv0IBJUWO/YIr2GrujQ28xhrkFbx0NBw3ehRN3yPANyulgw49H626b5TigD7AE39
YI8QQMdlqM+4EXu4F8+KOVX7KbHZGOe+WU/hL/36wgu1bwbxFG7kaK4cdeifGNC3mcPwJEZTbNTB
NUU73XeYcTzcXbhO5vRrN0VkxicOMZ4yesuuSauqfiTsCzDFbD/F6VycDDtJf6BJJs2c+Ac/QE2/
KnPcGbgyK3eGO4mLWTpcmUxsx7q08IDHFAKW9h3F9zU4QvDAIp6APtVeTEMZPLPIgrVRMYUzq7zb
5PX10/QeQTGvMags2ocusokGLRT3Nop2RHk8jzqzE9UhjLY062OvUhrYrxoTDUi8sw6cYlrWkKW/
a+BJ2B3Ic2f0xyyFVjShJIux60Vfr1HJzdOW3OQmXn6FXSxcqTTqOrPw2xTFz8EKH6/paF5ED34d
admJyceLHrf7NpxPUS4eF8Xe4Chittc/a3h3hMGrBDLEZKffSlJqrnG2DZc9jrOtqTtbi3zyeNoE
xnEiq0ug1pOl6ZMau5UQFCLy1BJBql8erMc28pcrjB+Y9ZaMN95Q9ak0EWBDLQslWNnxXLcmdGPl
geSTa14vnDLAFAGlGtpOD49qtDJE9cC1p3R4ArZI2ysr7K9l0A6HZSDteC0jnv9IJconUzAQt/mI
fTcnJ3wNMhRb46Iawd5WhbNNQw1LL4nPbheVir7CsFjEXlcDEnaXUWZwqsCBM9sezF1o2zB4YiJm
cRQJ6deVbh+oj63vKdPcdaQG5WHAQoypoFO3ZbVEj5YABLLCn5pt2iEnO3EJVDIBMlzoOQOIYehM
DzaHWOO65fUomdwNkaF8EaCItz329B24V3EcmjL5NsdL/aUs29IjtYTyqI2X4MkoOAWuBFbElaMm
xKRD9R3OjLzSfV0BbEmyqX5rDLCsxqhbdKMH6AlM8xmLqNX8nNAiODXSRPhjdOavXIBcAibcPUoV
pvGI/2WFIbzD7UIODtZSCpm8xv2S5FG66dEFPqt4V/c6/3TsBKr9yNHBdhO4OuAQ7WqH3xr3nTKg
JwjICVP1SHfx5ZrrUYyAHohoStc2Odgb9g8SLHXC46fMCv1Bxu9a207QoDvVfGPgR4z1QKABCO/k
Iq2JsHFJIg2BrREYxqRyghdr6OXeUIqFm4rEncxC6pO5GNcib5VDgbIeI5XUoZDnwXtOypyv6yOD
mzxfqBGxGn3QswVhWv/dW0+m/Gjn/QmjXvLeMP7eT8Kc0PaPuaS0zCoitTNSASeGRWsl6r5xqFXZ
EHXFtZXeOGml8yWW5tZEqrUKw9htLGcD3tLFJu/X4YCMIp7yLVcSfnyonIICcnczvRrp5I7z+ADx
2+BRGqbpQMHeuvVQwHLGokaoVfBNN8ZNJsgrwsl1jFVxxKl8SWcn2yPvJ1Ulf4EBt0k60JLGxPYE
2bKxfXo2nloMZNk0E2zRMPmq9Dg/LUVgXAS4QGLA4uEbvmg9qv+6L5AEYKWT7Jdw0IITnPRTJaK9
bD94Bst1lqJ/lihLyJhEhRGc21rRqPzUlgyWKCIzEmJcqoGc7sDYrPPQeFtGVfN6Aut0HbkHOU7f
5YSduwfUsbLmOPaT2aieNY1odgGx6RnIZL82LVuuyKygCE6ERqYvqIkqaVAtLJJ8EzIUihDmdpdZ
fm5LF6hJuIFpXZ7rBkhclfLgw18OoCLhhMJF6Ie2sdEq+WUW38rYXOsV2R5DswVmBh5g8uy8ZQ8x
1qOheAR5HTWbi5RQUJJfveqVaTvNpH0K81cxx14tgeAojg8y1VWb5FSLt0rU9U8php89yatYt7rC
xa7abLKYR1+YqkJ2ehfDyre4ABwGxvQASnxwp6Ek+ITcP7enHuW9wYSz6GA4CbAYuGH9Qu0vUDsE
rArT2WYwtkEZRttKaVxwb4HbJhZcUEzuhAgBOeLE0tgFBK/KPqVMzximhPHOjHX9TW3YItrIsrKV
SGGDGrlqPmTQhby8zepzpMcDKWNZzGgqdA5tfyXviEADBxZmyaZUM2PnmHrkw/gsXiZFkZ7hiOiS
wbFdd/h+3/Ssh4WmNs22g01FXCW6mbfaCZeLNVjDS4Lv88k2e22nmkO36ZsAV72TSfONfMnsBJk1
OWWFIp+KTAGbUV4D5VpHWJxrxnov1BjhAh2h5zAr8o/JzrrvA/WG3y294qtWJNpNX4vuRQ52f+7T
IvGVyMm+WWE6ZeshHYatUTSEi4OVkw9ytLr3ztRwvTdJ+EX0MS+mob16pLQgzp97fda/LZYRpS5c
EgGaQasDV5fVtOuTNFiTh2Y/m02tbZwinR5Ss1IPC4xX6hAeVMvGdB8wO3fLuFFOhRHOsGPs+iEA
cqytDati6we31qku4lTryEtgOSz4bEmAhav+hvY44KGZAYeqjfEkpRm9gyUnbFCHTvDWS7PTNsYy
aa+0EKZ9EyaGhw6l9BQz2S+dEu+nMKZ1BypB+zIJ5cp7oMh1tWJOuTQDL2oHNZjmxNFrlgBAqK0i
vEhtiH71xiAhpodGirOwXHoeLTtiJIcSiRQ8TWyW3uaIaANsOKRoVIBEpI7fMjDF519AmG91ApeK
Y8RTG8tpL6ZkreMUh0QDmGmiLYG66jlXrgN645p6TrUQYAlPEIrBP+YckwZuFnCiETi415Sc+OWK
RfyUOVAuvQmQFOnxepiS/HOG9/rAcHVPwtngFZzUvd5EUQN5zUtl+l4GGjNTO9qM6LQSnT3cTuPH
xASRHDkjZVj6tSgnlDwzoNI8f6jMmvxARQ2fHaMB0UQMDXabhghpGyZGVSzDIRs5Xka/AGZQzJp4
i9W3PgqAFmceQYf9Cgr7QETe4jsqmT0wZfypgBAXjwt/LxuPpZZtBgCqQDXjFWp4l1PpCmvgo2MT
HSsXwoqtoL8yysgWf0FQR0YRbQc6SvCm6IZHz2pMuOKi43+nYt2rdrkzMQ6CaRLMuTtBJl712Wln
Ir7WozmNqyzJOWUjCRAp6P0IVuAagcg+YpS+shxXykNcb3StzlhDMVl6KvGTotgkINarKc5eilw5
4bdsPLsm6kkid9gJjcidWeN8BRfgzMlqz6X8qegEgujEcXphSxBieOXVWRc2OfZ8EgD51/6ch8JT
q/dAWea1Rd8kCUhGKUpOBh2YE7K4oeRDLDG3FmnPFAzw1ixFee3C1mvzmoOprA59AzUNj7/Y1FG0
bQNLeo0TgvRM88FNc/qFZsC9a+BROUc924QJfiNLnAGL/VDIAXTjnndoSM7gOlMCx82LElZ/TEOm
gVDmNWXeb6KIbko9M+DPy7ze1Syhda6VLQQrAVe0ddhaiM4S7XNaTsegvyZTpOVrE9aurJwPmJAD
eNQi3go1PQ3pTvb2U9+Bg9XSBeolyAWIOFEiyTlT9TVU7HRXJ4SWVRgPvVav6LvI+XuQqcdeBtYD
e/bohQgTjPgq+yJS2ysklk2avteQ+iOJIJlnhUbyATKUh9Cqy7elnH6JsTM3y/UgqjZZ4hHY8pB2
hs/YGAJj8pEhcDoaoXVkFF7QQRPi3BeWPE2jPp1TtEbbsaxArcwH1EjE+vUabyXzl0pQCRg8ebJ4
DkBcPMmmKl91SM2ecYXbjGhOuQyYsicA4RgOIQt22WQeFVpPT7rOtQlJwQPE3z00KXlZMShxQJEr
fdBeZ87eXr3IB10LuV5Fvqi0ZnC1t0axyYlzLsrwJS31bCuL3jpYWkABX0T7diH0MuApbaLpIrLc
fM7pM8YOWOYwX0iuBdm5Lcva3mjlnGyTws5AHZfOI6z1H/UYXrSFRPQ4fOWdeFJAW+e28yGzggbX
rLEVkgzuBWG8x1eJftaI11NVqJ6plBds3vQZCeheOWmMQiNDfVl0tTcbDtxjSqpiwiKVQcMsoEQO
tISOfQoLXGpq4o7q3FyGWFRnSoOT6NqDdV0Xw0iwiTMmj6lUbL/FbQnvA1S0tfzA2Ymtl/Cdpylb
WPZp+UgfjU2ymfpNmDXlo5XWKbXHVexXCgjUbbpoPqof8zhjBznDhYx3LXkjm3js6c3MBcMkA+4j
/cwM2/g6rqxXvU+34+xAgrOr6sKLZ1tA6NgJSOlnsjGjFdhRCsXkLKz8CZ86+5X+cwBzeX0rcUeC
a2alhKWYUdq4RVK/mPaU7kKDHXXuNowPicHU3K6vX3XrG7AA8xxOqg7Oeh8GZP9oj2iXvEz9UOjH
PSFBuR54nNoXzdKsOIkZT7M2p1sHzcUzKM9ytThTf04KXfEQ4OybYFExFDNiihPna+/UFIpx81rT
F6PRzsbbk2+60gGSrTJZrVGQRvxLJ2y2KhRiGfDDXovSQ1QFZGOeB82c/ESBaNeg2UcI5GkD+sGm
9lSLuIIUOt4qsXRJyTtnFCp0Z/uaNJpgrwrlKutZDcwsKocc2fiFIhjSbqPt6gb+gWl2XrJwQKb/
ilTLak8YxM0VCh5z3da9uNIOts1VRJiICuSzU69B3aN22jUdTZIrwLZ9T+vuGidcmocCJowbxL2x
I/s1ooNA2VV2bXvidUleIpJjj+72r0gBwYbHG/wNGeFptSQbS+tbTn7kVPhqymwiMG0V6lf+A/ng
Ia0LiA+hvk/79B1NuHoYeqvx03Tc53lY7RLyo1FuLQgT8ypzmVosq7FvxaejZt121Ppjdr3sSs4q
0dvaH+IMTt08e4Omcy2b71IEiCKVYAoIYBuPI0kjpM7ZPoOaZpM7xhUYqIV+LtoffWa3z0lgfZJH
4MJb8ntayaQqgPDsQSWkoRzXfcI4izQxVbjgbNvvtWN+pOhZ1qkcUDk74zOPwaXH7+pWevhJ9aMd
K9kBXLPMw2QqB8ik+ZocO97TBDQTR1uFlByBp5JC7IrkSolXxn2IsnGtkSS9LnP9lP4v6s60OU7u
3Nq/iBSwgQ1fe6InqSW1rMFfKMuWmOeZX38unNT72i0dqZJ8OpVKVRI/MQ1s9nDfa10rGm44NZww
VT8qLYK/1EhdKA8R+jmdVNAwWxCggXI/DSDl9nsjtfqlQmQ5x3hqZ1Q+WwL2BFMVvfU0QmwIR09E
JG7sSauR8X0WXzVFdeLYurJ1ufFGabH2W8lGlsAPcgj5UkHEV5ElmHIapoa4sYuKZOHghOX8tlWo
bwIbWsNuR2FqOichLdIa+mHYOMkrGg0Udf2CEDIFwTrG6zyst0JtboYmOptkOu7Mtj9p+FeQ2ZPh
p4/XbUzjCDO+h4aVqjlC3TJsyN7kHziBF0a+aTUp0F5YFfAEV4n8rlbqG1vtrVTsjF4RIX2jfXbK
6Mix6tR47S+QOuJo1waYtxxRvu6b/WlU/EM1cqLD5fDYIBtd2KDw0+w6VZJbkgYWlA6XALz3ihi3
WWNE5PrVrjU4+96pnRWPP1zOgNO6HG87Wz0VrHm9+q2UfJigEklsclOknSsz8ddkTZx5rQs2SumS
WKkCublzM85NRwJ/Vh32Fz+t4pORT4d21Em+DY6EsSAGhflOuEXwSw/8Ky3jFKyrAKnHJCd73nmE
4QRuji4kGpOVjZ5zLtJrymNrhtZaHaNTl0fTilBiCqRRPp1CjU+qF0gg4laaO2osT4D5bvOOexlI
VcxaulIIzecYhWBQ3NR0ngV/ZcuY7vGHKE37qwtYn0sVXAmInWvHIWLACjaO1K9Kr1wCgN8knBoL
DCuJ9gx7YICB9QJX/bvP2ga0Cjz0GpjUPcleVgZgemjBuRtLW52jweQpDL1D7tklS3EUsQUEVaOq
hP5Reztj321cwqTsVVCWlOMsaCeJOp3hY0b32L/NcyFHBPbC1+5F3kcBTUSfOAAKWPmBw/KetBto
a9CNln7L+W40zH4lGMUR5w8q1ka90snpWmgT5N1c8cGK2q9OxtSo0b5dZPqUrJIcDUPUjZAjIZVb
ZHBgLRjh0UQ2QekcgogWS3ZlGq2crj0Re8uOSh2BziUJkQe5chu31R6E4y3wGOrrxilQkhhUaeoq
MRRbw4FHqtvB3jGUfjPY/iPo2tNYxTvNB5laJINcU86TC4T87TKqk47nMxxSaorforx8U1VKrEiC
4C5PXEDpnbNkBlyFeUPRK0sMVxFGcUAguY2MBE3xdJfqCK85qdx2tRHdBiheO2gy3BMY/+ZadwiZ
CepNGjenqdQXAYHcSji5zfgTDM1JNe+yHH54SkhImnCOq+gJJ/lGr3XiG7M7G7aL3jic537VJM2y
rd82NoCxjKlrBwt4k7Wdqzr2JqT8VvolfW5r40SCXUZFPKS66s1jpMHVzQ9EA6wC4x4AzUkwnftB
eR3qCvA6TmACSgVvzXgGEVgD3IwNVNexjlPJ8pfC8jnL9L3nzcRA7k519E1o3Qf+uIyrByMZyReL
rwPD3/jVLupWyXA0ZeAa/k+HY3g7wodmNwCPgtaNDk3/DW0hq+3AXYGpi8Mnqxk2ovkZGBs0rE9J
VP3A6XSj9rPMQKz8Ds5KQEUohl/THBMYfmTQZUECHPJ1jJiGy2YTWfUavCqNFm2RWM/gppkuunDF
hh5pOeYnk7cvVeiqZujdEw7f0senkkeepVxabaLuJpuj9sIrLPUOVph/rvy6JNqHAmExld2urhTH
RdVBRJCowhfV8Qw3axnRSss8tIRyRF5g2qE0LiktwGMJVfsQk6gzqwm41TEYr4oCFqknst5tOnIg
8jQzHsiX4fA21Ez1YEfrlQN0YD0ExcmIMu3ZlHzBZjHCukwS/6024N2pMVN0ZKj5Y6s13ch+FftW
FdnF3ZB41nJKolPia3j2wijlWzPscT+QasBfX9/EbAfuBzb1SzI2V0KraeyZT6XjbWWan6NK+SYb
j422kzx7I+RX8m1XMmESzfX2tiZigcXqgc557uYjEdFeD9Y35ZgA9xWfjUXsA8N5rzt2uYq95Kce
WTc07x70ztjpQfDWmzFHjAJud0WKMfxutix3jW3vHY86b4GFzZHUdlVPEATD1wIO2F8XdMIK74lZ
PlzFeUuNWKxSzi+dSVtQev2wKFW+lj7YFnQ1DD3vCQZpbsd+mJul6U3VN1tQF9eEI5xKU35XdPNO
9Mo+Es1xgn8amX1FjQBQtdJOyhawx00Ca559oX8e1GifiubJYHVdEPDDCk4UwrZIFATmVo+GPziX
g7hJCXSyFarUuSBtbaD/2NK20WJ4nLlKlbB9MeM3zLcKlJCREaXVaEko+YoYWA0n0TcSVlCW9Cxt
PkkjUitWtsN/GAc2pwls30AJrg3R3tqEiELp8VwyAb4T0RYtCr94bb3gRag522sr3FeDnhEWr2w9
32zIthq2mQKm3ChJY/P3jkUbyDNzOtsA7j3ngY3htdCUiB1CeDOoJFUF47Wh2ovRM4l6TtMjzoYj
cnybr6/CTgXCd6Fp6cryyBjo4S9lgPe2oMbVBemuT8UkXTvAIG0Mc4PRw33prPDOJC7xhC6Wre8j
wIHIw65AbupZDSxC5kubPqV314ppqSb6d+LHdkbTnhqwmT61CnIe3nRDUYnjgZ+aI6KoS4q9cl2p
uroy2tK1M1tsJUmSGFUGsZ4i3VkGBhHvfWJcD+wUmxSDXlrvLJKrlhwmf2hBCnnQUr7D0jQoM2pv
kTY6xEPae7rg/qK025tg0E6eM1wT+o2Dx1tZdfOkK/Up66qNIsmMcV7gToeJek37sFjKJl5jhAw5
wDirBI9bw9knVrstFrpX0i1LLcddzDcJz2mpE7GsaFcJDWscOUs71XcRxbVBS+7GlgSv3RjqWztL
b4f0rMcKQTLWrAfA0DapJrSZGQA6ejFGjOFQjjKGp62bZP+Z9GGy8CCnOlmXmneKkLbR96NqNU05
bSVOtlSU2dyqcLA3RSndSDoVebac3EHqL9WINCI/tX4pU3pEBnI22/B3ZA0Jip3AYhzeNjVAQCUa
N8FA3bxjTcOv0TwlxbhPpPHLr5q9RZ46rbaVjOwrahx7jqvjQoz0OTlfwi7C8up3qXQF2CuZwRIu
TLd1SBmdiCpaRU2ru5mmU2BXuoIhR0eSbViyKEE+tLb6y4jI3TbEt7IgOVKmB6xer21S/lIUz1Vb
D4MssoKl3lY/Gzu6BXZBLaqt7myT3XZn7cJi9i76RyeqaUsly6GN6PC9qUrTrQ1iDGP7WzXE1zUZ
61S8Uv2acNlj0zSnoJ/UZQpkDB8N4cQ582g75YecFKtFPszR7VHyxCYXqGb1I2mDpxm07nJyPAx4
zcaufMto7OLvBXfXxcq9yqetUYByp/F1wle0iHNmSR+iYGtbPygfA7QMDeJOg/KGtXiv2+ONbc/2
fcOdVRoSDDRN/n5FeC220DaesLhJF2fwMcrSEyU7FN/kY5KeXRyVFAlTMMciBdr4Frb0sZCx02u1
21Wi0qlN6mLlK9jr60KuMipmC/KZRlobYboEck3tAiS/XXbqwkIpw1Ae9qGPKbwzqNwiUNE2heWc
NNNRj14cQPR00vRbbSVkPCgvU9OgjAruW0W6WojNUxK9uRaxHRzCYOTxFXTJfF3kjEftkNF4WFal
ny+bqqDezbfK8qC4BRoft7I6Y+np4ZsZOefRILoIEhN1u9R1/O57Y2GjMo5Ei1GorXjQAdwu2VXf
s2o4GpwTgg2YZoCnBRINy3zA/LeiaWpS5ai79dgp4WIk+AZI2jdzMIJDNjjE1+iJ+SIU9c0Cud4H
2o++55yVFsWzHkZH+H4J3Qh/7kq9NLj5cmSQJp3UCOqwwreAqqhkhnuaHGQTfcImSujpEfgnwoZw
Z9j6Da/roDho0mgp3URQhQswmYVOT4J0F4CUBaruU1tfEWw8NA+hjIwVGPVdpBd7QIHbsuzubIh1
O7Xg04KpfW82FmKJFlHMCDKzdMB4iOHJjEqLgFRdrujonqdiXPhOetCw9zehvC91HqHQNwTQbgwq
Yos+tRTIqOxyfPHs5bdwzVY07KaNIjyVziT9rDS4K6lNU5LDQuXcaigbG394JHv5ezlBB4VidiZ4
/meH8tCTr4JtQ03TtzcF/Q9zrzeu0rtFvBvNAvUCXdg4uZo/iyjfJMG09KNvrd5unPYupB7Qr2Nj
NRKJFqo0OeDJT1RExIjmcKRmRFK5vs/MVt0TO3EMJNIwW11/I4VSwwpLxz3NKDnfloEV3Idl4N1B
XYPBaNTqXh+b8FXG2bRNW6G8xjKJ10BZszP0/eJNBDYrjE5gccxKhEk2uA5Tsx9XuqkZtF7H5jFG
qXWNoBayoq2OKAza6DAqjb0bp1Js7CCrjyNboGNqxsGLl5HwGyicW4VXEaJCT3MDxrvaKtI2SSaN
vafe8n8QYXNVEfIiS3pJepPX9FoaGj2K1NfoAotjF0zVVRIF8TX52OoO6slDjbGZDRRV0LVQsgdZ
xLALdb0VcKltn4Zm/KvyIQ9k6Bd8uHGQGofWIkxCO+V18DjaHWI266EO0ZhqYVbOh6gbmek63k/m
N0Gz/b6MLOW2dSh8ih85G4tlEcpF3GLVLmISZ03iX7ytQgFiSx1JcekwYzc0JrHFInVDvMEdQrbw
rreKFcJk9FM6+QzgO/UVaEniJJP2Ore0pzBsDrn+M2oJ3uk4gdCZaeg+N/Tno9iNRx9MrwciMXyy
1avecxZdf9QsfyPpufjWTS67LU1y0qzjldRelZ7eYqBso1ZZAYX4LqIXmAbUkB/4bpfUg8lH8Kfv
BHKNm1ah2ufXCooR+DcLe5x+COkdGhXtKQbMOXewL9gtYj6VPmz+6NqPih2JmkiafISDevgI2ZZg
tkiUzCo+WZ+EUmE80yLCjSvlJrc5MTDx6eHK0Hd5mt6UZBlsCMkGQaJ6TzE6x43I2ViTzjv0c0jJ
lD8GmUvIyiEPx9toLiYNUUZSl2LXuxG7Hl09GIJVd05a50i0sbPwG2JsJpLFdzqA5HUiq+cqlT8a
EuISvYpfPDLeHqgNBhsxOez8CyKNnR57Njz4ZYOSDW4uqlAiw1eOtNcaoJQlAYsEztgsrsRWSRi/
cOnNAHAvbItBe5ya6lA3yHQz0w1HH8Fy5PxydCZJCizKs9QGbTkGpn8VWXA5yJQ7KHnvdsnoxoo1
cTKO7UUYDcSg1GRkwPn3FtLxfgU6PcAGyavidFdlGxxl8xrWKlIdg02SYUIQhbX7g0WXj6dHD5cP
T9mUr/MMtavNok6zHM6IkwPHLNmapdpPGf2siholuu5cYSjFIs9/MRGPLky22UlBjk2h1tRc4R8w
lfT2OhRFcI22jswLVkawAdRG23ztO/792BBMbttCvqZVka1UKm4rXyv2CACuqlCFK8oZtjWSHvG1
mWKySOqUX0Gj9rfN4N8yWpyK1+zcVK+vzdWP4v+AlULH//C/WykWr0k4YZf5pytjtl7M//w/nRSK
Lf8B+1TYYCh0G+eEjivjn1YKxXb+QZqUtIiJ1B0ItfzJv6wU+C8Mx5C2o+nCFKZm4qr5l5VCM/9h
27jt6AzhqnVAu/wbTgqu8IeNApMGWWg2pRBd2Pxd6qX3iFQftIjYr1k+g50doNLLqr2Pk/6Px3Hz
T1/Gn4aN2WL0/90a/7oMCiOHcCMMIpcIMFYXx8HaWrutohxypE8JTUrxSwyIQIz4C5vob/rcu6uZ
tIK4lHCMS7drzC2hPplqQB7ymiKDhdmjfwoVNESkSzvLitVwiFmbDTjDzHA3UccBy0vPmSTlYgp2
Q3VngGvYeH5NDcW5b2rl4fMH8hte9+432shcTMHD1yTj5U+/JkgZouCcoXY5ubGVI1VBFILto4pq
JUqUc6CV90S+bQlCuCtiHYsF4R4cZ4YbNIxHVR92sUKRtjATHAlzoQjI7Rcv7Tce8PI3MsZmiJKl
zi6bv39jYJj5BG2iZm00qESV40Jrqw0b4ohKM4RII38yoBegH+a4Fw1XfgD0RLCzH+YuU9CaS1Vp
n+H0fu8z9ig+qPacmBMJdnj9+eP82w30z/HliHkE86VREL/wFyqmFDKRPE1fp3VSpHPceUiJSADi
jeHnbuGl1IsY7SZdC3X1+cXnV/XuMeGGUi1pWFK3LtyBamsXFpF6tQtp3MWgwnekPH9+icvP1KT8
rerzeLawZQjj4hI4rdjpiKh2U+p17VhvQ/RZWm59QRbU/sZF8ffP1xG6IVS+HJvM7r/fuNWgXSYD
qnYrp3r1UYZf1TGCfLrm2cpMZULeFHiUcATZNIWEmkAA+cIEaTGx/fU0558Afk1l+sNlxr/+/gl0
kkCyxkrlxoYTHykP9usqLboXmyIOZZO8QpDX9ONjOOvEOsXTnv2YTXudtPaR5EMy4Mj5Dl+7IonZ
88rcpmYthh2p1P2WLNaUDBFTqb8T4gt+3bmmtJBemXBgoNp0uyma5vqztlDnmn7cFZqrtdapLZTW
Fb7PqciXJ/JVNuASvW953mjEn3NCx65GSQ6hgkr47hhD4Pe0wb83GtVYDvM+pIcBtTC8/GQXOmqH
EFS0iQdh2aOsQzkTHIluQggk811D9vWi1zm9WtKnEBErj6BY443q+Blk7+HFSEk2m8uMNlujNWYV
ofc6mfeNczTRMX0+8MT85fw5uOfXYRpM3IYE0MZ68ffrQNNiIw6sKzcpvWCts4unR8rOi6nhTjJr
ZX141wRO6JaDPRD0UQStK7PK2AWlUF9b0vbaVvSnvqXJnTOycSZRUAGtTkK9bytL4tCu0EujwPWZ
kLll5ZHgEWqpSGIWFfLa736E0S2M2i2LCL4FUbJxVu23z+/zow/MlKbQDIM71sU7O6E64I6lzupD
qvyW+GFz5U/1fdkmr59faDbzvnueLN1C1fk3u9K/n2ev2XiG2qZyCzrCW5g1SM4J7VXwUajMWknb
N+uuTp4jxsEXBtqP7tHCyYkNk00en/ffl1ZFXmmULyoXF0b8ihbpKrAG7dmbaLB/fpOXyz2P0JgJ
czg0ma3eXcmbamSZUM1cMG1EOJfBokiMs882w5iMm9Arfn1+vQ8eKgmmUMEwT5HrM++w/lpMlQ7h
RaxWrtqQzFMLSZDetAgRWa+8QrsyCN1uOBZ+ftEPHicXlaoqNXB6vM2/L4p1A718SNhi6gukH1Z0
pLqPVcoYsi+u9NG0bOk6L06qJvXE2Yz75/2ZHJ+cMi4rJInFqz/GHPT6yXVMQE8OpjGzH3awk95w
UeJ7SOOf/8GNCgppBg1eqV8OWau0wUk5jJtK1IvUNK+soNnUlGw+v8wHg8bSDcNW2SUbDNOLm0QI
aTWel1VuPmGFBe72ENIMJb4Wb1Wi3Rdo+L6w8//m2l58jJYuTdZsgpekZV6OG62spqFSSpfupfmI
1WKpF/UuCB1m35EK9zgEeA2tYmdR7VzbehU923Wx7huC402rn3bBWFhfQGY+ftmOzkkB58X73avV
KoWd+QEv21M3jWwdivzjj8L5WQ0ZXdBpUNaG2t5QiUAE29j1F7u+D1+DYwmUU6ombUv/e6wBL4yI
wHGIweqjO1JQXC8djzrmrFH3XyLSG1efv/b5tV6+AyFtmx0HcxL+7L+vN1qKzwpklgTFOHsd/WEZ
dV+8549uSTArMH4tR9cuN2i+ReQvmRGl61d0b42GbqmuVOOm18YnX/Vx/31xwXcnECZAVFv/74ry
Yqr1nSAbKmJAXH8WQEae0p2KqohQnnQ/arowtEJlFiFzsM2V7OutyVauteLnrtavExhrTmQOrifr
H11KybhU6ClLMWwjGb5+/vQ/msTgObOyo7nkEHixcR6BYOPxoDVFLtGDTIarXpTXZhTc/neXuRhU
cdtiHmi70rVI4FgpTYy3G72cp9KR+PxKH2wfrT9v6GI45UnlhNPADYXT9DMU3TrtFFyq1gMdt6/e
8ge7Zev3OjenDkJKuHjLvVT1wCCMw40ELjbgl3GLdbqKtevaNq9U/DVKTJ0yNPIZ8Xj3+Y1+9N1Y
rK+q/A1BMC9utB/CsMeVVbrkhRIaadndS50OxdN/d5WLSRnjyYAqSS1dSq4ERmpEAyZfHDo+WLxt
VWBkAaUIof+SEDyQDOjVpcAk2A5XXd4/O8N0R0rqDe6Bs1qmyQqJ7Fc7lA9nWRujK/Oc7ZjaJSI7
s4g5mArSCL1p0FziMYi0H+8It5t2g2Ty8zDuqVatbaMsETtPM+4/f7DaBxtrKj5MbaomdDaeF+cc
Qt+9QR9S3l+Br6hMHtET07eOsaD56TfymJ6NInxr9CQjlQeyG3ry1ec/4Te37GLq5azsGIK8U474
1sX4zUOGV1xk8BnMCqNGlbyGk3bXZYNcVCaCQHqm49KUyW3ZV2KfpvEsCdHXQWjI9cA5dUUxJb6t
Ry9wtRI3fW1Fy7zukg2RhysydYdVORtscfEuqywollU+XTtm52+aTjnXVVAfNL9/ICe9W2QD8snB
id2mqUm7IlfXpSuP+E50OF2IogBRNz21YciZzg/Reip05skmvLNwBKzwpGULst1wlxCithhBTfZB
khBTbdwUldzB3gj2gYMQDJIIRLw+vcr8ojkaBNYAUA3XbePfDx06K4gQe/xuRx/ztRujQFsKolGX
6YTtjMhT2vjUFmCST8QTByGODKU8W+Gob1AaWjtvQog8kN5dAzZZB3GfPWuTg4g+9w4lYHPyUpUU
QYF97HIz2ZBMBHy0aIFlahoeZ4jw4LtsmktV9paa8iWs42uRjURZRMnKrx20zHllHlpNU3a5b/z7
K7+tssnUpK6pLMgX3zqmWeGk6ljQDCMaeOoR3gV+cKvW4Y3vRHf8v76Yqz9Yl20OXLbDLGrOZ4W/
l35py0Ehf7hAouSA0KDzswSrsvYIT7OnLiQSOPviFt+VtFiYbd3WBUVV9lYEh/59SQOO34iDDWUQ
OjdkVmO8pvAVAZCRePaz8Edb8odWh+arcMzbNE1fixw5l+1nV75e0BwsAoTaDhJ0HJnjCbde9mIo
uti0mlUvIjsJ+y+e0kczhS10pglmKY1PVf/7N4802EckRsT+FSkwyQKEnNJgjA5OtihqWjRSwfE8
IUYs9bdOsc9G1X+VrvDBPsE2VXYIkiMIBZr5Vf6BlzP6UsimlTmrDeTipCnZeuIJmjDdfz4pzYPs
Yk6yLXWeD7ExUHG4mJMEsNO2z4fc1WNYOZEJAMP8Yoc9lyzeXYKKum7YhoaT6OJ5Uq0o24gMXDfu
9YealK8lMvwHNJ9b6jIwTNj9oFi/lcBxvri5j5Y6a15yVBOnu3i36MQRLkx8VO5MOo9t8zUpaIHX
KQGl2Y2Zw5HJou7q8wc6j+h3d2syiOfjBDWjizcHBtee1EbjbmMEOaM3nUsi9mQYOxvD67+42EeP
lkYC9eC52/GuutGOiQdL2yncxLRulAg8vNFCVBLWoUDcqRjyLErrTP7v989v8qMHS/cCVgsmeTZE
F6PG7C0M+Rj93Q7vrVavC2LQFkketqui1NYITRK2ZfHj5xf9fSK9eLQUKWHi2zb0H+cy8SHu6rQ2
WdjcbqKzCaX9qGkc14waEUaMQjD0R8R9Q/oSWs2W8tIqi+ODBl8GadfEY5FOuaaoiri6pzfoV8LE
7ySFuVZypvsq+mkYBbVApV77CrG6mSUwBNfVWcbmixM3z7IArltM2jcRQxWHx309yVhxoUoFaAqD
HwXyDXwACCPNGHyQsLFOG0TTRk4cILZGziZlpaP6JZiyC8vz549Hn7+jd4+HUhqHSOQY0rj4zswE
t6ozeKCA65TNlFSMhT4fwIpaXSBSNPfG2JKt56l7lCzFMlD08nsyZqCikwnFHdIRcMFrmackdebR
WpOEgfRKaSzB0z9bdpRCywmdTW6B4vr8p3+wMDmcfOmFUoYQtKy4sz9mO4wCIcDIglXCGvzlwO9Z
tDhJVz1g5qNd8Fbb0ra/+HY+ODRq9FnoCTkW5DK2hn9fNcHpplckDLhVDwalHQbUnQkViIJ1mRJI
oW7CCfefYypkvSahtjQ0ThZRlGE198Q30zZfhr55IKe7XxCFdxsVlrEfygSzUe4oX6ykH6xK8yZB
CIv6iXC0y0+ugCdTytbIEHZTqG2ie4FqEusFURKl6kMUIR5hU2Cm0aAf0IiBH9brvfbVHvbdGANQ
x17F4aHRqrqcUYeoLDTP7jNXGeMDgNtrdbYl1eMaqSqcdufYh2xhbQQbn4+Q9+cHwU7iN86OEg1r
yDwj/TFEzGoISU0JczdpC7QumkNCBGbpsbFx/7xUXnBmlKL9aK+I9Pz82u/W4otLX5TkyzpEFaom
LJENIBcPAWtO/6D4isT6xWUuS+J2pydYfWM+AuQMWdJSXK1drKxfDKR3C/58N5pBGW5+hcKa//yP
B+mrqdUK5J9uPxjVzsOBekg0I11//sw+fl+6rc4tc7wV+sXGj+yF1rK1KKdPEW/0xjgHlnFthcFL
5zg3rQ/Lg6bWoSRTVG/t/+jiLPi6lBr7TjE/6j/usUg6QkZ7n4uDk8hacdt60a8xbtrFSHprg/yG
kGESMu6zMd99cePvzpnz8/3j2hc3HilKGAQ+1/bDdmMCqamsuVPLoW+EidN196URPQ22cj/UxdHR
zC8+lHdT6Xx57An0Lamw0vX4+9b9TA5THzuIguyXAPVdlfqHvjxBfthKBCqf3+x8L3+tOBcXu6iJ
TLAEOUDLzE2zatnZ2F27FnOJTtU6+S8vdTFsCWAsHY6GmVsjt8p7zEbMflp3p1OU/09uyiQiiL2/
YVkXM40w2gIXOh8ITi5jXVi4wWgVDRxlp/Fat8yvcjY/fIhzK5gvUkcydbEMQZsAbQuuxx2dCtm4
Dj2n6pJi41UpPJpBJF+M0K+udzFCZB93rZ7y0kK/uJFaf1VXZH/YzVLFv/QfPErmGRKm2RG/66NE
I9XhJPIypL0oAQrbuHZQ11aAa9keftVMf7cnnQcjfQWK1yqH3Mv3Vit65jnOfF8juArLStdhZV0T
E7Guy2kX4RSLFfHt8xt8vyrTuaceiCuD2pKuXlbTjUpV1MabX14bLvMR61SN66Ip07XmFzsEe8cy
KMOFn4zrrJFnwMZfHK7mqeziE/zrB1x8F61RGL068L2XSPDCxNoadCgSu7/7/EY/WDUYopzgKFnT
PLhMtkxKa7LCgYdba1qwZ29eLnySm78Ymgiu3t8ORUKbfRk7Qe23DOvPmbtuJqbtmD2spSvfcUt5
d0aUYl4jXIjo6XWNrel2LAgVH8X4cywimreU/BBih8SSDOo5Vso3Oy9KSB1650o7qnZNS30tKYtz
rOqQ4ZBFj3p9KHNxFQ067NEiR+9pDTsIVt2mD00Enl2JrbwbyPnRHAVNefGN+hRS3dx33IZyN5a2
zDgQSdzMkpcWCUQT59my9RjnNMtJpygEiAGsDvZb3qn+tkoC84jJYttlChBDkR4gQZqr3AIqirhy
r7XCXk2dOHh9THZg7bQ3U6asiTeJt6hcsT1I7j5OCXdpYuO69IwnvK39aqDnS5IPdta06VzbUL6J
KEmOvKTvZmIN54bT8TJ30L7qAmPA4FewckdPbq0C/4duJuWu75QWPH5D2lgZHdpp2OLKgRGX4j1D
dFveBpjF3DaT3skwUs1FJZfgFkZjYeCe8y0NUWMAhyr01Oeibu97xYOZlekn6Wm7WCtG4CWjbm6w
D1joDXT5HHDdJXSd+phK0VDwU8arMVb7VRBP3m3gmd0yw6W8p1kOlI8vbB9UKoHyc/GwD+L4VZlE
ubf0sbhWK7aebQPjpPWrtRNBbLN8PToSzZ4v1dTYoeU21wbwr12f+UdNEfR+oLvsQkODQyO0sxhR
VIOgW0T9OSSIcx9qROZ1s14eT+XPzEiK626qXjhmT9w2ieTUz3F4TY0rBDLlXs23PdqCtYEgjDUw
xtCCHmDraFh79UjbkiOzJDrBWVrOKNYwTswVbWOxVazsROWdd9d7XeCGQ0MOWpubT2MBCxqeW9Qe
EOcM1YLwyk0SNVNGqEfe43sO9n0V1t80RC4AY0ucpTLVXS0FukfSdE6udT1sU2qJGLzLah35+VNu
1wBWBJTJ3u57DGMdTBhdtDul9q4Ka1Qfe8U3977uxzeVV+BQyttIYrUbsGga3tGyFWPlGUb/3cyq
yM148PVaRQUgEAZbarlF56tcWSSPVJSPKzODRzVCziAvS/rBphNTfdtm+HfkjB7gPIbauDOHJfVc
1NNTURxSWhU7RR3WJqEvbpTj53L0/EGqzVaDpv7DbK1850XmHefo+IHeJp7tDgXkruxI+QnQga/J
x8FZlo11/2oGgW4QOtN35d7Ryx6Y5oibLY7a+3DUtpKCxUIn8ZLQjzVQyWVKiBDOgsbaD7r5LLF4
HUoVgkxLFDFRhHI6IQqslj3i+LbinUyi5YRc1m210nB9S0wwXoKz3OncRAO+uYiUvj/C5frRqL21
9hrW11SYGFf1yp9OTYG8zPWhuJN/Y6vXMM2wxImqxTmvjdB7BNy7jToBCDBtv5qWBd5fWDh+qbvK
TF1dFtUg1bWM8uKkkHV3JVNyU2uNb2ajRUSmYdGoz+GoaDsjgVWHZ8MIfw7gWSWQFnB9tUWqGnSU
TvXUW6WjvbrogRaRYGRlRy8i8qivrwVxcEuvzH6ZcNWgTwchxsuS9CZIiyY1SQ9rKf4C06/dPK76
azMz72KRLuuGE7RDFeYQx0GPIcYzVqUyLNXYOMUwApEq3vaasQm84rGool/VWChIupWDmSTXtq9u
ZYivfPahyNACMiKxDbWV9qhME2UZFQkGecJUkpNkPyKzcac6P9hWcjupWIZsAC3rqcaewvnjCT1C
DV7XgnOkao+AUJp1ycYHPqe4sWuOIUPXau4QNDfU7H6lNuNiqMcesIu/0wJy11hyHvSE/9lp5BsX
goKJlK0puwPktG9Za2Dif+yaCSVm1T7WVvoYqJzJO1vhkKwWd73TnGNbXClEDy7iJj/aIW5z5X+Y
O6/luLEsi34RKuDNK5BIT2/FFwRJSfDe36+fheqKLjGVTU71vMxLd0eVWjfhrjln7710RE/17dDp
b7qFHmgkNygQM03peBtyZzAd3kjA0eXg0emxyUum7GclMRF2f1Fg+bJs0h4VB1+zQi1qNWMYcs0m
OgaEhAdd/iMZuIHOY1Q6Xg2UjISjNbXuXalHP4MkJNiwvQiz6BAZvT/Z/Q85Kx6IsllFozLuBaBz
iqXs4vEKkVt5ZynSgdUfw35P/pKxoXh+qYXflMUlrgTR01CZF1pKWAovZu2NaXGtamLrmMwFExFw
t5LCl56K/FEbZpewmo1ilFf0ij1z6AxaUdJ7NJAokJrhpY6FVI+Vb/DIbvR0KnfMM25v2y98Uy8p
3C8LT2M3KQXJhCER6DmUssbehM6tGZhrYG72a16SvpGbF02nZB74ghzRn7SdM8hIgaFsNf7BpAXl
dRJGGL91Y1pZMsFXxuDHbEgIw+mSlT6bnafbYqPXLaSz6cc4ww6u6d13+6wdQ1CJkTnE7TOQzCG+
MXIC68qboLSmyEcjaa7DOBV7Kpg/P9+GnTtWL8J2DRU5ph9DPzksELti9dJMpSxRm6OFf6AgeqS0
v6lkb6jyFWrcR7Au296OvzpTnzlY0nOn3EveCILf02MK4UgDyaQci9q2IX/R3mYdycTSXZmNl0Rf
XWuVtAtkOqotySmp+UOJjf3cWDedYh1E+ypnmFW/UgT8vvlFpWvyuqE6X44XJ0e1USdPIgQQuSGQ
wiO8hlx8QmBRg35+13/flCpcNAgGtHwyIsKTPXaaqoETDBn+abUDd0kGOCjHSdwOI/FlQ7QqycP8
fMTfL0xGPaPLlkqpC63I8u9/KWAQBFOjDaZ6MhpETxPVwGYbrKqx+nyYM0fBRYLs6DodSE07rYBi
gZQLWqflZiC+MiQPlbxT1JDNWq6/Iumce3OXgxmbHwBuCubck0sqzTHpLMYiU4ANQLA251e1eNTb
SnjkS9AU0jDxUVqu7K/6nstf/dsZ6e+hT4WYZd4ERdxxN+dsPoQx/YPF0kzy5W4kukQIFsQ+svYY
Vr84z5y/v/++5tNvBga71BDyXW60wLlXmnZtFNW6rwvyY7sveM/n3hhKCDZfKMcnRPkfby8w1ZSg
M8pOUGKXje0NRxSvtPsvcFpnZgHDUBTVQBXJczxtwYRqiZWT9j75x6TXOU8qVi+917ZRm/qpZH0h
VTn30tj4IBYbD1VnDp8fr0o2e0utMmAHzL97Ux72eTlIW+ANb6IhMAIpQw6TQ3sIYY2aIFU//zzO
3FMGpXONadzhV5xUSlJ4W0OZE2uhiZyOQDen68QyY+Am+CM/H+r3KUbGe7TU61QkAXhcPl7oXLVD
PDV1uYkGYRwqAyp0nquQSg3yNZc88JVoBRgR0ZlftI3OnOx/GVmRT1p5lVQwN4D03litvVu6h4Gt
bz6/uDOfwVID4jE6zNNYsz5eXCiIXhewVHGgd4fC3NrapcZxglCELwY683YiLkJZA9NP1a1Tk09u
Ok1EIGkJ8rh5VuvbZk6/gzTz6zY8WK35xdd97vWAykMVHZcIPcmTtVhI9tSk7K43tMy8BpQ7eV5u
OH119848oOV8qKIhJ5qCxvLHu9fEmVg8wiU29uqlWaSJhn7z+QM6OwQtAYr1uLOoaH0cYsoKIVcy
Q0zxfGHm8CHUzr7/v42xvCS/LGmhOhVmhJWdvafh0XaEfPNV0+HMA3FUFPAUG/lv/c8G6S9DoHoZ
gZ6z7+4c+dEuY3IO9W0kz//F6szfv/gBOaiiGT65XcNk5xMZIQVVGfEISvJt0AqQEKPkf37Lzl/P
3+Oc3DKLxKDaqKjtIdWR4M0Mq9G272sq+p+Pc/7x/z3O8ln9ct+kcdbQ4HE9WPxuZEu7kXJw3//F
GJCo/vRTOcapZaCfzcZ0gmV9skgoDZZQxa+2GGcvA10TIcsgsdA2fryMyp7tCVkCBeCOHJ+uOA6D
vv38Ks7MZJQaEXVgIzS4lpPJUh4c1IkO5d5SZD/1oL+Y8+itbvOjcL5q55+9Gov+HNtaTfmtT6c0
QWby+IvNxP7EjQSXNPxjrQqSGNQxmqny8G1rMdH++uAVB07pkJrFBh3SpbPEZg72sNbrmLwX+4tC
9bnrWTZ/WOosbBzWyWKKRT8znFJmrE6+Ee0tvPX7zx/Ouc9Fxx5i6fh36VCfPBzCzUozNAYezpwf
l1NlGaSUGOMvtC/nhkGCAqXNIj9WO23EZwhI7DBgkdHAI+vlRImSU4/WfNGGOiGuUW3n4WBJZndO
94SA4JOvUlALt4OMF4Ai9FU5U02M1qpiuVVVr6zKWEsJCjTHWnWNsTMo5yihuhnbb6kZu4VJRg5J
h+l7LpY9BICJOneF6mxScoLZD++LUb8r4AlIVrptiLNUtMvBML5YIM8sxx+u4GTdb6MWJQDhcZus
06guv3W6ukkIpFL1xtfVZvP54z87moGUDUMlz+f0zASfRI6tipc5buKVLKA1za4UQcYof8YkBX0+
2LmXgJ3Gvwc7mZrzCfueHTMYSVUu6wExoxasgKfPRzl/SfC/lo0hKsqTHUYRpV1rT9zAySCSJbA9
whw2Ibr3ir09QQufj3b+mv4e7eQLHQZqzmD4io0orbWlzRtDeozUL7ab5weBH6gu6jhszh+nnGCw
6iyvkLHY0uxLxY0MNitt/oo8+ICW/NX/fm6eZsf+71GWG/vLipYNQm4tk8SzGcKL7BxEN7k2pV7i
iP+be/b3QCeveIU4epg1BiI3eGXn75n6zajVL162s68BSiVi2TlBs9/8eDWsdfaQ98qyD2jJxfmp
mfWmJHOHchc4IeeLQ9fZe/f3aKdeGrQLYORGRgv11p9IIBf4QWeblMr+H4tPlyluWU2RidBXPH0Z
zFquNNmceRlksh/LkQBh64t7d/Z9+2WIkzeh7UNbHqSJN8EiZXzc22W/irT/6n3DsMvmk8UNjf/H
J0Q/Jw7obhScU4nbI5qG5I9K5lT8lQny7MNhgbNZesh2OD3mhzCxCtNiFSXb250s05+VzusIQtHz
L1bT30eitqZw+l10eepvJaiCQCc5idnqFIa51oisaWEFZDXZ3Ry8P/+IlrvzsT7DUJi3kIprfzp1
P969QYXh2WN52wSgrex6fkT+sImU6FJKo02uHWnXFslXeNvfXwwGpcZmyjJCXbQyHwdNhZOZeSHY
LaTCl60np8wu83b84vX7/dNlFIP1yKRQudgtP47iKD2a7ZznBeRqQRTQAMwJ/3uKB5WqgvnFMzt7
TRybqYjiCP5NuV5jKjNCsEqki6QrBaNJJtEvHCf/8+d1ZhiFchofLLVDRIknF0UXMkujZM7ZaKmg
w6UjV+4CJPpiIlr+mpPXQsEjztuObQgV2fIzfpnEZYHCl+gfKJotFImVXcndvZ2YyVcq8XOXg58M
uC5iexO1/cdxwmLI4s4hxyIHiqgb1UoZjWvMLf94A7zI6zW8EJzj0aeczBGKSDMtI5ELBSkkFdtA
IxlLxhfr0Zn3zVBsAmyQtaIHP5VJkms4VBMMj43qzL6hlsdcdo7DXPsqGSyFXrx9/iZ8NdzJNXG0
HgP6tvmmHuc1LYkrm9zjpQvg1DC1yvbbfzEciSPk91CsRiTy8UkVUSmrgzkwXNV4JOxsAkNsokJz
M6AgCb3Bz4c7My8heWEGNHFGcN4/eTFmB0h4I+f5ZhS5OynhqyFqH3kfPIXLeJ63/WxtJWLTPh/1
zMT7YdSTbVhvVqmYyyLfoEYgQ43s8WHy5zbepLn5rw/5HyVD/Se+9gck90X8ztMqf3an0VEf/tT9
WZr3/0NQ97JsfpIu1fTFj/jXdKnlz//F6SYNijUKC5/8Z0rUMin9xelW9D8WCd+iJUfW9mu4lPEH
PSNqUotkmoMvE/O/w6X4/9BRoi7KR0vaBz29f5Iu9Weu099TpoWohAmGGYbEGuqF9ulyIyoJHT/0
vp2IyTnWwgepSWc/DIqJYv38OOqcVJzkSPIKQZLpzuqRJAlRXc5O8sUp+eNb/Ncv4ZRMe+5PW/3J
t9O3EWQs+Fy7CvREMHvkhKp6/M1wcFj88nCu/3V1v+71z14095AIA0wPtOdO1om6TTQ5yvt818nB
U6SThD+pxykwQRY2EemjQTABmxizS4m4d0/E5eybUHbWQlVhV/Wt86+v6j8ePpY9/8lDsLhynqtJ
OUI9FSKiYyhnEj2zXVCOjg9S4Hm089hvKkJazNFa0aCOVp1sPnx+H5bL/GzYk7kYJa6mzDVYEwio
DXAOo1ngcZqn2PbN5yOdeba/XuDpCaFXQASnjZLtomh8k8J4E1Cacnthfc/iL6/qz+X37+taDj1s
z5ZALG4mj/fUchAQjSS3BqwYKQvgs1qptRr1gNY9NISqMR7Ved7kjvKzCXZGCdIq3VeRrvqdbj+r
M/y9fMINbq8Du1J81BqOUoa7bqQmEc/QOwoy6kvCS/RCXVVQoZAtlatRlspbhR7YdQ8mzW0l/Q2X
2lUtyIKHb/gc8PB5giUZmso2ioaHVBCk3ZrtQyLZaGqGfvLziEBgqmHEgcfBNyYIOGH0iw0UwF6i
CLAuqn0ZJLPqE00GkarDfozosPhGIM7lDFliP5OLK88kgBnJ8CQRbqvPSEcaVb1ThIq4yg6ji3Jy
LhxaDm2ekxhGHEoeGrhWpxRJobS2ldHeJoriEJObm14T8iG2Uf9gZlHgdmU+kjYfKHeOVh30sEiv
xtTwG62ziYvrkF1QPNGbaXApQq3buPthF+F34n3JjW2zTafjMmnIYu2l6JstrLUY+nU5kuSBaGjV
aDSr4upBHvNnmM+6S4gAyshN2b6b6kgxW4qDbdKk5a6HJLsiqgYeaets21LdMk88D3N3FafqjzSZ
lyxJPKJopUJYD7M31sjeiP3TybHtt9BqWPpHWoDKtOFFeZMC0mLbuuSHZS9wnG03xHg1djUqIeHA
W0GTlodMR40Z5kejD58R8Mp0wPlemo7o9KbNqOvZ+l2DgoQM+/qyDe0M9Ish+0Pahb7cBteqIRp3
1vkDpflowXwiy7/PffAw9mPXgx1Q5+RFZbvi5oFZuWkxbyySaddCaB0FuADnygDYiqxodT/hJfT4
Dh4lVbwtG8enNBkfDKFA1ZKQ4Myo6VeJhvJpAFLtDAV0lWkrNM2fTP0mTKht1OjminqXWPX7lPiz
Aws5nW8yRfalCFexRYJcF4F3BYW6l/JQgQUTHyKlWDgotBaRCweSejNFPVnFrXWVt/aNXVeyq6Pa
kIcOoLOS+6KLb6GWLfHz40qesq2TqY9mKMP4qfbMzh7e8YpzgD8lT3ZB5KdyBzNnF07fw0g9Zurk
VVO2yQa/QrEEOBIc2JusixVwz50dNBeqhpU8e6nC1Ivh0Q7AS0LlLmRCL0edxAUBdRs0ElFek/VM
IjozQOkDe9znhMHOWe8vFPNJdR2jeqI/82Cj3634/MLyOi7WlERlw9znbbrRppUqXWBDdk1ixvT0
ss+KY5Xavhldhj2yvFvkOzut4VwoVjL0Jnl6QeLWE0Vdp/2xr69S3D8lrApRvxiExeh4//rvsCxQ
QMGATlwr+d5JKLaU61B5ICwYHMIKpLUrq9eF3PI/J8K6q60ZEXD2PcE80UQ/JwGAJMbC9T0ep1UE
+T6XDh3RPHa1n/LbQmtXAMzQBKNOXfR8BgG4LtLWS4BUpPpacGOhiMDBiIgvpubvS85z1L9k6JtA
4sxqAzjb9uInbq/TTreTDiqTqnA8XlbwKYJM9xWgT8DLFiyRgutazHfQp0pVPugqfwBEq1Pr+1h2
VlJWAUoAGhTyCg/5mhACry8jT6vf6VyjzYYxRaVKqPBz9LWNc1odBi8puMOjQ8G6R7MLErwsqMjQ
NkUXpGJcy3PZrXWNhcTBWg3nLllruXpr1IbbhFBoSn+w7ZUJeHqUSQXWojX51utqHrwWPFgBN1gR
fi984SRIfsUa19aePbyrxCR1N6ZXqfPBVl/j5tDHmDKJs+vJJMe4tq3l5tFEv2kXoIGj7Fsz59TQ
ocbJxzlvNga0bslsSHeNPQncJPkf0NxWwD+2ESHotXQt4IPp5q1eOjgBUw9imq+Kfo2NG5X0qxjv
zAUVZusXBWUbU79K1BfS9qEbK/wt0IjT24T0aKd5HcmiBu0kwnejtNeO2az0rvOS0kIm56wMmVBy
yDlWcNmhxVNB4MFYIzO7bp2APgQ/uzYyh2QPtIZoZVErN9lWSVA/I8tal0pM3Dl06jhISA43tBZf
Y1tg67Sf5TA0vbxTkC9H8xoG68WYo/PsmTTErIAgzsvHvAl/1nkHJy0S+zgb7yY9dA6B0kGWydJ8
Xw3UjYf7ObB/aupwTWQ/xcyNpIfEnErNoZQBzXb2phrzaDVI2Q+S0EI3aapL1qyDnmTfS7TuW6Ln
btQ6PTZadlTaOvM7Odx8voGhDvxhs7RsKhyakdjfyJ8gcfP0MB4jWu1iw5G2HehXPIv1bRJs0UkU
d0OeDoDixCHtEQI2VC5Tjx2Koa9KdDcHxyTXCKwgdIGpHiF/TMWVDR7LzevdkLVrpW1ZK0EQOsnr
3GF/YYGI2u+BqHVKGMw+rtQ/5oOl3deS+dQFpN07Czqj+k6Tdw3xkH1B52bJ/dTpGUhCaboMshwF
cKle6MnOmaX4p6KO1rXZi/yVu2PV30R11cC0j9HwwwTjp7SgynQMMas+FEdReUocPoUaPIewH93I
uZQkzRsU+TjqVgMFovYr4UCfT1FrhyynGmLgYXxMOVCXQ78zob+80fBkycqGOwXZ5wHhXX1t5wzT
zQo0lxq08kyCqycPNnOIoEVFiPqMAy0pn+K5XI9FfdEt5CPNSm861OSrec6fRyNQeaHtxJWZTfJo
yt1SOH5iM7WGduXJ44ATWJRvqk1/K8n668CqHkYt0vGYNzPyTkse4W7HKfCD3GKGV+crKh+EROdt
7TVj1PhGNAGRgs55sJoC5KjtEOVfOanw8rJm3R0ysq0z8ZIARoFFVAfFdhwlAvrHkaVEbfEPyvMN
yZNPpVoayJDlfaNX0oXUCN5XO7wEW03ec+R8t5qQjpORJ25RVzBSVY5gycy2JF9kkw7C1z0bL5TQ
AV4Ru5HCVR4yIzOFMDeRJQGWe9jmpdZctdlQrWoAGFPRvSdOdck8eETi9TALBcy0vtPUOPXnPH+h
+PLYRN1zKFX6wqmfySU3253W8VmngLo3oVz3K4VNK2iZJIOEBGx4buLmJSClHk77BHxzmCoZsOss
pJvMGft3zCzDHSboJz1XJbfUWSgrDCdkqLl5F16nnXKcjIyk/mx4FWai8K5VyWEqJ/J+h+BKhGhn
c7YhAiCImhobuQchETXEvcRKyE5EjWoyqYpV11pPU9aww9CGZzshcuYFSpkJsmIqCQLP59TZt1wy
nTXmk9S3JTlzB11tex8PScceyqmd9kZKu672OOG9kzTCiqZa+fgjU7ULsy8iaAaKxKtQq8Eq4Y2R
jddE3hN3o9TRe+o0sYOIPrzvu756LeTuFUDdVUTuWydVzg6gRbhNaqlz63yIuapep9X6QvYh+965
11AzGyTPN0o/PVmTsu8G1bpOlbl3o1oRRAUAtOj70JMywIzkjpdEuFbzriL4ZF8Ex362t1PGUUHS
LxTJeNZh3ZJNHGMngOlEw3cYa6AVL2qXwHWjdLkC2+1LQdj7md55WX2hN0XhLQuacDb9xK6gBbFI
yhHI42ZH84F4iH3rVBgzcCiwXtK89h3tkPPtO8ZPJYEsz8vBPX3TejpLaUHh7mlQ3sqWfz6tFVDO
7tKyn0q/mBTXqO8hX3siVYB2rGLge0NZ3ZWG5aUZ4Pn4uhazW4baoRX1tdrkF4qFUfoJrbxJslHK
LkJXX+3xWhY1HrVh7RgFOKf4Ne34+rt2ZfTv/VgQhJR2G1FL9zUfbNG3pAMF2DVIfQzVt1gU+zLq
Yxd1Pv6WEtWfalbmtq0Vt440L5kAGcqJI7ZlDL6kTeGHOTmhybLvADki1ha883M//sjbg9ZFCS7B
DMxtBxUiZM/ZHxAUeymo9doc933WAG4snc2yp2IbvVpcJwida5O5sssTenB5fujibKvrj7liQfQk
8E7FS4G9hugEtt54hEyRdyshNtl8bzFF9Ak9FP2QsXhnw30WxW+a/aOfYLMkM0Y1HSbSEFerIEou
m+lCCtiGTbXlm460MKCka/gDK1EJ+2JqWVCxO7llQGyO1WhMmOOIEEm7bArlQPjOv0qT/6heeL7I
96EO+L+rFv6nwuP/w3qhumQA/eeC4V1WDj/IKvq1ZPjn/+WvmqH5B606AksWMzralCXM56+aofaH
xs6BKtlSsKOjQqXlr0B63fyDnpSJ9JT/+Cur/q9Aet34A702Hm828VT4EeP+o5ohWvYPmyF8q4u6
gAqEpiwid3I5+fe/NFoEv2AwwVt6M1XBRw1KNm8kOwq3RixQcICS8MHM4TCDOyicpFpligbgxxA6
qza01PG9HeqMJB+idrfR3KuKrxWWeinrc96uOqCi721Y4OGRLCFdgt8Y5q2cBSH7k6rF0YSRP2/J
ZI8R0uhdE7u5Fkb7FhoYcF9ASZXT4oCM0hgbJi4dv9IBL67HvAYpXetV8KpWCREsAztG2J9CtwA6
iGEq6VxPE/OUaRGUFtQlaeltBpjeTad8hHGvBelVD9Ejc1v2wlRyzIUnrBUaP71IVJPyDYFk8KdE
ttfIbDukoYY2cqxH56VJbQ6kgZHEBZ3rzCHGjgiaRXItz98bpZ16twla5RUjW3yRBN14rLNpOFpK
yRrdDZjIvHYG2Oh2IsJn1hAxZvkVNkbpoEkYjTfUZnOY3JXRqj7Zlt1zEoaK5MITGcJt7VTWsKoJ
gX8Gh13fagWhKRy9ZXkiE0vtn41KJ3WoJfz4mYqQDmMjNB6tcBpf0tqpr6CwDB0zvImR3mi0SFpX
ZQlNsZ6SS61yOFn2rauWgxswj1Y6y2HlQCfpSvvRCVvIVomrSRqHJAVfkcSxrZLwez7n03WjZxij
VC8guDRy9C3JEgXbrFqPdy0sOd9B5B9DisymV/A3N7KCLXaRnYknEaXmVi1FdylAMznEUauGRG87
t3xZy9+EpD7YmC+IF++9SqmvjJmj19xfKEa3MXNxNfX9vRw4ewg6j1n7I6nG6zp8zMz4hw51Nwnl
55gWJes4aXL2Vc+xKpNYMuNgpwySTGK4tgmi9rlO4TAVySUdrU2j1zd8fvBlkOBpCDHrfPYUtfRH
a19OYLjCfnInk0ifhqqSTS5fl1ZHYXNmXFarxMqP3cLMi607GegPYL04B8Ci3nM40e7MTJTvicxu
beIVtKH7rlguqB6UmnKPUCaDtqX4wyhbd6kRV4TldVHDSdQ2dH9QZumZVT1G2dX/VFP2B3Zybdh2
dSiMNvFw74337Wx7pAus+6DfRyHWc4syrR5SZhjqHfHlDaQZW++vzZaoG02shO48OcqrPF/Oug2B
eaXolTfKTyZ1JOqiT1mq4z7lmVqGqwbXS8qTyGT8ro7wqdjcmXnrST0dBspA6Lx4tV9Myp6B6O4I
UEawxj43bHhZKERREBkTsleNNVHLhBWFVy1W6+WYpTvTOu3qdWybBzuS12TshIAYMG7g7wEeXScG
2GG0by24GbnYGqQxIScj7r1qtmVX3vXSQwRlsg8OKPS8cH5WzQSceA3dBZBdfIgDcgTLzHOmLfvR
9wiqYxVGvjV3EqmG7fAt0nPXDDlmR3ejo9zXEzvxSHfeJMl55a07DDmx02U0sB9S85WU3oyO3rMN
q+8RNw0swhSh2lzzLLu6ySf4zybyYLYToGSKZ7PrjgOGTPbpUK6nZJ13lbrrwB4NBX4zqZtWwVCv
Bq7MxGUPgokAeNUzA0yt/Qy0Te9V9SZuCFdUtbn22FNex7rtB2N2JN5yu7zToAoDeqMpcc5QtddY
sdLDlPUUfRhmrIdvllQqVNKGizkxLzWRPmFC2pSD1nuWSqBV2hMBZd+R9+gN7bhWiVQUAvhmvHcy
sS4zsNOcgF1y0y/lLH7DDea2iujdKo2pb2h1BmadSd5Z15a5T4fGXIuAr7h91gblpc6nrVXkyV3B
SVqfHSIetZvKiq9kyrGxfORMxAYou59K63JJtjfcdLbg/VU1SVzJcKtK4063oZK311TcBFqb29Ec
jk2d7ovudRiKznXavrnLLHExSD8hljzMWnOrjntnhKbRWA9dla6qfKI064Hv2kxjqrlxNU4HTstW
yWRMiRQqU3wlkvooEvmYGTMbPD7MsV3POOKriVO9dFxqXU52manbXGuOY4R4KS3z2GsLNuBDaME5
JIsy6Sy/tOQlrGh0KEc58G7X5CgtkZ0zU02Wd9A8CDRUg5/glneJnW7jEbJUUVAQyg0z5YBkY1mu
r1im8StJIvUo0DzoI66UqEYN4AojTP0yNbHejpspaTaiq44dYGIjTsDnrQTV9M44tsF7k8lHZUR/
UJTrbkCLkrICJOQj4/yII3Uj0v6tjo2jPJvXStmw6xZrfZzWBrHgqvEm1J0jiitrurKl0BXttUxI
yUiFkKwzkwqlUkVb58/6tilRFdVEtxCuR9z0PYhhwpNcttSehW7gNa7aYzNLbzqY+zxWDv2c0rKk
HjybOrlO8bruOmbbqVlb+a4eC78PzftRz9Qne1RgTllH2GNenFZXeb9Mv6WWP/SNQS8CZXltvteW
tErkDqdQvx5bqXxL5yDeG7ruIq6CFW7bfjvray2j6hk05XMkEajQxvL1LDDSz+LaUXZ5D+1QTvi4
ypVEgbNiBUMsv8WezSwYv8Zm86oGOk+5vRK2eqF207ZmMleUUqw6EwiaFR5D4t5ArDvbEMe2NDge
ZbxnmHk8pPQYjrVyI2X89fOjLHet5E0YDi5Fk7D410biS93aaMCWOjrIVhvYYWukbG+y7aw9t0Fo
HxoxkZduXExW89NghUtRmqwmDHwd9m5jHrflsqymdFptmPCc6XOXielBTOohLFEF21iNu+DaDjmM
J+kOchDUOcCF05utxGBIS0iicuUnBO1IYbSptXifQLdKekB76gQ+TyTrXu9iaoU0jOYCfkgiPzmO
9p43JfPYvG2a9rKnVRJLfD5lt0vnxXanGWvN6b+HJPB4hhFfAFXbj6DiTC0yOfYByxpn5d4waz5I
iLLUNHQklq1xDLVgp1msB7lnkuYhFdAPE67NJLk25RysDPJ1CKkrQdcM1lQk30u09KzbJnEVpUeg
CHPu9JqbJucvLnC+y5JwDaEO3CkEOJtRim9VSLyAM9/aJpG084sGYJfgD9cUw03cJn6il5DJvxnE
2kxCdZMpvqxtdoLRMetYCszCIwPCNJTvvRluVSb4dFCORF7u2xyeCyASIq49klM9q9XWBu0JIwfA
SkJGIk3XTm/4nRR42nLItE3W5fLRXHitMaW+pyhpZxLg4vwqlhTWKBXzuA5pkQN2WsJem1umiPJy
zHs6jYPeqTwyc28TB4FIsA23sUqjCEDuPHCh8yG2reemNu5Gle65ga7cjpItu5JtYyhuoCpeZkp+
JBYVwXuvt/OKTPV1FX4fVJ3KMLtcNpJy1nrL4jpphLzzQ+DS+QWObpxavJ4Qi2ZZPHAu8oW29AOa
m5Ft+E2ckIgFgNGtRQXfsAJJ2NXaBUELj0P9g7LxZi6vBvmQV53vBMXKIcJnTPR1Vr3Z00SzBgP0
K5UJ2l2roDV4vZQNEhmt+EGEyC7Nr2BK76nPHFo5C5+HIiKQZVpliKFSnW7DnAfM9EujWL/LHDZb
XbgziVxTsrH/gfiSCaejCpd1fkluA485g5pShr5G2jxcw8KEVAnhsM2eNUoPYBWvYedQ+lMBcY51
vTPkJfiDEjI/AcK7rK8KBT6f1Wl3RW6ycyKest6OFsEQEzjSmt9XJsar1aK7dgCwLPhBwmGs7y1d
gFmS742elU1U1ETqqGPlhsirWl3l9RQ7QV62b7HiUHXUvnf9MN4UYL41rNhzoK/nMNhDsNXt+aVu
9hqqvWDhlA6HxI4uYGFt45lEhmLqPVkcYkn9kVvsYEo48DR43YCtUOFwmpBVPnK+oCAQNGmFZ1Ff
ofLrL/sd1YzclqZLH6nrsU7u44kHZeS7aHobswnWMXE7MBasytm0mbEZwB3JhW8Q22MG70E0XnXa
SEAJ1dyMwMmekkxZHEIrW5sNPMaoWJP11VrbPL/lt4KjJswjjwy6NikrinWjOvlK7RWq5MVFkqtE
BsCgCtO1GH5qMecLdb5vWvNiCOWjzWR5qef9BlLYqh+ba3zWXpInNUErCXhPTVu1inRDOfuVHjqt
1VFbGY2Sqq621AAbTaHuKBEBEkh3mjBoxhpHazJepnnIt2Fibae6CnaEGXQrTUiwy3u2O7JrEUaR
WbeUvVYZCmElhUQgSTVNyax51Qpai5Z9XYQ0hejdJ811EMiWPwhyTtwsD4t9QaF0SUXWqoZSHkVF
xZyJ+mh+Ctq5Ep0fFQC6MSd08OTLIHyci5bGhh9rWUU7PAGvI3naBHKz1tsNZNuEAG8q5kk/vkQ2
87laNFvB9jDnlBzKrym0pG0CdxLBgQntrGfPoxX3Kl96zvljbhRnNZJY6UbxsM9UDoScbo5qwzfY
xTG8rL7dOgYd2cbI7nJk+LVvSnzANudVT58UuptNtlaWdUN25u9WSmcEdkOzV0bRHVSr17wsLKUf
kmM3BDNIxzSt3+sWxLlKE5iTGwV1LfJNG8JxXQMt16i46bpkE2ydMtHY9XSU7Nq3Gnz7KBMUk8Yp
aWoHQ8jYXJ1VCo+n15unAiFfnhb/w96ZNMeNpGn6v9R5kAbAAThwmEvsC4P7Jl5gJCVhXx0OwPHr
54nMqumqMZu2rmObdR5kJqVIBWNx/753ReHeZPC5ZOaQard2I/VZJSRIdUR6tWZGpUFNBpXWYooW
hnsCxRIxPnYiD+hR3cCIr6Q8lG21qftgb8KbIUYfIQN9LYx/9Gr7Wi/90EIip22wHWO6l5tjYPTv
JTteXz+9W8KWb5J7GdMLxScG4oOYidc0imJFm06ofmTQndMq0/HwO3Y9LHRmmnKkCpHdx6R7+Gi7
8mLRAMBxS16SNWtKnUGG+SIzNYY52jHenW7A8FelO1Q8BzVxG5GXLfFtjfqm58Bw5stgAj7MlrDV
qU3CxF1XzK3v8bVh65D4M2IJ2k5hL4eua+9GOhCsDeyQQ/ZIx2U08OHNVpPjtNZ2doy8J8qC1YBu
bopIXT24H7kjyW6/ZsT0rBDCS/dx07AcCZE7cEMee7BZRlbPIlrS97zK+H5hglmpIN+2v/lfS9XY
sSoskmLlDElfuyTkbKs/f42msVu2f4J5/xbq+V+DNP+7tWwir/7PcM3LZ/kvMsg///pfmKb3x9UG
eTXZoY/1aM1E3/f3kk3H/YN05mv0p49tERsU+ri/g5ouSkj+CxBJeoRB/Jl1+HdQ07H/cJA/IoVE
78UvgJT/Rs3mX2rqf1KNkQTII8Ojh3PKIzDXu2rY/gnTDB1rSFg5dp6abf/Q5DmEWDnb2fAuJh4Z
XdFWzxWfVdGCKAIabGKRT7ruHEWWjvaMne34KGba4y4VG1x+tAmcHH+nnduosySyawvh2OqjKt1C
Hd1cC9quu6Cc2U0THBLOYqfk8fplrV8JiYaNnMUyITVY+sYBedNp9N4RhxGnBBgAoT6FneMXP0GB
rh24YpZpsLHrqlI/qYDL7iqhejg0wlayn7OCEFr3Qd9Hx9x4k3eXYnnbgp85ZNDZuScfsnShJniu
lzLfKD+l+NuWU9TvdaNn6gSt52GKvptouowyrhAJFA+xZ8G4Z4Kp0ypRBwAyQdVXjO0uoMkwtOoS
NlHIjtJ/aEScyXH2YmGv3SsTQqH8i5elbwBt0WmBk6u3rU8O6cbKAcP24E8cy0vL9r+tE0maURog
d/IaFferWFjXUaFtB4JKo6Ij2ihL1atn5dayD/AQoticYaOXol+QefAT9PWRZCBxhwUKDg0rsNo1
hTUfS9JgGiDJtjoqN+CigpZ2npUCUEITM9bFOtRxGB+XxooYYjrPeRQVkg3o8bmhdMJpGFbycM7m
XYNm1N7PxhPJ/WKBM3MZRerLVU58K8j+lw/9tKQJKaQ9WXn0BVBm3GnzyaXCcJuxwOZlSv20H2xU
IUjSy8IueIys8WWpB/doSJr7VSonXfZ5ukwKfnUO0nRXM715396sfYBwIjXyve+ZWV/afM6rlTVE
43sWgPGtqK6rqMso+/Ijz+bO7OPOiYdNPvQtd/MwdfFjWrETzYNDgNPGGZNC/sq0Xzq/ikUSDFiY
oZuOpldRf1vOGFTYdtpSUHptO8VQEW7H5NGh6wDXKcRBAYu0y0q6eWEjHZ4z9zuQsaSH1GKVz7e2
Hqr0rR38Rf6QuAKy+6r3Y/0rs6x8IJNdXIHLkQ6AetwDSnPeB8z6IQudW4rkohc3lqTO9Hwot6Z2
EfAUjVLNVxRPOjn6I/zXE76GPnsRiVI2t2CeldTchUujJgjlblD3yo6y8nYI4Ti7TYr+1jnETh86
W2qwkMj4GT7a0VkL6F56EMdUMOQeg2ZqzkUehHsCoEBtJ1Xfhl0EsqzEJfXHBRmSzs3TsCTyoy0Y
NOLccXeJ9McPSEK1xldSfFWTmTHcFjCIg63RWyzLtOaRRbulSOuDBciyz1lhoJ9tGUB1FBoJQG5d
cfJpXs7uGJb0tJq6eMaljdgnN5q3LzVOr0br/swZlx+CYQlOdd5Q4xRNv/PcS25n6gzK3gkf8TAl
J7uUPO9NgmK1oBiJV5QsTWSOUXBXtbN4DkuY8RWFw97e5iQ8TaHP3EM08kSbCgXnKCiDF9vvl4eo
JW6ltEAqe9Mz9qie1TkKrf1QinReY70fwRG8dtyOUETjKmMeDnfT0tv7zp2y1aBEeLZDkjERVGBH
yotwPBDn1vxw67ZYjy6tgSE3/I4wOsYk6rqtVSvicOMMyD2H1q5Qcijr6JaZddGjuncGyIlcg1Oj
jmrWS7f46zEu2ODnHvjAdb35Wfqt3hABqc8UykTbcirQUTmVvQ5G8iVna/7yR2s6UH3WPw5qzg6W
nYVrz3PstTW68871inhteRbEaRYOJ5NO6Tvdf3JNGTnErh0ARM06PmZV91RIRq4guNaHh0GyX3wi
AZNS57dZ5Tc3udX3j5nVZscxC8yPqrfJKg6EBaGdtl9Us/S7bJ70exJK/dANiF100oiVg3ibZ2Si
isNLz1cGahti31nHVjUeEW98JpS0NCuHv3x9yzuM9BV/hYl65QcQ9vOsYSJaZdZe3xRbiwLfQ+oG
05EAVPcyp5b37sJqXbG69jj2WUsgWnke3R46GVT6emX52wbt2MFTkaKsZZwuwBcU9Ix+fEmalOHb
8t3D3Db9p4nHHggWX2DQ5vFGuZU+RMvwJXkJWetc97Gbxl1VlelNQaPogW1FnL0lDn+UNg6XlV1F
cucVFiCOFyNcigibv29rhE8T0l6q4bO5XJVhl7BO+PWxYW2+d1LTMJ3HoX0ME6HZw5KJBKnSf2gw
w697y3YfLdIUNpZKu11AW9fGcqvyYZT209j78iCqPPhA0uWsq4zkysxWxdoUIjxNXi3eIiP9DSYm
rNb+/G2VuGBXmejZq0jiy2MCPOkmXJXGg4mJicXDlGav3HA2Pb/a+nHgk7vFMdSvOLpgXlj3t12c
dLyB0AsN6ApWXW8vgu7VZrhNnestTsJSDS+ax2W/qxchH7ok6G5ceIHf9AEJdcPUnAPf8yYQOnNY
KRqd8XncmQkeddD7Kc1LQU9OEHLtJO+atEgnuc/6SY+slErFV/QmsXKkHwhjM1IaIYdIMCxpGwpT
KWO9QODkqbCvL3if2k+4Ql1lXxsug5jCy8JO9W1ImmT1yyN2HLI1AKm1mcj94WNQTnPsFvLPKKSK
dnPZDOuiGj7KK1Emo4kVUvkZQYsWGblBWj4Xfl2GeytbhL2zpQiKLXB4sqvrKUcqE1bN42DxKtRF
7FzyKBi2fe+DioHWm50/qOXAglOSuDgm60m2Zm0kobDeqEiuHELRH51Mj0fLMtnNkvrVa61nYJAS
7ej35MYMVn4DDT3TmrCJ61ruoCpe8LcCt3iWPInsGuRDT/DFkkn+2XaVeGHxJddlGHy964uJ9L9p
KaJ1i/yCj35k3pSKGkRbsCzztPi/cmO8deBm1j5Z5OcUt0xxiXQekJlFp7AKhkepG44NviFvm1xL
fYyQflqIQwlX1g2qdlUETy2dVRs/z8do5Rsr/HZnkNhomOQLZTKsYmZ4QlQPcJ2luXxQ7ih23fXQ
sun0mFY0XJW7ckCbdG4b1UekMPbuE6aJquPSKSlCXCC5L7pb0g9KwJ6cKg3vW6bfXZCCrWDvyO87
Akx9wjFVDCQQt2XH9q/zTdAH1cc8etUlywP3QKtIeyFCF97I77I9BQblAWLMdVeyD/UzCQnzTZYA
caWIgQmstADmwlw3IBVdwIWxfNGd4sOHOy7cmFe/D9JkyFvHqF2JoplhNtxmBlXLHCiYQWUhRBqd
Pg/BEtrvWnToA5XTalb7ZAzeprDzvpfKVi/cjLRODoB2PIEaj0edcobPwjliIHWeU/zsF9+akteq
ifOvojfJvEl0M7+MLmG2cibiA33PlG5rY7kXSvjUtbzXvlROFZ9IPwZp86zWvlloKnuunaE7e0Zk
qKHRG3kbZ2GOaX2TvmCUSi6eyuZltwhreBqdycW73YN1FsuMMpFZI1YfCWGSHYK9xpt+zVUdPvJI
33oLmCBviIQW677NHPcr7LrBv/Sd6s2die05ecPy67h3OZh3GMJEh0DUeFMm/exUTdZeLKuJ3ZVH
XYHapIlWyBsyNhiKAMqmyMdTVHXc54gRLP8CbE7LWlKJq4C5bJGzeQnZ/ih6oyIEQQvRwoX+WG6D
WMFCO2VJUwsujt6pjqHouJDZC9a56t74udptMo10ZbV8oiBW7HjFvNYeKzF1N9ZkmfOk/a8iLuaL
WfzoQVGKcK4KLLFU3NHxPU2kRmt0cJX05nXpgAAMDoJJH51hCqexkmnZHgakk0cqrIOj71c/xqJ8
0C7Uaelx6Usz/ohdJvSWT/VmLkpr7/kJkj78Hz/5gIqnhKMbucnk/himOX1xuqiAIXTifSa74MJh
GjBy+86yAwnJPlEWluc5HsWn3XpyuCX3ef6eVSAhgnrLYDPS8+QcR8M6uHHKoM9vmeKDD+RA9nKa
RqeyYB4o8rpzBp2Xb1Vm5l8kvXL1ZTPVlYfKCWDl0zLmkdWtdA+APfJDw3LUW+ERQLnzqkzbR1tc
O2oMZWvHqU14PqysYYVdKqftt/ZkxnxdFjmaDB0HTXcgja0V21DSzcTulfIWxo4e6iOccuGd3Nmf
1J0JTTd/egmY0jbVOv6G1hID7oBmMisluHqQz8kqvNG1kemnHCrPusTQndWDJUeeujBB8hkVWnCc
+0E6n5YoaqwVuoE5XTdtFsuNN7ekLvhCJ/KhBEtCuzupNnlw/FLGF2/sW3+jxhhdZbVk07WSaQl/
jYFfN7chqx9C3cJa/J0eFxUf6PUKYR8si1fbkql3kzY8fSsYHsmyqtyuP3ROZoZVpY0+0Iv16meq
PJFfHW2F0fEuyyP7rk0bSMYl9g60V/Xf9jKkH3pEsyqXMnizBhz7lD1dUwlIWc9rtOoM5ziBOiLB
4LerufwyY4ygtSYJ/ODZpXumkj3adnbwXvY+2s/UlhXh5co6JRMdtD4B7pQQYGDLa74sqbvma3Sv
cWslY8F3lY0QX65bRlvICaRMBe2qB8vvh58GqcjJRi791YKgcAb6rQC+wyK/Mw6NkjB6dkebGWKi
hdJ6lsDcpuHTshezC8BBLMrfG2fvJu7wgOMrPhvnCm5akXtv7HrZTs3i7GQyvErkSTtZBg7Jw0V/
HhGCIuOo3ZvQFDTjFrnMV6rtw3eULGq7uPCrorE0YsY+3c2u5OgoQven1Q79OQWjeUwMUjaYzHDa
xUbm5IJz26y0r0sU0rT2rpHFsb/zgYcCC3hSFjBlxLoPwuC0qEjqPU+e8Tas1/hVU6GGbVx40Q3c
cL6J/dh/akxSvAxJUhxrxROyqZhpjn7coURFiXY0ZCOjm53jczo1aCZcpzgQrUpeWzK0W5SWw8Uu
wzA+xHHX/sizAeSbhQDF+J2tSvJ+BwJlfQZJP5lPli9aedd2dFvuC6f3wIJl2UTDXymb/4M4/g2j
sxeEWFP//2rKM0bzsflnLeX//aK/sEfX+eMaJXmNXCTn1CEg6x/Yo2v/YVNtxB9TSu/Qbg28+Q89
pfiD9HchAB9DUhRpI/wPD7bzBxmjRDgKBwMxJV7OvwM9Qlv+P3pKQrg4fbEDAnKCkhKt9q/YI40n
OWMBYmpmif7RBzk5WVolR7iyeBUvqtjQN5cibF4lpsF94Kryle31Z9KUH6QJnUDJEalzkiA24gwy
7cDYPwLG+AGCX4CZhxlEBPdSBJfkqs+EbXJnwDQbx5hNODMXWt10hzNw2dES9jqhFUwCenNqxYnt
iOyQYlnBSOmi+EwiCrScO1fP95SRXs2rDRpIy7mEfeY+9dOpCZ0TkpLk1Fvpy4wN1M3p17CySd/W
LjQF6fPxJsY2yHmPNMHKepJh0/iLdHIUld0tVbM3syzeYZtO3kh4YeJ1uGcrfQSpS7ZMFzd4ETTM
Yvvo2m61rzF6bKTGYDgt5e2icEbEKOilJDvdZGfCmLxLlvkP2pBhxkYJGgYpaaKmgcRHW22ZcouU
KcbIpu4rS1gnj5te9+aQj5a/p8263kfEsISFIrpTOkSTwVO1CRyvS281bXkLgoteKL3KJRNNxAA6
C67lZL4FFV5HXvMIZ7XtdHvIOqQzS3/M5nldt+IY2snNaHPhZhrlO0njeE9jWHcsYVedTftcooFZ
1518iRRZ1VksXo0EjXSu1gY3cPZR1b+4s7vzTYw5aYHONJ5XcpxbW0uB8sZIbucp+S4QkKZy2bdm
kPA4qXtMr5KiXC3Hmh7nqse6Wl2D34pFrJO02NQKOYRP8lqO5l1WssLAUG7KEF+1RqJQd4fOZ+zB
hJSBO9ayazaJV2SbpFDnFtxrakFBrZxgf0J3uSNl8w7Hg+KpBjrgIl73TrBzFTBjiG4XVe6Wpge9
ajpkojqTeMT19+g5N5QhIq5SEJWFi/CuKvZex2bcOOXedvF0yCXFcsEUYwvzWdrmI5oQAoQd0hHE
LUtZvVqquKfE7K5zAli88TmuqIn1yk0x11uWarpOBjp/cmeftej+srxFauiFX+SO7ecQO0BQuxYw
J86JfMoylrDmNEkbsHB4nEeXASu4EQ2aGgsAaTRobgttCxwwIt/x/nmNa3lrL2CMNJw9OmHNDzI1
N1bWJduaOrNiFu06hts2C/3SmVvThwfdWFHfuuRuhXg5eWrrYpfgGpImfqOKkl3AHVBdGcTL6bfn
WpC3dXdCK4FIg4VGys9eDefETb+ljeqRLoZnt5flN20BT1RJ06Dt3Ajf3IgqQyxHpVqi5ZqLbzP5
2T4PnLueLCBZzA+R5V/VGNFNU84vaZc/JJ27zRrx1LnJA0aZx6zm3QIv53YGm2gA4ZvDd8eFswtL
sw/sBciijN5E022wBt56Kv5cSNddL6J76FHOtPFwGdr2sOQNt36O1smyMSCiO60j/4BT6qccSiRu
P90yCVBNNU+TY53UVY4wJF6y6XuN4bXmkMB+t/YHijzLiSTroPK+Q9mPR+nJatfOr8IGik0wYVYg
DX7Pe8qt3Wd+gzZOS/JS9Hpa3B+8RWPmYfeWRYKCkK67tiYUN51lnZxA72Lhlndd7tTHoPd3QaOf
u0W9uFN1N9LftO5nRWKi060He6g2Mcr6/UQL2Wpp05fQmjZBlqEZit4yMPbQbWBTQmcTkqlRnadi
EwWvUf2Shi9VOGMXEs0OyAZIahIPTB0c/st4sVHJVLP7WvQ9qbXgaKH5bky/HryEhd903i5TUX5Q
Aww0W8V6SJCAIzaycxDH2Kv1WmTBGRrugpuWgSfzAbg71sZp2ZAo+OLL+l5eVQF6yfmUkLSFIARE
3lXi6Gv9I5P+o1cu6CCrA2zevevpN+0rvYkF7bVxgvii6jnWKu82NYLakWX8qRpGS8GiuBJN/qDn
8QPQOSB7Mrq+fuFLP9UgyBP++BjDXOBXn1OaCcRH/UPT2btqsVqkhBy57Ghvk+Z3ygPStOsmOwxW
9DWBEa2g6k+TXd9zFBDdZ01vAbq2p3FOXxUpRixnN1HdfRvPvU+w83CcH/vYPpYjE1lJi0ru6Fe7
1wcXzHgd6/4oG3bfMePpJnIBugnlEncHZpkAbUYnRuqCzHwKuuzLCrCmB+nooKmZNqSPX4wbfpfj
XGNV1Fe7pnitg0pu0gBtEE7au3nyuJnQNTpJ9HsiYXlngEM55R0NB0dnCqnh4w2Wto95sq9Gt9NC
2lTfZIgLO0xRSSS/l3k8N7qlFsP2rjLndtdiy1tFnAwrmdRvtZMDzyTZfSbMa2Vbv6irwp84DUfP
OI9Q9hlIvzzEkXyYZHHxmuG+KrvPZuFSXRy5IkKQcg1/PQhKeoG/zyGA4Sos5KGZWJ24ztW2mqPD
QKYcMQDDesocVNzC/YmI9Z6X84WDq0eF0R4gtFLQd/yZbasf5dRiu2fT4OPOkWECmA89/5oT5wnU
FM+ANZ4HLIxcHVckbkAOHyMqAa/F8RUw6je7zCKroM9n7Gtht/PQKhJvdara8CFrCop2F6DeaIRo
w+qQrbMp+VIze9gYWXe497+VG1I2HydoDxdsqOQHcNg4vIaRfJswL66HRWGMnsy2STGXtFnzmLXE
UoirLSAqD0iGmfijot0uQb+lbeG2uo5dg75xy/KlbNRvoPQDBeYlamzxu2rmLXTHeQzT5Vi12D31
ZO/J9xg3IsFMp9EhXbL2R4BAVi/pOgu6jSFxZ/Dt22LASgY9t4kGkBrpLBwPCieLIXFDSkSew9FP
RIE6aPmA6fsyDuJgmRC8qH37jv1pH7XLjybmdQqcnG/dzKsWlLUQxadyYQ2Emc8IBFMELNDXLpzd
kFd70YZoFOlFunbb3mSqQoJjtWIVaciquanGPdKNDAut/ykEwrQhmy7XTPAtCzi9LELtqxCuy4NQ
QqyXU31bHU1Xf3dj4Kz7KLt0yeysqWlCHjVkh0DU0w7KxtvkfvFsoel2/Tjfc5DpbTx6JHLMWbdN
cMawIZOS0iak8bBMYYIoIcoH37vprnkmRnFq5M7JjH28TuPkbZo7hDKmE3vhE0rRuWOOb9BOdqlf
ci6yZCONwgqK1YmfO0SI3dxiRPr8c0XuuQt2ygy3nHNnHKc3nOSGIzG7UKbzifECNNXybGBdRLhw
5Chv842G9od4HaxdVWTXSILZJ02+vIPN8LalH74MrnkMdPZjWszFrbIbyqs+pabcvpcDj8bHTI7d
tVgBXgtQm6xboyxgFIhLs7ZrSYlUIn+1QgdbzsVskxfmbuLG9br8oL3ugpTMXqlxuqPyPke6Lx6G
mYPZqe3bCd5o8MQA6IDCXFvWE0l/e4M7u3LFKWlMs4q1+NlKzznLecIIG74ojAK9FcIteBSSzWhQ
KZocmniXwslsFr9q8HwKPlqYkUri8KAGGrGe6oKmrgZDirKJuMdf/cMMyVp7Ml6l0XRjrvgeh2mP
TWjEbmVi6hbjR7CokiE5V1eH+2cxa+q6FTVJTjhtFne6DSgkXSuIzLVIFX0HSX0obI/7u9MPvPvQ
L8Tuz6FrXuK4RuigN3klWNipjPPM8kxzQwzL3j3XKmm3BeyScs27JQFuLXGNcZnNsxv3N3Munslg
uQuL5VHV+sx7uOJlnZ6d0AUOd/wvRd/uYOfTOrHmE/15B3ONI0jFMQlQdo8DwlY4ia3JGai8Rt+P
pUxXfWX9cpvuUtUMw0tbmtWYR3dwItVqKMfzVDfEBiy8IY0qN7ZeQBBKH3KkiA++Fd27uIsHlfyO
RYoQUYptya2SW069ihVN3V01vcEm5/syqT60VWyRgNMmWYc3djgQVDgU+lSkwa0X5eWWZw8qZ9mB
zlzazj8wdm1Fm77TRsSpYyNSsfEYHGAYxl1g2frQtVGQrGjGO6Y+x3UENngwemAa51iF+BzsLczg
dBJ9fYLafEEqcTaCEJ8uiz5HzeCqyoEBF5JQSv/UagsnWKmsXaatkjHFNrDtuKiGiLeqQhIygynv
Qo/0CgDKd1XCe7u2f58S5KMNamrCvdhCC/UmhurGbbLXsKux6YRiGzcCW1xQfIr2WsvUIGmWU7Kb
+2jiq3rGwJF0EFH3u9xCvGghkzBdX96PS6bwM8T12pm67KFP8y+ELMvZ0/6p8kWyHjuOxFmACjdJ
v7dzHa/jgHVUJnRbpdV9mvqf4PQYQ2R+O1hY4Lq+2Vl+t2qu/+LkP0jZgeGHtx5T7Arlxd5GVdxb
tH+HzbvrYISJq4SUk1SgjfQxjwUsM8EoSP3IXvi4fruhRLlz3S9oemUq739GbdaurSV9CupvI8q3
QPTVrhfVzmO2ZoPtlpWZiwlxOCX2RbE4H6lzzRJIW5SQDplQBMAJGM22vHExcjkpMYmxw1dVWWCD
u6RXHUPKGY2qdynJUilKexMYiwUC2NIh24eWuE0b3JjQes/Th4pBcCids187Pj7t+nnBW80acu0a
k8TLSSDXZE3cxc+w2S6oI3GtHWJxjL3hvqXnD2sTBWEJJQxj8RiIu6imH6wDv8Gj328qo45ta05e
Q5ujPTdXZ9sug1zYqDQ4R7ZFkJXbv4Nag5qQVrDydEB0m4UKeVi8h8F+nxG6HN3Wu1KnIODiGNRo
pL0QCmLEzhp3yysOJKYYc4k5vXER3DZK9LtYijuXAJ0mkvuoro5zg166iP21O2S3S9OcM2VfCP++
DIxgaVC/qKZ/rlr/KSqaVwcVl0rTYeU76qAXb5um5hkYwSNVQt1LiBomE5cpyJ3KLXnQMdkRK60I
U2kr/Z7npMx2L33l2/RmquLgBvhFF+/UXZ3qHhNYTFkhN3i1KlpNYhDqrXW8BPgeCQ0q+wm9rKhP
Y4TWfLnmfCR8jlcCZ8vgTisr/hbu28SBOC7dQzbCS4xJ+X6mGeXStNVlHJ2TPQO92uQ0EFBWHv0w
JuECGX9lxBrs/peS3U2LdD0g1RMYl7HO724k7iBPWivGzPdr7Ii+99tPrMTreShqdMzjDoPogUOU
yCWVcZE68bEablWv5cqPm8dZQzPXWVVt/Dl9Ih/IOtuTHjawoMWuG0dmfWnfGuk9N0X4IhSBxhV/
gaQKAmGKq5iGyAPR/PQXl8iqerntM7leXD3tdd8eqCu7bRU6rng8BL16ztIGNt18+lc5fSclcrHf
Ocq8HCShqu27rtXLLVIlxGTWT7rpEK4hh7bt8L3uluagB1pjYn6KcDTjrTFwdZ4XrFG4TxvZ+eFq
yJBmlBF61jaKwc2LapOYFLQuD8kJCrw1TYrW3gHnE3PNY2/4oER15v7u0wnR6sCg47lDvHe9Jr+M
fmidfCXzczAIB8ksMMDkFsXGi61lrbT/V0Ls/2DLfyOQ7z/DlS/NNUDoX0z6f37FX6CyQH8aCBSt
xAz6tnstD/lLz+oGfwQOfxgJG6SXBZ5/5B+YcvgH0leiHh3hSyz5V6WravSQ/u+/XT36V+0raX4U
A2HBi/4tTBkFKpjxf+hZpU2lBfC15IEAUkv3inn/s551jnDMdCmnsx2MzDAW2X2YcYaHvOgw6sMv
dhZjfnJvuczXdi6dbVbokcsyGO4Kz65y4jACW+16nXGVFGE6uIcgkOJtSJpoa4XjT9H7Gl0CayYY
U0GnLLFNCYbEVxsP3rrp23PvNfE7xFJEVXmcPy5j7W0kkVnA0tG+LBJ1shVQHqPRbxc75QXNz1Og
2p+o1REoZPZMGhv1ikRUOEqzX8ddx8FHqSimBc/VL0tT0QDpx4wVOEHse5/1r97AVGV4qe3YDQkH
n6zhmyJlO33m+itJAcCIcyiuaJWPu+F5qSZi99qQ0dit8d0sKJeRuHdwTzhIIrAoSP6WjlgLZX7i
N906Wwxgb9CYy+h2r4OpLGSArokfkU4ky3ac0TFCYUuP82vOjo6lvXgV5ET8+cgB73I1vLhViikx
0d7NHKi+XmEa5n8mhoJKUfNhJ8UKYa5ADVcXZD1N42dZGOaDvrHHLXVw8q4cq7JfSUJLMWTO8R3H
PyYnxDqrigye1dwG3mHwrZhwMJGOp56uvhfostA9WLKrUPjIeH6O6Nl8UF5JK+fg+8430iIEG4YX
Z+VZnTrFbAvrui9cXC52NHL8UeL26VeyvEmV5Z9GGGC2qM7vV2Xk5dsubMfvFGztCESKRKbv6w8u
yQjpT8Ge6/eSxLDA8s/jUPhsnb11h/090MeJtkQ00pXfEz3nvcTXB6+DK3jFhbBShiwcUiyDRxPd
NziqgD3rETZz8IlM7K+ubjRKpYJvLMYZ2wLOV/aqPMoO89gX67xgZjULi4JvEV/jXc1U2BSCAxKI
cOXa2LS4S0nDVFm0Q1wHGK0bs1MVwsAmfEuCocEElnC52A2XOKuqNWUak6W3ITv9ErBKIGj06MeV
bFzt5O8jK443Bbgvbjy5rslt7IN85xmTrkPFTd9ZwUMcuw/BnMgb3l4IqomAKQu2u2JhHGhCbIIg
JPHGr5cfCYbBTUbXLjlZxuzBlX1qSMfdEkTT+v+wdybLcSNZFv2Vtt6jDJNjWPQm5oFDkBRJSRsY
R8yzA3D41/dBZrd1SqpSWu17k4sUJQQRgPvz9+49VzDD3o2RLuHF4IUHzJQemzi7mmR0CjGaF5U4
zhGQI1PqYeX0TCarSMoTwpd46zmDsZQBQA3y8EEkc7cnjq1dyaGwN0Wo5EGo4smSI7IHRINmaBXb
unFd4mg7YOSlwSFGMpTfKA80VFPEtOj4JfiS57MR1Lf9nN7OKrqKoDRRBstpZ7rmGrDAWnBUBE/z
GJpV+jjVRXqc3GyD5/HRx9V7NbZgRKoAXipCJHiiPiehxEk/daYRXAXTq258b1eMjD46lEBd698h
NIA4NRbXdSt5QkrddJsuKOFTKoUBWyeXqp3nY1zmGzrT8AvgMr/KMdN7GB3LAKwjVbcxJHbcwHzy
S4c3sKrEI4JgmEYxgws7o5nU87p9iqiCf1V61iIYGJV9KGOTUbGXZ9V6EgV2x74uNxNEeK151de8
vNjOkky5yTbgkAuWq6GNR68RH2MAvOi2QoQorRzH50h29oxdAM+QYDJf7JVT5mtnsO/0aOg7QxvY
D6b4Y5ia+kRK/HQwrNTbI5JEwjFDNjo0sT/fWOD2XpzI8giub/EZkV9p+02wHex6qK/TCT0d0700
fEItRwMHlVf+QNomU0KjUguqK3fiXVZyZHHQvW9tRG53PCh2s9LS/uaac3Csebi3VNQuZX+P/ZDi
PTjJomueGsi7LJSJiWVXsIoG27IhjyGwUYXZRsDxU/kLaxTpo4KVTqOu4d3YQRSxjoWbDpTrquBx
n22AckUtkK/23ktMXb/j5OzSIKnEwa/RNUQBZlrt1xH8OqO0k20vLOCetCIgzUVhuTdHVC70YiM2
vgFeE6nDNw00lCuAEiimJYf8eDTcqyF0om1ossg1HPivasK7N3Hn0u6qXcO5TxOfQ5uaUlds5EhE
lDdr/7ZVQ7gzRZlfxwItsI9zbuA1vO7z7isG5LHgkwuvOzhWtU1qLyU43bvUQ1tvO5OfjYidOecG
E4VgqsA/dVEHpR4Cw6Yg2H7dem65zIzsjR1n5FFXPKtAf9ddK43nKoqJueckeSliS+Drm6OLRgSI
ALXC5EZs+CDpxnj1VdpSj8Itvi1HVWw7t2xuh6aF2GhsnBEua1Gw3RnGRgg73s7J6GznNleMWNts
R6G/AAnosRmWPHl9Ed9HHvuOLx5SFb+mAWeAdCRhs/cxiwjFTNfSCFlW3UyjdNskdIIdHr05aW68
wL84ZticHFhkSIwN94FuzGefW58j9verxhjrt1kPHA+sFm1nduMTz7ZvoRQcBE/ePYFz9GyFoR8q
prUrrWRyFVcAPvzetkmPzsorwKXmhV57dgqEGo5FwY23y7i9zaqyuRiITlZ+X1qvFu6KVY3jeGfW
9aoNMwbEfvglrBbFOaC3g9e7PI+D/dQRIY6lvWH/wn6MydXlRO8k0QGvEI471bR37QBttNBZ/DSr
/nNI2Wjsic4mh8ToJsUDsEtCaCNtCUtRet49bfrlnxySg+2b6d6TdKmCrCteR4ceSEME7KmVk7nG
d9nD/0yY0k1Q/1An0/dKXlDHNQ+mOWYPeT41Z89CCT7blT6aDYUSbf/p2hGghbkfYjeF3rci5T3g
S4rWaTXD62TBCq4it2lWGDNOtelnV6bJRp6Coz96OdrxetbFWz+hLa1zwhAji2Z+7T9lcbWj7TSd
RquzeNNCRkUjIUmpBLWK4N5/nKZwuq0oim8TAsIJvCog8TH4cDUeHrb1ewOkwtaMx/pQE+R0XrSz
D0EQq7NuaPuldazqtR20AuO29tNvrYO8fiN5O8Q+ndPmbGCKeKC7anB4Qhq8Lh3PPjdWWtYbidz2
zItUNBvPq4uXXJhJuqm78IXpPLPnyUyvkb4H01EWybg1nEK/TKODVJFG9/Cdmbu49xQohEIq0KWY
Vi8YhwMmO6I/CeE/ztIQB4fd/GwFrIudSsy7sLVQjTUc77/AWom/TcyBPheu07ZBfLwpu9JqOfQZ
+Y0eYK3oQE2fjVWN96NV+TD+MljoBtKAhD9+L/2hPSFVSbDoeh9ZSYupmrzhAGqDgPA5l1dmPHn3
kl721mfl54Td1DNDJoQB9uySooGjCZenOw4OhI8ADXniYcr2CuF/wf3NF55hj4GdiVZsdiuxGXvg
DVVvO2JL7wp/TIQu/hiJQJ2VFM7J75MblQ7dwQtYGY3QqFifEInQq3FATrT2GxZLwSci6AEtWf/J
OwJOxcXLtktbHP4UlqF78jr1DJ1lnXVZ/iHFMngsHJQT7bhAXv3mMgXyNfNHPGIx5ULm13CBbK/e
EOKOQTQXw2ND3M7ODdJvBJ6qrW2Fwy5ggBIzLYUztqtd8yhs8yS8MVgHtR/tE7tvIMcOm0rnV0C8
W+6g2X+phvihRUPp1ck1+x1d/+xi9ssAkMPzoPuboAiwTCTS38fI9uhSJx5Uzf5Sodg/tL5+qQPj
Ji36bsVxAWG3zYhDdGW0gVqLxtw0mfDCMzPcnvra9re9KzdV2e0pQVIEZ+N1lzENzfqxP9aJm594
jsvbanIm9JtGurb4+bMheetwilk7Y7Yqms9+cJfEBR3UKGSwQJ7ydZ1AI5jTEJWDrsJD6o3ZJu1o
tAllscgl6klMQHUodeKVykeszZR0ibbeckWvOxrtuzkT1bYEiLVdmGeFR19YTdvWFPPOpNqoTChJ
pp/kp7yPPq2sOWF1Do8Rhwg8XE75kGh6aTPTyxX6IZpz+Vic5OLKlhNQLVTw8S6HmbzBBlKsta4Y
HNlRtC18AooFM3zsxguxImoOo9DVFd5t2iZCjOvc7F6Ze7sQddRKMEzadmAzNjTHmcMPzriW3dK1
5X3uqRsCbz3L6QWPRnZdGoZzy0r8XEnYP1UmaJlIm0przouTP7tEV9Rqww+xoaOs5c1ZON4c9VZd
KMsTQWarAPQDoxh1GbCdHerJhbcI/cXV4aEjO7F2kAkE6phGbbKJGEGiIAqfJOtJ6BjeldXNwOjc
0UNEzo3vYsibjWAy0DmKsZ02WEBrVPECefuBoNZXg9h27jKDHF/RrLewad8Gwfwt8JLyYLI8+9EE
CdWhg/tsJMk1JoD+kPaOZAYIRXNSTr2P6DVpIChbYSA+7lz06IqSf9PZYXco5ubRdfSwLlu8TCGR
XEGYJI+FkRffw/gaDwCPSwOvjCuN47nK5wkOTY/PLEsAnoXRPXv8uJvdFgoQ/3DP8Ha2o0NIChI2
QVCgvsHMpuYrrR5FS5NRxiny87Y9MP9xERgPS/N9N3n8HEfrfeHkM84I56nIMoTb2ZQf43YazsYg
J06colp5uc2mSIXhd+k6t/qT8rOdnfsQt3SGaTYBEFKGxZcqZuRmUuZHJaJyjAcrjEHYV6sK1lPc
nNIp6xFPBIxT7C7ftODHdoYxJHud0VxULh+eNf9o41d1KlmdoIsIgJ6pOOiqJwYS+tzKtqrLXDTd
YiPxD0kp68OcISj2RChZuVHt2yjy1oVPray3QAvnY6Zyb43dUK5TI3tXiXPp3V3Ze9klFmZ2mNoy
OeS9/Nohn1k7pfOdib4PIZHEqoml4Sosb4fxY+KsylxKYMVHkxpmuG2siN23+Zp7o0Le8j0ne/GA
2+EwFRNdHIBXZuW917L8bvj2yF/hJIyq4DGvke3VnCHyHnmQuJ6G8AZU2rOjgtcoDuET9UycCuGd
CTOAFJSp62lGcxYm5Al4xIgadga0our00Wl4K40m69bs6OEmSUx1zsA7w0PG+mnaTPhnHALQCeiq
63hx6gkCGBjHNmsNhQxOzliesVrOm0FIrPvFsM7keGNp+c230RKG7fSgogpac2CMnCrBnoUAqSoT
k0peM6ERY3DHt9PvuAvM7+mbDEkeb4tAH7Un4LRAEPQtKekfdO26pwFGOQGwPanrRYM2L+1pb/zK
G3GTwqKv1XCQto+QwEYHolXjrBvqVNo1smXyXMGgh/payKcgpME6jv10selbseJpQOtWfS5w7K5R
92Yb5NT6ONclABC7rM8W2gjSEwAq2Bhq0BZkdHerOHTvENxvKlAJVtsGzAjzbqNgY49Jj+kSDSax
BDFzIRm0KX2AcgKe4k8n1pt440/qj1bdeSRwogwZAacxy68XOl9Sx75O6NesPEEQgEG/b8XYe14D
qw+21ly7h6AU4F9GcgEW9ZtEaNFP45XbTPnBEtFtGDaEBvdB89rYGVyHsUlxi2bJAUPup6wLlA+t
mZ1a/Kkb8mHpUWAVWSuB+NqZF5o+6laESdX3MQFJX2bculS6iKYMkwyFP2aBvfFmmRZrlVujgl5w
eNVCikxrJJwIUe11KvC6JZ7Vbwmv4ASQSnUbaeIDwslul0NHfk0Zv5xInQee3LsgGHZzjoDM1xr0
TBNDUTegP5Uqa9Zod7/4TXQ9FR5DQfEWtXByMuO+5ER+aGV6j5GB1qNZ3IPDds52MR/nMr4LauQ9
VkkQgOx2sYifbM98N5mf7qyidjadJiqnGCFkuE23+CzQvsKK8vZ9PG/q/tlLIYQldvagvGZxSZaX
Nphfi6D5EAmDN5RU5jpJmFZkTUusi11+aRv/Mxz8XYttsFL6pi7VVWz5h96sTq07vQQlm4Oep3GP
5WjcJoqRyZgM5SZ3dbUr4b2vbA7AgH6sb45FmDVywEufBN+LGdWiHWR0ZyYop80lcAWwTxauta5a
WkvD/Ikbt1ojo0OoUE4vcxGdPV/BremQX+G6TjcDyAGgXZEm6272N/iC5kMKIW83jPEL8XS7KYEb
YLvtqeucfYNHZD26o02nbgGVJ0XJWCa+I5WPjTIwvmFb/o4A+kIL2t0gSCSdIB52pQXdPYjlyk5K
FKPyzpDjEw0IxFZN0y2KKPB4Hjgq3ITuivgeNiadR/t8rm7lKKB6PM91/dlFQJkROxfk2pQXtIgp
o0e/uNihZ+wcq2hhMtJXYSIERMpkUjb3e7wm5c7r43DnzQwzkeoJMPSrmPQB0A/XmA7gRufth7Ll
U9z1O5XZLzO+I3CWDCUBudEQTP1DR99lg22fujIp201flHoN/fa2SNV3Wv2vSQ1i28mpDROZvY1+
g1FJadCK8YgWNqSYLHw6lXgQxoUwCPSM3SzIxBH5nlprq7sPejNdJSaa0drhES8y+UAsbrYOK+ii
87wQd2Q20s1sh7WyaAFHDtPZLjLqlVe0j8Zkfs9dyqZIpc4XDKBPHNDCTTN4jGVz4KW18VBr97uU
1ZtfYW2zgGx6DlI6awa4ldN6WeMxgr/i+O8+bIhVIJuSOhkdDuJHb5YFpkEvBUJP5kVqVcjGWc9l
DEW9wcyOvvVUiZFmqDc3zNJrY10t9OrJVfHWnGcAwB08Na/OzbWjMW7pOUhXvRHx3LTGuxvhcbdT
Ua6rAOiU71T8WnXWr8eKxkliy+fcJo4kRhytIlB/TfvpGpPL8ldHNNLaYo2iYxl9GoeBpiknx9ui
C21qdkatOsDf2+Af2CVwdxGYoH6cIcXTyzU+AUgejTb/CMAZMTa8RCo/dv7wEgcYz23tPKX479eu
k9zOeFVQvB8GBDVFzyunrVZBwiDSo2bnv83rGilHYPL/qgxV48g77JdkZyRmEMIrgyEgslqsBUS8
ta/y+wWINkjWHLc5ZnPnPSU4+zlvvXKQnvaIpEY17pOwu6Sx+6jy2T2PI+hGECEnRS3dFx8Qkt+s
JjvBJfg6xHxd7Utqh89BOXwf3ch7KiXAPd/X/sky2XZqNzrKNkGxy+Kzhsuc73NzxhUsXBBXPp7s
QO+V9J6E7b5KaT3ljJ0PjJLQKbXBAe7Fyqg/AkqqJikYZRT5xu7m7xKQ1oqEk6+cGkEJKhtpS4sd
ln5WvpExYTY8+5vJc06917w17IKbEEPzKXAHMgwtWxzdFl0Mpwpx8KzpdqKn95It/d0WhehMbJXo
ii/B5NwFjfFVOH4AV9Qg6ceUzCQQjEML1O+JKdvraDT4HoYl5mkkyWEwV2YQ1TDxonybpGKRY8ze
TgGDQqHodmc66XBQw7PrhFeVG1jr1EdNpxEagHMNV7XPRogyHipCabQfvp7IuoowNnWeuHWBX0CN
zO/UIBnDuNZixP9SR+6lHNyLyuILNZ/ajuhNRTDpA+r7W1k7jL0FALIe1yAbDWlO6STLAyG3GCcy
zFVhSlkmJutuHFJ0GiiLHCzdmyGFhh9RIWEDmdldwnyT9D4OBTLEQAv24X1Ca4KW9lTfFm3/+sdg
9P9nxP+55DX+a+sROBMw7v/xUr3/x+Gj0x8xk8Tqh4nx8vf/HBhbIXNhJr+Bj+tdoBn8P6q7+Ac+
QN8JAYu4HuMb/s7/TowFLiQ6r6Q0uiyrNH/+b2Js/0N4js2AGQLSn8PkfwOA5LiMpf86MMaE5BBG
6cBSMoVre+KnZHI1VI0oR5e3f+xobcLjiwwUSUVwjSG1YFxTNf03qQbUstBjfQYXnR4Y6CHlXFJt
5JTtMqxXeuP2w/QSy8l67BOfYjeiQ4F0puwg/8H48eMtm7YVb1VAFs5KMBQIjo0HRHFjjyok96ov
cWkrXMPdjTBVFUFuns1PE84i2T6jR8dxQNxLTZ0bxZMh+iqiy27HiNJFxtg1Isbn5NsSOEWKTuwp
NNz0ucPSctWFA2ZhqwigV04J3iiQxwyyaq3KY1Q0w7SNhD/xP2LbOlhELmfsZ6F5CuZg6q5lWLL+
ldTz52CcHGNFNeNtY59VOcXj8GDiRL5OZ5IGPc/in3UqJNQTuBSyX52ipaM9smVqZwSoShhPC/vb
tLd8+vxrFMfdmaGFwenBm4FMpDnezRVuTPgddUsyM2fBrL3vjEl+9klVRufC5b5vsHOH5iYs0zDd
OFPRBduWnp5z0Czh0VXe5Sk0FmFGW6s1C8ggXpegh2nC9Pvkmj46AOmHt06Si2RNz5lRbTIW8TUL
jfcd104wrQa/Gt/Ylf03w20WvDMMyjNNPVXQ/qDyiaMsCFF9lshoxyLCwM6htVvhA1f+ZjTz/KYM
FmEPhAgD6gUjiGW15SlLAglgL7Ms+8rLm4hB7hCx2KF6ebIBcxw53jIcs1DJH0rPRxfIzcfhofNq
wLiL7OyRUxDzJEQWzSPg9Pi1SljrcDGj+aPZXurnMgBtQXZfw8Cb7s8flzYZbxZ5lY8ri5zvC4AU
IrVqpon2pvIKX+1it7Mpg7F9Ix+v687fBpFnneE00NAB55tyFs6yBDitl2DP1y4frfUZkzhzmB2L
bq6zYzO3w2uRldON7+n8Fb+2vFFLUxqEZmxd6akAeDAIL3qQYYetZeREa5G9spyauraAcWmlKWlH
I7XA1mDMComKtPM4qvVl9vkSN06O17uPCXxYa9WT9sRUmwJWB0j2MOmyi0D9CN5SDGzPAbIRRgTG
aLzwkeY7BM7onugkIYk3vFEYnLSm/NxEeWNdO9OI980xIjPDdIhuYCnrrCeBLE6u8rGXX+wpKce1
4egODC8zm/5E9cvMrSX/u2Ry5WftTTjRU1zPVui+mwUEIqhHhr7keVg9g2mx38Ko7D5oerbWNkMQ
fyzm/A7WwPS1FNb0tTDt/J5dzZn37I5YfnuVNNO+HvNFCGhFwX00WvjKIp9u6Qo9FqUN5ECvhM0c
4MTLyOWhFAZqfheSPoeklhHL2sfF0jlD82z0Ur+xOeYIGsyUsnu2TAry1tHxl1CBpVhJ03VPDLZp
mSIsdd+hDLvfGINryiDSXzCMBZMv1h0kkm3a1oviGVous/E4B03QO/a8iZoJW1cXAYll4AIaa0+0
e0XutBvdmyxhfCvQBuBlYHPbUmBG/qrgYEOvU8l2vuJtRe8X+o36oNoo7vQUzZApTEN6dBUqD+z4
gKGHczFFF3XU9MYuYVQbBCqMidArLaOS5azKK0BBbkMDShDtWOq5h3hKxiHgdIKV5oGjeDPBN7nK
6mQWIO4dRZSVygy69RoT000Zd9VbEAYZt3GahrsoTDhYdaIW97bfmh+9yqG6uVpbaEcCh71A40Jc
zKZMQjeYkbr85Ad5otacxjO4tWmdMF42EdoACchoD4VNKFjRY28ZI6puog/Qzfjl49h+ssKw8PeJ
byMJqZw4eGBOvViMvKYQOwb15g0PVok0vZNZc9emkZdtfKbRi7Umtj7narQJRYtLkSFnZ9B86git
Mh4h8/DjCdtVuPaNVsL8gowbnJHJxJzKGis0mJQHPl5C3yEQcEr9YZX7vvR3xmCQ9uExN67rnuFU
aCR452zfU6/oBZDgDoz2DtT6/jlyrUKiAupJyErS6Xbk22vRxmLPQfF5m5hDNaKu53UiRSCP4XRB
xP6bWOWfsoXZ1UkJDMh9MUP0YOjAfpSBudXEcCJI4SXJrMfcGidHdm1iiHyCSe2MGRAWqOo8Z8x3
/r8mlPPx/b/+c9HS/euacP/RlS/V/IMfnb/wP0UgQMtFNBgGJAoK3gcwk3/KBsU/Ao8qJURCx7TV
EiZ/53+KQMFf8paC0fyTnGnyJf6vbNBf6kOf4lE4KP48ys1/owj8WTNombYXWC4aRXZUGHc/aQY1
bMfGkRoh9BzFPkdIr2K6Jd1lM0hdfCTXmNfVm8U87PiXWwQpfoa+/NdM7p8eU5Mrc1cQcgshPO/P
4vQv9E1/gl3Is4m+Bn9mxPzKNF8ZjRACEdN0BtM2eVidhkDmH+iyyvrPZ/VfJnBb5o/FL9d3WEKE
44S8qaHpLH/+l+tLt2/6xqMpGuJTxs8NVNphz+3rfd2r8JHQwuLDtWcynw1khLQ2EQTsZW+6+9/f
h5+SspfPgWLTRa5JuDuz66VI/8vnaJCPIfMhj4UwdHf8EkQzWKecdfNasqsMm7EW6vL7S/4EH1gu
6dt4DG2T358n8qe6fzTrom1n8NhZpsXZhCFPe3wgyixRBB/+/lq/PmBcyxZLdpX5hwb2x1+vV5OS
AEdzBD6ASVdNr0R+LOQYYoJJQTR3KjWbG1/35uvvL/zPfknX8/hlgXOFjrP8+V/ua195/mw3Vr5G
Q9J5N54CuXByiNHpVkbMzPL3V/snvybvMe8Pqy+X+/ko1dC1AX/ilMS1eKgdmQht49EyN0WcvWO0
DyluudW/v+bybv5V78vXGPpALDwXNoXLYfHH31Bpc/AKB+FMg1z5VVg1Xx7Erb+7zK8vqktdzCkx
AKFrAoL68TLjnJbkBpKAlxeFOPcLbtYdJCY7jnLgWnMm1hpOWcHw+W+WiF+/Qk4krJ2QN/jYaKV/
vDJxxviTG4r4SbA8EFyMjCyqBv2uq6Ts/uYbXETaP91OvjguI4TL2hv8vCD4hpVD5qe1N2Zu9uSP
pQeSgS7Znhjeod8uAluaV0WC8DkbHISQk5QyAC+nGIfWTEPw8ZBX8zcf69d7QPgaq6QNBIoNxPpp
gab+jWtJ4DzRGa0zn80IL3slw3yCb5GEf7MW/bOLOdTRLAw4M8Cc/HjDNQkEiYoL1kQ0rWfZolXC
a5qA7Xen5tu/+/Qum5vlmrQyeKp+JqB4rHb4+oYaFzEwZSebeHrLBlzVn4GE/3Kh//Xx9S1WeS+0
LL5VGh0//k4SJnmdVnG9xnM+XmezUez1NFEEaWbYDM/C+M00kIWXkQFR4ve/469rO50fLkmxzEKL
lOGna+M7lKrhd6ScZXejfUcqlPbSGP4fg5ProbHZen5/zV9XBbT/rotShWTAX1+aFtKWV+FTWye2
VheDCviJlTfY/P4qv6x3nokZkF7KsjbgF1j+/C+r6+BnCHP5jVdVZxnMmbLoOgLWe8phz6+VGzQP
Fi/vn8yjf/lVWjgsfnxFWYB8n5bV8qJy1Z+I3TWBgwYTimEdFGFCrDTHg0MBXX4FFk4HB6PQc7zn
zFhM2wp/DUGphRe/p1VZMVwbNSxs0wdVDK7X0n/zVf/xbvywGvNFYxeHSk3j7td6xqnzUM6jAcRa
NPU+sM1shKshmGFZ9hjgSMK+Q/cruWD5C4kJ0BVpdyN6jFTnH0gR23EtOIrW2wCK59+917+8BL4J
CYmKx17WOO9n1PmoUh1kDiMqsFbBcyfH8rsOA8vbenOR3qGxMEy4LgYPJnUiZaClO2gSs7Z9EDGN
80yPrAKU4I8+qXujfQIKOuEu6QY/ZvSFj3bT6IYlOYd2BO0mG8blOIjAm2af6wHrB2fyXnc8TJB9
81HvZlqBE5HPpQ0iwHApAF2Awj0MMmVeT54KPsbSqtQBOGlGBG3dFtOusQN+zp7t0KfTj74nnsMh
BbTMu9WZGRaRJlF8iHCA0tJZ6cV0omqH4xr8uDmp4s23Fkf1NJXEuKuSGAeXewJ20BjVBTwyCd2J
coKzHbtEy4/NSPUldRnk3wBCqpvUdJTc/v41+vl7YVWnjl8cQCaNYv7742ukilxxFmRMbNygIUfU
5xRbUsSZ7f3+Ostu8eO74xLdCeeXYzPoZYIe3J/WwUwNHa2nBPuDSx/rxbANGC6WYu6I0TZFGaPx
VdCXssDEm1mzkMKdS0Te5iqCQNKvetk5V9gXxI1XxU0FLSpM0B/rXZGjV1XgmWkxkz1G4IS7Zk+L
7jUsu3bj8OIl26TUyxC6LPaQU+yVTz5Mt5tk+l3bIy3QUkcN6oQUR0VDyzfF1PAy9fOhVm321QTd
0hGdmE8PqTvC2KPUCqBVBCZy7gazQD9bmlZE294tSyLAPkYusNpQGbaaBuRVCq5o3QS11+0zaRIw
JoOEtT8eIrrG+aJWrVyc8pGPbXBd0Ig1SfMKoGQ0nbgmtnht52gayK0xTKRHodGCzcPFQuLvrHau
L7qFuGzpZyfGieE2jn7hS7eYqXkCAkGiin6PAM2F28rO0+1w5o5fcJLRztIwvHvCSJj6zdmdNTag
BSWfYqZ76xkeuGScf2apazAJRX8XMZu7b10/f0DCBGy3H6BWhEm7iLAL0VtrYI9qHw3xLZxNEAgd
zTFI8H0ffqI9ImGtAVT3FZULsUG1pfHBp8QIAPzoUVd3vhouJrITgIu4PkEsp1eoBsTJkM6OiJ0A
mzHhKNx886aaXbyqAPj3aTD0QJ8sIbsttEJXHgh9+Eii+buRJfRP5TCFXzueqPvEEA34mQHSQZ0y
LC0my/kmzdY6TMR/4A6PnnDa2Bfgy4Ssa/vdQn28zVIoJEDcDQuX5IzuM+ywVa5iZm3XMzTAM7Jd
cd+EBNatNHEoEjkTFBEu1n2q2QeyDPjZs/djMFj5TRE1b8QmPKRZDy+jswnwHFWJBsXVBRzYwLGe
kMdU8Z7kWXvXZI15Z0NRJ6pSoCKM4WHEqX7rJlgwg8jwNY9M5JrcgXECt2Rb5GG7Z6zLlJOzVI1x
HMKEx4MoN6xavYA7xB3MDMPb9oYhT3TwJOGnUR6h1E47/wvZ518SO5Ix2d9dccw700lI00r7vR02
JL1pORfPvZKaO5mLghUjjtlG8J6vASsPFwAR5r4AIbMZLFdfx4OnThyziZLq0m9wK5HhZt1D5NCk
ksW0QlvJLFo/dZl4yjilrrirYtUZ1ZGhutpO7OPEtDBAsZMJjbVR5ruiHSwBtysU7zYJ2u26xLsM
9YF42VvscGO0IvRgRoDqoMUQE6mfhWpXOlfddjGP3Y3KMm7tLrkgMAKCZcfOehQJhGVhHf0Q7lUr
W7BtbfqejF55rOriKpMIa1MRb7zS5jEVL43SL+DVkUT1tPW/U+28hy6bmzLG10617tcMqwbPs+se
MVKhT0EDhWL11pgJjDJb13jOIn0rlI8uIE6/WfodJ9BjEIfvyWQhvgjm02zG1yxSTE6GcesT+dUy
2wfX1FZb1bvfYnxH60LYt5bRo3kQzS6r9KPjS7UuUcjFnrquYkSwllc/xuD09mh+P4dZbJrA/haK
5hWh+mMoJnJjvZqJ2oA0qI/VCwHRA7CwZn6jvoPwC8PCzM0dZO2aNrgBI6RpCBCuUNxlfXzV8IwV
WN/HzroHI47+ho33qga71FkQARmueeuuRg+ExOq2cGe+IY2UMMniK8pPVDNFTZunYRIy1bNxU0qX
8U/JSMWiwcgVTHEidMIEEzU5GEpwcCWVQXPVgZlihdnKb8EjSYdW+iQdUvaAiFZO9gXJ+p5SR1Mg
iHbL3JtxAyGwRRM/2A7vEMGSt7gMaFBO5PPZ6UeQJO6R6k0EGxTmbs+QSLznFB7ghUpDvUu4GF+F
tKpTxHt2hZqsYfyBQKtJ+ejKCA9GM97mPfLK0bDVg2uQ7WeV1aM5j2ftd912mQMCpMJoZOPmwI5x
pJq41j0EAhSIH722iKwmoxU3PuGtVv8Vr/+p7wpQvwpRteEOW+nSLKKzArBMIJ+OuzTZNmPQ35Am
8ejHCxjctZg1YaECEYY8reqHx0yi6BbxXUH9taJLoVaFmO7yLHiLPZQ/rLHxldGi7m+MBEpRjDzK
ZkUEPD6v/C5G/WL0YhFHxNdMx97sBKdIkgenEAH+ShXVZ4C8FUFdmX5yPEwgr0FOCuY6eZeRrs4d
+WpQNcLiwRWyeNTgDraujY5hbAy9NRcsrBysZEMrmhwKc0/VjIIeSgTPxIdN8A1PHSf/AVvfNZTh
4Ng1831iuQdrGh/KigDRobmvepV9VQqYQAxbzEj8GTlO8MYgD+lSUjhHPXY2zaWZmPsUV5zVdtuo
YJaRLCgFVuf7rh3vTbjrwKrU3vNIJ6jVtdPiThCN+1jnHC6CELN9G1+yPDm1hrgChnUHNYeFbhhv
yGW4yf3mS6Sh/Qj6JYd8Gj/Jif5v6s5sN3IkzdKvMuh7JozGzQhMz4XvmyTXLsUNISkU3PfFSD79
fMzMwmRWo3u6LhsoFBCpkELuThr/5ZzvsEqtpksUQtlqiuIyyJ4UwTAiIdcQv9yWEAs+FGmdsVDh
25L6TKYINqFcQh/J9EW14b5ejGVUGd4xaMd7q+Dq35m8keCx+cBzZKzhgBt5tPcYgO3FTBelt7g2
UH+hj5R+UTyjNP+isyFcsWmRacLw7jcNUziuxRm+yWLeq9vp1DWEJFu9/84B7qyreP4RDDGKdzPk
IW65CXWKEV7MWIobNpsA0jJ27KxI73XORcnoAol8CmUmioGCQ9wkWG3uDBKBJlwlAWRClL+1SPeR
Qv5sw/4p0ESmSMbXlYP5qKmgsBkAG9K5+Clio1sxDfB3CmGvskknzu2I2ILBuiuoo9daB09uUV/c
LGEog3MDeWr1EWrzPIT+SIxr2h+c0DY3CDshME/G61Bhh8vyyVv3VXCLOpcVNQOGLE+BzzwFXgjW
YoJmWG3t2jxj377xwFAK1fA0LqDY6WBJEU+BTnaBtUV//DMeoi/XIx1teW8jd35yBNZqfL/eUeNJ
XrfEarAXZlbVyMzcpFHFmnh291UU71mxJaiI5FWBAXPEI4qnYDeiGCWE4yWga9NJv0acf6XS2Al/
RticVhsmGmAJh1Mbl+dZGPtGkCpr9CmUNseArjPt4PtdmSo/izz4mRQ2iQQOcBp7i7JpW5beo3by
u7l12DTn6bvXzJva0s+lQibY84RtS3NrD7a969Cv7yyVXZmfZruxHxA3QUZn5Zq5zMDigIqTj8N3
WGUXSXubJJqCndyYgrVbZAUI/0euAliNe6RgyBt181jX7BoNsHGKedrKISAWyVP5IsgPRaNFhLEh
HmToEXzIuMkdjbNZIqfKRIoPEDkDlxQq5TILz6grin3pYDEwycMGge76P2KmPWCXSSzgUeBsRn+6
TlNynhVps+443A5F+eVNbJ49AukupVoIyqJBmFZfPSxcd/3sRgdHEg2NvrjxoGA30ogPFozT55iu
5ClU/qeLOZPF3HEQNamrxpMTkP7eMiBEN/4r9shNrIgtwKDg/RA+mubYRX6hvRq4ijXjfJC4pngI
UGKT4D0aHz1+VtRbXrV1C/XkahaUEdE9ZZGheptHPIW59ZSyg4xw9zPWqO/Z39x7yDBuhUQFMJfz
D1sbp6YDVxS5fbTJLO9hzBCqey3OF4QIVyONs3UbjBmzWY8Aqn6PDafd+WODbR0o2QZwxB3QQW/d
li78Pp+oknrJG0D0MBnRXcnek7pvJP1HtYgczQzzLd7EkTkS+sTqhczNJeW++lla+t6sfPtYYeB4
xr5J4KOGKZoF4bTuzXY8DXq+63BWg6oOh50TJiRf1FPuwYaqUQosNLuK1IbcQ/VtBMhbhYtNQMeQ
Nzk4brju5vMYD+9dAWcS+QHnHOXIzBF68XxUiBsQ68UhiMovo0PO13Uoj70ovqu74A7r8UkPYGTY
/vv7qux46kw4RAxbA7Nr4D6YCuN0mZpwVuQMhNZyg03SpID9kvwF6OYBdyjHGSfLStTwO3OjIHYb
fitzjw0u0mek+N+zU6urCNvoRqCgO5VeTeANAbarsTSNbebq8MYa4FekwTHScs9iCI0ybNy1C/6f
vDbuIEUyepEZ10QVO9VOLyh2X0ofoZ2ewqPnNXtOs43ofNSqo3Upu/Ye2yho3qq+WDOWYge1MkJl
h4cXRU6aRw+97z2VeMHXztxc8Vu9TYV/5/fWoc+FeWwUb5OhFMGz6JGSsH22Z+PZjGtxrlV5r1X4
UJvlA6B60K1z/C6Gem8V3HfY/y9DVo7kSMlT45CrNo9bVVc3oyBLq6KD4VG9izr02kZJlE7f7FFp
bJljHLO5QxYVLlFWTinNtauKiWhOZ0BN5JNfFNybdgECC1UqE5Pg6FdILXL9kmc5yI9sgdDQ1I7p
Eipv/uqqcbl3KxO9MnBIL0NvtMpMFmvkMktBzwqbWtGjyhQBU6K1C1ChaXpkudp/pmHsHn0RROzt
hQEpxxgr2Eb4EgkVWVlo0W4d4tXBQ8UNj+kJOE57gJoX3dStkd6PYYmnuBw4/IympWSsyai7lVlT
Ms363ZEQjMx8SIt15E8mOc6LQSIl0U6Rvu0sMlj3JiGRL0gVqrsqViJYCzM2sl3s9PIaVEbAw9oc
AvdYWhlqNEemasMtpeqNaDVmr958KpHnmxcMLt6TW3XRVTJVJs97uiO07MlX073JhP9zHEd7U6sP
zjuQ0dOn1cx32lv4YbVMTm44kX2KvDrJdoKY7/eRN4grDMAhYWjwK+xouHew9wAT4vNsaRYwBQZG
+DQiNJ0Lfu9xzB4Cmuds7q8StwSD4GI9NRormO/cjQRHjCvESjdyNPCuh0EbfDpRkt5FSbUtE8D8
CcamYE7UBqrsZ91g9s9loI8ZS2LOdqxxfBOxWsLg2l1DFdaHRoen2UrgGrtjeVcW5AH0w2saY51v
a9E/NZ58L1T14nkxQ7isYBReRd4njESDniNAAhUm5An7UMASL3pFlkYCj9mIgRhfmKNZ67xkk8oe
8yp8kzk3LNdGSUwpr8k2cGd4WYfxdUgAmAVlATl0mIkdDcM6sjbRQFr7ggz0WhTdVv0Q99ZdN5fx
JsKXeGa9/knCSbkPydl4jCoitC49msgP+rLwsy4adc0WK/cYq+whrCST3XiE+ognmF2CfmBAuZlC
uKLana/j0JI71YTTvuxdzrPEpJMCo30RReg8coN/tM14janm7wpQhyVeC/K3kmI0nmmEmbgGLHYe
caDMRx6LzarhwfpU4VC+ZPOcXD2vn07e7L/OojBOyvSuoZW82nwO59IuSuAu/vxiuDkXAkVbu21b
JcCS0tFjloq2OuryZ39mgODGufOIUIaX4JItuOS+HJEfofkC83etZj/6Uspzv5zBGV76jFC8rLNf
alOoM0kq2V0SojPHaZ/cZCoYKCXYomOTF6ukHsmVmeRZNQN+hMpBLQovVkQmS/x2/Eq89oaPhQ2a
bj5YM2ebxqnuNfkhH1XE9Ik7ZoeBqmbWBqOU9UixbVByH4ei64/o2fJDPGAcLStneLYwO5Ll5btv
0uzkFkIQBoGGeArbz02kBLLfpn6ebj3f38aMhkBlThIfNz5WaDEummh27GKaH4nUIXxEWulpFi2W
R4gyq9ghrc5DK7dqVPumJ3L0yO2cFLCIjFpxneFq28YREdBZCZhwP0EuKR/DRuTGJpcuolGCn8Dj
W4N4BlTEc0GC7FuFfvLOkARtvQZkt0YMYJ4lMsE9Ul/mZ8YEQajrr5NFJY0zLzsO0GQ2nSOAA9XN
OOwGUbWHqXK8zZjrxcEpM+NYTm5y26CNOuEIQKOOoqvclS7wQtw14aMnUuemSHrQFzLfuJaTvWdd
HL0XbYIxyGw11JTKEx8ySpsdECvrW/nCZElgjUtcUtx8+H5Cdgr+R3vLHh0FbtK05le1TJrpl4jN
KIOeQoV7J7Rx+0YJF+Tk4KGfqAUpF8epcq1dNfcDAyTlYSvjSLMN774UcVH4q97mgjxMUEHctcHU
mvtbA/oPuwQTvxgml+ZkjnwqbiJTg5NJjGl5HALQA0ypme2ezM6M7e8OZSl3LxZAwEv5XDQ/sE80
+o38YJ4FxFVa4acvoTNdiHBxQc/kfYsLhbXCSwsddtlKYALcQoIujFWCq3EJ/KN6W09U/cTe9cLc
12R8OkeeFW5JCwRnGfmv7X6GeeheoVTN4cH7fZ3Q1GmbHClPJ5uComgPSA7hFGcLWfpkA1WydkHX
pvqAcbN7Ld2Mi6pIXf4DkQ0W0JRpRF/AIMQz8HFIsuMWY4ZlRetWjvZ40s2U5bcwWsZrNvVJs7Ng
z4NPHFwgVU4U0F8xd2SeDa9PfOY1SUd5DnDyu5NGa99NA5CRbeLkABYGiAnhpg61Me6aEUzJgbE8
Us8xcgkTYHmZ+wgfhcGkZ8BfQPpZ0ClQ1SW/niE3tNt7cqzuEdoykVX1Z+55hG9rcrerh1Gn+q1M
GD/75pcBrikv27smrXZozUGLdhXHjW/Wh4ER8/3MuHWDktU882m/R1S10dB/q06Q6Ozp+b3FN2Yj
+wWVilc/nZnd0XExb9hOms6nG7W7wY2DvY8mPoIPXXm0mj+aSDfElboGa6OwNXd08UGOoWlOSWX9
GfvqMBj6hxl27m3pDmKV+qiBB+AhfIv9yMg8fbL8fsGbVbB2nfFTddBYyGP1DjXV9pYWKupXGWk/
p5LflWxtT/ERM6bcthBHmdelA3LGvS260oXMlClyfXxS98Kxcad9awOIxhI5jdwiLlFyl94TxWdo
axIBcdIPC/JR5xazhmXdujO1TDRxeSjO1zY6drUpoo6+oPQs2hP6xr5nupP5+7JUkw0GJplK7DDK
8ddRU8WYF3XteuciNlqMsIUsIIc6C13aGoZRnL28NZy7oB889wBhFb6vbSAxCIoZGyb5sMI960pY
5ZGPN54P5iDlTGAaStsLoFNkY6hV2MKi5gj1rqw7CYwKB2P41GVTZl3SUXAUuIPB/0+cQhhbBbk4
G6tqQSvNRXBpbD/odmPhtxG4ZrsSnC4qVKuySUvrkpvzZD3iEWzMs985bXYQcTbrxeaaViA3fj8m
BpX0+Y/BhdJ+tVsryW9S6I7FBlN6WyUr8HcYHXwXOvqN71YyPvCTyaLAwQPjo1PkzFlNfYcinA6L
qKLp5OAi/lJ22t5xDc/drgEubMDOrUL90vsEsFjNWOHRMaL2kBu0gVnGeOOaChzk6Mj0svN5qQlB
JOQDAOWm0WwvQ+rO2zks4iO7uF++N7/ySKXJogA/14013S1pWVgM3HOB4+CQR767R66wKD80sxxo
IJgSSDuP5ghTr9HYa7P2qY0KWx/htGFqWpbvE+FJtBwuhOdeJcaOnXnwFhQS4Tljtegtb+NI71rM
5AVdPl6NAyNoasuh6aZL0QCMLdyYa8EhwvOceRaDoChz/VuCFseDjBVu197HKD47RYDhNiVtiWuZ
yj1vi/ZpWavsep+H9Nik2KELS0EDN9Jp2zfOJQzS9BMA/IRr0Jf3QxvreK/B2SHOncPjLMRjL/Hl
Go6Id8gzXAY5ZNcy82qD9UR89M4Ie3kCZiBqvG+TsZd99p2RYrlJ/aB+lI2kq2EgZ/NKplnT/jU/
fD60x4j1yQ9A3QsHCTpxR6QgZn5ij1eiJFFsC3OGahYe19PcCPgRrRWfCjMYrx6d6tXjulujtn+1
ixnILJta+ZkxRWBx5oEbZ8MxPacsWl+i1CrvU9MjS5zBjjZziFhIv4HA9dW4TdV0zUkj4GQosUfI
oiJLp/EY1nfqLvV7DemDcTaGVRx1UdHChodXke2VmxJ+0GfdHmZVCZ+haAmbxtnqMaGk+3Yk8Jrl
tKujF1ME1pn88c8mldkWWeHRi4PxMo21u+GJ0d36nWedkBeR3sin/eHFaRxszFpO27QplhlpQubB
jm0i6GmnxhqM3Nj+7A1SAmHhFyj52zTnCku1O33UXproVRIYkrY/ia9EVqq3yJ66N50pHhOWuCdE
xrqxzNm966Ec4FcIixnULIvoDSFG6a2mFNm1ZAX9hLjU3oP3bq9G058S02NuZLraOzBQWOIaG4tB
kZk4drROy9l6jxZzYUcCzNYqp+KWrAhxaDx0ACuF0nFem32S7vNEEEyIUAccjiDWMgpctTOiEjB5
x16bFWxFEIitsAjm1cicGJMpmjN5JjDN3ZtLWrKKclh+unIE030dQvFtCOGUGMAeLVHQDqDe3LOQ
9FnqRYHcRxmIg5UHhWod6oJ8R1vUN6ExNJ/elFi3STp897j38P7V85GeJlzDNevw9eTYYQpSBI54
gxqIKL5zNgkkYGFMvgjeyNggci2w70fp6feqraS/CQbIhBKn10MRaiqPpsq2MFjULQMcBUohOABd
wbwzx7tWQL+pxPiAJsR4mtyiu2/YilG+xuWO6x95hC+S3WJLeW1NZ+ncAgfWucOVuBrH0nsIYhQA
qkyyo98M/qGCjX3oE48JXexvEiXKE7fskcyh+R01HVPtkNmjSNzm3rBhd0aU/XS0bZI+9pY23zQg
slsH5xLPZhkxx3HlnRz9F9Jzma+aeZ7se8cEbFqiLUCOF619Cnx6u1YeUoJi9wFB2Ne5wrxNLmXA
9R/535YO2p8YNb+zBHttU/f9x5BID+OzXYOR6VGgem3Pv8NOj2U3Jl1W4mulJZgX1MCnidB4lZlg
GaGt2bVxAFMxHB03BGUwOicpsflaHjRuv5zeW5kkW4Qkz3mefjkdMpMS4rk5VTb4SHEpHb+2KRfQ
CwbSoCaqIQciDMq7HZhW6hvDyDbFtBBzmNNdUrrxFjhF9MAovDiPIAsGKudBAemGOUA7YfSsIy1k
t6dyFFyszkTLHOIbis5tU8c7H2PwGZ1HxwfBmeiTSXNJc2ZYAOgeZ6HLTcohugV8Z8LSbJFSCX8L
nvTJE8lnjl5s5ygz3LAQ3FJ7mc+QCg+M2pNT7k8/qhZgg+K9+Sb3ms21BSRv7VrT86wqba6qWCMZ
zNt5Ikp8VNFp8Wu8gmzJGVgS3sp3mAln5ZC3yUYFNAa95kmG6bgwzpmxuLOgWTyNbdWdZK+nc8jj
edVEfXrwmaYxhB/bu7ZWDJQ8ElVYE0dnlXr4lxFqQnOqmKEzdp4AW+6ZKdKE0HZhI7dQ/vmDWCd1
Xj3FwkCuxKG6LTKoaSVPwZ09wz2dDHJbKmYvN6HpMgsWOSPB2GzhNHn+uSsanoJO6DyIwJsu89TX
z9Cr9UfOpPLNcA3CBI1TOfVCboakLC9Msdeia37EvZNf+97xz1Da4pM0HfNQN0b7HCjCF5paqAux
7PVPhsfiHBukaZlAw/D0x/j8w0TcofAygi3nGVsH1mQsfcJi7XRJfiA0Xax8tdSM5Rxzg5KxOeH1
30lpOKC5Uqe79m5h3KqYtUVI4/9UGZW6ElbEyQ62hDComfihYcpILZPVh7La4tJCFisJwwDcBnMM
8IgNvL0bp+7T79jyZ4iqVzR3HM+5PLsjrdfNxJj7IdSwUdhuhLW5Hhj1noyBUeNSMrIBKuF11Ca2
F+GNe2Ym5snTxHJEAa+gaBBgJZrJ5i7N2vbkkjtcrZppUqcy7eJlyV3+mDhpxgN3tf9IgHkWrjGT
jZsIA9DEJtOA1TMSepLDetpOyNUOOQCYLdoE7jY8Rs1r0FBiMvtQfoNXcQDrwOROEAdv2MCgrESu
LQAYz3YoxS8S8ACWN9RkQNJt8Vw5bnuvbdt4LuJe3jSF15xwPr0mtcpvRlqseytxmhPcgfLByCfo
M1W4AOe9um8Yo0tApprl2MYqBjp7MU43jPazrUNjKFbY3mR5zNyCUx7Qjcn8OmxAZhhd2KxdtxP9
unSqhflfRP3Wl3PwHNVd+gucFoYmbfAsUMD31l0nuGzIqwCIUsQg91ZVGSdPspoce4UqTipwAbVD
DWy2565t0z0HGjVb5sxowOgbNZJfz9zhmAP5wKL9EQ3DyDy7L69GRLfwRISIw0IIZdySOK5ApUck
ftogK8wXG00FxVPihidVFMGajty1DtjPppWo8pjA2Khk5WGPA5zMaKjMaW3affiNbx/khAQkW1Xw
x6RVmJ9Wq+tT58+cD44F1z6w5gtcPTrNbChuSm0Er5J06AiKFht5dt+pwzlGXBsJRN54a40ESniV
oRc8/9Il2+VPe0EBiipY+I83pUe2FRc508QxBkWz4GnK2MFPO5KIh52vyuEzZG1x56CYCreI0Dj1
qLYPJsyZVSxjJku9RVwByItyb4Y5PkJ3gppCrWJ4SJCUvRpcD75BG++auti3jqNJTiramyyBiNtk
oC/oDBgXWj5JZybqlqRx/B1U3vwoaRrW1qi+oGwjckBMuc9rs3slASQ8+mUQtmAL6+bAOKrmBkII
QbMLfr8ewyvvNzoi9HhnUuIJEQIBADwYI84ujSaGxzMfkhF11WZmi2GQozDnT4S3iAKJjVYmXyxu
Ztucr8qvLKbyU2jMJ85VdrQe22MqKIZe7EdtlkGrnItPbce4S47QsKjR+ZrYthzSLJDzGlRWj0SF
hiQ8DK5lNRtH6GEbIizZMf4Dsl1o+0GzZtzhM2A/5NmIsEbnx4Br3uDhv1x90vEOdFjd21zEmhSy
KqNwULgai9ao3qzeYaFalbb31jgGWkGvmfKbLnCSsxYjvwdFX8DOi3457MUALElcebc5nNsy4TMs
yhm8G5OB/5/o8j9ILlHpuELg1YLyjgacr/9FJF2WfYezvvxTTj+rZhrXOneJsGUwj6jHpkTgzFq6
zs5byHqq+2BZ77EI7toGg4xPF3zQQZBxxY5LHjCn4XglHVFRjSVjgS+/s3q5JJBFxncOmVxt0r7M
9R/64X8J9vBU5vzvfy/f84VooonDqPvdePb//nQTfzUks/7q/su/tf8ubz/y7/af/9LffnL7f37/
cvhdbj66j7/9YYssoZvu++9mevhu6XX+YX9b/uZ/94v/6/v3n/I0Vd///m9fZV90y09DpFP81cVn
kvP6X/j+LnEX9R/gIP7D9/xh/SMXQFGDeVAeoCwQC8AF8If1jxRazJm+5JQ1pXDF4gz4h/XP/Q3z
BT4ik5hafH6LT+VP659j/aYWVb/vOPAflx/3j5eOWm7x2/Gu/adierm4Z/4mWPcdRMGuNDFJ8SuY
/+TrsQMny8LKqcDBBBVgoMK0l4Q9W34YkJkIoM2H6TWrouGpGccfmaDxFnPsIRSKZxaAk8lTd0Nt
gV6qTVgQkaDmoVMpDQX2bwhJ/+ljlolXrtupPY/o/qYNo7/x5S9v+Z+v668+Qsv7Z8eDbfMScBK6
ZB9IRy4RC3+9zVSrLG82CAlzNTOgw8zyp9+rGWDdqdYNh5WXZvHPWDY+Iy5Rf7MSACEZ1ppQyrha
oHCNF1tkszgziMdBVuFzlzfxFfQUJvK57El1lybZWt0Ydg8i7AACmLbPGHl0JkU4iQWGelngZuHB
8NyxPrSym+oVZFCWJSSKoCaZ6jJ7C3otTjofoAyqVoNKtZoEwauPWOjFnmJmmn4rqGjhbDb1Ct9P
xqQdffhWhx70hSib0IlqUbpUw3GHxD4ZJTo90LGJsy20ykGrTUMarXPDMmuePfjz13ZqIDRDx11d
I6sDDeNXaYGQxxtUtWvDAMdSyodM/m6n7l2VxRDYPZgA28SMASfh9mdY2EE+bw+uHxp61yvdXIq+
pi5zmPxUe5weM3MHlHk/VezVaAdoVxNI7Mwwk6I5Zs7QvJMK3thsikKLN8moawTdkVl4azKcZwrh
Pnx3Zt0BxeNA22WjjBlnLIGEavZ6c4VvWkcbacwoZ83MY15Y5cEIHwdIf7hyAzO5IxqdFTPO5vln
QNEGMDLS1q+aEh9mVJnpJzPrB2OdWZH8DtlcRGuWHvG2wwd5C/w1kXflSIh5rV1tr4hW5w7Q/MYA
whqxrrxE5MiE9PwEJd3SD8w4AQsSkzdZqIac9k4A5GBRAMMYjYw1gHaz6thBQeaAmqK+JfgUCFMe
7szGdl6KUoJqwOHvromSxASboGQ1F2GnqBFDFAO/Xeiz/SbScoSr3iCl3vpFM95hfdPoNwqR1Js5
GZR9MQySsPck9oDWrZtk/qWrkavZD/D9kpjll2BIWShnLFN7xiT2oKMPXeWRt8WW7L9PLlDGVYad
fxGNMSfYhiYkV8iUjv0ou2EvXQFIi8EdI3qPTTqZAvDvYCeKZdkk4I6ShRdPGQmg2QTFGarXHr2k
SJHSGyUxDcS+veJHaPQWX3p/BaC87EqHrnsNElM9sGya9ZMl2+QtyUqymGI16h92PTDZjpArEV9Y
ND3hRkXhRsfJGAWxp2VV/TKQIn8xjkJHPEfFdMirUql9OKvsV4EG4yb30vLJleBl2x4xHPsRuawz
xxAXXaM/MYC4Jye3lzwA0AzoPtR7h1OjPczRFDxNXc2HHdFor3RZdV9ZJQhk8wkjm7m/jaE9ySpx
xQZsU9BsmTGbn2xjBnNv0Jq+EZs4dIcoGlGJ+FSS8Bf8AUk0E1Zvy/aHZUOCTsZbQ2Ik8Kc3yJva
pjAuYBI2lWWu6rZmJRaahveLZ6CZHAfe742C7hzveqz8DN+cnuETc9tyYkRhYyKJcF2QlFoufoDZ
D1vire2s/ZRO2r46BbkgKysTwSkcippxGAxaTDqWTdYFBJiwXfNEkk8dbme4D67uF44yrcE60tFC
HNTe9JkGsiy2aJm2CX7f8L60SDDamvx72Gx1QTRdPOqkROnd2CCpDC6aDWUPrDaOVp8yLrbpnoN+
xPDiRChFuhiszll4eb5t49E/hfyZwEA3SF/jSRvTzqUfBmk11jkQlh4YfQTVYGCgB4yejpwmg+p1
YvwfOUSJsugFYbgaKeaQRlqURsRwjNhawPPE5jUMTJsgyDzG3iNMKssdHJpk3hT9gMivS82cwYnT
hbdxM9fdgbk6Ms/e05665D4yrhXeA/0hZRM90SLbiHOz1P0pe99GVDPAiLy4HOj5TzeO5nXEPe5i
XAjIeMQZjYkgA89LzDu7bwyVCXHFm0oWTDc0vqaNVmL8SFUKT2jsKjaggba/HFsy6OSqZikYsIld
E9BD9njvd/LRj93urOtseo4Q5+HObdvinupM3UFwlvcygExPJJz81Ng9GqLg4AlgzunTbh20rcce
luBY6D+Gxe3fgakkNIGDe2nBIzJrchrzdUnOLoBRrq5Vir7cvCgY5x8TjjVvW/Q+Ig9lTQv7t6oY
ecWd1z3Htpf4q7GdCVdrB/boh8AwZsGPivt6p6ah+1FHZOmR25WUCYO6NB7REDkpMTLoqjcsPFDA
19AQmQ3Vmf0UB/T8qyzvBqIm+onVNg4b8+paORsTJzSwHNV6UhP48K7Hn4FAIMLaQxSvp3ULNxJO
2rwaHBZmCJxK/6qbrmM7ISIo3axTrlNDrN0qtRjWskZB9vGHx+tfKp7/e5XxXfUNyr75/u5uPqr/
CeXxgqX4z7EYh74IP5rpb8Xx8h1/FseSYtZbfImUbhJjImbOP4pj0/3NBJpGqevb1FVqwab9WRzb
6jcoFRIhgOIv4Ajnx/2Di+H8hlfclBji/yyc/5Xq2KSm/qf6WFokankusoflX0L18veysgQ22Rc+
ipRWGT+CcW/W2WMUzN2hLTNSAWSGtqrLBRKYccPBe4uNRRwQrtYblEzWziuJUk4LVuVJmj8HEsog
m2x7i3UWbZvWsESLkuIhoRnv4VjeVJbsDsyYPiwVo/hJvOrkzswqOra5Kydz3yft/By8PSEBH+z3
llwe1Z/DMpivVIH1SQ2BtZZsbtCVkJZQxa0Zs5XnVJWWF16RyUF5Qr4GDBvoY4UokCHklaRRtBLI
u6tqvsR6vBjmuACgO2MfuQayr940dlj0rJvRNaytMJbSNCpwpAUq8HYZ2rB9JNr0YXRDdC0sBNUT
AnsiLnnKbREfqJdxUMHBchLE4BZBkJozOUax6ca9YBCJoo2XaDxVyorz9cicZG2jTn1N27ECnhR0
mpgKxzqoviEVWHmU62PdCwwcnm889fyN5e2sOr0dwa5ve4FmZgtWl3yY3NYBs9TI3NSUiNHaFIwR
vdANN9MUaxL5WsceV8CVyjc/IuDYK4nJKqfqB3alcAfONFy0TbbRMpHDc2eHIDRRUmLa2/Yql5iE
kpBgNF4oA88gNi7AXNglD4jc194cx9ug46NjxZsKRhKLHwiXYAYEg4ChNeNJ+TpMZJbgk8uPCNun
w1hlX9ZkfZfZfNPFs7tFwjX9yjKfGRWVCFjRJKlv9DyfzereDA8JGt/NmJJfjZJloKDtSLDs+4SW
J+qnN1o0Gi/M2x9GL86mg2K0Grt1CE2edTK1LSqBx6WvPLaD81UvtkbDeB+9+Si9AG1ceJc2874Y
xSE38wdg+LyArONTDSf32hMf+t1Grr1qyrlBfsqnB7GXQCpGm+zdTDJsyMt26+EsE5XtezP3r/gl
ONWBYDkNyQYHP/b6S1hZ+V6ZRr0pnOYTJg4wdkt8jAvED61Fw76FRjrexYMojjYHwK07F4jNEGJN
L5Ps+XFkxxo79D3ZJXMxmom0vm/rrGKZU6mnqW7z+3ECXFgMJDOa7BYOnZ0Otz4y85XtSAv8tocG
x42mM5w4pMLh3vcaeYSiTDC7jMUW7tz43NSAEBOniy99lXnI00RwXAJyjjLI1NuAHPEGYyDb96Sv
Bob+QOqK5t3jaY3hCM3LuktIiu4ZCUIDd/FR8SgGNfFWadxdyA7MvZ9YapPb4Ltyp3weiNu4RT8Y
HnsZ1Bum3TyR0QiQSevEF68evqYM9CxPUn6vIGEC2k+I5x2s7rge7YDNGfd1F9PF+JkgZbwESCKz
0r2xujB8mNtqvDitIQ5Z76DSR2TwDqvh0YjkokVPHuOoOBkVqVGBHIqT5lR7QHgnCOupiqNm8lsW
SE0iXnDaAUFN5brqwHX7A7ESnntWva5vcharsf9YNrm/TWwCwhs8dYA0fjlzIleSonGTDlKwbQrL
u6AWl15gHhOs447W7HkPsWWaaCWVOlUc+1x+ZJg5ae7dMB2l23U5YkNjPRXpVi+i2kEd3FLe+Ga8
r1WxzzBGLcC7oyqsmwAhYdLqLwkscm37zg7pUL3K/y9z57HkOLKl6XeZPa5BOoDFbEiQoAiGlrmB
pbrQwqGBp58PWbe7k4yqCMtZdVmZVZllZDiE4/gRv+hCjJfmoPcKO7oCkhhRu1CH1xvADYi4xDnA
fweDsqC2PGPSfkoHCg+3c+jp0iLGTKnUR1n1VBehhGor7vF7j+8oQ60taq/ZocKwajuKxZkU7zdI
cOlwa+VxslP7onqEsbKJUV+OUwEFpAYJ2OXPGLVAf8D9MLWsQ4FD9lxob0jWESUc+9hmCnVdGdcw
uRuXHoSmrgxLxI9RPtIoLAq13UsrP4wOUptF4mz0QcUpIMUEbm075uSBgnoai4Jf78QKozLBO8C1
fF12TcTzL056g4VsmmbBzrRmsTamH42WDL7aVTkwCznuYmN+6ftO52CAljmgffjCzNvrjbLHT2Fo
Bvav298myGZZFOiIW7fVJulbym3gw3U/jAd8lxF4Ry18AlrOMFvHRVXbgdNTbrWpmW4DGafrSkNY
fnYenCA64ifIhampZzfxrRJUb4MxxnjuRPj96jJ+tUImpKAJuUkCz9rO0b5HIxLLNTaP0bT9jUAG
cBUtDt1zuUl52NdCF4Y/DXBDXEwNnkF+tbssm/fOAF4AaDTqjZ3aeZFedQcjUhff6lXaYX0MSSwp
JAyTyKk0P5hQHISFjeY6p2+YlLvIBolBU+y1b3CQUtrqIW9q51BM9gzDhCMzrMdgP9QQe8suDwjf
QJWZU98VTbFxwcMfQqPwQcxlux541KGF1PTYatfokw5eN/fCs0DwbyIzUTelShOgSd6g2iCqzljS
XiVlew9MydoFE3sLLPELNsIRANBS29lSdW+7FFwCbdZqz/Fg7tChhBAe6u5WLSqm69yC8AUUL1zA
ahy0aKrDrzd60n1KldnqTirqDDddbT8Z+BkZOJpgXeWssD7KwaDeuGH+o9ZtTzYUJnT/v6OMiVGa
077RceRnk3FYq5wxWzHHwSvS8MN96HDmBYmKIjiylgxqo/GKUQ0ktF7IL1FZM3PM5zrYoCU6x5uE
cENpGe/yGQZxNEAfwS4IUUjE5YnoL4NEUr3V/InxBkZTV2P6GmItDFERGM21sLIbOTUbE/6shQgW
w2XjXmjFujFexnJafGTuwvSbi2+C4Wbb0HW/5LXiaelpUci3jT2K0q96x7kK9a9vyxsTLofMoR+l
QH8jOToonNPfS432fghG9SALgcD6CCPJrvciCXETxu0iVsW9pOO1iwaXUqo2bkuq2gKul9IbGKz3
PQZZlW8MLpje7GDGr5O0th2m5j4GUF/TMbtRG2wbKx0F0OG1UqODZXbXTWve1KW8bdkw8xDD0K3d
0muMGVy4HcO9HLAwQDZrTw2urgtU2wGPBO6KTlV4nUXhbq70ymsU3pGDx0iWF1+cFF+OKHa+KOmA
gC2C6Wun5WToqU1Xkm9tXKVU8Uy5wM0xVQUPZmC0kkih7+DT+2mhvs0SrhCEtXkdjMEt6NZ4ZwpA
M/Q+ZsYb5gPlvbFOVeyJbCOW99WCwROyCr/HSv0livpko+sZhzUNpqPVlYUPwGcRVpmQ4K+DLU2y
Uz4pPyPXPtXWwOZCHdOQ9Y8pck8TQzJ3xMiijbZpS/YlDXNjxDUjtuWybFm/kqvxO0DqVNKLHZIl
ZYym10xreY9Jn7+y0RiTKtVLlg7XnSO+F536kFPBXCtq9pPErDqUlqW/GrVxl6vUwyJDwhz4gVAe
zFy7c/qGraTjqg3w+l5G2n0XFH5NMGjo4PAQgctZY+FPLLRTwWV9nfoweXCzEPOh5GdXYmySO9tg
ahnOZSQ8NSSszmymL0D+8xOmknQ7qsq9ybMUX/U5hyOXMcLLsx+DlmxKExt5QCnqvp8QIRcWsKQV
fUpcGdAsvAIFCWPBNC0ooiE+8E060xS0H1rMG6mz02l6cuLKBkWN8XdUYswU0EP1QvCdKznZKW/K
aaFcQEtqS9l5GkZFKwBjNE1sSJm0Txa0nLgBdj/BJQnJLhCm7Eu9uirLVAcLlUOxLtO3LgjuhSPi
N0AfVzYnfVv17iaqSMBFlMljrjXVlhO5prPNNWolwOhy6MyvRllhyzmg8WwHOtB4RyH0arTAVwl+
jys7GSRqn8oj9sec+0Iz86PuZv0xhgSy0WzYvHptdYdyqOqHMZqbmz6Imcqadv6IJ1fqMcfP21WY
8zjQ83T3nJbyqNbwFmLbhkw1KYBBMyjmG8BJXxwGC1vMEMBnEtORnDIRFsvxLyBOYi46lCBw3LI7
VBl9JcnQhaar+2Pi+1i8F5L7IpPqJpFJsqYxrzJLABbtpMZWEaG2dyynOORlhxb9Ika9r+tQexo1
MXsdbBA2qVt/R/EXy8dmOhZVWEPeTDX3qQbjtuldRaxBJNsHYwbrVDr5BJgHZSqbgc8aLmv5rCBl
hTCXhJk4Igi21gfsSVK7MXedgNjM3D5QdoiVMY1op5cBzIUX2ouzi6DJfpO41bQL0/EtmvOs8CRK
smiiykniZSUCMOCpvqkze/InIuWmhYl+SjugsdpcSZ/2qoEGa6lvO4E9FC6XDbHGJBIDs0YyoIa+
qaRQp3sB7nsu+i3zdHnA1U45uPSOjnozP9laqr4MPQhQC2Xy55lM+3mcgDoNc4eLG+B3gEFFvkOW
FVhFFGf3YKhQIJ9COHeB7BpPKwp0jOyAUT1MBm9EMeoGiO207KP632CAoeLSPzvVRuvjfYG8xEtW
RArWdTlcp7L8quHWBnZdKpzkgb7TlawA4yy/u0Vj+sCigbYguTkAEYkq31YhEuLeFKxFo5m3KE6/
SVexnspeq9fjXNCg4zt7Qc+QmsYSxVUQ5ui8RFilhEJBoyaSjyAHIHwPprVHbwiyh52/tTn7K6iR
X6oT8DRZBxmlAS0x1dB59OWLHFNAdlqV3nWGOm5VmWpeZca3Rtj8uxhbUjsjL65K2xpPFObjrew1
d9N2xWtvNYGPnkd0hcMDfTR9wIYsC4ejrXJuJ0OQ9Js8xZ0ABEnypOIueZ1NsITqiFyfkf3gc4Iw
rBvXTq+b1/BZglenw7a2t1qgRn1gbd2SI0cdbHvHdNVe2zYC3INwUWxz2oOicS9BL9pDb0LKCPpU
3BmhO2HX12MtNJHteoWcrVddutNdCdzsnkTN+mbQjL4e1S7uSAKN4UYS04lEkflDwZSCnmK/D41K
biRogLtcfI/kLoyREWq17+HgerkElnEflS1CoTujLb5NnOmHfO4AJJZVvnPtRm5dW6JVoA+JcuVK
S7nLdAhrYZr2z5DuY4wwwuI7OxJJe6dWdrnTowDRQW9Qkvk+Ydz0yoNPjqNhpz/NAFjipNSW76TY
n0GCJLAmOv6l6vyotwXlApy+5yjX3NdiaKlbBl2+jTgW4ABtJF9qs3NIpeAEwg6osWhX7ByIVAcX
voRz1ncy+1GC1F0kTEzGKtD3oUbUHfC1DchYu8Zt14CQkRuJWJmMvI4t4A8dFK2ian5bNxifmtB5
7keSWuo61LFfTTNUUvL/rHsLaduj6qyO5X0hivI25R59GNAAnS3MLa8mwxzsjQWS+Ab2pbqPDXxb
VsB4gU6ZVqSddOy5MFhK8usx0xkauBqUt1WWoUQAaiQYHmjzDrNHc12JNqUU12qsZc9KpZl7HIbm
e1yKqUxBCVbY8TklLLdIBo/MBUldwJ7Yt+acWj/RYF6otynGZwJM6xplWrikvZXYR9u0Yr/UO/CD
qFE4HoWo/s3KbFr6Y6BscXenepZ6tbGkYnjIUKHRoCPoYiTuoohftge16oDE0MyQ6RGODy44VO/u
t9Cdb/NA6ohbUFvkhWyOeh3QraG0AmUvMR4MaIMJRPPRfo/lhLGpls3oAAXOV4yl9n3nokbSgZvL
oOCvTXoAhwhwCwpiZXUK0YHaW11/GBMKpkQ5FpHxWNdoUgHvxgNP4nruHDpGRHcdeJOdSe61lgVa
YN3iddDNI5dc1wCaZ782T1XONC/OOCED/Y672OvosZgYCeF9tUk6J/I6IfdOXcAgXbbBqxzwUbM1
P2eC3AVi7cTgs4frkNT1fnLADSzQHqjbWMZb2NRxrJfSSNZWnHHEDDGiuyqWB5saRUZ1fE4zcVdN
s6fnwxaN+0dTzRFhD3rMEHdD9jNtONB6pGtELO6tuSkfqQx7Xx2dfyMvik20SnHbO1ZrMu4CzKz1
cj6KSIiD26WLcV+yRWXzO7ogPw1tmq7MOEUrH7NVA+jbetInxLrN7JnuBahpeopM7mC2Qev1rREh
BMtxj4WKsn4eWUfHsL47zZLTQS30MJBZGIhAoJbS0+RMuEuj2Vjk6n9OOsm3Xcb5PSfwxoYEBGuU
HqANWhulLPodjH5sQFxbkqibfAl4VoaOLnOgCVc9jbmMIM9TLeerUaVenOhbGnubHI03pk7paqwx
2S51CRcz8DpseCZAq4urJnpWm3yI1ljH/NBH+wYzpBMi6F5XuU8FyGf8uMzonumM2LJBv6LaZ4CX
wwhTg1qsWtN1GU7UJoiH4QnOrigSEMAAde4UfdqiExqSv6DHITBtzYxyA0AK8RlkDSOmPY11RIjp
i+3sJFI8s1yM3t1HtAZoizlHjdmfC5wpRSEOUQbEI/ASAXL4FFTWvQT3tqrxhxxa5QbNFr8roUBH
GHEn3HGrj5QCYmNO4xc4rpADpu2Y2Rzu+XUCs4hJ7KqJgwOGGfdkqtepSX+4zESC+pbzxqR+wH9q
ienhfQ+2YeXErrGqAh04L7I0pRN48WC1ax2zkwWBW6BqAnpYc8FR0kgpgc/vOfWfYayvATQ7Xj82
V4kKC26GLa/vNep+akSvROWGKXvprmOGGzi3wkyJTYPdmKMXbB9o1ZioxAD+Bjd2W6KotGtD5Dfc
kvMMED7ZUrk2UG5ucU2dHJwg7eJKqPluMm5pOpL2D+MWwKdnBgOgk8UPtuDR0ANrD3hgrBvRoPjT
2ALQN+qK9QSjroIC2I+2tabvd4t35rZJW741vEbbHiosPQi0UOQegmdIo/1+NlRfSAX9v6/D4FDo
1QGHufvDLjNUXNN2laU/qzqgV2/O7UktdPWuBkXs2RHeZYPs0/WYOOEzJDmEDk0YWFWAS4IQ5jK5
nr5mOnNnM2J3l8pJ5AS8bExWi/EvzgvBTIutKw6RlN7kmm91/Yzc6RqO3Q1S42sZu1tbwtDrO1BK
MIwBwRjmQxBfubEDqBzczWAGHmxZd9C8Qb5U2k8n1r6SnMPT0pAlUhrnNi2MAK7DeEQlmw9edvNx
BIhrB+pt3spTYtFtJch/K1RkbtJ5nw/DSzPWV+r04urNfSHBctJhsjdDQ0rQGOlLEid+RJkiKl5K
FQHCD+pD3LUcuPC/Ff0UKxXjjHFdq91RZdLt5DPgjgxhxtaz8qspLfZK7Oww5AyPyPSth25vIFSW
coaEOCH3vlJfmfSpSILMg+MWfpA90XdYpcGTHK57QUSx5wfwpTT5223s+j190apF+2TCIYMmy6ja
6yB3TkxTAEQfEwmoeYIOSYXYM9GIFkjlfUxGOpqDNyHQpM/GrbCeHPQLNf3Nmr6lzROTFoo9ykHO
A6jOpH7jER2uwgZn5Lw2KlotlbYGa7NTl2ShLa5bhZ4bXJQUYziPevJlVBAxhO2NuE5nQyRwx8fG
nAy0FGDL6wxq1pnuPPaRa26LUb837W46yaamDgGCu57bnwCQD3laQoPsbjJKvK2L3cfBrBgzkL9g
pOFoxzIYHququZaJsocrsezqglcWuTlFI6DbyC7nKzOovRmoj5csLrAqZagOT1CdnLtkNtFNVSaA
xaKlvptEeNS17kthGeinQliyT0bePqqDGe6c1pquaGeZ2R2aez85guh+4Pu7NqPuShAaoYwukRzu
0k2QtKM/NC5olnTxuhNbhhmLTxB80XwGea4+2UpxnWrpKgMlv24iQ9zEsyv2oDVp4XYPZkp3WFDW
SJDI9jhr3hyEr21rTlf2YG3JrRnV9a/VonqFcvC2gZ+g67dQfje17qdxOu2aYUTyydCGDUTnx2jm
qHEBaMA/qKrnoe7pcOePKejmpm89vc3wdFM1ZgPmdsgZrsHZWpqm+hTixRsOOwuVgC2t8GSHOhRu
5N1cnUx1hBrUIjSjWjRzKy9So/uKRi5tlrDHdMq9y2e0/erBGvm7pGIKHXfVqHaQd+kpueBlysWU
Bw0XgBTYjdBDTrJTGBwT3ep2WT+F1CGB3LldWd9prv2awBTeNw10da2OXdjbQXAAybiOeApry4Ys
7Mp8n8flTRQtcD4GpZrzreSvrSw9U30FMv56Qv59hE1hI89GbxVGGBwmBTWHXYkLYifYhDbeTXOI
PbwhlDeL3DCFF7ojeWg3ig02ivkBWkVuv1hjkhwNGEGTWKCwdR2SNC9MLJujGkteqrf7EQp8Duob
+eCrQTixP5vFy5Qp17QSnlIr3SnWuNMq3HGT0IRP0NGxcjHN7q3DHMFFIK3rGsa0GaiIqDVinL/b
J+jgt2DPbCwXW9QRzbhd56kcTlqDkIJlAvtDNPDfESk0jghOvZvL9BtoKDJEi/Oqh6LlQ2f/mqBi
Mss724pRujT5nNTptHgSQmM9oS2U+rFB1hSC3NxSy+9lJq19PuoY9UA8BS4iH4JBKWPmEXN2aFrs
IuH8fs8cpngRvQKNkzBUH2Yn2hczE/gSjv0aLqRDZxuH85HdHZSeGqZXim2gtlOAZ8OPr4gOmKIf
aLEFWxDvaHvKQHioxWQ4nhp+OYPKETU/s+hbiW7Yw4RQ1ih/qk9h7mgrWOTXvaqS3YjKXS8VSh8h
UdIUWNz0jFnX0E2Ztsk7TlqsOaEPr91OCl8Ww8+qo0XRLX4SQWpo27kJUahINbkJJ6u+TjPjJk6G
FukC9mzdOvm+RW/tEEpj0bAdO4xgUHtBh9XeCa39EkRztaVhAfC/DiIP/cftqGgPfHy3dUyrhj5W
RHaF67yckXmaZzphgZqOrwLqFl/ONFCp1fIIrD75IWqz3DsS6cC5DEns+86kgzfp2xidG89KF9e0
GSHlWkTDXo5Ws1fEolZY4KNYpvWS3oGSh+AG7XNeCNtA6tdg5hHAiWm+dnEhN3Wo/oBG8aLk5HR1
kvgYhY+IbQEiEjV2tq1TvYaMjG51yg0PmJN774xmgZcaWYEuM9RgnE45GbPJvKLsVS9PRgWIUvIw
dfUjDlhvWacqW7Oe3StSQ3DGLVNvcFrd2gU6uaaVfiopgGNotEcFM9c97irJE3KXzlXTVda+7uhn
a8Kmwzypt/oyRp6r7KYUeuGD3Cx/tLbZ7Ua9Vq90GbrfpqFRXsq0GF9jtZhRckUzBEwm3f9cfsF0
V1DqzNeViG6mSL9Xen1pynIBTjmXDyOibjQ/mVgkyDQWo6w9V3N/pBWiNG5fbGwdq2ra0CQ/ceqC
TiBlyMnFZwg4ZrY3MwfAgD6I+zA2dQ9Y9ZNwyWcQpgBYgKPtphkduJz4Pj62Yx3vnDRvnnSlOeFX
EH9hiFLvRlw2V1o9ntDIfZhKI/HREqwWCrC1Turk1BWAWAIb/oaBtBNNqA1zOGOTt0W+jzA/8WpY
ffsSt9cyQCWMrtepDLL6BgTZ1wAS9AJiJKI1s44uFoqDq65qGs+t6oOrXk2h+rWlexApqF82kddC
eWJX8vUAysZtuEPOYsUI9qFRm84vs6zc6VVs/OWP8UfAqw8hVWdUhn+EaP1v5CUI1L3/GXh1+tqB
/4675gx6tfydv6BXwviXtbBSoKWoQKbwvPov6JUlfuGrdPWXYYKpCsgH/4FeKZr6L8OwbURzXP4q
kAsAUQ0Uluj//h8FPgOoLEsHOK+Zlgqa6o/AV+fUBNBgrqVaNgwHEwINKCRQXr8j+udEZsVC4kIX
xdYOirTHJ8G0lYK6G3PSvKHbcpoLL5Et0a+lx/h1oFX4b3o00/63J/c39IJzhfZfl6JZOEeYFgHD
hJFxfil8Yo3i2DEZbxmiOqbTY2dy1cGJzGz8QcyovUudMPjOAGv+hD907h4B1ALWiO3Y4GiwQdGE
ubgh/EYfEhK0PVO7cjEce3ZajRBfjD+TESFuzo1PFjsnUfxazGK4ACcE5C44pYvFSCGFpaQOKrgK
EIEJ3otRKelfPKJ/5Jz8/SL0yBDTYY85F4swHarDzFIqOjmxtgcc3nuzbRgPH7+yZXf8D7GFW7H5
/bwprNzAcoAjPH9uFalpWWhdC7KkvLOUhRIbykdUNn6G2vyWztXe6fNb3KD/Anr+893xcVwu7KiI
HTq4YmigyZc//+2FlcKtFbRkOi+zSsVdd5LjcZsOjnwJGKC220CfRxUYjvrVCOb5NCqlC0uPfGEl
e6Ks1yU53qnYEaJ6JwfnCSoxUJUqd8eX2OgrWgg6qnUrGNIKPsBSpyp1Bbr6IBCNx7Zx+G11RI3b
9TN2J6lA41AWtN6n0bL1vd7NDCR1vaF/jJMGAk59h6jmHqwLB49BrxgzwDxWnmluPNc8snBn1IiZ
rbS2s7WNlVgzSKuqQbVpElY7/ukG5EVrunBdTbV1Rs1LTPj94eGaoaRUg4hRNOlJUYNuQ67+H4u6
f3xH774plPdRT9Lxg4JU6V5+U208NjmSUa03qC163m2tw2MI0OMae3WL6Hyx/ngvLiDR871oCD4q
Q7NAutqWfQEiRTK9shBqbT3NdnhzHRj8QUjTo0G7iNmWlqdN0vnkUf7NTQrDRF4YoCxmPtaFq4Tr
RrZpi6D17LS7beqKJhLcydVgQMaa4Ah/fIvvPurlGIGQZuIqoemw2c5fnEpntgxLhxSWS2K2r0Lu
NEdr+/EqC+3t/ElSDbu8O2KwyaElLmJHq5FuDwQuL7aT6Vkkcx5vUBZEeleWsfMIUuEK3gymCjHG
6kgIKPCgQQDpSDJOvXUD5tFx/rrzP0ow/jFtOEsuPkxD/lcmGGzUjxKM7OvUXPAeF5j2fywPMb4m
BLPfl/3wl4X1X9BuF0dsUyWzg1oEUhuE93/nF/a/Fi6i69qOYfD98yP/nV6o/3L4cswl8bDAhDvQ
df8kvbgAdju2EKhZEGVM/mvzK883bGqCnyqAVfkm7YgdhiHhGgpdTFcuSHa/PZbbvz7038mJf7cU
TwAOKJ8HOjAXS4UISZfjlDb+AIvMG41Y24BAQVAUI6BPPsPzU488gbvSDUuFFW1oKMlffPRRihAs
zODGV83ZBb3TTr7Tx9XGVtAxKRHrulfmTl5lfV29Zp2ZPn18p7/i8/9Euv+sb4M0J2sjFCxA/9/j
95w3ll4NauMz8x4fZrdrtv2kJaiVGsGTFReJj2h68r3Qp/SYZHWwkyoexUiIld4nV3Kesv3XlbjL
vsNTB2Ge8yuRfVfh2Mr7FZrFyAazjPbOAdy7riIcJailYbpNooqOFPc1xsVFfiqCKLoPBrXrUMGI
wHFBiHlMYWl7UQJNXm2H8nmyUnuH6pJ7+vh6l8u5eHBk4oQ2W+eCud7zy2WGlIG+nFvfnWhkGnpf
Aoh32naN6RC6coiQPX684N9sSptelWHC57IXS6jzBeNUdxkxs2DHaHhbQMzfhAFaY4HSap+8C/38
cPj1LvjCqAtIZh2hXn4Ak1sgSdTV7ApO2WZFeZnsS1WledgaZf5KuYH4ToJ/GEA7DdHvsQbumRlt
zM8i5X2TovFIruPmbQ3SV4QvYCgwcNQCgAgWzuWYQRuteRAMHrYUNTMMBSD12MbAAYO6lixktt6w
6/yTG3v/DElSEOkkhnBzrlju+7dspcjiPkTJpvFTpkorQzF6zKQUbFTnJvjkND9PIZZHyFJUAosn
n+NQh5wv1Si9i/RNyf6Ie+W642hVAXZTuAeNY99EwopQMOitT8LJ+xfHFjHJo4kkQhDIz1eNUOhj
8pa0/sCF7UPgQmsT1t324634bhUM0whZC5vdxiLXuLi3gmYWO72v/WlUhwPeoKCATGR9/3wVsjAX
TQdbRSzsIgmrgNwAFHCkX8SV/ugGloPVAHf4yYu6tIDDD8/mRlzVEhq2svjKnj+zWhtyYICq9J3G
CZK9USvpD5fGarcOVIGNuoYPIQooI2bhA0+9XhtpIno85x0UNif87tJT0qHzvDIzqws3shll9dk1
vtu4yxkKHg3OFbvJurRDdJGrJf5phd9hY7WxHLvYV0NjfkuQx97Ncw9zNBqFRwM79PIeFxIeK9gv
Rx880XXaIddG8zAXpTy2Zeh84mh6GQodhAjQyVAp3cjT7V+UrN++Ki0favgTQ+GPNhpCsG0U9ATq
FbwJsUDElU/2+Lsza1nPIR0xNIiUS7J8/sLAj2p5rVqFP5TxBlqDte6N7glhqucaKwfHhVueMrWn
N1dv0Rc+jrV19/HWvHwdv64AAJOlQmIgFl/EEWHFsSqlKHxqVjiw7pT7IASERwDU/I+X+puHywnD
V6YvrDZe2/nNNpmMK9QTcn9hTWDdiOySDkcmhjauS2l/8mwvD2GHChjeOQ0U8hHe5MUhA14bw0N9
ynwNvluD38pIo6bT9IZheg42GQu3ndoIw4BgA1vm41v9u8VR7ueNWrptuZclCVL6PdDgioE06gfo
4nSEFCfPh4OeG2LjaDTdRxRBciwZOuOzXXUZr7lzm0NVN5fNpXMB5885nLBxViELQrFyrJMmonTb
O0p/U4UozqE+Pj2D1ag/2UfvFtVdClukMjlmDYENyfmihQYeQ4Ln9JNB63c9u3o7s6+usNb4GaRN
jpwEYhWbP3zMLLqUtSB96Hiwic8XDbLW1VJI5/7YJs5VXQPHB0Gr7ybLTnZo0Wh+Qh/v+1Ao+dXH
K7/7bFh52ccEMjignB3nKw8S67GqcXR/YgB3auHEVy4jUavER+vjlS5PKMIkZSsoYVWHBErT4Hyl
OW5+MYoN0loEUTlFNHrko/zk2/z1a35PApdlHME/FEAkrvRPz/KJxpmTUWiJgXpAILeDAydBKfCk
smG1gHSG03XoMmRXJzQC93anaEcYoB2CLK0Kkx9KAyIuIIQ+vvd3EYNyGwYMhwQSDxRkFzu5AwRc
uiHmeXOHrHoz6CHdQdBcxhxu4lTGn2ynd496SYGX/oxrYPmg28tX/Vv0n1OjyIwmwqsvTDtwJ+Bx
sr7p/vSMQW2H3NdYNpCO/M7Fk45zqj8Zs4ohwao3UBB9NY5DH4kJc9f2dr39+CG+uyuhwUu2TSIh
xTA08/O7IveR8TybmV+BSma4J23cUOfP+kzvIh6r0HQkZaOjb1Iln6+SIFCGtqDIfPwNxh/lrIkr
aI+gAxOg9AfRhPVh0bSD6aFZqffxHV5WnvT8baIOpR9UbjrVF6ki2XWPo8eY+Rb2fwgmtLaeeInG
LD9AJHuf5qEFYsZA9CPWs7Bldlvltx9fwrudulzCrwhI8LacSwmg1mxmoo+W+SlJyZ3TQqSrAmge
yLOiw9MN+uHj9d6FW9azSRpU0lfkky6zqLgCAZuDU/FRnRno68JUkVokHhhsZltQeu5urMG5fLzo
slPOYsSvRW0GAUvfwjQvgp6JxcFkKG3mwz+zUMGsessDRocLGKJL8pMneukXC+d9ucX/We0iNUct
gssA/OXLwC1BEc6N9qPTcNVqFaAgJQgFcB997ryZsbFAkvBmSvaoKKSf3PX7V6tThCDULNDzpwe0
/PlvUaFHclcheRj8CkmRPHWw35uEseq1JtpABPjTGCSWz4ighzYBELd3RsmGOk0D2vR+EHf2trBT
2+9yzfnki3kf7lmGD5Yps23SMFEvPplCT1JQlkrvt/iGQ9zWNHdrVlP/bWQKjq4TbBc6EVZSwc0t
HKC/MGNeKpcMDorjEOL+CTt2XAHLpYr4eJe9j1fUs5ytjGhcAsnl1q67DLBk1MD0zHjMTjM72x5z
9k+OlncfEFWjQUWjkiaqZEkXx6opnS5TK1bBfAzp5bKCNT1TF5mTLddtLZ61RXjnD+8MARv6UjCy
TIvqQrvYSaNsiwF6I9pg5POvDMJRirbVz6rAd89vWYURFIkJHCo+0/P9mjYqNYw+dX6AxPAeEABE
tMIUnyRA75+ftmQ+RHxao0wnL85KogCwegx2fKFkw1oxMklBN+nXNUTgA+lFewPFIP/TrUFsRymK
mMf/mKhGnN9awNlSIX/Q+q1GAwduz+S5aCZ/8nH8zQOkev41oWHuSu1wvkomUK/gXyTOVQHek8lD
tUXgy77/eDe8i6YEN5MONPuQbxA/9vNlUGIFIVP2BXmAA282wUNGIn/j5cjwbj9e6v0d6SoFJtNz
yxEMty9eljN20BcCeyE34fyWRRb4wVL5/v+xCCqT9NM0lTPi4n76es6csBDSH3rD2ThTFFy5YdB/
kj393a0QHsj7ma6SUFx8Q+gBRdGsDBJkf+LuIod+70jV+Uk18/7dIJluLfWbijQiX9H5u4kSq0ed
jz5AFnTAwjHoWaMu3l93fS0/2Qbvb2hRmiG9JcGlD3DZXdMUXFNDpyhhcdXTMavT8XFCr2j/8ctZ
HsvZ0b1ML6jNqPKB/LuXx0rEUJdemt37kDnzHc0Z5XsK7/sQaOFwHy/eax+vt+yo8/X4LIitBlWw
WNQRzx+gHQZ2p3cRh6YKH6rG4vDewhS9BlaqNQdldNxDbgvw2BEUsY+Xfv/uzpZ+V5rpk4UAcDb4
UUPBNAF19trJ1Db4LmTex0u9f6qWpjokvTo0TjKDi80orLSw8nCJFHjyXOlMdr+EKGL81IoZ2VQ3
RGTt4wXfR10LYUfVxK1AI+5eVtkKtMRJZi2UPzGLg6i1BNIBFR369nF7TGI1x5CQueTHqxq/hGIv
XqcwmHwxuRZk2pdnchyYharj1+KjfYTgiov1Sw7EOW1/SHQocSmoygoMXFBC302UUX8F1Tz+RCcr
/pYXLbx9G/lTc1OASUYgpkC6AI/VJEQKna2awFDtp+tcRYh6lU+NDSo1i/RoFQjYVhgXWFm6xkUk
OKJQBAFFbc1YW9eFJjFBd9Jyn45WukkxHF9UGRX7OcH4bKWH1osaNHgBu03Wb3NElGBXh2G+csyM
wtaKB8hKdaoq2cbtTWw2nWqxdkDBHKs+CLzVKq5oVK4Qk6aBWnZ2gbWTBVT/agI8hHg63kL2emIq
fGs2anffmcbQrBV1Lr43hRz2bk8XAm/KuoFM11tdfgfxTh3xNBmGEYipcG7xzbE7ryyt8NZE+y3f
IJPTGcd2QvUmTtM03Gh9leMBRjt3VfcTes9z39fjtkzK6DrT4PmuuG0j3wYA5/2+SdF8RN8ByX0g
qTGgxgJ8bwMXE2H5q6UjVnsJFKNolzVTVJ1qOpzWmg2UxhxAOAN2VY3MZI6pXVavehoP0cZsMAdc
hUBGzTWI8uwNhm+LL+T/Y+/MduNG1i39Kgd9z4MgIzgB5xygM5kppWTNkmX5hpAlFafgPPPp+6Nr
N7qUVlvtBvqu76q2d5lDBmP4/7W+NVJ2UU1SIwNc3OZqMQEX7vvRlhEgHGARbozZZiO9Kfsq0954
Nmot3+Q8Uf/D5j/gD+y66GTRckJnQV9sBIxUVA8ajzJaeFD8emclnYcexXW13kv8Ut+McJrzv9yh
kCrcWmhGxYmbRPbW7sqxfgaPuAgMF73hvTipSZdxqkw87UA+6pNu8rT4Qifecw98swReohqARZQ3
g9/jUBsy86xb1kSmOEG1/RrOSz2TdtsZ6iSaCtUhH3Q0qdtT1101BKAO+yzHf0vRYAZOl0K42qwO
juiUaI88/DJAOh2CEu9Vxua5B4IN/WbAhGYCcNxoIdCPT84s70RqQ9hHIGneiAjpLTrXPJlgWCfz
N1qVokRrG0+Xqg/FHertmEB7q00Mxn8+3EVMFDid8mwK4S513QhQUCfNFjHj+nITVkuMZz4MPbeI
mtco9I3vlSiN11gXeAjD8IEDwqZQk4dYmNrTzlFDBr2dOISb3itWbYOdEnhFSoxDjs1S7B3lZiPy
qRLgRKjt+sFsxqXgpdstYQszBrgeOZ1DXcMMT9BsT8veEKPvb9IY9AvwEvKXNyhjszvEyQC1WnOu
vhDgCOpmROw579gz4IyacEXpAGRfS3iK0NMhYwNDDV5EOCHnHh44nVv01BtYu/q8TQl9Z6Sl18B4
8BACMF5zXgcy3gI8VvIZETFhdrJlVAHTMc3vUzmi1GhKc77uEBaa27kVqbM13TFhaiJoBJOGN8w4
2uBRBCprwJdOZDkQ0k1UGGYdr04rtOKZ/RBbVicDUZnGtza0qhcUqSVxgKJRBxXlMLNGu1R5EJYg
lbZ9lKEvdwE7nrjgy2JGwgwuEEzFfNVNFiwTg5PDFKBRyk7rusiKO1CnYxPUVqIYJkMH8AsYFXlM
g9OATCSbZHZ2BD0kxR3W+NzbZK6M0AhiIjM249KYD6Wb1GQ4jLKCTqjgIOnCtgYSOjL45QtqiDZo
XYpEvN1pEZy4+qUJpmgaLhi+QFQyKUa8UZYOEfZribR7oh36aJVG9yJZo/BixLb7g/ge0qb8yVnu
tEDmT2ru0DyqRdkj1vmWippJAKkBBlXmbyLkHvgk8M7tfX5NuLj2gmCukmlOX9VuXhKewt0IXEgw
ytucYk4/z6QVZD4ZTjit0raGQzUs9zOyYnzlDL0CEJKoF7w/OWSkFDdqFTR8J8T1qkV80x2sz8sE
vBw+nHnEsxC7g+PCBaJ+gsO+5UahtFUt7Uypr2ES5xZ5jWVy2S1G5QSTV6Udkm+Y8bRpJGFkHu6Q
syI0WMIsD9bIxZSYcEE2UdoRfbvEDg/gJbU8baI4DOH7Ele0s8YCQg6wUGluZUWmF9yDFiCo7KR1
5lfCvHXM2X1ZtC87iF1Wh8dSY7fYjy266A2UU7d9yJ1czvcyx0qw8ySkdNaB1vsrl370lZkdHZRo
CE5aE0OH25ajdrNNuzaM6emFEgumxQ4bfGlsfgEH0WBkBUaL8XpiaiG81GPBzaKJOY60FHyWRd2V
U4C/PTu0GavarhKVxllhLi1EGX8AIw+/NVe7bKI/ufWduHxtNSWEXVsZlnmuupClcsKxzFCHi/2j
slME2WbGVHctOiEeqX4X7t7X2jBhApS5PC/RRaSnrmkX/b5imR+CfmiluJDeytL1IqNXX+JC5ssp
QkxhfbJf/mCjtbZuMKJQ7LLFsZLSlDWq4GmoT6wFCy5wMPOubjsGMlW9E6UWTXqEHsfL32+0fjkL
0K7yqR9SQFR0SY87ZGIAGZGXiIByODmBXONyWLWKT3atH1zlpzIKoRM1Ju+XvbkdTxNRF+2pKEYT
qQfTyynFcKv4ZLP68wT7btdIj0/hPmajCk+eR3p/CKhxZs5ERTan0HSGglUl198wgQ7nTTb4DEjm
wm9LkhUE8Tkch0+nTma4R0cx3feyqGOcStFyaxs201dB8KyzCxOvRBWaG3l+PdfG7O2VLmHopHC/
not4nUp//4v80lLnsMRBZhWFwaGiqXZ0kIGkbRBVmtanOK6aOzWDywCyktnQwUsIjCg9SUUgXg7p
yJgZbbqPu2H6ajOnGAFRg2PHzpG/l71F2iebOk9B03xyi0djFb0qrT4EtKxTzLbKPSqUhkXLnZeh
JKsrrmoiGuJEsYvQ833YROUbHcboVUYphaa4SC1zIy0I7MHSZybUn6laU3Wgq0Gi80rD3PEt4MkX
7vxYgj5RWEI1dr3f3/LPz+cfI+PnLVPexb8u4a8iYnk/MvrZ7XATL+owMztfsHkg8d3KScvE7qqg
umQ1de0NXcPOZ1VqgDJU7DgO5LiM9+gZpEuCC9k2m4KexoznhgrVDny8dzFDvUGhKYENbTOp3R+N
AV5uTwzQdEUIUwVBIPVF/cnzHH1Rfz/O2jjz6eavmu/3j+NPKbkOxHodOjvsT2ynmc6MbpT737+1
o4Ptz6us1gcqiEB/KBG/v4pd+Has6so5EGPdnatxLLcusP2D54+ftZA/uBQnWxs5ADUJB7nG+0sN
hOC6UxI5B+j8CYwjAg5S9jweA14xxv/4uZBbW8Kn1otu5ViiNQB1qauMuDbqENY27UcQ5nPDWmzD
jvi/uBRPhZTJsWimrs/9j1o+cDqF965zDp4FjGRUk0AqTxg2q/dncsij2sD6a9mWSRODYU7j4FiO
WNWysZbaVQf4FtnDErbmqZlYBtY5I4qJ/SPO4ffPdlRy+fuCqwLTRnbN0x39ZuwyM9egcnWY9PyN
s8muwxJt0Bdvu/SvcWKa8uck/WTkf3xRkkTY1HNUP65ejY3vaTSOEHCEF5/XSzvssHqC2iSUfNdH
BkfHRIjxtA/VHwrEfj4vg5Takk250TyOD/EXs50LG2fdiGH1Z2DNibYxEvz+rf76JaxKfWfV/CoK
Wp71fsQMg+G6iHWXQxGuhwm3Fk9rXWsbsz375Dv4dRaRzIRq1R+jVORHfH+pSFVFRrDihEKUmoRK
VbP3uuHxj58HQBFVbfwvq6j56HnmJYHW16ru0GVVcRlXvkU9GGZb28n6E13pcZOJXwj7EG1uVCG0
Krnk+wcKhcqqGUb0YUi7+CyMSvMMqpj6TsiocTa1xnTtzpGLRh7goOdH/qlWfn9PcHp/6CanO6WB
av/xR8K79RBEo5Bh63NcdI8I7BrMOWwOuZMZ21wa5rfCMfqLysaaohd3OYP6pc915tl/PJDo69Ex
gefNDcjjNnxkFpHs5mo4cG6bNgvI0jPOIIRyLKI6+f1v/OtAWhNpKF2vPVo0vevU9I9ZripKOzO9
Xh3INuVYjdoj4BT72VxqrevN+0VcUeXHD+GgZaCddrS9a/0uzKqab9/X6IyiqEowNRtEnsIRgBI4
WwdaH+RNVq714oDP3JF810Cm6MszAfhmC3QrOqEuZhIjE6OSssfkYYKFunXmOd7bEsLXUpnVhhBg
MKC4w3amMBAw/vnLAoaKUYACORKYo6foEhQmnYzVIRZd/VZh24IdTXrn769yvI/kW0A9+zOJCXci
e+GjxZuchBZJISGmMWL95IQ4W9Fulwbk+lloDfHzkPTG99lzQ7BistRXkoMvtKSFSERof0Ofbmd2
meyUWVT+okNEOsHv7/CDQUOhfu0XUsym4nE0MUyRB4eUetJB9WkdkLomtwUc4NM/vwrWO94ArXQP
SdPR0MzZaHrrpJ3FbRRQnJfwRfrPlIa/Pgu0ML5yZh6UnPQo318lnSqvQSwsD83gfUc9QIe3ILQ6
++Ohw4ZFrOZInoRu8tHQWRrfHBxgmQdI/eIeYn1458OF/eMfhqvQF2IVYodJn+j9wyhDTxTDOeEi
CxgOdmrO+4Wa0ydX+XWds9nrIVbEP0VP4+fH/o85o6kGLxnywYJbltuX6Zo3bc+Qd9Aq9Z8oO9bX
8n7eQM/FRg/RHp0MLvf+gboEjNYMEw5hzgjSjIwQd68mOZ0qzKyXWRUCBZJ9VdeAgoruz58TewrD
HPU824bjzSbynM6KS7bqSefXX2Bb14Fni/nMQWy2/f1Y/+CVssB66xmHItgvO0CRtQqbi+I5F8qr
EsTgZogV5e+sNHe/v9QHA549GK5oPE9cSRwNeLe2xmapIuuACj09NcHgbSuD1MbfX+WDBwIKZeHd
w9aCQOWow6vDWslwUkT/Fb3e83DhFtcixI8Enu/vL/XBA63hGtwuDSdTHXfWLKP3iN0S8jBbcBGp
TpBsWYbTJzuujx6IbjVnKR6Js8fRa1N5VDV+AR4rx+FwSXVyARJX9bfo7D9rFa57naNBTz2Hb5gj
FdPr8XGgADWZwLWyDr0zpjcJDYRsMwt7lIfJyaNTXzXTQ1IOhvhkEH543VUPssryiKdbX/Q/vmuh
l4xzPVkCRRU/ETMHbGhIT/zJ/6HU3GzE4N3//pf78J1Kay2aoXFUx8aUCQC074apxTriA8/yE4oM
iNl31Zj9+ZUYjevmfx33BLK8f7SBGPo2JSL8YBGhe1OTcA3Ay+2vqBL/oSrL53TqsJjwabFE4lI/
2sm6I1lmFgPoYI3RhKh4aS9afzE+mRh/+a3WqyDy5dviOgiv3j8QNM66mzWDPi4IBd+4c11ddy5R
KrYqpLPRNL8AeRqxfvr9T3ZsQ6DkyEdAM2Y9rXKGE0dv0rS0mxP5Vh4gfrvgf9GM33ug+h4MVTX9
LrNXZHA/mOlpJ+zICXJRyu7ci4eIQnbRYBz4/Q398vVzYsZOiFmGfTKljqPvsmSSE/7SF4eh1gts
+iK5h+YsPhEKrK/z3SfJVdCr4ARFIEJP++hHNabQdqIZOpCWfrgzSAcmvLkM92aUPuh0Ep9MNh88
FMuAuy7jq+/0WHLnzdOw2GoBvNPF+COrNWawDs1Pvnfzb+nV0XNhAuJn9FepFGvd0TBycjMN+zA+
rTtbfoUFSacrFqJ/64esfqMhgjm/xrdfbuh2YcvOlT+025ymznUbjca3kd3Iw4h/8y97cgiKgV4J
7Jrc2yncsby4LSw5wyavs1A5JUUFmtq3B3p5VWzCUhsXIS/auZxBgiVFe+uTTlFs61HHBTEXAsip
qIvqTJYOqNeqUrRnCAW2iCdL4ob/fLJAlpcYzoB2R3EuTiKnJBSwWWor3JC+Nz9PbktrJGmNNXyg
6AkJaMAq0mymg/xcddUcnrvhEkqCDNTQb1QeU232jdB8tVO3z3ZtH1dfI40fZZumlFY3Q6jlt7Ib
V0TNvAaByw4Uu/bI8BrH2b6t0EqSQtxOwD4mcEXUgU1DB3VObNyYymW+nRBlIJv0PMCB/awh9Fl9
RBNqcNVwhw3Wi/cicYm9RiBIpueMQvCwKI7FMKib+JYAOGMM2JzFl5OTlHqnx5b9j0Uj6gWMsd5k
g8cfAx8B5NvGCJt1iBWxo/oJrG2u7xazkz2AfKI1A6QXLjKDvpYXQO51tTGR4tUbkTbVHRlt+G4M
M50eFzDCNzZpI+7OSFMLrXI026R1K6d6LWEn3hAaCdOS76LHcuBO9L4auwDtyLGesjYNZAqwy7wQ
+dENkNuIORoHQF/K33Y2STEJqX0XMl2SCIQdNx147MgB+tLffPIjd0BggDVnOsv8nCzqvEEPErAd
0F8I7cvjfVWF7t3kGtaDrDzqAFnb9Y/+aM/pzutG6ylTqX4LO9QqQZvY0Xcs/9pBoJGOUA2z0GGA
Dq6xOhRK7nbAHsy1meXSTTx27gHzGTj6bIizr9GwmK+WHjmQoSnz1I4S+3DFwaJjTDoM6W3VpewY
sfGWr2U5QZ1PRUJeeMjB7NSYU+/Flkt/HlvOUAWT7Bdns3JB/K0FJ3DcDWLMws2ozT4/cRqPVMms
msKfDK2Is+8afr2ZVD3rrZc20H0Lg1yRBuUAWZYkbPMmZ3OAmAwX+qwLF5IvZ7vKATQ3pbUtyS97
9pa2vulgZ1yXgyZvoXCAhXGqxlm8a2eU4kFBavujAPr7xbQKCuwxnJCb2YnrRzQhiA5HnSC4ifp+
4o6KSVWbaDHnNxdCbnw+V2VLytIYZQcam+RncWBxaI0OcvK3Ih+jpzgR9gsHaY/GsSXGv0ywp3nQ
djRYUQLEtdzmhJ8gomOV+Wb4/vLDSsP6tWiT5iax0uEhZ+0d96mRFk9ZmXUXU41ReeMnNeGjEcG0
jz4ubge8P40eYLZN3pD/EKdvbhZF6qQEyGudVzBNHiMdG6TbRgqhEHmqqFmizvde8mU08h1xZt7B
KWn1nwJCWV4S3SAIEPVUZhspE3U9L870OhYSuQbdnPqFsEJKRfEICVyZSX1ZFvaS7ZRsxNVMLCkI
tLpd7uykFgACYcoMO3NsTHj60VK8ttgQ4q0L1aY6sYH7cpDvaMtsK4faFjou7F+iGWN7Q2Bnnh5c
7WEwLCOnkYHqcpc7J2phgGbsV+kGh0FFOxjWGeGYWevSssWkOfHPkBstRnTD/Gm3DWFxXrcgL1Lz
1VyY5amEmKZXU7m2gwlr6w0NeqLIEgQm9n4xeJ7zyE28F6sUrAV0WDn9z8rL5cYRmpFi2bWb7+Ci
1Plugety8Me5XILMyGoT8KDiKZaljl+hzEOjVSFm2q1ps0/Ac+rV4OLzGAu0JQvrq1XV/OVhZ3s3
NnR1pvC+icjhFWAVg5hMtz36JaZqu57i57pNxMvoZRWAFD+JLvxI2Cl2K2P9bYxxXvuHqpVBvURQ
3MmLqEMa6WkR7ioEl9bXqMoIhDHU4jzWIyITmJ+qFhufOJdHg4BXVhfan2gIiK35q2nBmO9sljSy
HHqixPbzYqIuQY1QPHlyqs/r3Bx00Jc2C7ial6wNVOEsfWCYlS5Om7IpX7TlJgw9MAlP5VjAs3b6
FgVgavqdfeLm2lxj1sflMnVml2iNpkxOhslUO+LVwK8P9kL7K0a64BAQYLTPDbIhQDmtbT9UmW1A
VRPOShKynVMnigjJIT4qfeuEwUdISToqAkXumHuKuip6m/qk/kYIZmFvYjqYdIoyK5XQ3Ur6bSQr
NWRWwSd5QhXCQ3S0CKOA6hhRwUlNtuz54E42C0c8tNW9rmNSVCjqSSNQlUHKTDtzg1vLGEnXUUXT
uCfGNGDQRdcDDaj0VH1FmUub+Oad1ofqPg/i0JA4pMngGFQGj9hWnb913NqT23I2e3HvjGYynJL6
kWVBpiLvdTIR326SAmL6RkSS+J2hM4xHEEWkxwlNfO82nVnYCL5uUQ2g2gpvExsJyjx17psidPQt
tKMIWVZtT+RPaLe1th6dx3CzILyqt1RDoIL3dHQfKURYNxYE3G/cxPxNtWq+zVSd/YUoxH8bRs1A
I4Ka92LU3IhBmvKud6aRGVPHTwail7/M0YOl3LVr43JMEsMNjCkN38awzR6yUtrwVzNQmf0UsbtJ
SwEPuVLjqds3SGVcaVMd8BtoFIBjMrzHSUzGGhIAA8FkZ5CXAHvJlt/rop+TiyRrmztmKeHuysHp
0ZZVdAN3dTIRGt0O/fLaUf5qIYOLocSr34BMygle0CByyFE9ARNJeCw5q1W/N2u/cE7UTAQKn3A4
Agoy03RHZ3F+BRXoxCeEtygolVhgHgTJAAAtvGUwSY5zq+va1vD+woi71KYMEVtaJF5vKqr7PR7f
MXE2M4v/V8NHyhl4E3Uyh4SPYjtFMh+3XYMMa8/kom/TNh+/FEr2L02HoJPHmIkuHslBh9yXtCsS
1Z/IjExyLxSs85W3HUcowOCui5Z0mWL9WugWsVUsUDjAlU4IPqGW20Y3dW0PSIQ67Vx7jH1Arw1+
/y26UraaBOdOVcCWMBn2Vi8hmM5unzKMgEbHPxVUd904wsgaHJs0RfrhyV8923xxYOs6nsO1JJDM
G9oXMZEUBNw82bBJ4bzWi3Q+adlw3re5Q9grefd8jpNnl5eZhLi8YZiRI2crzOUzKX9uQL2MtC/l
dU5N1M4gyYUzp+QSuoOk6Nf3S8T9uITzKqsOx6/wsuPvotHiYhFp+YOQzOGScF/v1fS1NE+HCRhE
oGFIjttSr+FP/rxAKXb4bNNtahr8qkme6yaQqVE7p622uHfXr9SrEy7WfYS0u9mDsx7O0nSGTMo6
N+/cBXr5RConWtQsneEo9wRRbIm8F+G+T+Ie5LFO/W+LqfPkrCHPm3Q4jxU0GHpjqANqR+Z47i+L
sIKGrBR0E0ZsvM4RVF3fpUZrl7mWZzWH1SGo06IaH4icWe5kH3XIAIAzkVNnLsrbjPwgL2wWXKyN
UQswtpWktu8nJ2qvEiGHl1DEZbXxKr+libAA/FUd9LStGmr4411NYOSuH5E3buFjstfr0rRCT0si
Yr2rdLp46Aj8+HQyw/QL8lML8WaCWmSbuyJ9yWzLeFKI4tjysq9jVD7DfLsjsNXd6tk6N3T3BITz
tCYWcaPQZBAMPAURQLU9TNd2Y7vNdWUve1t5Owd1/NwZ+xlD0kNYy5lksX4GV094FGtyTeYzHpKL
xh/7p6xvml2MPppNIP+kW//OZidwlYrUekJmTN7FEtFc3Pdp6d0YiMw2ZR15l9j7beIMWiJhymDJ
uhs5sgQiJraRuw2puaPCgOowrc+q0b2DGEzC25TvR1/V2xwyd7hFgcMhyrC/oN06A/q5E8Wa9hnm
l9JtUVKHmd7aCKsVkpytOSb+JnTVlUUO5s7KnOG7CX1uB3o6us+N2OXI5o5nBXlX12SY+tdm73YE
LVrJ2eyXZ6nbtTuDKOfr3iAHXGZQTBMyDx89haatCu8lh3dSKcLli++H2e0MmTsQ9TOg16SbxpvR
ci7TqkVslpwOzI+rR5xGG9wS8TwyJRIKeDUu2XNoIezFr0KGBHGYRGK6MNgRk27IOT+QQ3na5+OV
6y6BU/a3IrpABxykafQj4pSYZQdh9jXGy/FeCzcYFl2haRus7eLeN2wTDWvZsvfb9rANRmra0UxC
OtxR5ACUgYPUSb4RpOpCluekkm1KQ5P5SvN8w/EjiKdlp9c0RFhKsJOLHT24JQh97KQVPwH1zIG9
wNRdey5xubMZufuZ1AK5FNm5IfN2B6/s1Z05Whj0er64EGseWfH5EhDVW/XeTCvOzY4ZEyKhp2Bx
HHBNYXdaxEugWNMGv2QRqPV1mlU/GpntvLCHNjx0pAPV9pc8nl/J41iC2XCHnYMT68Tv6tvci5J7
USXW+dC34kdfz90BoaMXOEvcbTMSbIrJLHeJ63Vbe7RvHJxJQW5gBkn1bexI47xJSUOTuXwy2bBC
JiaDoipBcHAIuDAh812JuvFfSDh6lhTgAtPR9m7hTL61G31BAt6Jxzq71SaM4r5JvtMDaM6jGmhn
DkzaEeWdJdNbQkRjBKcjQb7OAfjPj9lK7mX9lfjAV7JH9p00zyoQuLXTBf5KT0+82xobuhbRgyBR
fT/CQZ4Hh1MMs4IPlSOoDB/VHn9U0Xwm4mD2vmexfPKV+h5r+SipVFoorIiId+Jo2JLnRJ1NioeZ
JEIGOpr06oFE+xe3raK3KAW93uwt2IdIMcNAj/PTtOjihj4g9oXyW2RU8yWS++lOFbF7bmY2CQaQ
6/l+TzLHpZycsVm320Njgio285Z41KGqb2WJtNxy8+6scotTJmja3DoTC3E4yuDA6L1xpGN+sa3A
k3kUlGm3t9n4bFQV77uu2pdx9z1NQMSvyiybk2P4hZ1y+UrGsP86hF56x5dfEw+EZA+T3reQI/h+
8uWFltFdZoEqMkQ0XYZOadd0NzMBGRuSdJJi4GCbfz4Z7uVkqa1EDTq55fdCtcm+i/M63dbecs2y
tpe5d4kH9bRhS09+0AZAwrSxi8I6uPEEUtGbzL8mH+imP/ooDet9PI5XjJUfc0lGKnWQmqznSLPz
b9RD58mryAhdBDrVJLi56pzk1ymFvs9RgaZAb/bOmSlLeear74zzJcD6AOkBb+DASk0ZBwfMTU2+
ZLZpKLQEtt+ZZ1bdOn5QJam/JcAIBU5dRkFIVsIQ+LnsT3xdQva3krSe9iRinaZ5U7isNKbPDlh0
1FsENYet0j3VsWhgC7VnqdUHF1auQxKQIcTBC5mDgVPF6a0vJp1fiDa1SPoDbUZQCXJmRzwxrbXu
1mxcSdKALnV7RbRP9wjOnGAbtH+tc+k5eWrsiXO02ntiuEvqI8SgkfirfL1DqIn5F21h2p/QUovQ
U/M/lJg+3Xh8aWh4YA1pBQOTiGh08kVVgX2riCMuHkZ+CeKUvWqWLLA6DVQ/Jj+UVc3Gnv+ciZxy
Wbjn/JUbuzSj+7+L0xbtv1cMI0LAfhrjEzIGqmKfZU35hpvVmIhYKaxTBCMmVRR8Em/F6LDkdR3E
hRPybLuvVl4nP/xCJo+ySHuy9+qBVJeRijIBiqN7yzKA52UcVPlMXcWSW0oqk0MUrTDvO4H5YjsW
dTR84UVVrBdaarVVyi6ux3hNY0C7o+aDtpC1BqIv0+iKYijB2tmYNXdx7HWwSOJ4x8l/1Aer9Yl7
82rSVXE0FIrIFIf43b3F3PMSum3NX70QORE45mSbfGRtdWeNeXLZO469iyBbbno45Jc15Yy9L6r6
yUJACgt/xLCyj1sDiT/ODGrxRsc+czMsfIFbac/LeUNc5VraXYbxuuzj5AU1Pa6gOREZp0yPYG5W
/KRls9v3xZPRRuzaF7V+A/PiVUQ0dE4WdF3vYx2RyYAMc5H1D7cJhdy2medm/DQ5e1i/1oJyMoxi
74IGAWUnxj+rZGb21VeWBP2GhBzZd7NCzcmvtbKLxQXLF8QdrA3iMhqHwpkNBCe2sCFhbOunFzK+
Y9KBZ00pJXLy6jpewrgEG15UPetXQVip7TfhvW70+GTORRgG1uBYr7miTLFNQznX27nUJKzrwhHm
aSI6b8RnpbPbdnEvIkquz2lfjP2V1Et9RhYFWSWG7c3MXK1LTM2SUEpl9ksSCtKhNN46f9RPMpvl
FzOWk7ETk2B/5jVZZe6aKiQjAhnlcpuQ/3k3NImfb/tRVVTYTfgem8pNzEenX9w7n9ThYm+ZerjR
IfJ1AO1m+2TFTvVQNUt+Z4dO0hFzULM5k11UFRu2yKt0L9TYZAQuvJOyTkb9x60Qx+bEgu6cNrLl
HXcnp5ik6AykG0keHUwAThoPI7PcbnZsBmdlO5+07o7hDnScPKqobNahu8i1WfG+R2H2vAJOXP2B
XLmwfTFb5TyDYkMGVFS6o1LWm0TG5omaqV0OqT2ekIUbbUhhiZyTP202cSsrgAtnNH2g41bzwiTW
1lnYHdRkhAF8m/5qIWrrkzf8a4+N94sQDqQDknIL4OL7J9bJTJqqaMRhJttiOOHY4tz4afmtQWoB
+j4zd/PkhKcWHKE7xHT6bKQKuZeFHX7Sh/qlQYvYFtG/pOeHNIy+3/sbSQsi5qSp0cA2ceZsBnIO
yE0hEvHLYsfuJ4/9S9ML0xhovdVKAQ+TJun7i/X1OLh1GtoHa1AVv+FE3rRF2M0f/oSoY4SgIixQ
3KKzOmqckqlilzPBvgzfdjjxi0x/8QvaUr+/yi/t2fUqKyB6Rdc7UDPeP8voaSLiknA5hLVjXroc
+05rRw4PDuofjlsEP8vQTj7p533wa+EmRRUKhxHEzTGnAh2WjfnWXQ5t4tMoY0WjeQSbA7nH8snA
+OC3WmVTUNFRd6x6o/fPl5Fy3MjeWw6TlS9vZlfJy8hT7Sef20dvETwrVDaG3yoDe38VL6RY1ixi
OTgqk1f4Yp1qo4ch3vddU+5zyVGS6OHPBO0/NY/vmqI80Ar8AFArkEIc65vsuJ4bo3GWAx2rWAUj
weTu3uky65Vq7MgJCmZFv7azpgdbjvPjTNXUWY9FPplmbSsJIK3HdRstMvXFaiKDYm4t6FG25mqd
++ORhugFAQUgR44Lx8qGyXMb4U8jouORipeqocCWHXFii9EReTLhParQWf7+mus3cvSCUNuYKyyV
n18cuwsSjZuzpCt8iOmwtRa5OoRu0peL028F7d/fX+yDQQDhRq20ZaZ/xzsaarVXjwk7LnEo5AyU
royGmNguI+l2oxuL2wL35P0yk4z2+8t+8DGhFAc6iZMd1/6xCDNW/oQj3KVy1+nsPFxjLAvS065K
+1Pj0AeXQpwCJQ7GzqpEXN/AP3Q3zqzRWNbWdFB+0exqf8DbLslKPuRFkX2i3/jlbUJjQrcJgIDh
bUr5fmn541fEYshcw8qMFOVYSebFsyQQtloOfqeqJ8ueacpKClOEns7+J3a3D4Yc+F8QPyjS4Sv5
RxMq54FYtXbPhEowd8ShnXB14eXZWcTQIOwGsc0n4+6DKQ5LPWBGdh4rWPboii3L3iTW2TQLy3pf
KC0o2+Ty9vfv8KPJBm4VUkqLWRR9yZEwdDBKdNEmD5YBWnxZ+BKusPXQtu/i0no0nEFc5CSXbhDD
Fjc+u55zGsXO85SjQqRVlkxfwjAhnzcJEWZQfoxO6GHPn4yaj94FuDtOEvZP+cvRTbZJUVaNMpaD
QpgWtMSWBl3f9Z9MKx9dZWXr8hJWhewxFWaMZn8aGn8+hItnneQJHZfajD6TFX/0tfnwjlAMOuCI
vCMDFvnDXTiEzXKY3cU4tchI3c90dyghIFT5+eP+f+b+f1tl0v975P5/B+CXaM2M+1Z0STcfXv/z
53/xN3HfcKx/Z3PLzLpO6TChfAbC38h9g7Qf9tZsAfEHgTn6uXH6V6aP6f07WiiHrRvrDrxSyQ/3
r0gf/sjkb2OjCq8IHhMbhf/6j3cxG+3Rv/+Tg3+0/eaOWG/4O1bx3iqn/vnn/5iPl5xU1dbB811K
oQNbJI+RL/UOaQO6he4H+cA3VCvN09jKqjNaaNFmVuyL//HGrv9eTd/dxaqQ/V+L7HoXK9JNYj5T
6BURZb5fFZQeEOGNngp6Zo3z3hvOSIF/a9P0nirAeZIaBRoQl9jcovzSLjDnPrn++5Xi7+sz/aG8
X3VhaK/fXx/Ae2W2PfEfufKola/MqG1FS/CqyumZsblZUDhJgxBuAPUu9vnEq9npLC1Fi1EXBuny
I+AKoln8NUQNJYxTQ/206H+fal1V/0Lp/7/42Ia3puubt3+7eK7af9v3xesz1o3iP95lW/zX+39l
AP3rToLn7vndv+x+jvGb/q2Zb4kO1t3/HGvr//P/9A//9aX8D+rOpDluJNvSf6Xt7ZGGeVj0BkAM
ZHAUBzG5gYmUhBkOOCYHfv37oMrqEqls0XLxzLqtzHJRmRIiAoD79XvP+c790n773//1KkaIvvxt
KR/r55doewj+76/dricr6G3QxfYH/vXWmbw+BkEWTP4dagDu6b9fOtP4g5KAt4d/DUP1h0jwr3fO
IQIDczkCJM8gCAn18/955xyPXC5Klo2ajNMUl+k/euferf36pqtkpw7YYHjmUfu/fdpWszUHmRdG
3Iy6efLW/qlN3f7A4+VcDOsSnOd09E8YyIKDb1TewZLLlvTm0XmjCekFMcio8bxp0GP+9BP+zXv4
rvDYPhgFByFfEItRY/rvPhjyZK2YK1uPaYF2JybHdUqfhUheKt0kcjSytH9/wV9/iU1lCmmQuTA4
sffmL1ufGWHDYIs9woZBM/jyXELSfPz9Vd4ZK8DYs8gi/vcdLDYI2rmxP9ecIGLq1G/lNrcc9Qum
vxZhyF2u56FmmQ+NaaYP9MfMm3Yhffv3lza2GvM/KxtrCjPFreZB3P4jLGzboX9aX+lyEyHlqXRn
rW75nNaCWM3FA14zKZpjsrKaQz248z5wC0ZSvd8McN5HKgImNFdIM9xrMvr8D0qcH0af958KbjBn
jE1RTdvk7afyWptVPkmTOEG8st9Ib8fOEMxUG61ZQnhB2SdUctd5N/andmEIly1GdnQp0D6X0G9i
xwhuNThpGWmEXi0/eCp+dAx++XhsTBuHgW3xfUfBX4kfTWWTQFsJ/P1QBnBksH1+UWJUR28pjc92
TUopufJCh5qEAjOQTnZIlCtObZ8OH7D13r8W3ENnaw0Z2zbpYwN7+2uBFFNL1suMqC2qcIg99bhr
ZeYTDq9rT5kTLNf//KlxOCa5HDgCk3S7d0+NyYCxyDNAzkEnqv2qRqBEpZD6nZQLHtsGlVOK5/97
xy0ImQ4MV0sL60uYRnuuJZn2oM94Nn7/od7ukT+eZB5l4oMoWTBqvhefq753OtCj+S4hGONWDrTn
pG4y7EkTdaRH2kekeQQf/PTvFwgL0T0vLY0ec4M5OO9eXXNEDh4kOToWL0mZYdLGWrExfPB7/81V
OGeBGKHRC9PiPRMfp6sM8jIpd6qEBRO6A8gj0nnrT//wF8SVsaFTOGpRDlLyvH2Ompxloixon5Qc
gy+FibmycYkBhv404Okcc/dQaLV78/ur/uCWvHmbuCz7HV9twwhQZL297MBcwOn0nBKvXrUEPbKj
fbcNlTV7sXTZvp6NPo0WGmp6PGtykbukEXVPJ20258j3NSlijb2RGX4ghzvkn1l2gB/tIRoThRP1
jjkzxwAB8kl6jYc/g9nNp4I49gseJeu6mIvNhWL1zq4d6IWG3ZL0F+lqEZRejM6yMSz05DLzkVUf
RpaDQ49mQwBOx9KPEiNTu6Gx2n2nmZMKQfEwikuDnlRlNzOGR0J63Stdq+cGAYkpznlOCsZ8XgB0
rrQz9GzkZ+PDMuGd3fV+XkFyMjo8YIw52omJFZlTtwpM97F1ReUfwMDRrCzXqXoeHGfFnWst1aMK
mNFGfomUKDaKzIDXrQ9WHVna7L3g5pcy1mqdIfbYnfVtkNzNedI9VnbhISWSTR///p7+8i7+uKUQ
ilkkQf289/jj71nBfpnEdJu1Bk2tSg4EWUAv7cY6ttZqusoYNe5+f9Ft0fnlOWIyQbOQv4uzx9vn
aE6SFD1k69AAk+5uNSFmYVggM5LQ3X+61rD20RziSjRDLZjHby/VM3ajdAq4FG/FyVhITSAICsG5
1drnPOfLHkf1R3l5f/Oj4vOBBbqxf7CJvzv4V2k6JWotkftw8rksF3WdZPjd4K4w0oTiH7mD1P/5
b0pHk5YI6lfafu+ddsK2UJwvNl80z+09HFQ3asF97K0u9Y6/v32/7GI4FIENAB1lqIN56N3q0yNt
FFC4UBC6qsZVHsgzvcnzXYGlCAlJrT643lZkv39e6HAAE+B61NXvW/SV53TYVTIvrl0AfEHtB9+R
glYvebbm92NZm0+234zzQRcIBGKMDusnPfFUe9BLx/KQM/kM1GeyQmPeL/2mS402Y5TeL2d9o/n/
0AC7Hb85eUIh2I7E7L3bHvFzodYHLd4e4cUMIoOLcYR22bWJHrltrz54e//mRaKtBXIWVxmr8ns/
2zRNfdA1qRcbGTP6mRPnWaFpflSxKn9wE/7uHjBl4o3FIs3a/66iJwK794up8OhjOcnFCG6FWE2L
tqXfI0Gdh6o40Q6ePrjq33xB4CMAWRFmulDG3v2WIghylWmrF48MjXdlhjQRSSND+1SZh3/6VHOC
wMK5EegZqf3S4VKrVzHccnFy0D5AnzKQvD7KAy4YPTbKofoA3rF99LeLIPNBe6Ofbf0SHMzvHpPM
KhFv124s3M7Z99oyXNAR/ghF9uu7yt9MrDFXYnUHWvP2Kl0Oyz+gBxzn7hJEmgEb3apR3VhugE61
7D7k3m/50e+/FysD9vPtfm18nrdXrMog4BzW6PEAncuKi5wcngi3xBTsjUEFTdgIK0tQuGe0gRTm
gnCcByw38HsWsHMgAD95iY9GqofhUsXKdet7kU9FgxLOSoBaVAibRK8oI/R6TY5lWkyPVO0A/vC1
V68wcpdDllvzd5Ti4jodh8rcd97Izl1ZBAXtxczeGvY+0vWdR8bJlVpr+azIVNdjzbPrG7q2ATwD
ItD/7AqFdMXWU9pVhS7Hbzjbc3xVyJuQTlvm/JIIyq8oSIQH/YtY6xOHNP3Vlq1CT+0a9UM/jt0D
SrXyO0SG5CoxFarrCSEJ0jM5QMrKO62pAXJ5dcbLZBCU5+hKvMC0HJJzfNLO9iMmy42j5V4T2W5V
Jfu+zBc6SHUmr2xNIr4vtNEzwqFcgTlqQ+6dLPx9Jco5KMHm0Hmc99F5fHHbAZeJGglJ47Awfa7K
ZUmjspqN9GKEFJuiYF7USzJJtwr7FiUcEr21tMNpbobP2eQ17R6dCuc4Jcy62pc59pwIjeNaHjAR
OZROCsxiyIdiQVKyql9X4rU/EeJaFLHoEj7I7JT8hKNcXBuqbsr/Q0novNYyyb67mJ/4XmXOrFcS
g/CpgmDRRmY3t9fS1dpHSrcBGnKSO2uYTytkOxhm5gr3DYXNZimyUqCXZqGi1MZPQuRAP0DExFqB
fs9qdO+iWtFWYxL3h4dKIBuPshH8EErgpTkfTDT/ITSB4BNhQ11w6JQ7n3SjapqwNuwtYDIICJwM
8r7PwxwvzIk7qIyI6nMmcnKtyyYEtunN273lP/RaI183vQw6N18MI/pe6d0XOmqAOBclkp7Zr8WZ
Bkb2qynQ5xwKYSVn5J+7y64suuYst5qmiyZLT29BYZj3XAhJn+qleJxVs37iuc5FmGTt9K0TMhjJ
R0EIFZo1m1zo+El37crcqz6oNrZ2/7vFi74OiGyf7gHO8HfjgBwxVUUL2Iy7THcOXeMKpHqNeTm6
2ryj7KDHqc/4LZNZ0pqwz36/VP/aC6GYw6+2yRF0SAnvgXyNaXQdHEcTi6yWNcgvkQXKCmuHvxht
VA9Oux/tNqVA0Zq47WVwHdjCuza54cAoxvkCa+JHyL1ftypeZ4IctyqFSsx5t1UNpMXggDNc5Iuc
LmxMuzea38H3zYLq9oPv/zd7B2XX9uWZJ4OYenetALvLaHtAcWk/zmdKTOS5F6K5oDVunxZX9V8y
xwPWWkykZ8pc23EAEdEGv+F1JjXTGxcWKt9u9r//YL8WCSBOnB/HX4zlyH3erv155c69UTReTELG
cKGPM2Yhy221vfDbIUyIW33UYMR+8DD+2uWBX8ETQb3F2ZuEoneb3Fq0wJ7hocV1MqVXbc6CTxuw
PWvGgdZO4o771WJvcbXSu/FyvKnVCvCWZnzeP2vtWj/9/ldgJPz+9aBhzGjXI/gSMw+Sr7e/gyHB
8FqTRcDjOo3ndlatzr50ORaGnZVAcdLVkpsH6Y3jVZoWHEdMXF9+mFBRMZpdjK/TQs80CtbGO1Ol
ofNMV1nJS4W/Xd91kvoySpxStmccmVnrmiBR52lLnGEsyaVroza1nMdy1PUjEufZZP/tUBjCxJBH
hJMp5PVEwD0asc7hsjVZJBHQO+7nzCFgItKXxehjpzTxx9Q4Iq8q08z6cCIEKUViXeLjpW3mvrZo
zVFi192sziy3wlfnOXJ+8H0pLKY7A3J8HFjpGcin/MlCaTNEFkSuPsaR5S/8x7iOXrtU2NWuXkbd
Pyf/rGJfyzXf6FXkYVAT9t7KPfPaIZb+AU7zOuwNdJLXI+suzqTBNdK9XSz6GueoXu57j1bCbjRV
bRxn3J5rPDiMgtH0NjcTa8oQKsV0PhIYPB67MbWiTIGwAV5OFNs5ZOK+iTuNQWso8qFLI7VAhIis
sRtulBicr1g+Gu3AvljV3+pp0Yf7fKXh9YCJ1zGP3YIrFxeCxDZvQc4cz9m4+7N1Tror1bfudNF5
8PjhZiZrCZtJ4Xku5qEjHDUbynzvOZM0bs3SH8EX2lYXjxLrZqhyX+aRA7CnxWbUZ9dYSwGAo1+e
79F6Oz79CwYO3M3UxVo6SqQrgKWNLjb1RDf30tL7V/DI8y0bNQJ4HqIca1HuvOCBIAEoCJrFDIWt
tU+AOdgom0zv/+Q8OdK8KmRSRJnACXLmLzPSSbefMVTYdUmnIBjgHeKV0+zd3GXDfd+729KvCIUc
FuH3O/zR3r3oZq+Ne1mBns1zUURQ+aGH631SwlDU1EiSYcNjitAcPHWY2ZN3XYBFNqPSKeollMmA
cbMxh/6RqqFHRF5ghA6FRAwar7x9xl5Wef1A3jAW5GSeHco7bWq/AUES2bG123GO6sYgZCCH3l6F
1SgreeiIabkoYExVoZ6nvomibbuOt2j9EYN2NmKUWsyFpbx3UVwPebaRfCes3Oug2gvVJ/pDZjQ8
gMxBtBeoM1CnmwCyMDqi3imPwga/mzpqPmp1QARzjjJLjz1EGE9rs7h/ogVYGPiNpDBEZskwIV56
TD7hoIgM3U6tGiLbRUczi7FFPc8ajcTYUpV6WrXVxLbNtJFGkW6LQyfVVtmk/pMmMLeHY48FMIZz
iktganv9YeyHtI9yHqpzBRbhm+P12i3C8okmPUnHLwBJpB7NXqX/WXaBdj+p3Mu3qlK7rQdrtsKc
Ns0dr3oyxLM7VX+WxM49TSY4QQdR8nesYtOlTNvCZPbQLgRXEdj2AAc3fakGz9Pw6o0jjshysBVO
kgwaBe/ZWO+WZt5oDJ3hUz+3ikgADtZQ7HxXKRElyeI5aMtVFYTboGmHgwP7qplURs5rWRnXFUU1
5Ii8E/Whoex/nuqsxCFWdsu5P82Ym0cnBZaj4SttduPQlEyiGEa/9spJ591c4oU8eRUUif3KyfIm
QYX2pOrGhfDrNv5DOabOed91Bm6CalIF+/maXhoTphvw2h54CNxj+D7bucdVYZS11533zWI5RzYW
mUWzmM3mLK2Unp+1o9dpu3JCf143spsjOXACjCy/InNS4sFDimu4yW2LIefRyDLdhf1t5+vONKf+
q6VprGd+WmjXE6tkSksfqkU08MMSbCSLgikUPp3HedACP7R4K+UhwLvNbTft7FFP0LyypWBVjQRQ
4oPIddHFs14yvkp9UZbXnj00buwHg1oOaxCk35F5l+5xFqP2mTstO+YCVt3yE8yU2SAotmCzycjR
xcNLeRo5I4Rth4F1V/jFpmgiaSLbBeXoPkxJw56VjqL6mhvIrOl3euXnQU+7W6z9jH+MsWkuuiXH
bwpmwHbCfrRVEg0gyzYgxqDJHXrpGquqL9RL6ppiCk3q5qfE6NYXmWnJdMxEwy46TBaMDm7meAH0
QTBjwimth4PQFm8HCjCePWlhIx+26mwUo/FUy6GVR8TibhoDGZiSuEjy2Y40sjDpANcMD6IfJcL/
xNi9/dbcDfLbt4G5+9vp+v+Tw3bauj9VS9sw/68h/dWXmiH9gxzT8cvy83j+x5/4S+TiWH9QNSEw
goZugrjaugt/iVwc/w9inNH5ISrjj7B2/df/+mvgrln6H7BWGWNvI1LUhxtp6C+VCwOFP/gzdMf+
/Ze6/2Tk/rbKp/e4Ycx0a5ONMnhnhvW2shPuMNn2rJm7tW70P3vQvHtMwx3GFpV9pOHc/q7/HLL+
upYBwpNvvOU5b5/lp0biQoQJXPfS2jEM6WOIK/nNBKhtb5X2eAD9O96VBUEYrKYfTejeni/+ujLX
pJNJ/5pB5dsr+8rC6Gfm1q5MsV8Kh85EC6/ipxt/868v8rNW529/SsZykH899ALvbQG1PQ5WKbhI
7vjMU0jsSabL8qOsuXe6pL++y0+XeXfHjImY2TbgMrOc8P00VA5zJ3Go2VqJ9THpx4NQHskpWYW/
Hcf653xdbjM1pv9oNvjvD4Isif/Rxn5vC2gaPccZigJz2qi0neNcaErZH/yoP846vzw0QOr/fZV3
RzAgOCAfMdPv5kiPIPdE4hIT+mGKnIPBPw2g3HsjMkMZVdEQ+7cM5qL6hYSoc3yzZx9lK7+/x5xR
6YRvAd3YEwhGe3cQgoA3zwmMpZ1rts5eM6uK41lPjWcpcfz94/T+md0MA8irXYa7/uYEeffFbatP
a3Mo1h1nQSPsSiq3bBi8+PdXsfxfvhJNfeauKC6RmtAmfdf60EdthVbFdUoJfoJO15KRkCG20CE7
y5LmYE8jc802t+wXGoTBSh2RWO3zkEIHpSOkg5w+wwGBIcqZZ8KFlJ8ljCqSWpW35dRhRQs5XtrX
TqWVaZRbtJAiGWT0qHS7N5xoMU2vP1Hxqh5kPOk7mEs4Wt6OVjE4kU3FiLyNuKUqgk1l+pcEfqX1
GS5jhwGmWK78zLutA0pfc/M9VQx0KRxoP0Z9QCLJfoa5hHzfH5cHbx6EG8mps33INiRSHvPtn4e2
zHuiAaVqizvLbNqokXM32Pjwtu1Wa5vgMelG8lhGmALBYWRcbiL8cCYyhQh+LF5r4tt0+r6t8eda
Dwk59RUxTrs0cYhn0upWe/RpLIs4CxiZyBT8xIFCIIeRhv+536/4aEy4SNI+9JqHRQBilEY0mVFj
XlW9TwZKllhPCl4WhA8/H85UXdUjOVqadgmDWhC+Igb/q00dZFwHFZqdKBjgloZq4lzMp6FPvnNG
XbvMUbsTuOgDy9gRT+V/DYC1Wf7BC5R/SrWF7xt4S5/sNcvvdOJZhuqLVVgOkVv1tC77JldmS4O1
79awlV2zq2dmTpQ4qXFjys2uiy/cv+mavrkh0AA5hFG6LxyMLRFVhIRtcDcD3kkG4oaTlkXzIFnc
dYotbem/ZyCqxthxNueKVMDSwDdk830JiRZwkTuvTlhn9NFILOukwUnArF436VoVzsbU/ZkTNFZH
PfDbe0L2fIyhTERfqXnyq5QDPlZi0pw7yvKMyqn10rTCB0pAGYp70DMjNr00mjW//U5G7XLZJXny
CqS6vyGrYyWUOVfpRhYdp2vM+c1nwIsssGmbpte5ZeFY9Bp4LT2IUjBATT+1kZdr052ahu7r3Ld5
S4LZjBWj7zRpwwnTss9rp8Ay13pP8efnM5wR25DV1UAYFx3pzh8uRmvKgTG5/XQLaoSMNUGc0hW+
UpVHNgjoO0mmXh6npt4/4PwOzuToAliCzwjCeEb6xb6ga/SWl9ou8Y1P+u2CSgeFZoELMcqBa2Tg
mDR6CCUP+rWpSeIbusrTjuTcyS60R7RhYV8a1lfseZNOzE6tX2q2vz6brdUZBx4z/3rmMAJyClrR
ECEn0J/dgCTiUB9z2uGiae1PQQIqL0xaW3wXSnO/IOdLcFxLUYDPq4ziuknaBUtjV33N0swgygvS
IhyGpWjB5LFQXhWpwc/EIMv4BLsjx/26chuiLlh4qVfRu5eJU0PdIwR6eFomv77EWjwwKeKJ+VQ3
qp0g38n6W2NlfhvKwoLn3i6+DTIIuwJbStOZ7tHuivpEpuIKL4xRmXMsTV5ujs4I9GNQaBYxhqW3
2jsCJ3pMm+aInDUfQB7FIATwWZlZK56t2eGMmBnOdKOMzFZxRaz3N12HTUHb3swRC2uGunDGpnIu
CKYfSHjL5nzZe7m3lvseuSwtCCfI6Y65iWOHzeSYgtREXoTbFuIBTaVRLP0xq9sOLyvQJ/886VuJ
J9fpJD0wbAv2wV47CcBNat5jsNYjoIk0n+6y3tazQwO5K4uSfEIIwmmQoCys3HK9bJk/3aygLMzQ
ID7OCk0YCuAvinbnGL2njnWSSOrFFtVTZCZjVxzpr3H4s2iIWEf60tsN04dmjFPXbmGWs/bxNAdZ
cDd1hVEDedRghDR4U92DK2c8Qw2zEC0UtaGmg0mEjxfag5XMUbqIvA7n1MyGHTnTZRvW3coO1KMv
w3dMF4xz0NjW7d4vPW/elTkG/2OJd/feJnYKIg+ZS59c2dJ/INHUtE6rye8cuzTm0PHAmfSPjT1S
pFmrcm4UUGR6jZ6yHIgpwKajtcm7bpM9ZMGeNDZTO2FEdSQmXDFh7PdYUQtDtg8UmKm9g286XemG
rrm7tCwqf4cM18YVjJxP31UcbAdIqXmARG0YDFgaBMiZF04pfLkTKayfSOgZEvNWkOF179InnWM2
TuuzozrlHW01q+CT5ib8YBpDFLXPTF2qaMrahBi1ZKIlzpszrlHLvj2djXluabtRcNoIndEAbUS/
sLhkWS0Cxjmte2YvpjjqLawcw2tpBwVT4tyRBQ/iRCZmQ9EIcy6mUUd3blCZ4/BXmJUsLnw6Ed/b
vkQEIjd/eQQOuQHGsjb9cPByaffnZE3imtuWnTbU+W5diH/O/JzxPa9BR7lPw9C0ywUkn16wkmFx
DZPCti46qwexZOfeUO5pHtnPP+qd/4mD6v+3+nB0kT8Vgb8cWZ/z+uXLy/ztzZl1+yP/OrNaHFnR
MKHotFApbPaLfx9ZTecPZDI28mzKUoQFm9Xr3ydWw/mDIyzVI5QH0/UwJfznxGqaf+Ce4oCJL5V/
TcDEPzmxYi99c47kpIEH3mNORlTIJkl6r/Hq/MZfgmmGtSBcZzwuYkyG5g7r+9Qnl2pdC+2QbSry
yyLp3T1rmzghYZX3qhFB2CcdmCSOivu8g3JX0xiBUKh0ecrb0YmboVW0VXXj0+L5nxkOnbzeVAe2
7/nQwT6BVI2+jsW8iGpNrqcGNstxbomVHAPn1W5sgWK7v/fE7O9hYz7qOnJAGAiZdusXjApCWmZq
oqxZmldLH6uzhTSCo3TpyNjZ2pwVfPxjy39y19p+OtIjEv7JFJp7MBPb4EgJwbNJHRG6qY4AQDey
WNjtk20MLyMZlJZb33JL9XAaffiOPhhRwfp49G1ytbnoDRMS4hObW0/6V5iTYT8A4DqRqoISZlnK
pjsQFZDk3y2lL8yIU1JAqMkTiDZC6WdCZ7JyLvXSvYDx6nzpJtipQGAAYun2XdMZ2tm8lPMBnKtJ
DK8f7Jq6qfZZpR9zj6Wf3uXo7SUAhr2c6QHM1jRRlOX4rtbptQbTetuaS3vdLSn9dNapK4hwdPDK
ddzpfgOGrU8ecE0siI/YBemBOS5svSyJaJvewK1szwbNUmeGnvXXRpf3oeoncYJB5UajgvxngEhA
UjSMMTIj437yUXSG7dQMr3I21j10Y+MJ5882dMys50oG2qEuZH3M+P3OfGT/3MB80Hdublr0EFjC
4sEmZjRIbDPmgHUxgoMPGW2tMCcTuS+NDLgNo+Pl2ILjoONetLaMykAHZ9SSRTkjggRMKvrzpfCc
2xpr39FrZR5DhUUWmrXlyd9GBPrgECtbjfyGrsnehZjDexW+Ek9+UdfH0l9qOuwKiLqyivsCGuO+
XkUXwtFCFFqX4jxLTXkKEtc4s4KawR3f+oq+sc/YH6FyOLfgYHfKKLX9mBn2xSx07eQWAYOzOu1n
YOL45Q8JTJgvnIGnw+Jo+qEbV0kW1jq7R6sDHRhxZPPCOZB2VAVJemHJYQW2TrYxcLTyROcCXnBG
gUmqVoZtaLJegU2+GEtw8JolScKin7XHoDKaWAyBOiSjCKCk9R1c8cy+48FZeVI8zIdOqW5tQzh7
1Qs9zKB/wSuxtXO9SKdPslw12kj556a2vYPTOGModL+P9AxlybxO2cXcobEFdG3tW201dmRbyr2T
6tpOOYIjm67DKoG2lHnfu7nrDkyU7JNXLLdpDR7SbJr8tnEUME7tWo5ZcJC1OPaaU18p6Z63Qy0v
CBk5Dpg17whSbg88BleIq++KoPkiTNmjkZHHGTV1DKBk+8Gm58UMtMtVpJ/syX5ZndRh/GXLAy50
4GiBVd4ZWoA7wsqNK18aT56y3Uem6QXAB308mtI+Tl79pUxMfW82wrhSFXkshba+WlKbXuapui6T
4F4IcWgXajBGz7GfwKJZ14ca7D7Qydt6XL7MZkrt7D0k0Go42NUESoEg9ATyJbff4fA6OK78Tj8o
PQndeQJL8uqZNJXJr052qkpfErO79kk0fs7pioZirbxwNVX2LXHbT0HmXfWi7k6V0j6L3NivPSiY
psoQNuSnWuVnbqY9adPs3Zj0IXZ53n2eUj9ycztsqQsi0WY3GQMJq/W0PQ2oc21EwGObxgWnwMPU
T304IIjW8rTYdYvFcuF5oGZa+84dzP5QMVjVIaygslT0q763dldBFkrvSIcWIRKVk1/x+2UzTCEO
/VfpAOOKUVUTMWMEouzNzg4lIrhVyJK7dfR3fv3VtsoWVSqHedaMS3/hTJhoQXW+uMI8r23zCiY5
QBeNQO4J/8hRUvF72hYcsVavpAx+y1ft4Gi0d1w7uwzg6eVFQQuA8SUT5ew1HYrztUvv/akBRya3
eaJCkpJcWkCC4mxmTxmk9y1JXLw7jXsLvOq+roKT4s0Ivck0n0aN92nMi+t6IsOTLoIZkbV9O5uY
p4P5pmIQ9b2kcgydcnCJowxAy0ntqsjZPQuXng0suGa/dhA1XUtQ3wU6sGeYU4O9InZy8ink+KfH
5uqdCjVB9svWB73m5AebDf4YYw42raG/yzo5oqdfn8femHZJ4VffoG3SE9C4aZbkz0amaFTYFwTW
G3CZXn0ZwCqVtBWTqpRfSYsDd8o3PQSm1h2Ep/lenE5zVpxmD8DY7ei5PODrOlDv2yB49riekisB
pIFw+IlG2jbdql7GYcrv2o5/xlJvqjHys3Eicw7ZPtI693aEZE60egCCb8icaAw6qLhMec7Nqk+I
h++mXQ0PKyfQ/qJGncZRlPTOktlW5CLc23OzicSh0WJqvHBa06EpA3O6dxfp7VANqi+dXrt5XAyW
vtOxrmxQrA52j0s6vDrvh8DT4gnYkront7fA9ybSstuZ6IU3HpwatfaGCEkT7s+64wTYQjY16n3R
WCNT2fyYTj/Oh1+ckfxeCagXNA47S+S15Z86nGQQvzrOhtL+rIpxOOOHudF7ct2JGg2EPkaZ0+3g
LewIBL4CABvD55Ss2+wAUUuAS2Tnxkmvlpd2Wi6QTUIqVTrH0kXA33NvDCOHH6qzsw5Jyhlq6viO
IC9EUtbffX0xIk8wY3ONRsXcQn1LAAhUPHLejzsMxeCOYeInrh/ZNK8ohnYF9Egyls172Wzvpsuw
LVzx/zjzBmlTxbUrenmoA5j8hGYzLQ7SyHSaNNKsuSYq3X0ARHqZVeAKgw4ypKD3EwEFD9DM1O0O
p0kR2mUaILhbYCY6y3RW+rl1rHN98iLdSZaNMDxfliQxngza0ccqkOVhWhb+bd/8iZM4WSNvdjU9
TATS8XYekgth+8mVLasKjZZWPM5dvZ6mKRjuJs959rKu23eNr10Q0f29q8t91/FRdB5JLBvTGWWY
+1zACtkFhU17YKXdcBAcQw0pYMSuPEZ+bLvqc7kk3b6amZ9Kos1Bvw+nQHOfHBukI+HnxX1d88JL
oSc8AuBoEaSzCTowz0Y6XOdL3S0lXOUeQl8ppy9dIeOB6QbFzVDS9BNts+xgmTaVH065Ce/U8bip
2oA28DAJMbooVrkfO4TaqBXMWZVMpBu4pd2t0VFNo5+oanYb225XeRKDAhtqLcBlJ/ouXbVE5bDk
dBOZnSh/D76kXvZmOj6lS76MO86HlozrDCT9pa815RROaJTSM4+eza0OklaPathLcl/rBBXeYBmw
jGc6G+qscwKr53zKEVQ84gQrGB8MdZldGfQOcpcFdvG+tU06I3e0MmRM50FFg/jQlf38VQypN5HH
awKmtUM9aNRnnYH2d2WkFgpflUutpq86FV1YpWaVn1tj0gexHM0eFXCCRivUPN09NbqedS/t4I9z
rDRch8c1h78XdUJb8wfERJQL8MvovbGehXQRsvzIJJ6mid7b5zKpkIZXSo2nnjg8Z9cs/Zw8u1zg
lOu+Imi7Qrwir2bkK7TQgRPf93m7kcaHfNfbczOegEjl6hyjvkG/xAJpaWaaI87SOqj5xqOds+0L
VIdYtrn7Ph7CbopQL3VwejtELBfG2hY9NXKdmFeOu0ycTGgSTmcWHf77oHScl6CoU53dz/DbuF3d
Ytxtc3aS6pHKNmM42iusXNdeV/MGxX2anU1TwVM2E7rG3pU1/XOzaMQvCNfPtYgsNsM+LiNJ8k9z
Sj/8nO7Qf7N3HkuS49iafiKWkaAAuXXS3UNrkRkbWqSi1ppPfz9mVXeHM6LDLe/YLMZsujdlllUJ
BwkCOP/5hcV+lIsIY1cNp0piDhrgy5NgrEflLgkRZLkZcGlzl0dW5TyTd86GreMjp+7U1FHaPd+Y
unDnOiKAIFfgjbNBbpbQ3sfBGAuxvq6UfV4Uec4VoA2sS6llkX42aiJMt4EGvoeYJ7G4BbNz1D/0
nuiPQoZonDiYRvNiYUAtjraEqcM50F5bG3gO4NOvHxFWYUnG0ZANJ+Rb32HWqOITNMlovBzMuTnB
noc4CVvv7WYPkU7tA+KVNUoW9GDddD73cXEFBbomRkhRrOGsaH1S4kdbifdGWNv9k9K0CO9jqN35
jQqzmMM2g1WLFz30prQtG+kaSrP4U2vmtuv9L0VmW3f4+mWnOLKabrucOXUTZVSzPb2ZfiQdNY/J
ZI2n8aTRl/JOCJzXZl29kZWa3IA79W460GPYgCJnZPqoovrqDL5244yG8RVJ0iN1E+tT69RqA6cV
kqbg43M7zcm+QK6Jr/FN70JXbZWUK1bd9p4NVQTOzDSqr05qGZNHx1qHtC1b54SucfhMxdcqcO1I
czkrU5qwXjhP3Xk1orIKRFPtYA22wrUqDc/qxIeMctY7dg6XxeqTB2sMXnFvsi7Jb8SkmuwBt7ON
q1n03TblBeBmcSlimM5xGN82geGGdlzGZ5nsRixHBy29roP411TFjSdxlXN2UxnSLoBEu60qY4QC
L8gFBs3oXhXD6P4/weJfliAO3fj/bmdA4/01//EWqwLr/xdWJYy/YCYjhIUUJsH1l+7x3/QKjT9Z
UpthU1OUWDh5/RurMo2/8EVbLGYW5c8SGvdvqMpw/oIEsZArwFXhCWAz9S8bh38IAJ9aiCwaov/0
riURWaaAbAC9ctEy8fcd0g5UOWu1GnBfosU6zwjdgcV3MWY2PgckMcGbTMIi3JSJ5dyQiGFt9STR
x73oBJL8Nw/tKDnh909B7A/Rg3YygrO1kLc3qGM5FlW3S+tpG6TS33Z1fTfZgTjSsT/sJ78fadUi
l0Ulpq4UnMtjhoF44KAZTWquaJE4phFcm0IuD1jXsMyy0e3Bk7aW3/KGUSKKMm2UXFOxGseFcu6b
wR01EHcHw8stm1lHMEnVbmIHclsgRrFzun76G1E+MI7577SPv+f79jes9EGz0TUxlqEUHDKMrnW9
cjw/j5Q7+j75kUe7/FWr9aRDDYesgz0BcgTW9Nvpci3NBr9kPdnse7R1nAajXB+HKi/nQ1DAeUYu
iZ8vnOV1rceEHoCrPEAraOtqeqaCWsYMmV7MWww3GMgOW6EoodsUjXKlJKpArBHNR8gP4oNPh48G
mBeXTXQZcsVKmALkK0kXaW4m+uLZ1rruIgi7GaO5frD8XYGdu+6iqhaaZ1IkegZ+pySGTJyHL9NM
cXWCQbW52CJbdeVxrtPD4yKj3DctKXx4vAbldVknMGbgOxT9jYzTUv69Z//RynDQlgKm28bC5Th8
XWmSFz3RfZQ7xsLeqIMQq0kstDmZ9a74+vl7wv/g/ZtChbHYTfLEaAut3tQ0Y1aXowN0uVvOpCgh
Z4AiT8LMLSTvEAYliRW+1xsp+mBaavJCYluAw1hplmiMZt+SRAUWdN3I4ggTolza8oLIB0tCMGxR
r3dmrrcnvQ6j2iP+wAjdGOLwA3FkmgaLsS8e+1GO2eMcGbgwOEGXkZZmtkiaZGD0/Ynvl9UvURLO
vEG3nd/kYZaMnqnlfY5cO4rRfOj2AnqUWE2cKLhzUbRixlximxzl0U1dSOJPysrGiwS2qZbSBUvm
lxzSQ7rLYkOYl7XdQVGVbaDc1yY4WodJUbnz9XxG3Jv4keXqFTIeFc0CDrmzYn/XAhV1kVHRI0VC
V9l32mj3i5IBznWrNSHM67ACLqZb33bwVgcl8cZOS77A13duIDBzZQHuLB8XoxV5yW28uDWTysz2
tCUKdnjoGY/g0gEsYXQc17Juqq88JjPY2IPofizB69OuIwOEKmcmpI3eZmD+HAxUNgupAYFgn6bN
d+5D8jnKOusLap1R2xRlTOlgtvP3RsRY16daoX8xk3y+quMh+KlNYrjtixp3jLnyk5eESxzBufk8
IzALpvYWlrAIPao782lqUPtt+sKa7vFLhoBXzoV6D7UEPSHWA6TRJaV9N8ueB5X2Yhqgp9iwY4iy
mE9Ks0hRZ8FG6aAb2LOzmeymtUnEk7BRgSwDgLW+l9+tHKrDfk6U6FcbE42FIlVJLgy/yoBbDT0i
C4jYEVLUgkacVXEEjJ6xUd1xZqL2skQE8YK63THmp9EP1H5vKUCgZ8Q4GMZZZPdiEfBSOMd7nAHi
R27eAh+GwGg6wpHQSm+KQtaPDb2rJU/BMfDEJn7bJHQ0s4qd7BuLrqMd1i3hFr45Et6SIVIO4Rs0
kbiC90/ZZ+AHAUOqNi2dyrgabwNVzYXbcNIQssBmpuO9p7MdZ2ORftfDBEu+uY6xZahDNe7QIvbt
SzlEXbVbuM+q24IETCcTEmQ+FQMtxQb8vH3UOcngjetTpLscbLgbUzUmcstVp3klAjLQLioDUsBA
eB9SxhlrIrcHEbsKMrrcVHiLGTTlqgViMZc1EmBRimEhcs3jzs7KFlEXBQvUYhtAdEmUk05+TryC
GT8WNLXp9ip9Z3jkVaEZnJLRni59OQ3Kpai7aXoeaWj327yszGpX5sBZP/0mjMfTYAj5/4ZOvAXO
J2C5fxN8ZIbrkId0VRh51j016LX6a9GKJLwmzAxeD8TX4twIMJLxIowUAJIqhZ632vr2krtU1Ht/
SBUqBVYn/HNMFWK2qBydp1Dx3bhiCTjPajnR0I5RZpCGkWMm4grNd3CmHes2chUZs4Lx7E49HSP5
e7QTIay0IdJDFz2xetmLBsJVmBA0SWbLBBGtQDXQkZuVmtO211R2EDbNwtSeTUUPb2QZDN80nCgJ
LMhKmtWbBE/x6gVbynoJtBq6JFcvQ9FXotkIrTazc1/3K0n+WWQBKfV9ay2dp7oSNL7VHNPl6yxR
usn0HLVJA4z0g0gX2qmPeUZPQGNkPaQ0z3oUsLPkFMxN+uo6MVvDpcAxINtjHs4ihJygFB7+jx1h
R9rYPlSGZYcneIaTb5Sqdg89h78MQSshIM+Tqc4+LA/8BAB0sJDf9RDc9sQmJ9ml0ZSJOGmmtinu
kYPSMsrj3EKEZfUPVo8TgKLV4NWSTDMiLjVqUnQ4dAXqDmJCYmH0FugJfUFkrOHcl48NQtB7IxwJ
Uwmq3kR1olkdEbVZ/uqDzO1GejKbacinuwbd0mMIGHvRO1PrWQM1rq9MoLTBYswkrS2a+XY7kBaZ
htV4Fcfpa2H4CGEq36q3Oe1Yr2lrEPYmBQYJnZ4WAZU6RDDhhe2iZg3qLAUq6Ulbgxqhnk9Bs60S
O9limb+Zh/hrEMOdN/TUhtYXtuYJKWjRDsDQ+ZKQKrCZZXBb960ZnUSEq2REylxG6HC3qFt3WMNC
vRpBf5SlAqa673dsQMmZ1flk0UzzPSIQz84lbbw8wllrU6rWNnayZKsb/RaMfj85Et6L0UP8VG1Y
akbYN7soScMdlf6JL6vnijBOtqJytF+brLF3skizEzqj3SmGZOlXZxQjOgejx0NrwatG0947Qcqu
QveDaGVj/I4n/nOS+ClRdOGWdDOOAFFCJLTJ/dhJc4wv4zFHWCf15jxpSl31yHh/MQZD22fFQCed
wG3/m+YMWPJinpPk4rs94LXkIhp9qZYOHLgep3kTJ/suqyGGFjGgROkXz/44WM9+M5cPOrse9mkz
wUPTrAOq083QZfcrBkfeKiRJNk31fZT4jBDse0uY4qkTFPEeX5lnGK03gxOP+zTjlE6WZ4UWqoV5
Qyt2rqeOJA2gdQIZ8v7URw20Q1N51kTag0h1w6VHVrpODgg7xI08gVZmnsFLCTcwfnQX4h46fu4G
JC4ahvrFj/S29vw6mPZaLnSwfTr94DMzHTwxJLAVe5EuLvwvRl6F9zmgAooMta1Mr/ZHW2xlUN6k
1mTtWuLgTrnJPuim1K7wRuTEEVV+bVvaGTEAJ1kJv9Juim/hIK5ixz8T9YyoCtN/+s/FfFYE8joy
isF1uuYiFGXg+tKh25kv28oQAvh6XH8v6O6Gv7gp2t8k7D4vc2YiPC1yD1UCDs/j2Wos/gYxueR5
g31LGZDLpyxY+UC+EcfpRTiRWzelhr816vC0jOb53hz06y6WP9WO/6ZFZHdiNrHbF+qvIbeI8srb
61Khs93n9r4XoJioQL8TMFF7xkwMUa0b1+EQ9F9Gs1FOjTm8Tah6k00V40YgBDicWirF7awS4YPk
NCcDKN3pjQTcRYILWJOzmqptZ40mdv+zS7Ej0Fa2W26D/mlkDsLDp6jfRvl0Wxh1sAtl9hI0vX2v
59pZYpfA1mq3h0GK4t23oQvC/5TlK3J9ihiluSfo/LR1JrcJwi/wzx7o5U1uX9XnZUH2GHDPa0ZK
xwY8AmuCyr/KUgUmQFlt6VCH56VGeeQvGpxW+w4/lq7YUNg0VTR1H2K45OqknHglSX7UpySpOY3g
X+4Dw98Hcawvzz6yvhTkDXoQ6n6RGhd5YT55GDrNblR/Q7GA1y+8rKVbSiu0hHcoJwKLwm4bWt12
Vpz2Qrcn9tupuDS4EA+QFZAHoKMbHm1EeNa2nRBRkVbcj55qDQNqropUmmyslZzljlDKpZsDHa7l
7ojUL0AWFWIT8E10Fa2+sZ3Y9ioadxg+1dFJBnf8NrL84H7CFeMZxTKBy6hgEb31GQjzBpIE1L9+
EOpP2ZLBtoktYiZdjTVXuWmEgBmNcEYoGEcpjz5PB9PjfmLlp8SNEJRkkjbafXEqOUd7aPCVc1rO
sr2K+8k3dppvFDeJutBYK9+hWUPT/kxwAlPp+RZ+FnWNm7aapM6JMkpEyfPcxaycJk9o2Dmh/i0g
DIoIMjVtMPvR9foXjzGVHBE0M5twcn7Ukw1ZufY7Y9jAKCfsbg6MIdw1QytfnG40xAZtnEkKBhry
qwash8eoqD6OCFkfeGkoxZ09RXTwsUiNr9R2wjiZbB37VRtyjYMALEqwqM0GNq9mgZkzy5hA0lrg
ZAJrsB0QhPrcfIU5FwttQsDHIN5VfaL0vYf4SHfcAcSJ4JhUKRnSeRjDqw9K/rk3ekcDuFfCX6Wv
QdXvGiMYvbJRynYfFCQugYfjsKPpffES6DqEcNMXT61jtmK35AA9D47Evmuccp6SFNgOwlSA++qW
dgABKNVbFVlaTw7lEOY1K52jS1LbddmTBfb+FAX0OGl85vKB4CmOMbulq7YJrYBg1BkW6UtTNpBV
1CmDoOwrsNaxVMxvwqmC/RoQSM7ZECTAr1K26YuMK5v0CYTNJ7AQp+60FUb108e1+QWPs/4Wstjw
YhdGdZp2S4TQUOQVWiNyhp5bJLcRAdTVvE8arSAH1Jjl6JYDkNlGxI5Fsuzcad/6MHKeDd9hP0pR
WbLv0vGDHArT9LEpFYuLPAuzx3gFWqkhq+IH4keMQWRQIdrsUHtedAVFASE9dU+50hk0UnHYMPK9
UmjFz9qejBc1880HiFqkzRXCMAqSdc3SJ0/IgfsuO2Vg40JxXPIp5sMPC7VJDQ+1CemVWL12Z6Sy
vUVZQFYiHZvuLh24HGwAhpR+b5htwnEJsd9tw6ZDgazb8zc/M4vbSQlKjJsQOT7BIau+96k6Xyc6
HJrlKytN1gKyrwzmKYWvFZqDRz/diT2TzFbhBV0zx1xlsGJw23km1siBlfxi5b49MW8RfVcaBGuc
uH5mYGRiNiWwUBv9Qi+go+SA0roxWtlA+SLD8IsNNYkmji2hhTYt5gD7RpTpIxJkTZI+muU/IEob
iHiCurojbZP6VJ1xHyfpCWo0+be5+qOCSz4jHlgIdo2AakzHuijmLRJ3bqTzPEytO5vTdBHpPVHp
pTkqX9Me7gzp5kpZuHXq+/OmJ2E02Y2JAjE/S9KlIYXMH763XyvJFnudsXbb1NZ3VL4cF+EQB9LV
RWre6dkcExfMDf8xnSTcPK2x6fnMLaH2JIHpWXsSWmpekeqHr0EP8BjspjbQaDCg8j/NMMrXdkkY
t+NuhgnU7hPUx9OlmXYtTFxLxE8KVHu5kbER3kqurRqBQ0NdbM15aEqvqsgSQg2Q5Xjc1EtlpEB7
+okRZBfuncInKQjQRbmzQ1pFaNMlAZDCr2WyM8t6eLSItiDj12GaXLBzerXErkMagL7XnCz6tmxP
hG6Km+WIwH8mhtUn22tpD7WhAEHuk7aNN3Jo2M6ReFeUawiOM/x53KG07GcMbYp+6fODbgSpL7pd
o/nJ6+eY1wdQMzU6FyUKbpynzBVISFY3BrIZUPPE57yx2VE2U2upEC7y4Qh+/gH0aqooOLEAW+zF
zRWqTcMKDuIy1FjDQasyPSEDtdM9DYvak4rs5u0fT22ZlFAXdZZlyRWyLbsmVSEIquhNoD6ofjie
swT4KBVlPILwvnuKeOwDM2En6OCDR3jRIUypY1hZh1A0XRHYlitVzrfc5Kaoz5p5xLT0ndENRn64
uwEnmKDJC2h/OJZVGFbpY9hFzNao3s1mGZ9moHgZe10xbBW9m+gl8ju5XtoqnTYAj+KqRJez07Bd
eRBNUl02wRxqu88f97vXu5CdbbHYgSLeQgV3+Lsix2wSeAuhJ/Tpax/FHQUVNrpFF0Tk187qMedR
/roDUB3LbDy26V0InMy03y7Eb/oWqFBruv4QgBwzW9T/k+b1oEUnlq3/suEtHHnDh4RpWhQMtxj1
Lr6ReLiv7XUMkQciUkmHbmeSZF+rwq/tpyzIiy0KP2V6kYOiJZB5x2I7m631NzL9f4Ny//+YNnyR
+P73zuX2e/f6o6jfti6X/+AfZbg0/4KqgBgMcTf6TvONMtwRdCGht6umLthyfv/RPzx7DSd2vlOk
p3w8Bi7Q/25dKuZfxHOZOLGrQDrsF3/SuDxcMMtKYYdnoRn0SXF9N1dbAodhFyZAd9s5KXZYFT7o
LeYO2S9Qp5N0dE6LfN/Rts2fUnlhE+eqWfWmHYvTSun2YyX2HBFbqAynbx7fzd/fx9tO2+FH+nv9
4v0HwwO9scT2eLV5pMXoY3GgOFusdUoXlkLuDlDlQHgW2psFLPP5ePa7x0AfeHEkXp4E3ZK1bBzb
hnhhG1nbaKbPiNVUDsUXbz8LKme4WLsEugHCMOSKbFDzdDGZzUlOj0mLZzwW/YZyYAyq9KojmgjR
UOCrJpo4imawcvxKNDxmnqtk9AGt8B9J8JZSMSCqqCu+lOMcE1/Xh/MzdwTzBT+8Mdj72NmVHl2l
Ib7PGwfqckZlUG/ixdBmt8zE2jYp9EpaObTtcAkl7Rtouo7sM71a3mYaLyQqcxbtHQ6FEuugKZ13
5aj15p48vWCvWFNseqnSpcYuFWG3C2H3wOQtdesMz+182EfgvsSSd3n8HJiZjkLMCPEJAx6MZzoE
Q/cV1BE4NaYq3pV+DJRScGNvvLCEnulFiYFCEf40ofWW47d4lAcBXdoQ2zPajD3B7DvY3hbaX3+a
v2P5BnmTzL/KOUsCmlVulElQXlhSReLB35quoah05dYSE4/X0GNo9rOSFtQKtswAhIjBpuEO7Qn6
ySIFgN6dmo8d2rjJHQvbehqVKjcwYhy09iRQy/hKw5bvmAfBcoT8Z89n9eKbCxth6Wpim46x2uER
o3RxBNg56Vsj0ptTrCARNyBWRh6paKAB0IhKWPJhdxYqlNgeRMD2mKXb+/VMfpqGAmfZIFRucYc/
gVtyacP21bY0hqjR0wiAFHqmLWAYI15loSgD9EnInNW4GZHfNLvPv6jV+Y8RBgUNzAvOf1Wwh5mr
XzA34A8dIb7c1Qcdq9uquYnDZsDkCc5813f5KerlfOejknNnP7IvlGGkoeBnJGymYeCFfXusS4vQ
6e174fIIuA4NGLU6J7FYMyOkYpVwCcmcCDU/vXSMursm3rN+/HzmH46CygjnVyER9S9//ubED8ZA
xDH9bC4YY34+RTkeQTgkbT8fZUWI4Plyd+EGYxNDiwu0us6MrCCY+IXPZErMGG+c3jbvOlq1PzUj
8LoZupMzOV/YmQ2PoANKOWh6Rzbp1Rp79wtWE7U1NEIx/QDofdovaSCQIT2hd2NEHxjDAlEG/kTE
7pQfcaNYfV7vxl0dWT5+gUYUZctFqhvO5tJSzuLKeKlCXNHocVflroyD6cdE+zl0M7WY/uhK9/eT
F3zjmoNvA/SMFTdDyZW4DAxF9VjUwc43MvDW0OxuQPnTMznp1rcjr3phD7zZT35PmAIBGxViIDDl
W1UkEd5gGN1Z0O6hIm8VXBC8Ri3FY5haS9Uwxqd4fzi3fan0BH+b48/JyuS9mQbjsSDA92ubGzkc
jSWMgBvNmngAs7ipcOrW6DtNtJO49N4ZkIpvP5/wMp/VfPlCsR6TPF4N/5jDL2iwC4R8Za/ROFbj
B2Bawg6TUT6Y4dJ0Lljhm4A+0h+5Gi+vFRKZRV1Evh2l39odo1OcKUnJWvXMEhOvOOyWmPSo/yOm
yN+jQMviyxW4GuMrcji3AvXvxOtUPUM24W6Ey7ovenbETIvTr58/xtUl6veEMBaDM4W6U3DAHw5F
Yi5XLNsBuQv74TJ3huJJGWHpJiWmdwXi74vPx1u+u8PXZuCVAo1nSZCgwlq9NixhSFrvbRUv/qLa
m72ScqkcYq8bs/DIUNpqbmzLbHpUsEhUl3u1sTpdQonSWyXvd9tWCEXg7eZ0GMG2im86JPneLSyR
0BCyKwz/hhgyCa4JBT7MQYUSGb2K2m7boBpvhqD1u21StqpxiW/cJDbBoNCW+aMnw6/lYg1nkVwv
ym6pry4EHeoiif2B2BJSMHo6BoNe0pLgq+pAOp8PtaJTIVNdxrKxmsLilgphLZnV5m7u8mQSNE86
9WWYxxjfYt9syLfvnNptphwcek7CVMf2eNSxUA5s40yT8TC5Nlq2Gpguga1jRbNDE4TDZWckvt1C
8tMNbBJTFVVGgWOcN0sThYavTal2+vkkVitpmQO3JpyyYFWCICy65LdHaJI4o2bmGB9p8IQuaOLZ
ZzNQ1Lnsk+7u86FWe80yFLsZV3uMXCz0squ9lRZekxD9yl2NrsV+xg3ilsCLhntlXDdbLQfhN+la
HdnhxPLG33wrv4clemg5uA32Amv1bRadjX8cbZ5tlkfNXVxVfu4mda2g+fBBNtta62E3SWM8hb6j
DW6bYRyMG3PYkm2vN7l10s41CCrcDusssuK52GPXH+3NOss6F2/9KD/TBsDLc9B4me9tEx2zh38P
8VWJFtvHQLPVwfB7PsSFAbyzf6KpXq3w3G6HZlApUoi/bS8dfAQ8Oc6h9/nLWnaQ9VOz4NlaaBap
mn/fid5crfwyGzL64BoOC3l6YfWd9aOwaN9vo9YOz3Q/q3aJOcwXeWc4D0T2JUeOiA/GXxIM8U6C
WItN1ermkXHoNsS9sHsG+UVd6+elMM5QKV5VVvQz6wwISLZ8MvTy++fzfr/bUZpa8J4R1uN546y+
hypHOJ0PqokATO+3yVw3p2qZDq7VE48Ey0H+8XOGNg0dE4iB4Gy0pYffX2ZUlgNBUGAK1CFwLfT0
3sjCHKWUqkJWiEJ96yBj2RsOSUwyMiBPfT7hlfXZsotR+fNtQPnmqkVmx+Ev8EkCiYSsmDESzXsp
MxvRJTg/YiUHsgFVpuwBISxtwDEqsfTYVYuoc9CL9fljFVnm4H7+i94vcKAb7AgWEICHo68Otzrk
Fq7Q1t7yp6ZrV/kvfbaPpa/8ntZ/FjgosMYApCORiqGSOGaupi1NpW1yWEpbNYlpWdDrML+XTaiN
KHhzaewyNvebKNfMDLWHtAVUR4Po1EGFAmBBjvwKBR4hHUIGerhKZjpU8yqWW6EzR80OlUguQHAK
LVssCNJnkNA5OwkSGwPOOnaGfD837fTz8yenHT6635OyAKqWXPTl3mOsVpMT+CjLEFBu+zTbNYHg
HhtbA3qRzPo+j/OobmYtVV6iaZT10mXp9m0Rj7imzpDqoI4IRIi5eUsqZfL4+U87PGf4ZUt0qAPU
svw4w7JWtwhH4V1PSQ1FR0aV17e2PiJxn6JbO9DMpz8cC7st1Vri0xbIje7t4YruOlj5Ev8z+n4W
Xtd2kHldO1fuKNXxyNfzblpLrYBfBjU4DWb+0sOhcGNpJ2jjNqJTU79IxkFuwW36vYlZ7JFaaFXm
8wiXscAvAZ0J06N/cThWqpPHPJeMpebl1cyvYj/C2rXLNPnd0YG7bB0ECQudbqd2jjgLaa9snCqB
GY3P0K5KAuNIefh+9tzeOdM5WJei6TfU9+aQEG2d67gXMXuFjKRGw32ssgbr1K4xUv/Td3o41GpT
kEatopZkqChENj8BariySdknYWId2X8O7ynLcwaeRAiAOzsnD7yTw+cs8H5w/M5GTpar/U2v1tMT
0lblbh4n+7ZvAs1L0lw/ct69/3SXUTlwWbmqZnD6HI5aT/kEp24xDAkGeZ+o9MlRfcWnztyIE5p9
NhZKC48LGgr0mCa8YEsvbkIrqn/0Wi2ILnPM/m5OK/HnL5mqBoLHAhJjOLP6mua8jwlhxCNxsEdn
h7579sa6G0je8I9JTz5YTwDxPHhUNSQWrMv9oQgKY8jgxuOyoZ7oAe5jAjvEK7WQ6ePn6+ndTol8
iEXLtrQcM2BHh4971kpcCJ1lqMaCEJHCpEPXe2x7OMRtfi8lBHYaIhqKNMZZjWIpZl0aug/7ZZRp
vBOxZn7VmyA/H7MY74PFGRuVdT6f273fHFnGq4P978GXXFpdxUhUNUluPrjaE2o2G2HQSQ/79u4M
HL3boXc3rq3MLz34fc4+wCX3CVQDpr+s0lMu/tFrIPHmOPLxHl7m/vkleB4RsSkB09adDzUP/BIZ
hQSlJomwIdXme2PBMc1GuznBagOHtkKUj3JQu4ey6fIjDdIPPmhb6HxT7Pm/T/zDB5FEsxrDObFo
DCrjeaao+tNISit0nPaBi3+3M5Mu/PL5+vpwyibCEUJ/hfbuJLZya1LsMZMepPUZaxoBZEfte1oi
uv7G8YoE1dCyp6GZUKBm1vjw+fAffUkgR+SLUW0ty+9wyl2iJbhgVNLzba3ahbbe3YyY8V+2SE5/
fD7UKljjn7f7ZqzV1qyWxVDbKDK83iSblQrcPCviRt/jPVydY99Rn8hEEsOQzv2tKQf/ijiC5Guu
F9Zll0zh9vOf8/HMl2+bzsBit3U488nA5SjCntTDEn/w2op9VA2KX1yGxv/DkdYboxLkeaIwUp5C
b/TB2bb54qCY9mrlfT6pj79l2vv/mtXqnoEllb8oVshwK63herayAEpOJq7JOtuUVhVvSdNw3LSS
MKYauDmX9TDs0hTC+Oc/5MOnuxQMQJPA+utU1g6c0uA4kJ7eT7VHyNvsiqHVd6MW/Zm48u9lpWOh
y0VuQYDXYjV66hglNmxfOukb+7RuzZ2oRt1LQXdOPp/VYdH3z1BoOB2ibwjjXg/lpKQoWCOXUxhv
6JZCK39x1Lo7hyeT7WaECGefj2ewBg9qDw4fzh42RHg2KGlXKyeYcOFFys7brDTpdjSl3EKI8cgB
8NEWtDB4LKAkWkNr4ENmRiaIWWb/n7XmrBpm5Qr1DPd+Fb+bmogD7Gwj/TIz9PxKH/Ac+3ySH+26
b4dfLdkRjrGs+2XTN4HtSSSxd2liZftwMFU34b7sghPF+88H/fDJEp5Ol98Gcl3j2WYfqIXCZ8Cb
NGIvNXK84Li9HBnlo68AVgA1JDQpAeB7uMcoCPxLA791j9Q/e2/nowmvq0Oi45tHHuKHmyvfFPgA
YDl442oorFUbK6HOwQcnZYUoFTCIFbXjSZp0Xu5H03ZEy7mbjZM26covlSnnV1rpKnIE4NwjK+rD
70QadAtwu6NBsjyXN/f90qhli9SOeffUmKSpV5dGpjuXTbzE0AzoJP4Xb/PNeKuKRw2xiaLVz+RD
ByeVdjG9Zrwjz/ijNQMySNCsbXHnl8ufv5mVn/VKQfgNnZ5Uye60Og48ZQjV/8Vc3o6yenZtPmSk
vJV889YcYsxfyF1TztH28yf20TfPRR1dPOAZZfBqLg3EPS1X+OajtKrPJsjVChzrePi6kLszmI0R
Pl8+NfNG1pWm7ckj7o78hGUiq82NXgviBtws+Yd1UZgiC/f7LMcMfAi68w5Vxs5HkODmNNGfPp/t
B1uMwx0L9IyGEs261VlvqX6tjgoazFEE+dc+rcfNDGTUNEX5UnOE7dLCV3efj/nBamFMU+LyTJlG
zX+4WppxUpSU2CIvwF/HC+NYO8Og81jv6sNRIEaqNMiIIV+fSJIUv3mqUTZ0TZ4T4Fb80is9PbLw
P3x8MAb4H/QJztjDqaQNzED8oqip9YzQN0VFqqWz432dZSeugZeTW8K0jyU6fDg1kDfcG0D3KPQO
R+UmrlshYhavApu4BG41zpPwaCN3OV3Wq9A0VYppbilU1qutoxFz1GWKxtaBd9I+6WT9TGJSsbOx
Hb8olbZ9iGd93le5iu+vOoh9UgqSfkWamMjxq2OQ1IeP2rQcuGfqssesHnWvpWphIvjGdCl3ps0Q
5eNOH0S1T8upZevOhsvJ0KH3fL5YP9gOHNph/x52eUpvtrYQl26FS5P0CIRstqLs/Z/QtOU2aZ0K
B8oqJl9Nx7BrsM3JbUd0BJ+P/wFmRWw28JAG59ZZeHeHPyBqxqBNi2BRSY/JEwcc8U4IN1sdG9VG
vtq9OfyYGwutddCq2kMhcuNVSemiEhg3Z8W2xLQRe41M0ow58tM+fDYgG0A8Glek9WHWWm2oj1jy
etxf4Y10FpZpok2VK6pl+ypKFe3L2Bn7uGlTNxb+vK3MDr+Bzpoe5sEwfpLC9VXK1HeVODJOKyeI
d2pkx9eRFQ3oMVD8HYGIPvpw6NDRlmDrWhgKh89yIurBzgwTCcuY664VyPBUxaDwyBn/0UqFtIvn
MCsHPvHqjVUh+g5VjXljaa9vcOhVxsWflzwQPRj3Swhc4AaYIZhHxn1/bBh8GQtADGzL3W2Z/Zul
mufItaRDFWFryO9CuD3bWobpLkbm733+6t+jMgwFV1iHl0SFsX7zQ1ziQgjdzVNRoN80A84Dm3jo
xxG2ko0VfaKrMZ6z0PVfZNKPxwhj+vKxH+5NLDlESOQXYVTxbnMfym7KiKjwvaRDBEXeRpX8RKbM
HQquoXEVp7i140SvWhdmnI/z1mqHe0XN6JQ2Op7JGyMPZ2vrqF2GWV2NUJ3AjEyi+bbKqSbysY2D
vVr1xivqWfz5R1RBLe5vubhCx5bEG8Q99bANpFrfcTUXtwsw+doEvYKh4pwWBcrAhjAFPEXH67yN
m+LIDeH9QjbwAwJ/g1RgLnbTh6/aocks8phyKzGjYdsUMr4jC+/PcUtGIXgWchhB9zzqw1HKzozM
AGWVF9YdTZ18dnbm3P9M/oe6M9uRG8m27K807jsTnIwD0PfFSR9ingfphQiFQpznmV9/F0OZKDnD
K7yjGv3QQJaQWZLCnHSj0eycvddW0+GIROLQfIJqxPpmzG3ZZenWQmRo1y0joVgtTsxIUx/kdtI2
WlFR5CO6EELHOFurhXasJ3DwVhJqJSxDMKPfq8p/PDVqE+tpKqgac6jDdAT9Dcu1XYZbTR7NZ6/3
y61pFBA3LbPewKyLtxWt6jMWNWU9pyZGUuzdYJTqbz5/xA6cW+bjLaeEWbjFvyzuflML3nFJRwFq
rIVG26lW7wzEoPf0gfTLATpKijRCSV5HOIe4AclZGwk14CF0iEX1Syc1wLR9/qE+Lm18Jp2zy3zI
n1vL+zMi9EjANGxs4szK/DKJGm/Vtt30U9Hz3CVkfMLrDpz7yOw4tLARdf6uiLQ1Nj77o1ZqwENI
ZJgbQtJwfAiaG85RP5VBOZajtJDqUMcQbC1Ug6nAphhR6OICK0+pbZymklvKVnJqoVZeFdrg37Lc
tOehhQMDalyvfk+aOt1g2yTUKiPGPknL6Fad0uLVKvXgZzGo8jUgEMzrSa2HRxbfD6/d+TMyMVBD
8awQab9/Ozzfl4IC/ZxbimS4bkUlvQLw817q2JgajJ9hIG8LIxh+tXy051GdjrGXPjwyiw+w2IpV
fWYFAlu2S8YIYvPAfoBdfawK+WFJmAfhAMbGWgHvpHzY5JoigkouuREsUlp5p3GiZQ55v+cgdM4a
XdyKujqyP5i/3b3XyjwmIljOXNSV+Lf9O9uXehEYJCeBoWaXScBH6rPsGRWn2XIbwkZ7/vxxWuhi
/55uFgEEoODgwlmLr1JICBhNyfRcU2493Iy+cKPahgY+Atn+NXRp+QOKiEDbl3YrqKTehYF9+fMP
8eHpmi+aDcMs1yCLbnmGGZhnpF/kkhsiksVJ6Jd0QGVx2RZtcff5UAcnzh9DLfZf9Dh99DJMnIzg
19PIDG6nVEl2nw9y6EskA8Lgf+/6vsUgeB67wZciyVXJVPHWGYw7i8gsS956aS0/Dejcf30+Iq3j
AxMHFT2phRZavw+auV5JRzTsnb8OtIa8qln24/gQNtp1ZBb4bvFe9zck0Igr0oKGesX+fSgcGRyc
zEdTMfD6llRVq1iUhthmLalmGAnk5AlBQPBEi+o69zTCpwrK4/o6qIMK8HNMZL0DI6mk8UboZrj2
wlx/DtrWDraDls80AfDD16XsaQT1SEp/o4tOvmq1CrwYTnCg1zEHvHxl11ISu2VtdQArhxhBaYun
n5ArGYnJKq06Mpao7v7KkCef21Nc2+vYrKKnoRFZtcrog1GJJO72TivG/LFCJMD1FGP5KGJTvvCA
/mdEN9kZIe2a4NfMmyj3k7uCfxvcSPQ6NVCfIAA3JCrjkzBCnAC5Ppyactc10JqrMXCUvC8GyoUh
rOQ0KaFCT1Y6u7aL1j+XhIpXDa5G+QO2hO+7RjnJJzTz2yfoo220bgot1FwDokxwI/Vq7aRWFFv3
MRbquFsDIawyh9O2BSVcWGRMEXRElzprK2WCHZtWpvqgUE1n62hyfWnpWjRUCRcSaeE9hLjUL9LQ
kvN7JfAB1m1bjOEprRN8sStyneAf614K+08JYltzZM+MDVcYrVKt/CSgliyVsvlClE38vepoDziR
bJckRiU6PHbTs8jVgNwDASMl5RizP1GwtaNAan3rhAaYiJbdW9DHJsgqI5UTENK+X7tYiJPpsbZS
v98YGbitXW3oZYcHWW6AJgyUzt1CkfDCV4AzWrAhdXen1BmHXSXhuI8lX7CvVyEMqFjLyUzAtY7h
+pTdBSnClAHx7hbWqKou1AJfWoc+EcXw4wcJHilzYBCdwgFU96trzqIVZaXYBIfVs7hKmwjqNVNd
64xLS0wTyQytXKlEYGNnrgqq3CTu1Vg/MAL+pGBqRmDYTP+WcBBI7Ergmdcdei980fmQleyRNJQp
RB3Ez2Pms4B2lZpc8QK2bpqxLO5o2xaYoMu8oCCkZsr1WECUhhU2VP08K/vuvPTI6tr0QOX5+bRb
QdXJeR2v+ObmdF0xyN9UHrYHzsJdvxYqZ15yq4zqJKxkmQAwAdvD5Q0y/KAl171ods0Pol+CB0tK
44moc4I17gSQsDtaQ+p3gOy0zAkQzMfV2E7VfZbUYlhTZup0ZJOeYbhqG8rwXopx4hGPrPAN+sd4
GnUznQSGUHANeGFoTjUlTU9jqajxq7MuEtktgqFyCXeBVsarK6KRCK9gzoVS/HOr1odbieyt71MX
i2tRg8DYGZBteEa9WLipZwFlCNjHXehSNA3Q+03ztW9tX2P+9Z18Au5XnVaopyICG4i8IdmSjs9E
5TCAPtPKWg3gMtP0txJmR3LdSZofEgEVSf3OALMO+YNdL7gzdcjDk6CKs2/gprJviudrj7VEdvpK
LitQ8WYt7O/E0/T5alSh9LnEXCeDkwIVoLoRxhlOegni1Son2GXmuATbPtL6e2OYCVEiAB4y2BqB
gNNpGyfhj2FEbkOadBI9B0IORxL34ooFWIjqB1yM4p7Ma6jbjWU0z0qTGMrOEOaMUsfHZThxGwcP
sm8YD2rUxvVGt6KhdslqT4dv1BW0we0GXcTrMQzUmyH0umHLQ+HxqUNNbl9DIuRUCNZITonpCmvz
LARG3pwQn2Ng4ydXGsRAPdAOtGsPtJo6eiZBcBISjvXoJ8TW4yDJE3hjg3yKJJn0SYMCo0RlLpa/
Fzo+8N2o5ynxgwlYZooA7AMBm3Ty6Jq1PibwAYtcWcE7RWaeySI2VlYBL6QbaujQwkcaM9XE1ztF
1+LBgXcskYYbGfAr80AHTF+oiE52JG/3WysygK2gl4/bnZIY2qMKmM3bFrlRpSe12bWEayEIsWHS
yB6/9r5vblogDOGZagzkIAW1/AuCEI4rfZDj9jwRaU8YObkMhQMPpPce4kaqs2uQBmO+bRJwc8wX
3+B38eBF4ENobZBeF/fPrSmIVBxFGNuOopW1soMAx1elYRJMfzZx1ENZADNDbJBRFwSl2f3WB3f2
IJf29KwPYMfWrKA6rA/NC58MrcLxGPVoxy/jBm/HOtazLPoB8SwpV4qK3ZSerU3riJgkqlmaMsor
cHZwnUzI2y+dVBNY00sc3twkjqoBFkkQfkcRNVxOKci/W6Z2T+amXyi7SAml1wosc3sCqT1/kakm
xw5OzAneGwAb1g67sSftNGwTXgIA0RuFhdfu9U2PBEKskanRb0WMDRRfjMYIi7FRHiUNqKXjhzHr
hMQ+5MUKbf9cD+NKXeFq59Uu641+7xue9FzWOkgQ0onYMUl1p5F0Th0JFAlYhSctMxXfyeM6eyBQ
c1TdMu+UX0S8N2+9No3f8JP2PHilHp0BwzLZMmSjCQxu0k2eLkkuzqaKWtuGfKjR3yZmmJwIURvj
asgy/ZqjZvJdJfPjshKZOhD0lOdQBqsovGiyCb6+nU/lZc2f8la0r0BvyWoQ/wg0MtudMMpghIOR
BwBiWFH3pipEJbm+7BnnUSEX31uQb9JqkJW4WXdjg0GTRHNx1mR23ZyE4VQ2W72IJcuBxKXSiW9R
dJL4FrB+2iSfVhucCfqNHmTDnUeyV7Uli84qLrtJ7y3X6CkUsY1rbeikDfMaqhbsGt6k6H5XQhZZ
4I54ajzHkLrxJW4ymGValEo1uXgSQZVmjmjUzPHUYsVNYFKU0XDqqRXsIy1907qAIM2i1MlR1YIo
dicK26I3cH+G79RI0PZoJIMmj88SC/bohsSU6FvO8wjmqpWS0M2qAhZVQlTMswXjgnwE0Csv1TgO
wuk444i1IRXWaZZrObF6koz9TEFg9JIN1lbWkgaPL593laaquo3ySq5/pIPpy+swTVSoQFbqUdkd
7NmyR5VOOGlZE5zZTOZ0qkWkNLnRJPVnldQGl6hrstiVG1O/TQjYoBAz5QSS6Fx1GkczlqZUeZX0
sFawTHU5r+/cm/IGlaDUj/g+C3AlWu4PZ1ZkyR68eVqra7P3lXbFyg8WXsFksi7TvGwcg2Srn3o6
tL8suWRHlPlGemHjRRDQ9Tp0yskIFxnfCNENThfaFbxedQIWREg0ATIe9KZ8pQCkIW4tl+LCYefL
cgb+0MT/K0RWr8eIW7PC6qUeq+t9PIthgzUNwUECuQZH/P0DqDnYfdUNCdxgNWmcHjjnLQ8F+8Zs
LE8+P7R8PF/vDzVXGf6oe0lSQ4pwBBWaOKVgF8QKnDE/UTYZu91tQqgtXOLyXmcf9/T5wB8PgQxs
4YoQ4DixCSwO9kaqk63ZxDYbYPI6k5gAGQnP/JEK6cE7iTKRpiaSH1Ai+5dHKE5sJVFku3g90qdU
M0HoWHhRthygj+rtDw/GuQ/FJRjSZcXf5tWjV+GMe46G3K2IcWDWqLf2yAb/85v38aDJzbP/NdLi
5uVpFSAk5Vujtj3sAtPLd9Y4TOiITER4Pig5CAnB/eeDfjxR44ieG4G4wSj+vVcq/5gqou29oEha
2x2x8bijStBZKF8GYJg975iZ4mNxi7EwE1CRVQzsgIsLrDI/b2ozBVZeqvpbb1MFdTXR6Hf5ANYr
6cLsPsi05FltJ2U75EJ9/PxaD9xgLOiALPgUkHuWlWipHkcMVdxguKk1mTrJeAE9LLlJ2Cdw8mqj
hCdEpO7/3ajzN/DHHY69BvbYyATqbDuH1Nkav9TS9zdlbXcu60VxTgy1d6T0feBBROQArRXUh8Dv
sCiUwMKcjIFURWZtaJ7pcmacK4qffH2d4cih0UIGC4LQfXFpPaVCCxqb5ya2Mq5sUE02GVior8N+
Auhrj6m/TeMRfHPO4f5ILehj91RQDbcMXPTo4GReRIsbK3FaTHLhuSPwnst6bpmCgWzKe0Orz9Uy
VYh5K0nArgPzzixj+4V2q7wx0OWfViTFnom6PNa9P7Dw0lFB+IScES24tVh4i1CE1UyGdKPKtljZ
83g3ECLx6FVK4zm6mouLMjP6FDoyW5vP59l7Y26/wokTjTcLv85l/KU+PK3QUydjILmYwgI8eowO
Ea3KC1CzbNc9Y9RO2SxNO6lMOoBbTX8tYGS6QxJ6d6GRSycSIU87SHTmbTrZgtZQ6J1lVSdWouu0
bd4mzTaC8ej0mRxySG2xj0y9tYriegIsXD58fkEHKqgYvKEKYHCT5+SM5SSeuqn3GkKkapsetGGb
EIKViTywQhcXht1GTqJ40SUFnEB3BryTl3VrBF9VI+K2UrF/0jBQdBqii5cN5H8OlTMoVFN787GE
Ou6YWtj9thH8vwAW/X+bETwb2f89umjbvjRv6Uvy8ie8aP4rf8OLLOsvxOIUmE1UP/RGbJa837kr
FNL/UmlWY57iV5aj+bf+gReZf2ExQLs663Ep/c/9JeDeTfDf/6Vof82mJGtu5POwGvqX+EXU01lu
/vX4sRaxufu7x4kAmML/Yjnq07jTJtSUejmEkMqVklpNE7tp1lwjfUjXDW45pJ3+LytSsnvZxGTb
dNLN4IECjtALk+JO5WHAiZ1ByT3xROyfqLEJRZqVbe3FVEBQHxDj7vepA5kA0DnA2lGngUmO3fc8
Yv/tA/KbCB89t/AtQlk0IdpQRYyt7jkjhBumTf+iwKAEGtT5v0yCBwitpAKr9uUvQXt7DYSaxFiN
dHuC+7ZdkdxlpiQ2QBgIn63bcVhXkIIBVFNpo+HesOlWkqDYZXXrb5pevqdOqBAZaiJF5rj1hJRG
btzE17MQlTL2Ptby+HVsiuZ8xFS94bexsSAjmCPmfSLZ6ijZgT6mxBmTsub0uJBByoaXZkHAKPfy
wupreoRhcdqVJp1cSuxu5FWcxUoY2Fpf1GetkEIT+k6ZbwOtEt9LD2peJTfyHJx+WUTKg+wpEezF
2NhOmeT/wvlQEZBs25c56cNOO1LXdO1I/WbFIISUHHhSnLKYhjTGdj3lxlXs989+GkIsr6aNju7k
YUzHB6xp6q7sZf8ioz5xUuNwf8krSH1uOTYkkw8i+J70DfmjyqSWJP919akYkm9yb4w/hVnW56Ge
GCe1YozPeSnVP9S8fJGnGQ4ZF3pAXZayN/TQaui2Mca6gbtp99OqTwFSzoGFJz1tpys7CTTwiHl5
auaetDLSrLxvVIlDpwFSKrQzpy7U5Hmi+nlixUrrEvdVnVl1b/z0ibMgSMGIf4YV8Z2rpuxa9QbJ
tyZdNFQbUWMNKrRmzODpudc3UrQWIohPp05EnD0Hr6vAFRI/iOTag9Lpl9muyyWvePIsKibEXarZ
beAnCTqLoYFr3MN2nbVf55OPRbDN2lt0z8OaFw6JGxn1hmoKLEeurCf645e2NaxGSRudtEie1IZS
SzoWj7Vn165WjXdSqet39BLjMzMPOJQrZZxCR6lHryWI1yRGoKAuUT5DhMgvRKlZuwai+lpkbf00
UNXZhEpovlpDFBUoiqXpziDB4zQN+QJ9nwIMnZ4aaHza3EV9k52jLfDu5Ty1ObWaWe1UIM/P1Ipi
ThtZ3WbOOrmN84paNUFnz9rII5u0uXxugqvR1mELP+aKbAuJ+ZBq4Saj7POUpwZ930wllGRUS5KN
KX+AazdSotc6Sc5Jv6hvqmr4JXuQGsc+J+qF6E7KJC2AW3x77hTiZ6JhQf8kSK8gjj7H8uBKnSnv
pP6qzM3WHYQenxiVEe7KKn1rh56UVRuMfNnJc6oJES4ElLpaBisZC6MNplsf7hUqYpkHINXkaJel
Pi1ybH9e6F+qUf3Tk7XmrQmqAia3rQTw44E1SN2ZTj1HeohrIgHCc0qa2DQuKWiGRBz4PYDXcV1D
2QztjQEImMjQGv3PI3ubM3jK2ivtrPhnQ9zQs8gz45rdu35alpCwq+YaxjgxqT7BH3Zj0B+wpmRH
Klq6Kyb6AytUwOZNFIpX4KpzYLhtONSZt+Rm2OuEbcTKo8rySFFUu8ykW6OsR1Cyhlm4OuvjRVsC
Z02yKDq3rTj4FtmNdwXMrLvwQmrnbcvOcq1qmbcJKsm4TNu6Kde1pG1EPp3TxjknL+/MaukQ0aL6
oY7aCf3+YNUhV6Xk3zpqSPAw7NA76kMK2xsZ1sNw5hWI5vuimRxNlLFTk663keIyPs3LbwDJnFAT
Hc23pDmjZGBdQ5MN1wTsdFekIVIMTLXoMaXZvCpAY9QAPGkeFkokgxRuKrGRcT1hwh6QQnn42LeK
Am5yTevKnarpNRH6DfIYI6asSxQomGfVRW2g/epMsZbQ/61w044385rpwEa9oArY7cSknPF9aQ5a
3fyEwJxhJcqypaoT5PdGXG7M0FCurETKdrA3h5+qiJNNX9fGte2PyunQhHc11n3HrMYcPDHunByd
vFOASHaJre2p3Vb+DgW6v2b+Fo4S0i5dZY18l1RSftvVg7EKh/JZlqzkDDOTCfPe/8k6taE7JDml
zBOXDxXQWBRtqhMH5XTXKPYjBXGTLOdgw+6A+luXPPlI+VY5lXJXM4h6J4m+usYTxXwchsZJaIlU
lXcuKOt/J4WUCrwP5By4OueJqd+mZkJ6+NBsPTAA6yC1+6sGa3ulxg960vnoaDt87WVJEooOxqTm
XXlPYtCDp5eAUKLawv1m3nX99Dx1fXzX1RFdL52+VYJpbKd3cwz10AZzlT2j9W2MDrEXDsXUrRJm
+aU/tJe1raZrpVStMzsiMFUPQSE2ajaeBZaq7JK2R/qm8x6TPYsL7QmqzmxCPUIQBjVqboePKBMR
Lt1YcluxpIwZweoeAd7KZcwheZ23dbeJ9chbAV+sqPR7NGuA5JE9wkrVxN49Vn88g/rzNKUOG2Rk
wrfB0NZI7I1aFZF+SuGTEiweXbA9tECUIlhT5JDNRynx461Eb0x1iWixmpe6LrKr0c6vCE3ZIC4l
ZSF7ZOkGtUcqj9N06LOGUMrAkwTRRvfUXZN1+pPSqGLb18FusO0LoA2EN0S9o3QjudV65Wh+wBvQ
uJiDFI1wpIrqu7TKqWWHJz7HtlUeWpljkTsdkWXjh0+8Vl86Gv+ROlD3tmmqjEwLa4BLOZa0dxu6
N3JziWOzYGUMzlBPnWRBuIZZvaq76rUt/ODC7+zhDsfENVvR27BTAiICFGMnxZRRYcuSaaTxtjPc
ZKBUz5xn5bJwgJZ5oNwVTbwxk3mfFtDDVaHnPIi+CFzhlaPr561916sp97K334TdZhct6VErOlWv
Qz2lm5yi9w3su27mFDfFVRFH51gi5WbORwWQH7iQHcNo3SZsvNdY54VoiCwiWe2iqny1dRtryONL
vUb1fhG3dUoOtEZIh3kC9b/vCWf2RjIVxiDqnmK7D+3XcaSP4P0+137paHSfp/zzv+e/85pTfQ/9
oHmHjf7rvy7C1yqv81/Np39q+5ZfvqRv9fIP7f1kAhf//nTuS/Oy9x9rUmyb8aZ9q8bbt5oD7z/I
0/lP/p/+5v96e/8p92Px9t//9Zq3WTP/ND/Msz/PPrMK/t8fl9ZV2FRve4el+S/8Pizp2l94ayk0
09pCW4ds75+zkmb89dsAY3AUMpR3vd0/RyULmisKirk/C72XY9S/jkrqX7issMpyUkKUCjjjn8u+
/n0C+iyicr80RU0K062CWwvjL8cvTV1UAUMh4a4moWlFlV7dUOg3oLuQl/vH3fh71H8PbuXH4lji
H8ZhC4zUdXFsB6aUsz8U+ootfPnc2MmwM8nGOw3SFvk8tY9jZb79OvH7gJS8KbeRCmlQlJov+48y
HxFJZWpO+COGsqalMJjFSRP2zWmcGZH7+bV9uIMA76i3cXlzjc9a2pjGsYkSbEyEjpdx9p00CPqB
UnGsMrwQqb5fESUP3WSaMJOoJe5fEYcQH+BLS6pxbBfXGfXokKVGqu7IYiydACn0m9ekrOh6q2p4
XKlSJ0hMnmt2Xht2WMnXUi/nr5S5S9lfm3kLYKX3P09NYFtut3yeCNB1h07bkxxAj/WL36rRl/T2
v69dw8NItwYbDiaN/bF8OqkpLw+Batw2r4qyx3pvIqAITZwPRwp3C2Hq78GgKczVCXtW6i3LqCGd
OxRQxirAKniqVLZ3bwjfWle5xDGFeL/reBLlaYA8wOkrhbo8OxviIzLOkJ0UGQ55XR7RD2rUnUVN
Mm70wmuOqIMPzDljVuWDCgAnin90/4aMfNGTEqcERANPX3samoxCzduvz2zD4C7ApaFmjTx0fxQ5
C1uT+BZjZZZkJ6/MSb+PTSM6Zu3aL9O+33BmEKuZARYXSuBicQjttKJa4xuoLKaGHVzrn0TwTV/z
MapOtBQ2AWRg3UYYpKpHZJKHnipw2ZaMHHOeW0sOu6oXdMj8gIT3KiBdgmAGc2f7cmpuOtNTrgQi
won+rMrZhjMTzh+7qncZkcL1qjX6HFVYnX/9rjPr2HVQwKK89g6D+mPp8q2sNPKYrYjFgfYmLpAT
FUjL7j9fteZZ/K/62PtNt2jV0o/AecaOYp5hf4wiBRquYzti3VekdNenk6ISPVPpBFbSNN7Ay/Ve
Px9x/onLEdndArjk4qiML0b0ykQu89Cfm8NV5HAffaejy+t+fRRcgpQZ8QWp4OD2r6tXQ8WcfFtf
sUGUsWQlJELkkrX5D0bBdYTsdX6xLTsLU9qpypBCMArrortWclLmrHIqv0Sz+f0dsRJhu9dZpNmR
7l+LpALAKlLeLGws9K2CGZ20E9L9ekkyv35BNg8BRB8UcThQFoueSaaOITWgn1Nz9NAzxh5tOdoI
n9+2ecFYTAEaxWxd5tqxjJhr/4LkoUrTRkYfgFG8ZZ2kThYq+Dg9w80r9S4YQzJ6NOu6C+wjC+aB
/YCt0FXlHUJnFUva/sgWvZhSoiG00nsY7VRt8BRMHUWIKpOOvKzml9HyIlUx+zZo5Zoo6veHMlPU
oQOv8hV1vA1H9c6lmOMEs+leykg2pWx75LYeeLLQKqLCpjaj81ZYLKAkZ1hNg/5kpY0aCkfiAN1a
i44Z6g/dQpyH7+1iA2DJ4vlVjbScaLqQjJN12i73dE7ATVpd9i313K/PEwFZCs4fr2CgR/u30NeJ
cTV6HCGDbPgE/lnqSSq3/Xam554TlCY5qhQn99Xkdxu50OUjwx+6UsF7D56fxURdmhOQRumZ0ais
IanBa0/SE/pbVXORKP4xBOyhySLm5jfkECLsxeK5y3rgmLCw+Oqq/mrwstsxJOowrqZfhhedW34b
H5mdH+cKsgmbtwtSDSzbS+pem7FCktRMdKyXapso9tSzEJz/+vMv8NAoMxhx3p9YnHm0/S9wiPW6
9TwK5aFSpIgiyRPLE8/8kltpXh/pPiHhAVwE8fdDi1XUQTb5fqGvKkLs7iJUkK9t3jc/4apP288v
6B2xuP9Um5A6sEQhtqWxtAQvUAmpZgynztukNxEvIVCjJhtqk+aGJCdc2X3XDk5g9aSbpqLT6jUC
3jyBmtLTcZH0Lvw+efwUAg/yGMNL3YH8J2Sn+RXKHfkLhJ8iQYygH6oUS9P0W0yUI7k/RkKsUk58
w8UIQIiomKbrNaRpUvnTDrKEoMpA7gjZZIc1oNBWxb1HcyMmjbaNUcSHeppsmjAUPzxDaX5pvBSv
UFZFT7nVE5MnybOAtOoNZJF1RTVhFdCuEqsGD0G98fnE3wKJ2KO1moXi3DaROBIiWfqnnmkFscu8
NgmpxtVAUcinXue0lCRCV05S3fpS5/f9ywZN9e6bYaeoLrlcCZWOMPBlYplroV6kbfHdGhXv5MjX
/GHtZmuCLYlHksOqWL4m4iLIa1PBA4hYfDzDHJntrMIOnDJNjlm7Pi4yYMw5O2GSJpyHA/j+IxKV
oVzlIiSqcEiTbWzERrnyRkqeaTcmX0Sz/L57vPvYy/PUc3xcvCIycjxyHI2EH5rFLDEXSkgZr7Cv
q6Ho0xWbs652TBv4jVLJNhp7Sx1/akEdbhH9RTcloZBHbvX71nrxRHEnKRHjx5pVK4tDXVtoepOz
x10VjZqc0qbCNkLCY3NOqlv8KmeJdVEKJhtVrsgkzLj2h8vSyjJjpSOyTRHdCorng0b8tJOYgXdT
DpY8HlkuP67PfN3wbGhyg/ilS7H/LeXQLLBpsGMhplz9UZcgV+Gki18c+tW3flSMS9T27dvXZyGb
f04jGr48cOb7g+IkD+UgH7kzOV24lDKum8qhspuwS15+PtSh6wN0RyDInHLzAc4O8znifJWhKQk4
yBLfbmCkGG6qMH8bRXRp9vl05I4emvczyfYdlIytfDHvoTGLNCJHGztrX+7qQqiPCf+nM7XDcAzp
cGisGSjFnOc9Lt4lLX8ccrKszdmE1WzTlaI9UXrJcEiwReJVTu2RPdjBoZjJtgY4FlTj/Pt/DEX0
XDbRWuVxbpR+Z6YysyPh5Nbox3Z7B0diLmLD5fEhoWl/pH5Kx2jsOEfpo6xtct6rDZELVrTJOZzG
Ry7rwIsc0DMXhW4Nu83ymBiYIDMyj/WoR4BwMQ76RFpyc4yAcmAUspU4TwGWZn++POgofqp0Ss3q
FJRKehVXcb6b5Jou2ueT/eAwXAcYaXmOe1msOLZM0LPUMx0Ig7XoDajauREO8u7ro7ArYVNic9BF
drb//dDVpwI2d0dEU3c3g63SHCht9ciDOy88i9UTVQsyqLmoTO12cS2il5GzJBIAmEDjnainvzyl
vaZhfp5LlFI+v6QDU45VCM8JYmJeHkt2UTS1ozdoDMb7RXtWctPa2HLQb6tA/Xpli1Iqh3eZkwbW
dmVxUBt0yTKi3hArU/at83oaLDA4NLs+v6ADd08j9IcDGnu5+Una/45ErRAiPnGWsRLZ3GEIbU/I
3NDvysbixaJhO/98vIV47v39SwUNt/tMwuckuniPDHZtjtwt6kwFIDSHrCX1CUJCcypRkL6ZCmX6
GcaTcqeMMe2qzm+7Xc/n237+MQ5d9qxotpiXOgToxdScNGNAR8xqX4bFtCsjtVibkaQ+Nk0QOaPX
9EcehUPjsXIAM+VxgK2weJGlPCOQNLlqv5KzkwpH8sbug+ChmegismBLN59f34F5SkcEMAskJVtV
jMUiXHUDxfD3OrFUtxurtRVX6UgDodT2/B+MRPVsltnieloqekMiaDwzGdgpywEKTCBcjh112VnS
dv2XSxdzOhXM+xnLO6/D+3PVt4kH83We6VLWr2t8Qo8gJ6YLw6LD/flFzV//Yk3hxQXXn94SKr3l
Yi8CFZWVx0iV2sXXvBXuLFPC+0X8e7cKTCN1AUwbux5Q4pEF5sDKTImLGtdc5Ye4sHjqq2boY5or
gKGDwXrgHngrLOXTkelxYDoCs+SVRbWEM6m1uJOzktGSNNYWC4zwypKmZ7Nk8+srwVvt9V9foKlf
sFhSQMAYsaxhlNrEwUxlzTT8qOBdYMsO0izfGSN5VlIY6ZFpcugW0mmZO4m0vD6A5BMEOPORTmBR
K4fbxDeTbd8Gx57oQ6OYvLwQ7ptU05YvNzZbSaHCkCRSPniIPaNd96hxjhwNDg6i4u6gmYbXf5nz
knr4g1EJwodPgvEC27m4rGRFWX8+2w8tFlT9qa5yNeaHNw12rFKRSkussH9aWz009NMBe52bK2B4
Px/q4AWxCBIGYdLRXcagAN432JuxoZ8IQ+SkPNjnUSuJI+Xi+SFZPr7s4qnt0I2jxrpYbSvclOxr
mQGw48KdXwl/jVQ136CDnU76MheuKRXnFRZRZ8yNoxWSA6Oze2N7wHuL9UNdLFOhAsxYRp3epbH8
mBS1/0LyhnqVgfv/8hECqhhGo/elHk36YrXAq+WHkHrYLnaEj9dS2N0FyOFBMaDu+fyb+7gkMhTt
d4Uq3Lz+Lt4ofakGUygmKtYkUAQ4BkXmtGUpXkJpMJsVpErXwhM7tww3Xx6ZcwsbYhYQJqmyqIFW
IH4Myaq1FdpmbxtzCL6Lc2E9cAa1glUAHXPNbi90p1Gli/P52B8fDQ6EbMBo09BFp0e0/13aWRIh
oKXW0oQIfOaDGdi/yD8Zc/NYKObHR4OsIzYjGidCIt3ebSV/nJs8z0KhqVPSMsk3vY6zHp92g0bm
8ws6MAq7cQQBFHR55pfLFkXWIhoSLgjitu2IUUhILJVjooODo9DFnDcFcwzj4hGAeDGyMLMdV/GF
74wyRUDdpF8LHpi3kjZTn1WEvjvH9mUTRRh5qimFpa080lLXWtPZKxuvOyRRfTqyEM8vxP0VhaHw
ztCugdbzoWo0BiqiK+rkq4TcrZekzahCBk37osPyverjIsEprypffpExKE1JXmY0alic9ycfVmwS
QKuBIqfv+d+HcQpXGZrDH1+eEWwzkKSAerQUNuX7oyijpIemCitC5xi9qSfctTSFRvc/GYUlmeMT
Z77lKLj0YylqGKXKIm/N14aEIU2mI6MceFxZoOaj2dxZpTezfy01twevIpwH2ibTmqolklXbApBn
acfyjg5U7VgNOQjOxUt22Ms4xJ6u2ThSKFuVWKqzVZjL2Voy0aMhybOVk4E3wLew1wkhVqTK7VHE
/eSoagOkGXTcrlKAdagS/W1UZ6rbi1H/cpl4Xq1tg/cfRXoiBfbvRWXkoz6wX8Z70CLWzE2ZT0L0
6Off68edJKPwPFDwoV3KzdwfxQcCFtoxz6Bv+sYTZtXsFNdVlTugGIiyV/6HvfNojhtp8/xXmZg7
OuDNYQ8DlGOxilakJF4QpAy8SQAJ9+n3B6nnbbHEYa3e28buraNb6iwgE08+5m/OKpG9EVogddAo
XRblWjjZ4sntvKgWbHEd2epxyI15E1vpdGag8tYqJENLQ4GqDcnb14+lIzUr58Q2/MwpjAd+xidE
H899eW9gLpZADC+I2TY9rFO9sZEjM1ndMsWoavNYpK59Yc9lfd82XYkUSRKVHwE219iNl9UxU6P8
K76EMlsNfdoeLScuzkS5Nz4fOg0LUozeEy3ekyMzNa6VmdyEfkRxeWcW8FgqW3T3ZjfrZy71N5bi
8qF3t4QDlB5PttHM4fWDQzb9tOji6yJtsaub8nYzzGFz5kN4aynaUEBRQAkuInav9xJVqvLnCA5l
HvHi2mW7nVI0Uvo+h0nyx58DnC6mY/BIVKT8ls/ll0tcDsqElSRDRawfmp3AXPIqVhxvlfS2smmn
5NyA9o1zysyURisxbykLT3bMM6lAXK0w6cqH1hrr82SRu2n+MM3knVkU3CoXOgg/6tPXTzV0DCOc
hlUm2FU70cX2SnWj5EOaK3+KIYQ8ry7oBNr9bJV+egRt3K9BH+cMvJnaBQqOSuuxRTrq/W068W3i
cLMMrWB0/pgtIPR3kjiXXYsQUc8ybobIRWGhaAOIOIGqMhqBbJz17OnBmNWpb6XaxjPDhxlVpDlq
VoVe/fHb5bdwxdOVRxDdPO2goDbTz6rD8NYq8wo0ODLvZd+528ozujP34+lxWTByvF+6KKAyEEM4
3Ui7RLQ6AZHhFnW69+y4vUQ8+9wo/61VmDUwaP0xYTdPMgojz0WR8On7orXHJ82a2o/CLM/0nd5Y
hCOJxwJucXzcp29tEjBMZKuafuE55SrO0FeDr/OnaQutOhRTGNJQfdN4OnXksWv4VOPAC8sg9K1t
8tpL1OSyc9tiLi/+1/xyWQcQAhK6oC0ocZan/SVu6G1fDAy1Dd8G7PylAtH41MPeeJrtCoWbWXfq
7x1mTA9ZHXrPxqCJZyPBaNMHtCchVAFf6zGaLSALiMqZbgh4ltipQ+7s835UnQ8ZfLQssMvaabZJ
WCgX0YzB8c5J6u5Gar0zBknLPOiCHLg8ID1UMJ4fe+PLlGfKjMjapOzKvjK0lTJPhgxKPhUUBTHZ
aNcjSnUQrmFqHmJrgIMo7Lj7bDQheV6RjzLa1UNfNwF3iLvLm1Z5bqWXZ37fQ+kKRt1OrE2p5lkU
oy4+TdHODRXVDiqS0uh69GR2lU/O9NibWiWDzqqs65gPt8WWpEz1TV4sRA9NRSbiQjVzgaZKVRQf
q07G9+6U1FPg2XNyLBphfFDdTnuuB91sfYT0xgGqOCpm25HUJVy71giH07Szp8HtYMRE+Ndomwaj
Xe8o0pC4Fyd6lV6kOAPrQUNmF21DNzXrjYHDGn4Npj4jG6zVJSJ8o41Sfp1a6OXowK2ih1gM8HUa
uy7Q7vH6/LIYmeOvwOMXFbFbVshLKUpTB7YthudarbVHYxrwac7i0BNQZ0vvg2mNdnsRt9X8BbNN
IHeodko9ILw1t1acZzdm39S534Zj8Ym0BdbtkDZVGEwNNlB+l9WOCNABWEi2bi6OumKYj3pVwpod
LTt7VPlnznnX27tWyfQGrLgr5Gbu0r5Z9V5I+E9BNecrdPUyEoMZGLZfVosFTaLWAgKn0O2XMC31
xz5MmmoXyZI/0aM6NJEjW+JrGTVxeARZNWdBYSjGh0iFArjWizT86IipD3cO5Js7p5fuTR1mxkU6
Se8iic1mr04QOJHba/wBLPbTpIT2Iy381vaBoGYFWlLdwiSajZQRUCIGAUsIgxAfWFoxbls6G19h
mGXJqi4GxIoT14X/4yJN8MLdlsFEDLEqSaXIZeCC+BgDz4uHu8bq53olajJO2EhCFHu6Z9Hk29rS
HqP6xaVxinrnscf1VvNn/v6XHi2dYjuH7ngoPbdpfdF56S7Hjjb0OXop250i84ARrhi/dmPuvAwd
yJ51OuKLgfh0GqNxmejlKhzs6sYGaOOusCFoDH/SRkxOYf/VpoJYay3jNeOK+dC4yMFdA6Own1FG
sPLV4JWW2HSZ3XXrqrMBOJiidJGowiRxuEbC1jA+WLk2xwHunhEfg8i7KMB6p4AcbSMH5Ct25pS3
wCTaz/EyotpCnUh08DhWH35OjVYtjskcDz2qTk32qYHgjlj1KKw5KEUyfczbSeCyWmZV6j6JWZk3
mpeM1aG0i2zY1SAPS6Z1bf+5iee44nBMOfEBrpQWZFYdt3479s0nqY79XaRZFZKGvIuL0kixOpja
1k32tSX1edVpkWP7cG5NGLsm6TNwnRx1q8VCdli5TZRAQiqbzvHVuQ/7gxWrBQJoiSwPFQzTxu+7
lM2bc/OpKGz1nvjfPtVdwbTEhdG8A9+HMjfUpvpz3U+ttzEUW3hrI0blgrKqyZog8obuOp1Sy4Kc
18KRBzrKf7QgdjzGSRbd9BPGPzDR9Fn6ESPqnL63O3VoJDbW9xzllch08mckVqObLBSW7icFkqfb
cMx5J5Gaol06UR7kQR3GJnqKs1tFAcJuIlx3yMhdd4VADBO1uqEKUIcq8S5PJg8PNcC+cBSx25xw
HetqqV/QF82jNJi9cvgwNWF/i5hVBukkblzzUZj9hGSG1WlPIcZ4T40kFOylZo3Gsw3P2lAv+tBg
1Fm7Xnic+H6RDSsb/bOi9X1J/E90B2ktyAjrdrKyG/ppnE1hNG2C57Ri87I1BLx84eXtbeLEKUxQ
N5PuVm+pbhatVi9bD1o6XTUeAhsrqycdRU5AFeNajKV5pSRh/SGZHQwfAMI51t6OZf8NCBcesWpi
DPfZBNO8+rhwYOML0TXmQ1Gs6rqx98hDFt+nqKkR9oqteZ9lcBohGobQNZZBkw6Vzm1lIKnnS7ip
KCuiSKC6SdAbWraHGeiNMBF198LqFBWNVlWoOMcTBfBQndwXJQa5z/ON+bca1h86Ztaoj5uWZvdM
lDFB9iYVkmyKV8UPiOp1hT8Ybm6uIz4oeuF5njTBPNcpB7jIE3sN9Ni5w5G4v3UkDg4rIPnh3lDU
LIM86vLbzSidvLVl2/VLMshKbl2wOOUKrVVqj7mQyQWO30O8MUTR0pzF3JbWrDdrsT8qXjH6wxhm
WzFkyW2nIYqz5gprEDZzJ2vXe8K7d9UMszq4xyNGfMyfrJUWETLWiE2qt/WYaFUQ41xlBiQFUMIj
z5n7AP8E5TJDN11B/lLIfGelsXc7o0ppBmomxJXMx+ZKosmGNm08h2sVHLwXiAriLQd9HmHWc8F/
0Yw4RpWGLn5/NY2g/I7tmFXh9QyNFXHaTobOdzO3FGUjx9pVrzVgsem6hWJiPo253eVbjrXTXasS
uqnvaZzSo27HqQ4K3o7tu8RsiX2JjVb9BrKgaX9q9Wyc1qbE+3CrN3nHV9jOVnpUcvigd543WPoW
zf1Yv6DkqeRFPDt5vdHiZLA2YdpGQ6B4+fDc1N0gr6dUGnc19g0hmoNFbLq7ChKltg6dkKNKRWyV
n2XSn1WE/j2FpEQDK8AQn3LtlBZlZAuZfZrgMcC+X8c6SoWZGWXXjj1EN++XT0t1dJKtLsOVpWgB
+A8i/3W2qhgauBFjNn0HlCn3ErKxdmNw1s3OGzeNHUL0j1r9oq2neQ2r+M+E1qjeEDJiDgwbQF1w
kKcYgiFTERwrWsqYBH8I0VnGgwgRQ3XzRpwZe/xWZrAU03hKesQBXRLa148aZ2WlT4s6LooV00rR
zGkr6m78wxYFD4QWOrYXdLbQfTnFsCi2WobOwM2lt1WGfjfZl5RmB2hK/TNX1x/vDjjn0i8AxvSW
SB2mn90MfDfPTCQ7CgNwrJUgTOvGtnFFIEs26VzHR4mK+H6wQvfL+2fnrRf6Y5gD5EGnAXTSjcHZ
0ylJ4YCUu6HYonxWrweLMer7q5z2fJYTAu2FrgXUISBIJ/V9LYuZSmoA14vOFHqvSrs2HRKLaQi9
Pz4hNOcZZjCBAEr1W4nYdKbMGlwPYGZ76XpmKnC0W8v99v4D/f7allXgNXCz0V36wdX7pUBEW4sM
ho6TryfgqvXeHVfDmHZnXtvvfRF8b0F3ozuEWNjSRH993JPEBX0QsYzS5sM19bezTq2iDwBAY4vQ
tLV7NbajJNPoxyu70JR1NWWZgqJPOly4bd/TaI4Sxqven9kBL+eWST6OT8yNQWXQSH79y4pJtGZF
Au2bs60+R72lbFQu4I0MSdFdOGqdb8v4HBDkrdeOzhatNUDQQDJO2tuhN8mKK3WJdBryNEVFEj/G
xvrPN5cRBLKRxDLGZierjJkcOiKn6cuyQIahGD6qKmz+9xf5vcUAN3XRf6PbSlf7VAeKCy1xI5v7
Afy+58edJj+VVav6Ggrpt2g4/220+0f8+P8z8vt1/a28hzX+rTs+1/8XMOAxg/vl1S8M+7+Z8wuF
/3/9511VPJfJ86+c+R9/4ycHXvf+AvfGlBcU3NLpWSZhP/XCdPUvYiLlFGAPPj2sZv8lF2YiMkar
a2lEYfGFZyLx7m+5MDj1EKy4PZxFBQ5hkD8iwf8kzP5ytzNpZBSo01FjakQQOLV5ctGfRVBX1ak3
ollcOjOWt2TRhIudjQj7fNNrTQaAw2nnqLiriUb5FTVXSnXYpAPSS6gaV5n2NUZktbjo8pDqtwPU
uuR5dFvWXpSE3WqI0hh5xkZVzHXltpb3PE55MgV2Hmni2kHVXTtM6jgruy6lVZJiUN1E8YcsD6Vy
rApp4rVlFFC9D0wsoiYoE0fb9Sh12a3fV5XmXOhD3N6RX06XlSvLW0PyAVwkMjM/Vk2n1KuxqK1o
s2iWXWMQIJDoj5xR0Kkotap4sbpZk+hhG+UQHrBOoGuyQgN6VB/UychD4PfqVG9RVCnR2gCCofsC
POEQuE5rmSsgoeVnMy5Ce6PnNAR2CG6hXtSlXh6uJ7urEZGXBhps8yiaGTuneVG30ko7C1zFVaJN
Qc6mbBAwr+pV2bZDdMw7tEMKYyzua5zR+00j2uGg5kOl+1mCSrvPIyRPXTd3d+jo5jpFY4uuvNKX
xmZqUttdF1DkzQ0+0Em8MnIXYUzViHq6h0DG+5y2TDV8ogKB7m0kjZOsGT1ji21JxWj9iGzkWzJ1
0yM6KKuIsFismqQ1WTay0SltqgPu1qBIG0qeMBCJFn0tCzNLt0qo3BW5ai3gubZ9DpcC2KuiIkBR
zzzEnTl/nFyVFoRAvseJ6r2OtxmdnDTuLlMFJcyVQkL+EBsZ4j+1mx9HgYpwEMIJ32tlJ18iNMGR
ux/zoC+M/Asq2FoEGbwsxiDDTf2aghRPhHAasm6ladK6VNMxfcrbhlPjpCNyMXUxQ81qhtH9HiUA
ln0Vco9AzUzJ4y1SdRIRr1lv74u+itV14/X1lpHekPoCNxTeDef0OCtk+H4E0i0CiyNIjWtLlcpG
RDreEpaeDbgRtNG0nkUdwy82O6QKSmTCd40laajmetHdjV2lSB9PborYTswDO5vND+aQN30wIAFm
BZ3ZZxqgbbu8qhJl+amji1OrG/dYOYgk+erqidUFGc2vjwM+kmKFCcn0QbY27KS4gfnkD0J0ym5K
OhTZ27CJvtLpih/wHHHilR6OekXrIZYpPrBT/V20EW6mRdikt6XCOAKVp1a5FSU8FBpWZrhIANr4
yYRTn38e+j5j+J1WbICuVNplgQsdLcJISb6GqF5Mhy7OBt3Hm8C+xbUjemBojf5Nb6fhVrFi99nq
6QKQZbTuY9KVLSrvGBvcMWpS+rWqiPQaMF9Iod005QtaHRGNKsl/o4/rcHnWTj8cIoivH5I8re4a
6cjONx3qkIxSH9+U3mw/ksFr3cERckL/zaSRppWhd0Rg3GJk3SKIvlIL2WARILI+C0y6QteuQtMd
R0O6Bj6yaLXc68Icmc9Kpf1ao7r/rTKaOb9gtuJFN1YtgOvPdKTDtdcRzV7m0OJEw9UqnyJ+A40H
WxrzQZkLJQwwpm20IDaK7IsbFSbVk1bXdiATxXnoMGNyAl0vHQkNq2qKtei17EGzGTLShZXFx9Ez
6JlhJuh+acqpvHGHHAHB3ELHd82wycAUUMZhGSiaUFgcpSV/wjcdkSfMs3x1cNV8o4R6/F3HL0es
s6KuPtlR1LX7zu27IhDGGB6QRwZ7XiPDOKNThNYZfQGaI5vOzpZWXWsIN6CxOIW+bYNZNXQFkEOU
T0W7sbS+uFq+XY8hfa/vwjFdMNDamN6I2oGiyxwhvA1xcEYG3yjFjehE9Akp3CoOVKbm0Y5F+zGY
VDMML9rY0JGYYtu6VW94uA+BA6jilSnC/BkOteEEzUCUo2NbYO5Sxy7Kyc4whCKw1doaV6hDtLf2
rKWR34f4RqzGGGnEwEwpM32tzpV9bVb1GPBZz1+cMHIfKl123+bCnY+5AwQoaL0oe2rTHhFLrbJp
rvPC+e1QdGe6NEWU3bfMkpZxiFmj7+8xWkGmpJ7u8dKx0i0yiFnup5NTNovEUxoHCDzCxda9Miw2
BiSwdHHNLh/ZNRre6IGFX90+tTBEseY+ChqD0BowK6wewJw0lzJxEZErxnkq/G5w03hbt5l6F82l
O67dwsBhqE5NeTENjl6tbH3q7wwnXiYfJT0Q3wJCd5+rMroGkz/QYpx0ZFMQ0myQNsRK6tpsB0+l
FxrRXC+1Yf6aR9GwT4DKL9qerTYGGgYnMpjmortdLFrwyshM55MoR+OzZneREYD3bfFlGFwMa93Z
Mz/iYKHdKWqJjobeJhxXp6+d3aCVEjp6auGnySQisjexYuciGDzgSYFaGuqz6piN5rfmUErfLQv7
Bt8Hrhy67mZ7wK6kNnyjNKcbJePnBA1ughLJYb19xL5Dv535F8qGOwwBwslItAcuqirbW73UueUa
4EJJnBjKGubQIptVtBLBfu7fGjYRXlAr2LCSPwi47hOGhxBBa9tUrrzCm2nmFS6nphD1gO9JYbvf
e+wVEKIS1az4xiyxLLTA4X/h/xHma+gl+ufIjJObWtK4XOdDrfN9xbO2L0a04AK3Rn9shQVTcu/N
Ha0wC08tl/aU0aHGOpftJa0lsClR69VOEE8ETV9qavYyw1u9EqOuR75ZCbPjvmAXGUSV3a1WmtW0
LzKt36Z56wrMVmxBW8OdcCZwQp3BhJui4ImJa5h90owQ9qqiWeKQS6YwSPPNXRIUHUZW+J54zker
AgDFDdUaDwiXafMWzBfo0LKDJbtpB1iMRG90EdfmnGCoMNasxDQrrTpfmlM57yqGkUWAeQu2UaRO
1gc7mSvQVDHvPxjpHN6kHnpta6eWiXlgThghvwk2T65xH3RxY7bJkP1w7vUXqYylRkYRuhgSRtFT
N0pN7DPLQXm7LnLarZnbKne5VjXZKqbREaFvMiVyo2WpyYhA9PIWOcgm2s/IyDgXhSnt/tDM7vIp
TVq9qrkS0oM2mVCLad1ZalC5zaT47dRrd8M0GXfoVDI5dAqgsBAl060lZZFu6sLN2yCpUc+8yR0r
I81AArHcYNwVk9QOXdRZR/JT19zASMnsw5z05XRtmBk9WQVLWecFjTUMQLlQFFfez16io0WRjOD4
Dvht9fEj6XGab0MU+IaDPs2Gtzdnparu2qZuhw1+tIN2IQY3bDdxqmnhFyaAWbyxRum6H4yp9MTB
wuDJvDOm0NCDTlPnc5auJzU0zCw0jtkYepJYStO0e125h6mu2HWKqB2NcO1o4gSHyYpTnOkrnRKL
lmVcRvWLAx/hmrbP62W8pi5bUsNsVZvjVJJl5OO95nTEThJMxoK5ptcHu65SCD4GiaHaDKgZYqr7
4Uex9//r3v8Eg/pe3Xv/nJTdf9wk35rm2388l1//45gI+S1/rR734//xt3S2Zf9F0xMiCgBCID/Q
sf+7FFb4T3RDYasaEIY4Ov9Uws5fmsmfBigNxIpmqfFPJWz/BVYP6BADSbAnC7ngD+TgaHtxYP6p
hDmti5c2DhQYHlOmgyl9faBMvJ3jpOzjbTwb7c4Zko+suRFtcXCSTvimMeN1xRR8nWtdHGAsifjw
5VyG8PT6dBsvczfJzcEUBDRFpxlPmOvaWJWJtVlS7+lJcWkW854cfKNW6j1GW09Dk383mapMlnMp
bWUfjaUK1chz+eTTrzLVLwbPfHTjqve1cOzWuqw+MWZ79LTaC5Z/SCMrW7UYqwWYTL0UjEp3yTKa
sU0UinvDeZm19luBhvA6xCuWfNJV1guwcEVafMsDXxlm+ZSo+q5i0IN+dRitWitpffSqFwcFL8jL
ueKCzubjPM3zLs2zYzOase8ZA78gSb+7Y5/6Zsa8OrLEJ1R7nryqWJdauO8kleSQhvupd5idsHzR
ZS+q1XjbAuGuda+V9c+flQBKQpfU2uZ9WQdVSqWgXI+1gbaum617t3oaJvsKt/HFUyf5Gofuh8jk
l8wkLavS9kDjdupjEff1Dbmh6yumkgfj4La+DlRFOunXcGQQWmUv3D4FFzfzY/L6K7PSPhatsnKy
4am3p8e2ZeeSDBXfqYhfoCFezNiFBRSo9Zp2RR20oY3MZrFO46ZbI058o3jzx3ngPekWewRhgQJa
3squvslUgarFxPNk3uwFA+3GrY5aLcKeh2aU3T53g0kgEVs47qfO5IaBQbfJwQ1yUrjnlFkNRvMz
9pS+Mygx6uYlmqVV8hK243TpKnm9hm1L/jKZ2T6uhIC+Th4AnPvWJuXBlA1zIU0x9k075hcJ5kR3
Zmp0GzI1ndLbGPd5OB079AlXTtuYpKH2uCaRwmyTGSBW5ZjBzi1itSXCuIonkadWZYvGBm8H+fd2
3XSIWfExI1wEZ98vzXCf4lIILsDcgtRIUSk3tspiT28X3dXkdHhWxRzNfIAaFs8cdtuSPnLq68HQ
gG94FxqbZWrl01z3w6q0SAmFttfM7C5PmxtHZfdj0d0U2tUUpRtdZGeoqq8bpnz/sMcWrBwY3YVB
edpyt7EeNSPpRFs3rwW+WRawUXuH5xvemWZ+BnB8cn39vRpsPGQOWBXc9uto00tNU5Q4jLaOS4oE
S2rbOHKrVOUnZptzmF0NWAh1Hc1/jDjPYOl+UGhehbrlUQmqQAJ/IBFPQl1Z4DmHr020RW7tBbAu
tYIyBfo0EuAGYs2PjSgwhgvzA6k3tes52a2lfX/6C0AmEtKJtNBkT8ZCsDHNQlhatM36nl5UcYhi
+wLETTCZ+boKszOv+4fuzsl68KW4L8Cto/ymnyQl1BMtzlxsbgjtx+8amzz6scmuu5pPvhk6LAla
IFeZwDnGGh5T0z529Ysuml2OuEvWjWjXJhurKy9hjz7CTF0V8lKk/aNbuRupZzujFleFJ7bzV6XL
ywCIzcqZ6rUGMggfBeO2nFAbngfnoq6S53RoL3BdvEQae000Wqtu/M1GxWOF1CsjbXT/aoOGqKgW
EBRzzxh1+BQr1dCNG+TUh2dheB+KiKiZqQYqyM2sBP1gfnVE8wkZ55KhidFua6ndxiY9gBwVnW0e
gW6tpvlRF4RPV3/MJvdDPKuPk0g4ZI17BS9qItGN98gfbqpa2dVwZX9OJf4oW/p/UUV34QL8zyq6
/4Uwe/Ocvx4iLH/lZ+YEK/kvNNyYwBuwdix84/87cUJU8C8GBHSTjYX7Snb1r8xJ4e8wQqM1aWsL
FZ0J+r9SJ4UpgsMwnX/PAEH7ob/7B7nT68wJqUbVYW14iabBhBkq8+tYNkehmTlWrx8yVwMcuI6S
vZ37GCpoV424VCBm/vJybn5+tv+zqO7P9ehm6XA+qb9RSnu9Xm2aqaWISTsw8cau+UkvvjQaKRjl
5PsLLT/8n6jx90IMli2LyQ13wkmQLpwG/fI+0g9l614gHRC4bhxk9eqPV8F8CbYh41WGyurJqDPv
yYqrojIPEeCXDx0jcq7UxMGasDV27y+1hLmTB2KpRYQGehl7f7KUgwh9GeWNeRCD7gaOAyOLbC78
I4/7H68NhvRCozQYLJObv96fvtLrZaZrHspBJCujtz7IaIjXc+3Wx6knnr3/UEt58NtTMfqHbIbC
IdTzk6fqaRgL2OHmgSpB6oFSOMVDhSUF9tAJnmq8TdBXfkLXBw9N3IUBhEXNs2xov6zaymstPCCs
cOCanxvmCghFPct0qKONBv4LI5s4TT8gqz/jfKCm32PRDMkK1dv+c5Q4urzpp8HbpXUGFC5jwDOc
ebyT2/rn66QsWdTyHNR8ThMT2Q6qGcFvPhioI607TVxhXBGtFvHqnTo7wRgq17QwnlDbnfd5q4BB
bVzjzA16krD8+BXw+QlAZCs2FM+Tj9yuQ2F3PS9ZNxRtpZONmV53BNuIcv+UbhTqHKvGC9NT8Vs+
6yr21ktgPMAnAguUWeUp/W7hs4WdMVsHM6sX1kQ93ZYaXY92XptoQB4QpoCkomKFbKcXmdIY14hk
2WdwO2/8CljslIaETsjR5IqvT3YH8KzoEmkddC0Tn2xZhjvVcT/3fZrtAMwOlAlqdpTTTConOq7/
EPUqEnDl4v0j/9t3zCVAzEeQgEPvgFh8/TtqnL+NgdntpZ1N9nZCuep+tobwTGD6fc9ZZimxqbFV
PuZTPQIETVuj1aVySTcHNNt+dOqvHgwB37DVIF78vAf0lzhuyTG6//MnhCGz2PqhUAB69PUTjnAi
hiaalUtX2zcaWnv2mXR/CQqvQiH4DsPATMCF4LRM2l8vUOWOJsn5vMsO0CeWHta9qTSbpNHTVZpi
ZA9oPl6//0yvKww+oZMlT3atdZumAH3hXTrXufis6Q9u9kA/9f1FfguGJ4vQMPmVWjJkcYRUt+1d
RmBWy2dLuxjy2/eXeOM5FvYwjTcInVwnJ/cv2Lk2o00fHxRlDtLIDTxdBmN0i7Pz5v2V3jjnr1Y6
2aShTbHemOP4ILVwgwjAVibjx/eXeOMcLEmVzQ2MrBQUtNfvS2D3gaBxGh/oCMTbfhYXcMTaNZ6+
l3Smp2MbJ+qZiP7WU3ENoykFyWiRrHi9JDaczHvrjiWjZium4XNjOzfvP9W5JU6OWt9EVA8w9w4N
6ku+4TQRE+pzedhved+Cy+LnEx1gkCIT8fo5qG1kU4cyPuj6bRj1e1fZTly0Hceg9C5dcd+55wRy
3zp6AAPIdKkcgfqdhAWpTkLPDZaM9KMawdmLbpXhNmmjf2eL/lnn9IjTX0ud3hrig501W3PQkAGa
wFG/v0lLi/okBC0534LyMYD0nKo2qXkIfwNbrYN2bZdrkNxyyq/7dNq6MFwY1ry/2pu79ctqJwcd
ZjHgnmqKD/TAtros9ghefi2Qdod4uArhswD3C6zBORP0ftyJ7z3lSXamTXYPlpp1G2b7OKK3GNtH
Yk81Guv6px4LmQxNP01r/ESijZ1dxvm3KN4VbRgkCi3SY5F8GUDkzlF3jOhOgHZO7WxTeNm2NSwM
ertV6Ua+pqD8Mv0bke7XHToZMnSqI1zgLPGhBlwPdGDHK1yNigGH9Pn93XkrDP260snBHqzOltbE
WYjlbaPWV2KOccH7GCXARxTZ/izD8aWJvlU3P9/+rxWUvnyav20KkjwIDyIZ5i614a+3RO9JBcs7
Iz70FpbD7g5HG6990uaGDqL8bPS0CKjiRvEJxm+BCGh+m9YlkJJpVc3OSpb7tL+10ykwEKxynQ1k
gTOn9Y1rzHF++YEnbz5MZaw2rkfkr3Jvo5L6XclRhUgwT+eu5bdiJRriMOEpihb09+t3kaijjUqm
Fh/yKm9WEswvI0vzHNn+rcj16yonb3zq7ThkOsVnkMCIbI6D8tQhAlHoxZk39+bj0OtCnk0nVT/N
lJn2Whlla3zI1A9xXa16/ZwIxFt7A3P17xUo/09fGF1CJOfiQ6fQgfIa321u/508BhVtW0c2fzHO
OSWhy6qD4wnr7BBqt9GE7roqAsWozxTEbz6KtSTRlKvkgyePUiV1adRdSAjm6Cv9Yz0/DfWZquHN
NSDS061gSMUM6/Xr0u1KtRP8TA9peYSyGGTtNrXE6v348XtpwmUMlvhfq5ycYgPMmuUK3A1HvVT9
ojP1VWtH8cUcRvU6SfWjbdSfsJcL2sj6bLVdARupGc/8irei2K8/4uSQj1ZkhDS848M8YvEpchND
9zFB8GIC8g/Sca1iMPPvrIkeOgowNAGY3b1+vSjyqCKTbOFFMfWgQWnVggYy9evp7v1X/OYX/MtC
S0z9BZMPHVc2vbOEpB5HA+PZomPDJTVPw5knOrfQSQqfLlVLP7rxofLuOzTOAf0FlrF363r9/hO9
eTJByC1uDSCQ7ZPTz93GHI8Wx6FUHiIwfs30gGXtmUXefBpA/GgtM1fytJMzIXUBdVJJE/io3x1I
Q1mKf2q+Mhmivv80J2yGH/WVA4wUotJSn9MWfb1BoywVB/5hcugNRCOnbuUWWzEcy5cspjFR7sZA
Tf3ZW6nlpvUSXzmzbW+8TQSV0HWAPWDidnayfDbkmNyPy4N6D53xEFN/nQslb1Xkr9Y4ORo69sFI
gLAGaKQtWbCzt8HF1ZtuyndQJhi4fVVc/cwOmry3k2RhmRMRu2h+0A84CS0SKByJapQc3HC4TQXk
QNWO/fc3782XRxrMMgzgaDK93rsQ8KbSlkVyQP5wQ2msGNm6Acn3/ipvPskvq5zECmbsaYdwenKI
w9yXDkNT+md/vgT9IZD0SG5wDpef8EuUqARKnqrXJYfZPcqy2USYrby/whsfFIUqfW/Gd4jB2Cdn
wOvjPAIui4+t+pjox2Gs7mL9aKjnZpRvbQmhAbAGXBXIKicvKzHAfubC4jzb38ziThkeoFuf2fY3
ihLmBv+scfLNVC0jgzQ3k/9N2pn1tq0sW/gXEeA8vIoabFlO4iR2hhcig8N5nvnr70efexKpTYhI
DrAfNmAgpW5WV1dXrVrrxIBoe/RjrXTbXC8OFNuPaWF9ipw6fpDt8qGP4rXn19r6hH1sJrlETBbb
tf3O6Z4i40vj/Lr+qV5Y/MSjc74+wRsmO1SGoTbDk3SHnPbBuDHHDTg6z4d+5pkhp42lHPQWgGbh
Wuna5i45yrnxeQPOXBFitJkIVQtPcZtsxmxXGp+YNkcg6sf1VS7aoTtiMNbINJPImmhmClzcAMpP
GZPoO6MO35uVOm7qKkalY9Dtf/B/DSYwprR4u0DYdbksK9YlhuAJR+gFMJBQbE3QFGW2DemHXl/Y
QjozawTA7gRVHqUaISgNul5CDkS0rZikJg9V0XE1Q1AKEFPQ/71ubOn6urAmnDdl9GAGibA2VVvr
UypVmyp5QIVtbgDXdy2YtmJ47PMZ6bHz4TFi+HdlZxdP4zwpqpF2owEknMZsKBDatYgsg88rG4pf
kOljb28qudO3sFh4mwR63201xv0h94r6/fUdWDyQZ+aFA+mUqtIo83ZLzgju0gIF87havHzJAsQj
OYPNXuIO7CPCR53SwJbktprDGrQM0tuyC/HS+yj9HHIpONUn61HJb8kltvSHVp4CCxUfm2FLePpe
9NNELZdWNiklBW14ehpzUFY03hME5nOE4gdtr1n/8Lq5MDcf3LMAAPbRT5MKczK0z4b1kFTPU/T0
9x/tfElCeufr8MGqAzaK7pjnUN8+jMbKri1mPRDRsWuzIgN08pfr8Dyl00C+E6mD1iXB2+T+e78A
sNZKP+GFOsnZ5LlZd8vMxgqZ9bJpJCDpO813umi6gHEQlTsuibTwNej60hB2knZA+6iwD5acoITu
ldWBapVygvyiP5hp6q+tf3b8Vy6rwZtHiXrW5xGKIZGUhEhtyqxffchNGHfjttxOnfYzDat7Rt1O
mjTdzkUwrZB3iXToelTQ5ZWu7tLp5Knw+0cIFSq5QY051IfwVCr3TlVt5PphtSmzeD7g3Zo1/8jj
xbKrbdSwtDU56UClxC6jOuatYfoZ2tCTcRsXLRNn43gnG4X+47oXL0V6HfFE+F5pCL0CLZu9nuZd
guEG1fqj0ukH0NOTa2eo2Fm+YW/Dchhvr9tcTA54LoA6hdyWKQAh3LbF2EVJWxJuDem+LR/j7kbV
oPBp9oq0daiutfaTF+u7UEl21Eh23ZfrP2ApG0Y4jxIgUDDlFYS6b2wP4Pucc0fevdXoW5otKzfK
otOcmRCcxo6g3ah6Em45f5qK0p3ke7isVq7pRa/5Y0Qs4lRBgMJjgBEpLT6Ta0Xxh4EZqrQOH7rw
R5Ks+MpSuoNzoiIK2TF6rOIF4nl6NToFa0qP0zhukuRI7TRIV27DRZeclZVnTDKzw0LQ65TJLj0T
lxyYfmjQ4rKMrwmkL0q4fu4Wl2QBe5x5SamCCZ6ogLBEtAdb0WC7YchgQP6rUEe4kNZC2aJDWDzw
VD4YIV1IiJ0+KZqiJpTnMMoN3s9g3KsoVhh3U+K5t45duLSOmAbc6KbrkfmYWbfvx5/XHX/tR8x/
P7sXs8biMlE4eFE0c2i5TXicwu/XbSw6JTWP+UkLMkoU2GVEKJCBCoQnh7TJsG8GdCmD8p0f7K1i
700r1pZX9Mea4CzM8CDNXPHqNFBlrqCtrJVNETxcX9JivDhbknjVZ4CuIQIkSKqM2HlffXCy1y2s
bdr897MPY2nAaPKaTcvg/jPf+6m3C4IJWDQMbU+oXq5EJ4HU+aViZFOq+f2RhPDUDlZUDV5HxSjy
XHV4yxA7rHdv8/B2bmy0EI8NOfxT8ntYMQ6G1m4DwLpob/bxGrRkZW/FoBKbSh+FEDmdgiRyI+vB
89ZEoBZdhMFz4BwAeaiyXO4tMhlOYCUjUTJsf9WtNd3CmfIZPHi+kjMtBpMzQ8LpAtRuQMvEpg7x
NyWNmSEg1U3R2uvqFXdZsyR4PZy7OlgsLGWTcVOq+ZFGBE37bZZ/u+6Xi1/nbEmC5yO+1xZQDhIw
Jr/fhOZzHFZrvr/2fQTfH9F+zasWG5P1mMI5ktXf4QXdXV/ImhHB4QFvWlog42Y2HyX2ftE/X03i
lr/KzIs8E8Iy9HDpaHKk10w242ipghRLBksmbGzycGrCFUdbXswfQ8Ln1/wscHSfHbNK8y7Vnu3R
3kmVveJki/cwnMs6EM15NEC7XA4cX1Y+qiTfg8+YDlIZ1gZIbr6JFGOHdqNyZ/tKtBKYllf2x6Zw
VvOkBKZoYLPtvsnKuMPjimGNt3cx2M5U5GB4SDHEgFDIfsCLe+JVkf+KE+Y0YPMJnzsZ3tI9g0i3
f+958PS9YJJNGKEEr8iaqI2cwaFyHWTyoUQxcIsmTH9gAiVZMfXSUhDfS7TDZpkzeoggpy8/WQ1D
U6uDvQNgM90woQ1tAUWwZFcH+SEvDk6znx+RfVzv4o4R3unBsNoPTasfaxk2BXj3NlMzHq6vf+lU
MBvAmBmpD9qnwvFW7W5CAJffFIbDllROyX4xPLsZ2t11O0uhCjJtQDK0AsHNCYeij0b4yuwkOiX+
+9H/RUvn+r+/5DXn/74QCuFxoSIkpdEpz8CpwB6ioLnrfyrGlnH1dputkSUvvsDBEAMDVBSZurdg
MIgNvZyaeUEO41JVGev7KTZRqh1y68Yv1Bg+CMd3SzN2EAkY0s8j9Mjb64teOo8zWmuemoF9XZS9
16y4yQ2TRSv+k+rLLo0dyXy6bmPpw8HvyigQEH/CjHDm44zB8QnK4VOWpI81r/0NYKc1JvSlYEZI
hj+bOgJacUIwK8MSwZ4xi04llABuKwedK4Nt2XZF8aMuoMBIHHNYCWZLHkOD0STTYvgTErHL00i9
thrhOI1g+Ln368fOSNw4/6IgfZqm96OTr8Tr+QoTD/+sjeSovGbgJReeZ2HiUHGH0uRkQ/YKSYDa
fonUmyG7CQfvnVK84/254h2LFhG4URlbUsiuhNCWa3KYSIkZnTroseNvuQ2xsjk2LvNklDJhgC6H
z6Vh76/7y4t2z+VCUfwDYQ+ync4cLZrLfa2NIi2CwQe78MPa68m2TO+UxG2/e89UaCADcoZTOR70
3gXx3sXHyazdALDGPDa08kvUV1vOL2FMYlav5FksKrOOgVxCBwAqL+55EjRoM91IlffOHMtb2Xjs
h+d5DrKvYMOUvDdju6bS+drBME8fDK0qmlXwMF9uRFlY5hhMdXDiLtj4MaTR9H/hrXKbXaN/oYu1
st7Xh4jZGe75WXIMyZAXyfSzV0piFVmVtWlwKlEuD7uvNWwQXf8jYWIxjQ7X93bJFrOIQFTovTLO
I3hzUkhpgL5tcNK6AursD9NHyYJMRtqk+l/X95ion6nFAEEBtxEBN04bWEGcc0FL+q84IslJjkoc
rsSC10dlJqQDBKPOzPfE0stPlSqNFE4ppZoGruYqfSyHyHW+jeY3KXtWPzn9yot1wTNm/jtKW9y6
cxfz0lyVqoNRj9T60QCnmyBtNe+T7u3V+NbOHRKen9c/1kJv4YVv77e9+aCceYYE/iHMmFE+KWay
LzzF7QrjNgmsg610TxooVX/4NTVfpdsEkui1isNCPfHSurC5VWAz9Mw430kKpBuLCfB88vaeVRzr
8BjF3r3TQtZc2Dewtu1Vhj6LznDJ0VdOx8KFzc+YGyvMrMxz+7NLn20Cgxo2+u68MUxnuFUbFaLg
r2P0xAT1oYYeQ9O+jC2MPNra3fb6kuZQOg7YYOqZ5H2CXS+VFTRDk+DkmPHGRsud1gdd1TUXXiga
ANoGWjfD36n/iT5MOTU0xgRs9TT+lA+BvC0CqE4gOQ50hcnxzaNxax6m7iaTNnm90iRcCAeEWYrj
FojhmULycm/nAFGOfkhVyfqhDIx2Rh+hZ3Cid1H0Y8WX58giXC8XpuajfPYZbavVbanHFAoF0fic
G29m8QLTf29NB908wnuQ559WbC5cJOc2xSqIPqEIQLOD8wq1WP0mMG7C/A66sOF7U70PYLHlP5j1
aLisGF5aLC0eqiIUJXkEC/vqexXbPXB0guSkd89y+S1+rmXN9WMUApqPug1Jn7T2GJ8TH3GHTWYm
+ZRMypGsX+6wlytVOw68X4cKejXb9WyHmcnJVbOVMLjQWgZ1d2ZJyC1tNLpUf65zpVPrMs0m1Z9g
yd7xJNIcZifdHMKEUb4LiuCdqqaHwHnvjcPKBNnS8eSdSeEcqVZwYMJNNtTeFEFzSq1NkiAxk/oC
liHgCKYWrUnsLB5R3gwyWN2ZTkSEyIwejN+pMoaMVOYwjTU3SfHWT2mB3pS6Hm90+0nRmbKEdsnS
093cxVOT+BRE065SvcfrvrVw5ZGJ/vktwt6bahdpbU7fLKOkV8Dvj6RLbFWwp1mQWaWbKAjd1erz
8mb/MTr//ezwOgwBzc9tYjAMck5hb/vM2tv98z8szaHFDEULDzRxm+sCCgfoqDiuk3JT2QetdbZN
Y25tvXqO7O2ka4hs/J3M/FyzZcITdXl02nhSUJa5XFqeda0pBwq1kQRQfoc6BuoiWrtyiy2dzXMr
wmWioqZglz3FEVVKDk2g3rTlg9ZTGFjrny8aUgjcTKjOApfCctIBSjJYTnEPCl07wGPFITcgvOcA
7pXat1eyvNnbxJgzVwWg32HihHrM5e5BBW6jiKszszOCLJkexrzdXneKxQXNo3Wkx2hqi4WeuK3B
7UnE8BQyBc24V+R8J/nH1erfUp4Bo8MfQ8LOtaOEhsBsSAmMk5UGuxJF8mjobqnib5W6MzfhNOxl
J/pBWeDL/7ZIwT0GzfAr9Dg4X5DiTPsyeQfT1GYWi7luZ/Fz8a6iZESfFkLwy89lF0ymeQZzGuRT
LqMhWjrtrltYSJFB8s/Say9ZvyiNpiUwATKYAM4eERqamB6Zsql8TppwX9AOtoaVq3YpMjE5gHgk
iG3eUMJXGyWti5joC09j8z7qhi2Uo9Bs/p0w3/8HiTMrwr6hVizDSQoovP+VN3B3Wg8g+6fi2/W9
m/+VV4fpzIqQNRRkooyFs5YBBv84KXflgCDGmyFq4WFc+U6Lx+rMlpCOQT1MNxWE8akt6ns7Go95
8DyUn9Soen99UYuGYIegRAngRhZR1G0sdQqsieR98rjVyydlRJBD3g4Q6F43tOgJZ4aE9AdsEkrd
81uwVgoSZ/hwtiDxvnoZUjzXLS1+J0YVwRA589CgcAVXaaE4Wcx3YnjbHbVjTIvtI0zTKbyJwa/r
thbP05mtedVnN68CGnKYIkAVFpSbb/vMkw/paL9tLOW5qlHYzNLxuylP+cqxWvxqcHnYBAsKleKx
Umo11YOWDr4lN/nO8hkbyDPvQ6YbzGcH0fAvccmhVmCZDGjrIpCtnuRRLw3MJRaFSiOHY7BjmmvF
55c8hLKvzUMS0hP+53Ivp8orrKJI/oNf4ww32sN6iF0zIhysMLbTzp4hKrFybIyKcch7EzbP616x
FMdnDL0GEwuPYrG46xUlMG1oeE61pZUflA6+LjQU8pXX4ULjA334MzOC80V+qzdjRtoHr3x+k0Xw
aQMe+ppUUbpPEicCKquMW7+a2h1Se+bOU6F96zwpgEbNNHfdhLZan5jaDVo3Dpnp5B/h91idYpiT
DDFunv/M2ZnPzsjgq+Z/EDSV6uZmPwvN7QYfNgHNuLH1Y+vdaU7s8hRrVgtQS6GAKhfy4frMPCWS
aWgGZCAh3KYnkoU74HP2rtKzHew1KaWR4C3spSsHczFNmXM7yK3llyrp5WL7kXaUj5j3ySgKZ1e0
Ur5NUYbeSFkf72K1ijdl62duZvMgKpq8+IIufPYPoXZmUiBb0l8O7eVvSKIesQxP5fJQvjLl5kTQ
SMXfr7v4UuCblQxUSHEN9CaEIJv5sdqrXkyDy4Ix8AhH3Hamts++0o3365XW70vl7pULnVkTPF1x
ckR0NEJDqMp7y3PlcSTLHB9ocOy6pthL1ddUG0lo2p2t1rfXl7p4mtGymZXAmUIXU1wP6TRHlggZ
g5duFTWfNdhWAsYcdV6t78yEcEQktBBGqyfA6mW/j9Vwj9x8PbY3kfwx155gOV1NzBZPxpnF+e9n
h7Ix+kjSJhYV6T+SAQ4yJ4BcNYYiZwyeUcW9voWLUffMmhDaU1lSETbDWyKAs1NZvZ1jLqoP/1B0
4ErUTWbsYRORBTfxFLuToxdEe/ytjL5H0XF9SmDRF0nPQQnPtUcuxMuda+mtJ4FMdSWJ2rsmz90o
/TiZoDgbc5NAWW1rPRPjqCjbYXsYU3Tm/n4vqR7R0kPnmJaXsJcKxM5h3vOENNRfCfAXKvctpq8b
WTje/OvsIbcxzRyxyaJpaShnOUaqjj6OVm+K9pBE2paX8jaHALLPVg7ZwgnAIBpLQBQIneLlD5Zg
tDyFViW4KDfyore6zE2hQi82Ok+GER5b+dhYa728hTwK+CODx6CsVXiyhChWoVxYtmYZnSqHgpFp
Sh/rML5HvsFDBtBK/v7LEUXAOYMShJrBEF7juR4PCdoCL836hL5Yodz39sP1D7dwri9sqJfeaUQZ
yHAvik4NXbERms7YgqB9uO/bpyq0t9eNLXrJXByHqokKvNga81DO05AZiU769NLcTZtNaejBXvWQ
Hsjl/ptU+jmPSvP5ut2FcEJ3h3cskyt8OzH9zUnsZST5opPT2/e+19xRQ+2GFfDqQtgnDYUNCcw2
xSdZ8I0aTlXZ8TFiqeAqnnNrbYJ1yfmAgzNw58yIXzFaDQrku6lsRSfoQGxGxMO9CWYu895f36wl
jzg3I9wttZZ5vBboV4cJ9BnJHqFL9Sas0q0efb5uackdzi0JdwqFGBRBRxZkjXupq1CzleXPA3oV
tGeRxN0l2t8Ph+lwVv3ZwvkXnd1imU5dGZbX6KQ53wzr3gx3XRlsGI343xY2B68zM441NjU5UHTy
lVu9h7lFyk9zhSF+istqkxTVSjBc9O8/yxKL51GnGY3lafg3fMwFCkZuPbO/temv6+tausvYP1pL
jJpQoBGhU1NsOHEmeWAZMjA1VvpF1dRbua/ewOT/o+z2nfxcPRsBRaIpl9eIJRbdhV43qEHomGhD
X+4qGrWVV2sS2CIbWFZdoHCqZIwBRwlqL+quRPw4+HF9wWsmtUuTEP14U59isleUt0kbbAdYqZGl
RWWmvtVhWQ78/B8C8tzR/+8qhTACk19WdGocn2IzQrXE9PdVquWbvFekTRUkN2nfxSsmF92HHGh+
HcKlIXaaigkqyWqGfarJrqXxirrNpjZXSsuLRiwaAYyzMC0pcjMhulgwWkBhXm+/gbIL2sfVRtbi
1+IxNU+sQNhiCqc7KYIIukzeMWEPNTXidpX83St4SwFEU29Ub+V6Xj4NZ/aEYx5LeZBlJfaKMHrw
y34zFUfEYZRw36n1TvbUTardxsmXYu3VuLiXfwyLg1COVMoMkmtUSZXbTGeqDEUv2sHvrjv/shXA
YPOVyXkTttNuUq8OBxM0BkVYKz9WCUKk+uG6kaVbE6o4OPrh05q5uy5PGPRh8OenGIkM5RRXyV2n
e9+um1haxwyBosIH7QJktJcmTDXo56c+JRxQzWP2TXceYQX7BxsQuIAC5xe/al9mRpq3CKeSjjZH
idmsdKw2ESXf61aWMgAQor+tKJcrsf0OrgzTJ85XD5k2oeQNs1V6NCRj5UJ50ccQHpgzFvW3JSHW
mkPi+WnecFEGfnUrJeiDDUCLbpo2GHZViJyRrzXWgyzB6FYijPUuUpOHuu+/WL0VbCR/Gg4of4Wb
QrfzbTCGJaLr7bQZAhnC1cr+ZJs+A8s5M8q15ju3JTLsmzREYs0amvbUALaGOpBXSufXaywPi+5A
8jkDm+kAiygCr9CgwqDoeZoQ/7CSZkdajSzCSgrwgid5tYMMRDI+wlAqaLDLb6V5E48lH2CqkewB
qB4dbXRtPZ2R+6gEqtGjmnxQ9RmnCu6negjM6EmJSrcz32nZ9zYKtmi439b9GxhTU/sBGPReVh99
SXWNbNckCKDDVoJT76972FKNEGUWACSgZWiPiyk6KlQoWQQFSWZxF/XpQ9iBx5zyWyOItvI4ncYo
uG9SUL1ZGTibLoBgFcHxsq43uRVuVUs7jqG688pRXom2i5/t7IcJpzjWzKioDUC2ZjugCFRswmOt
ezfXl78YjRj0BPw6c5mI82dlOcKdrlYkbsP7yIlcWV6JRYsn+MzAvMqzzDCoy3qUQgz0yRZeRL69
qn6I/afry1i6CNUzK0JijbiVwxfg9KrGG0vaDoBMYfGrJIcK708+23VrSzVMYJXMP4PewGvEXWvR
4bCMkk9D/qCpk9tbjAkOKbiR93W9jSrljmdrJ61l2fMJenXCzswKe4kGt5JPPSWAKtghwLTVyQLR
mkeGLLA2tea45qBsWqVcgxAvPZDOlzt/47NvGPahncTzs1zz3soASFiYwtyP4ewq0tDre7toi0HS
eVZhZlQTIj6aWd44GnzJzjomTextYoXh46S7qb2Q2uIaZ+fiITszJ4T9yDLCTq+obzj+NzoAzFM/
5unKVbmYNoH3ho8MiBzU6UJkdKpUN/IBCDYKk6arFMFxsl1l+uYxWJpCIuE3hyKVnmC6zKro8V/2
87dtMfhnSHp1Q4/tPnnnjfVNo9cugIpNYT874b/Ub84WqgofL+hmvXELaLvE04FcPskPLejDhyye
0n+AN0J5D8vKPNhBT0x4qehKkFd5T2nlrjBKVy2gCZWHlbL6ojOe2RBC8NRCCZb2SnSq5XbTNEjU
pN/MKtqiNbihMXP9Sy264pmx+e9np4zjMOaw30an1Co+KVK48wzrp+yY2+tmloMXQ55QRzBMLdvC
aTbb0m8QQyWJ1yrE7JK3hWfcFekR4eBbKZ7eFNkROaX0+4rZ+du/Cl72zNI08/7ReL5c3tDKmZVO
mC29eptHlpsWj3r5sek+DkWy0VB20egGHaZyDbq0eMXZ5PNcAtALvJzOs32VuPWjCdJ6SMrRE7XC
YbjtPbk+XF/fmhVheZ7COGelzlYgmXQlqxi3Xkz4um5l8TalZz9zG9LAEvvMegmAOx3IurUoUOdK
sOFOicwFNAbII6nKP5mDAIduHbVEcz4fZ1sXt4MRaCP3nAytvvbLgGCo+Rhl6T/s3VyTBc9DXxCF
+0szo6lbYd8ThJNmoht7O6KbeH3fls7WuQXh66h+pMWqWpObWj/ymqau97YsV9OCJR8AsQZQBBgA
TKNCnJfCQUqknnuyqo9MKg7+1o7iraOEW53cf3SH5F5JbyS52mf++zR7k6Hme32dSwGLERj6BJDu
QaQx/8KzDzbGU4faAB9MhzsYvmZ4g1p915rGNgvN7WTEj9ftLe7rmb3572f29MRpnCbFnpTat8y2
ulpb3Ev5uJKlLkH5Ge3RdKYY4SSh/XFpp/STMEkHhsHarthW1r3Tj5uiPFLCcRWrgzYssDcprwUt
20oDZLwf2zWm7eWV/vkFgo+GkVygTckvsLOntjL2U+og+7vGQLnoQQqQFUbSDZ6jwvfr1E4y4obH
iO1p3wPftN2gUKbtv3y0P0aEjxYx8Zx589AbT/ewVI+28aPxspVPtrxff4wIt0xs1JnWT3NiFRY3
aAlvi0G5WUWLLlp5AZFAScas8fwuOPM/uyujHC16KqRmyUR9C21U3SXDZpKkdH991xaPFgOrM8U7
0FNbcMFCyQuE1jAVKObO+iyN8WbIb4zeR8/wX/YOPAYOP2sSieSPSZAbFCCmudUnu5n/dYaM1ulK
eXLpKplBH/81Iji0pjfo2MqkG46KLqMy9SgG9aO11/Q0g3dHWwPsLe6fMWsz8dCe0b2Xnyq07ApJ
F3RkbVNSKBU1EZqEYbCXlLjaZo5OcTtEYvr6R1saCtSYQvxtVQjJepAWU1PRKJjq6qjWk2sq8mFU
oI3Js93UObfW2G3VbzoS3UPo/ATZ/cYy/JMZvZvi6KhJDzNaYmZruP67Fv2W+TUqw8DTFLHSSEe1
VCfHJtejThJbh0r3XXuVD2LNirB4I6nr0SgdbgOZBwY9LefRHNfqmYt+RLv2RZCLETbBSO9nckp6
FZ9y1d7CeObJ0Bohkjh1Kw67vJr/GkJ45tKBUCw39VGSopeqZtzpR9lqNghF/Ut0/L0euvuXZni5
yBHKwvGpcIat6js3ph5vk1UyytndxXR47nL/Z9sYFL00o9cRIuA5qyk9dU/r7B0jqU4Uum1zPw/7
gNdeecssbR+UbcxSMwnMGJpwtRR9H5STTFAJ+g/B9Dx29224VgNctEG3lqozQHfaZpeLUvMitiEt
Jc3Kopsg12+YYIyMYOULLW0dyC3mGElJ57HmSyuSZNV+G0fxKURaHT7RXUwnlaqwImWuVE6bKFrZ
uqXQZcw6YfOUm2Xo87LPbhmNOTpt8poYZH0bIl84ej/9KUS7FAFZt3CgiFY95V/iJeAVeOVnoDuc
s5dGvSFx7K5P45Oufy4yRHXLg/RkBG5YFYfrwWhxP88sCZ5h9Fk1ZH4Vn7yu38/TXYG3r+yOwW0i
klP2/o2srQXAZZs8LJjxYPRVpH/oyl7NtamPT20J4JEGV34oGi25nZwYbZF4kHe853ZhHJkrCKjF
5y+EDb8tC/FqzL2hyCDWO43VyPCc4oM3HO9b1O17xQUCE2xUFDmq6DuwzJXbaOl4kDrMZS0oURgJ
vfykWcLQmYq0MGzV8achG8dbfYw/h6Ppr4TKxUUy0eJAMYBKoqmLiywDO0ehl3diX6AfauzDwO3i
fG98rzXzriue0t7Z1vbP6460dE7OrIrD2ero2V2qk1jmyn3Q3GWFBA7xw+AfEZtd2cqlW+fclBCl
016FBi4ivUxpvdfgdsrqvg59miuP19f0goAVA/W5JSFQS6xJjmeUS4Wqb5jsyhCgxpA+g+KJPYoW
VreP5WSjj/RzvP5zmx6i4Zj336a8e9OvHdX5KL76MeARGCiGyYH28aUHIcebWkFONc+sii06JUNa
7K+vd8lHYYz/bUHY2JAWAzQKWIBtb9vG1o6NXU3bl/2TCRvaLWSCryYQZM8i40PU+xQFyFwz65nL
TAKQEXretp+6Ta4N6qZp2zspWRuGXHTSM9PCIbQrJcy9iTy+SvYK8dsfNk5aQWfcuL25Skoxf5DX
H+zPQoW7yrZSg0SbrDdwHgHpuaYf7lGZRoNKlQ+1fugHqNwc+W0TSSsp5qKrMMZEB0pDae0VCtKL
EMA2ZoiM/832fvn+ysFYPIFn/74QYooQdYG4AlmEjkFRVW+t7GAE+Q5e1JWFLBuaJclmRVUSmEuf
j8bYGZKRIqyu5rshmRAeUg5TtpdAA1/3/UXXID+CK2XmSRL75oYekffNKKYmld06CWd9011Y27tS
M7bVGkB88aSdWRMcMdDqmJ4VGyg59x5SwynszubX6yta3DtSF7oO6D+8komcVCerO1j9Tnr0oZG3
mvY1gvtgxRPmL/3Kx38boaR8+YFsFBKCQuIxg6dJEPDCAaqaTHA/0yS6kbRokwxrxf+lCW5YumhN
4hNMbYqDgJGXBVWvgctqh4+98U7Squ1MwguKda+htgkbw4A8k1XsjFyz3KBx06zcFbC8HYv07xU9
cEsoFsA8w2OtiDBFT4qUuKn5LSFsyM0U3ucvkQzqLPtfatnnpoRwUox9G7cxL7pIDg61XG1qRVnJ
BhcPAW9S2JB4mL4CncHkGvTmwPtHq+/VwN5C4LwpzclNwmizSvK0aAwcFjhqRjHIiS5dx7HbTmoK
jFV18IQ+aaNXe8lHLRRGkgIdgOunYfHEvRBi4JOMwQtXucZd3cTA+KlWPnhW7FbZMUGA6LqRxbiL
bBZwX8BlIFcvl1T1RR0bVhgzXCd9NSJrfCczjPv2upGlcw3kC3Q78xZQNAt+wLxoacRaEZ/kKdtE
6T1FpAboCLjzrF0xtfSJoKsCRowcM/Uv4U3XG2khRX0ZnyxlK0/aIUuCrZ2Mx4KiFBIv++sLW/pE
FjURWEMAFvHeutw9p0w6I2uJJYNsbtIcadXIcbts7fmxmICc2xFcIZNHX6KzTMshOUGxuglgurPq
TyUIHpi49opdbYbiuY7XAtfih+MFTpcAWm2ohS7X1yVJitIlsSLrjnUPA1X5KUh/JlO0/Yd9ZDwU
/i2GZMEMXNpBsxNQbMgbGe6rIq52zEAEzprCz6JrnBmZ/372Lu6CPA7VElePM5pd4CySD0ps1qB/
j32zxrf+8joSrxlG9X8vSXBEL836vh3nWDHuMwn1PQPKTt9VvhT1wczV0zjZbxP5g5lMrt8/BA1I
q7q8ZcZsCtRt6H9Nq4e0vQWp4Shc7u8ZOWvnCtJQGu+v7/3SfQjUH30xDbINdDkutyXMFM+sdfY+
S1xH+qqa0s5ofiIwiLzCLQ8U/1/grOcGhZ2x+1oPzRYErVx528YptjOeNRtX+tOLX/tsWYLr0mKx
hlDGStM+Z5DQS/GN7Hw0om1SrCl+LcVQOuG8CzSYtyg2X+6gBn5OGkbCW2d5P5z4pquHH9e/0WKc
ObMgXDyRNyiNXVIF6It8V1RpBBVW4UaNEe6uG1o88MxAmZBgUWMRh6GCtLbDWqV25ERfPep7cX/s
PUhn1l78i1/nzI5w4OU87H1DoohDRXnoeuQf7obwDnKLQ1F16HC7XvI9UB/bNnPH4c7pi3sr8h/g
Hr/JxoFORr2ywWu/RzgEVQl1bIMw8gl2zyC66Q3rQz5LsZftwW/CNWTU4uckMaJcRg+ZtPDSYWKA
8qbU5Rw5B2x8eay6adOvzeku1axmpCtVOcoq3FGXRlBGdPppmGKayP3nMtAftLDe0xE08y1VrH0E
rncll1giUNNseIOpq7M4OGUuTU7xrO/GGPLJtzW3l2669OghQmrR3C3vzDzf6jqETMzEtK5pffl7
zyWNsWlB8UJ/9XbIe2dMpSTDtvROmrpbJ2cqOWndTF6T+lk6I38svXpAoN1WS5XM11Om8hhk0h7e
6t4x3pH5b/6XNYG+v9xPSkaNZZpYcpKGoerxLdireyltXTmM13g+l3zyfFWCTzpxnIaBBI9SOKHX
Ln2t7HdD9u0f1vNSQGXWCzSPaEOhGpQion5q+oOuB3d+fR/npZtM9Uo+sYjutc8sCSHZqCTJl9WO
8zzaLqUbB/jrzvG2EnNSSm3+9PvxPhmqg5Om78ZIdVMre7CS/N1MIqVM8k39rW6Txzjq9r6vULa3
DnH/Jeinm1GunQ1Tf7eB1Ewb8JY8oeS1tGv5IMGyZVgoVqI+IITHPvMT2OT5+Vk/PUaGBpn9oRp/
KHbg2oZbS/EdQrdvjNS+C/xmw8jnSnxedHGLTiSY/Ln8K4TDNm+LHi56DlPqxQclss3bLk+1J21S
yjeV9A9SlmTqs5A7ryqZkdHZOc9SM5QthgjJCZyPJuBWl1tz32RMH0JIqt5c98HFXJoJKUh5YKBC
OFNwws4c6RZL2Mq9d51UHCbLzt08KT5QCD/K9vho+9XO9Lq9ltbvrtteShTOTQte2QTNUIylEp8S
JuBRBOnAKXXqWtV18STbFsWu+Y3Kvl5upgp4jFyPur0BnSsnmR7dekdkyUN4cYNyofrqcMFcGpk8
ZP3q3CO9zZrbycpug7i6idu23gA3Wil0LW0bEAbYUZCmpIwiZD95rNWllUk8hNX4g0X5Vc3raCXU
Lm3auQ3BA9VGysygn9fjwwo73DdTtl3NSRc3bU6tbIhzmBMVjNgletFG4hCVmmGf+F8LWg5B2O4j
CFv/3tOcM0vC5xkdPoXh2VjSfqF/sJG7X9cNLO7XmQHByYpS9+IA4ZJTKB8oZ21isB+rKczafgn5
BJy2kcekMveFdK8lFFmq+7GD/DTb/8NiADeAkGdAHpTJpTMbPapNcsFimNvJ6Z0Dq15tIiw68ZkN
IR0DUxSPSYATo9bb1ajWoGp7fRWLu4UKOt8doD9vz8tVdHXD5E4aJ6cyzndV3Rwa7aGMm53PGO11
S0sMjbx1YGt+GTx7xcPC1I5fZk5LiKnDfqMGJHSSFPdbxejg629VP77rfE+GBKaStrrXfNZG775F
p+jO6OJwm8uwcVpGv6lsyfx7x7z4aYJjWtIwROgD8brsKrcfjk1iblan8pc3YEbnzlUzaOWFkCT5
XdoOLXgIWGu3PtCByH/s0czW/o+089qRG1ui7BcRoDevTJ8so/KSXghZeu/59bNYA9xbyeIkoTsN
NdAPrQweFydOxI69PTtzXynV6v1ZMFpb9fJNoJNfoFlHtP3/QcydC5pUuUakARBPnUWIgSG1opGR
ZTBKYV8LOyuSN0r2cn25F876hZHZjTmknvlea7iZZA8DBUELM7JrY40acmH/0tFE6zLdFFzL6mzl
Yr8PiBGAEAihsUXBEZqDrcBWhjXv308KhB/kOyZwJu+w2eq5iVaVuoAlvmNXwJ/kN/leMhwNEp/r
Uzd98ywLpFr004Jdh2gGXuPLM4nmiFILNe9pMsq0X9Xq2UjBjo9C9Y3MUbZpg9xbOZxLq/XR5MwN
WLme1JpENgL4p527w2OshlsvlLbXR7a0WlO7JsReExHMPIyKSslLR2lgtTq5s1t0MY9Fe/Sbe02L
15RNF3wnzV7EhxPxE8+o6Vs+hodpGzcaXa43sa+ndqrJ2qa3yrXn68LEXViZ7T8xzpFppGZOSLPv
m96OJhmrfo3la9EKk0Y3CJTwSDldjgWdrwJtwjC+QZHWr8dHCtZmXawEmtO2mm07DXHd/xiZDUWO
/SAxUQ+9KTKj2wFceYIEQNv6YW3agZrFu1pozG04hisPvOXBkSqeWIJREJoFuKHfNKAUSVKLUh9s
xaJCD7Hrtkbz7+8TxvdfO7MDHAuWF+jIL96keXi00lff6Gwr6zdGe7y+yxfOL4ZA7029loC3Zoep
Kws4xcoyvkG/4OjCU7KV1Ts5lo+tIMF6GPmn6/YWJ5DWgnfJUojCZ/YUqyl9o0zhTkvkPe/WrYDa
V2ysbI+lLlI4UFTc6QRK4z8uNyGd+KMcVwyrA/VPZcGzEQffGZF469M6OjTuXWf+7ELjq1e7m3o8
+zqwEXgcomdYbmEKeDHTtZEv+JOLT5qNXLN8zSW9EU902i0vlgjJD66ZFtqD61O8uKT/Hfsc9iNl
rTkMbRXftO5L76pHqUIW2sg2ab9Pmmxl/yy95GGCQS2Rpt0pXJ4dd1+uaqY2j2+yQahfmyQOT0Un
AW8CcLURkiR9MHOzeUyh3dmNYRRukaz8ASdJ+FC0qfX1+tAXd5eOPMTE+ExZZ3ZsdOQCsnBkd8EC
9yyIBfeDISL6463cDUsoJN5qECPxmkdZRZ4tpjnK9WgJzLE7xp1NrqrB8Whpaav5AxzdezCrB1dt
Di0c0654UKO/CTXO6CmKH3p/ZbMvDfrDt8xBSMrYRnEvs7HCikcXVXe/z3arXZNLu+qjlVkgNuH9
UeZhncXoTchsVbVRoVW0b2tF4aVj8tHOzMOqSpVUisnJFXNll5AvT8JqUyQvlOpWQpfFrUthndzx
5AGhX710EnWoW54gMnFt8WBUW6p/+IZRO0vhSa62vvAkGLtI2oTt0/VdupShIbT+r+FZvJkrHVdb
0FHq7F2Ih85dsxsVO+v3ev1eOgM/ZLdFvLJpF/fJB6uzmc2bMvZ8s+GkhrotgCWdRBxXXw6LVqBy
NMhpgadXZpPqVclQtWNBKAMVkFfB09ets10sbkZKtgA9RKB3c1ZoWvuEUo84fhBG+kp5iHgTVLCf
IFgWrwG3ltqFuRrh1JrQThL1r8ttAno7EVo1TW5MtdnVsnQCj3H0xn2tP8GN4Hbtzit2WvE9rP+H
BQPqyKuHpnbgNdMsfIgKAyJdzwiq5MbN7zqPIhVa9/GakaWpnCxMna4TdGFmRCulRK8MK7kpDf13
04nP6Gzt+0R+zkEK9ehbXN/708V7EbjhM8EJwfRD5QZ2itl1MfTkZIXQ6x3I6ijuCaK09wlFK8nx
FPXgVf3KHC7ZY2j4+0mcDQrEyzk0E6TZ+q7vHLmxsl+pEZQbHLu3RU0o3Lep9oNCj3nMQlpRrg/0
87ZhpHAK83SgPRR+9NlIxUJ3+1LsOqduaF9JND967CP9LVBH65hG0b2oFL+bWpRvlDRsb3yUIk6W
ksorTu7T8vIV+DZ6U6fj8gmt16WwctaC3ztJo5C5/J6mmh1bxcHKHZGS+PUxf/LdvDSB2Gg8OmEn
RJL+crLLVotyLzJY3P4OHvVdpGq3QDuOQaqvbKMFS+TuyTKSFyCr+enOE8Y+KdEQcgYwXkOXbSwz
2slCZCf+GqpiyRTLB7895WImcraOw1iZDQR+g9MDhbeKM9I6ExFiGr1en7xpcmYngw4K0OGTbtcE
9bqcPCPJdGkIm8GRwzev+AqF+vXfX9qQsHoBuZsoK8RPfsyiHJQokTk4WRnsBeM1lNINmKVNmKU3
Zgy7fkromxubUf4K8vZw3frS6AByTlEZWQleupejU8RmRL/e6h1ewNAseAkQwLhY4/1eWCt4D0la
kaCj/XAe/9W9FJRRTUG9ErWdXosPZSDeZlUZ2iXplusjWvAs8EeQy2FrSEhWzPaFLI+QOVQe06nn
7bZu0e1r847euUxOfgZGIN7A60ChLan+mXccbjYSuUTbQLLAMk9f9uFe8EcjGIZE650cZRhfqqft
WPwzXdpkhP5v/AcpCToTL42IipBJsewPjkjXfFVoG4zI8spzenG94E/lCcq1AD/tpZEBJn8laoLB
aeI/UVTbEhG71W3M3fWlWnCCk5aIYqrvlfN5eiWTPbVs0AtwYv2XIew1KjlxfFYtEMXtGvRh2siz
Y8zRmt4eqgEnwLzSpylC7QZ1MDokww9J7j23Y3IelL+hKG9keSOVL43eP1wf36eYi7VSNKCHlMPA
ccy5aPsuFQo+pXdqPbRd9SE14y0JhJUNvzSLuFsabqdmsk8EehY4GT8LjMHJAXVEwi6vlD/xkN81
ueF0cbqyZgsOYyqFwYL0Tqc3p5jLRLUso3IcnTRoyj9mEjetDZbMfLw+dUs7EGIb+Kbw7qzaLFyt
+ljPQlUbnMCvkPzVLXyGoin3bYS3z6RaXkGAL3mNibqXf8lqk9a+3PFKrXaWayijI6XJUcwdxRd+
taVdGtG+KsY9DKsrccjCfuRWnlJVcIswypmbqsLGQuLUF51Rq3e+NO5S2hkL5VWvDom869UtFZUV
kwtzikmgOZDE6riomcm6CSsBHi8Euwp/X1vJTuhh6/qjFCtzubAhoeeTaBGGKItLbToWH/zgMBpk
dvRGdNxKQq1rCNXvGay3+1z3zYMQq/G9OLrF4fqGWVjAKXUPFHZSiyW3PjOqa0GVGvLoBP2DWTV7
N3YiSbMtV+MB59s0a1+3tzTIj/bkmb0hNks3U0en1U5G/NDV3c6SD3p8m9fxytAW3AhV9aleAOLX
IJdzaSrVNCPNhmRwwOUchAqUatLuys5dad9c2B48NPBUE4wKa7MjUPdFnQ5qPjhDL4V24JYPtBeG
TevU+VqtbMnUu7AB3BsmYelshyRRVAZpknK/5Juojl4EFUU3rZK3Jk3l19dpafI+mppt+swYZKWR
MBVrj1Ik2Xh9d1xxVgt7AfwXZR2NVZpIKS4XSOORI9ZhPzh6k9mSeq/+alrq67BHrSW4FrwvbpcM
90TKylU223Xw66FaFeEWYSu0BRCL8vjn+nx9ToLwsCJwoveZC2XC010ORkC1TOpVicF4+UMWfHG9
I82uuXgqu//LihwY50h8vm51aZVoUsEvTVpF4jwMZU9C/O3LuHtNGGzEXo+KEgW25zX/fiXT7kle
nfWCrGd+lkIlVLzOYHRsB88tIKHjvWutNSUvT6KGiemJh53ZkTX1rhx0gXVC32s7CH8j90e3D+7T
TXNqhbthDXWx4PyoEUysnKToJiL6yzWrPdJWhhCPDhXzrScCfkxsAb6EUD6Xw3D2FWF3fb0WDvDU
Hj+J7NADA67k0qArZqMfV/noqCjlouiZvQQ+BXiXbsx9Psq/rlv7zGtDHzKIKRO1MWICbF6as2TP
N5q+Gp2iULuzYqCo11Pm2hhR1x1zWlhgqA8LO0DL1omCXjmirZ3e60asl3YwWLUTJeOaOMrCUaSU
S4ACjBbCgHmXjCwhtSHXNYFQ44vEj7BCtkW+1tW3ECbQ+T2xcqGXRCw+uZ4Pd2ktmp4qZh1xiQv9
hUujx6MZ/4qNCHKuWATYX0cnpc9WjuOCQ0P/eOJHIgFFg9/sVSg0nHXdGBib3ttulW7bASImfHU1
bpvx58rqLo6R+jt/OJc4n8sxun3BsleMsTRqJ5fFI01Qx8LVn4fmVxzfa+4LjR+3CMMY47bInULc
yfQZFwkxjLdJtMdE9MVjoET29e9a2uPkxAzgbLhaHMblZ/mjPtIU2IyOojyq8m3YhbY63oX/zviG
SDdUTfSR0awMo+PMp3smvCuyxuHVuxfVejKoyxbxbVb+1aT6NQzUjWndu/pZcP/9SYThd31XmJzJ
Rs32loeq68TPySGufhYIH3tEa2a70bU/5Xdfs30IwK7P6OeFpl2OohQXC1Qzn0D+gwh9MET3o6OJ
6R1uhSJbwwrmN40M4r07hbnUbWNtWIl7P18uk1monNlcOv1ZsxutsyADNWq8hx6/Ccqhtp7GYMVD
fXbAmAD4aMF7MaW/Z1NZNjEtPj4moMsZhmA7dAqkCa8Waplim+3df4Zasmemchr9X+Rs1Hms1hhx
JWgqB1SMZfmYqVT3CMj971IerFS8P5ds303BP0GWEimcT6+GYVR7vO/o5L/SIj0kQrNt1OqmrHu7
LvwtrPP7ykvpcfGdvrrr6uIhGWFuiDdZ47WUdLuNGksrK7q0kdiwJucFHBT/XB7NiNyINFEWOVLy
Ddi/Pewb6l7ysfJuavJmKyHkZ0/PM40jChB4gjbM/RNJ99KNVIkZ6N7a8afy7/E9zRJ0LVB4ohPq
EzsXLOd6imCn6IDQ3cPowrnwm1fBCFYyjZ+9OnYYAFA9sg5EJpezNpqo5ihFIDqyL9uh1OwtK9jS
MeEMnr91rZU1Wjp1AGJoTuTJKVMnubRWDlqi1eY0a2m4deN8m1Mj6YdVsv3JPV4mdhgV1Cg8acED
cVNe2ulzreSG5OEnsP31wO6UBgm6IYVTvNh2/u/UKp+kPr/vIu+gCJBgrPIZTvN27Qtmu5F9mLpc
lri1OtwLfnUzeQDLs85DtCeIjcX6FZKRfeBu4UGO6k0vriHYFucaLXDmGaiINH+AuE2ldm3NHIj5
nUlBNtNuhHqlwXXRBtSTXIkkSKgVXc6zJrRxXrc8ePXuRzo+0kKxmttcOtaE5IxjamkDtXZpQpyU
m+rc5ULS5VvBH+9jN/pDe+qrIh9dt32GvsxAcGAlXbE0MF5ubFUOx5SevrQaCnEbdWIkOnlUbcLy
VpDvkd9cOQ2LQ/tgZBZMQG1BAV0LRadvrdfca3ZZ3+7prt3kprwxIxmKaGOfZNHh+o27dC8RmlIn
VcF9MbrLsQWoCPpZV5DyKZ9144sOa6yi3jOzIULbQ/l23drSTNLZQDaXSgL1ptlBkON8oJSCNavu
v1aC5wh9dYNKyul/MDOFw5QtAFLOC79DoerwIuHHNJnEju8hvPJm4WCuW/kc/k1t6cgAUKGjNDIv
wFpNWlRgbUXHDI4DsP9WuTdIg7fRStpladLgD4AVgfeiRd/N5RKVruKFZdXi/cNyo/pQdHm+LYU/
/300H63MlqZMlaRo/E50uoem+iNNxIwHeQ0IvnTB4IBJZ9KeQe1gGuqHx4rAuuTDoIg0Cd2l/Lra
VJve21jtsFtP6C/cypNoJNIgnFzymrM3YdrLvD17oXVG6NqcGt51O4Sh6+n6vH1upyaViYw2TG24
JUpKs4PLt4tlOLitUyROYXzt0r2bQdl0Y8rfBOm1LLZueB7+qF/ghUxSJ6CrOx5uzKdAOPtHNO7U
yHY36k+l2Vbx/vqnLbyKLz9tdsOGkZW6ps+n1TSLjredF9pKtjWsXaqcfCjJvnXRg6oc/Rc21HXT
785+duVdzMrMU0csidK1mC6zUyCeFPegpWRrbFk6a9UxCd9UGGe/CvDtD+7eTTbBcyZ8yfd085dC
bFuPo06CwruJjqO6k60/tXwo9ZtyvPX4y5kt7/2X8DH37LQujpVwTk3650bbTVeO+HtX8bVhzPaQ
aXRtqbRW61S0HgZnWOVNV7Ll7qWWdDsiOWkYdsh7s/H3Y7fxEW+7rZJs7wmPQXiIQAmG2cnsv2q5
f1IdzfsqFV/SdKupqV3nKk0J23iMNlqDZtlLKPytOs8OaOwNV+6W94T6tWHMrmbd7w2r6L3OUdMv
5Lp7OK8Q7dO949T/P9rtJnvxfyV2eTLc7YiHaVI7uteyjc4qFE5Mydc/BsadsIm8t8HcQvdZt/42
Cl8zcVPoTn0fPPQn7yzvVEhqrGbHpNksS3mWkqdsn30R+o083KsPpvWQhC+RcNdDpGl3T/1rIdlB
dN/e6ZGdyXZP54V8I7r3VrKFcMDyVyZioZTOiaBQD/0xOh302l06oHwwharnyeFA+gGWZEiqnV4W
4ykpMohD+1R2wixObE/R7+Mh6Z6TqoFMqx/Wev3eO+8vV0SWCKYl4hjKp5DvX36IFLdF03ZB54xs
F8A9G0lrn1tSRGUjb8aydsw/BRKfJXXBrJB2saXvFPFkDd8RUrPDTtn1mj3wxqptAX6lGMlfaFKO
U/ol9lH+FSHjEzb1odHLozklw2hVMhOnrvSjuMaNtDqW2aTKTSYXueUDmBHO8KcbX7WjwLHI7hXH
ixBgNgF37fr+CB1ggKBW4sP9SDY/O0XSfXivGLYqHINd0B6yaOPK2zb7ne39MwkGQ3nIGhs3bq/J
FC24RuYfNAXxAQlKngeX8x8oPrFynHSOS7NsAZN4Ih9qE8xitplydIJ0Z7Xjrh6Sb41yU+Xe7aj7
a+mV9/bAT5sAkDMk48S0hGCXH2GGZSgmTdhRwxzuBVH4AqsJem3+lyzSzimsorlcAlzD02Rk2QZ5
KxYb140PmWw9Nub45LfDL57Yt35pIoHYVrdt4R7JRT4iwcS8bwJJ2Xp0eAh7C9LodOx2tbJXTMdo
HrsUKJyhbzxh5Yh9joqYWLAHNJfIFmXg2Z2Ti0qbxGbaOWiDg7oJt1nSkiHcuSQKr98x77Hpp+n7
YGp2hvJSUovSKzuuXf2x9FJam6iSZvoDvdMvihZs41QA84dstDLctl38tY3ybfpY+3/iqrbpyT+2
pmg3yo+uPCuJupG1/iAnx5Wv/ByGMCFT3Yz4gHT/XL/a9Vozq/yxc+BeN/aD0O7TVKq2iafr21RA
oCUT3DvwgrjlCIp5AX3OWm3DrVANll3EqbQZK0HlbDTNvqCEuVdp1r3xvZQW3T5Nd0Fh2jiyhOfj
qPNqqPV9Jav14/VhfCaApp8GWi5kJyYPSmft5V4F9ErfslV1Tga1lCFDLdXARiZk2kkd20OlnUzz
0A8/VGFj+bdwJe9Ny04leFCl4ZQTbHTRD7lYY2D//GiC2502H1rdaEUH4XD5UTKArGlqO6cz3cfU
OtTZg+Sp+6ZKjgChitbxx3olqFpYTkzSjqPDzztxcF+a7Au6sqxIxGRUbsbwDEnVStCxOCgUwCfq
eqQy54IseW10Qh2DfEy5o33/UMt3hhxvqvYQU0lpztmwgslbuBWZRhI+U48p+ew5KK+0hL6Le8Yk
GccwC49EJ7fanSfeVb/K1zZ2996aIMbkXmdHF+qmiSAQKBVVktksNp4aQVUrdY6Zu3YyfLdcYR8k
j4rfnprke7uWQFtwShfmZo52kNWhiAYG2KKelqG/7P02hBs4OVY2x+en2iR9959hzaGAadFbmWoM
HYmeY9vcVT0G16oOizboNiOjBVKJ1o3LDSj0QYqQKtsDuNw5rtgYiFWla5jz5T0xoWDFqUOEZsRL
MzWdlRG9gwyFMLyVx2Pz1dKynZE6ZoSiugh6M/8GX8KmU92VA/CO3Znvjql5Fcz2hNKbB0fxWFd5
7Wrci4X/oMaHSn8z4vagpjejeK+hadp4P0vVVkM64WVUM9EF8ZymOnTl8zB9nPVNtPaeevx3gigE
ymmAIqMEDpNC1MwJukHWQg8VA+ALHvPurzB+H7rX6452aXlB/dC6CG71s6ylKKSGl0uYGPoflXzX
ZwfVeLhuYsnBfDQxW1qNtmsunqgHvPdkWJGth8JhjKlH6IdSPFX18d/b5ad5I8871T8g4p7DOysl
6YywTgCRJh29EsW91P/0hfaOXq/D9bEtTh8Zcrh2YHIB5Hm5beXQVWs5wpIGkdldLGi2lKcrgcc0
P/PtCSqLugqideyE2S6I0jEOdCvtnQ5OvW5HwW6TFM9R8+X6UFbMvEMIPiRLErFPm0zHTGsehfKp
He9H9W5YfRteH8x7r80HK4OX0dzcFAxG/yr2B9+X7KjsIZJZOdSTi/08aROJCpAR6lKzqzox4Kdx
eXw5vRVSObyT9GJlWaZf+GyB30a0B4zXXAsi8QRdLbW8d0xADfpr4j0VX6BvsVezWIv+ia4jerDB
scPVMhsLzPFy0ZLCpC7KS9rybkRlq1Sn8L5XxI2J2K05PKTWyYvffP2n5fu2Fe3d7hTUvyIvffPS
l7Bv7+pBOQ5rOI/Fo/3hy2bPmoKGvkzNG/ZM+abKgq3Eu9Gw5V9p8OBNcpzDypx/bsWaTvZ/Dc5v
PMlV0QRDL8YJi1P8pRw8QEdvern32udS+l3E31uphZb+oV5NMS1uqA+WZyFEjc594HZi73hmJm0L
oQdN5QrKSmy0eAg/WFHYdB+ORyBLMZKrXU/TxbGUbamdFvOsrnn9xev24zxOo/1gRxuyKPIathTh
f3uS22+JeN9IqLy6tpLrU24kE+4V5MOv+5gldwkAE4ZA4lmdsvul2cQt/RCxsN7JBji1+0OLYl03
PP4PRijmgwaisQxLl0Z61DbTsFK40uSzlUubon6QkQX+/zMyO5N+Ru+E5sq9EyuvXmPaon6q05WB
LG057cNAZqcrzFVUhWVsmO6TG/4UYPK9PojPdMwcpwkfAIaJjAAPqsup6kzT7GpDglgweKGthIS1
e66NYtMk2tasaP2p/tDHlg5PeVGSOhfpYC8be/C+rXzHgi+l0jx9BbGOBTzx8jtK11Pr0FBZsjhA
7K/VlPyHaQb+OZSHGKWmWNMHO+hEkrpSLCZPrp+rgKFDSepPUWlYxxZoXbwV1EKM6LdLzLOmpf0N
UkmNR5o2X6s9Ln0vz4gpJGY3f8IgmKEZC3XHyqgVyLa0SYRfWVHEB3Rnhk3qar5jjIpwuD5Li0an
/QyxJiCD+bOpl3sxgPSmd4r2Re5+WNWpyFXutt+5+nTd0sIxnaCPBP30wk3KeJfL0UJPF3cxlqJe
Ubdq4evHUC5RkK0bayXqWBgUNEMQx0AqACx2vvKekguNKlIHgv5OLCLwVOMNvKSucDvoyfP1YS28
AikCkSlCoxbUzxzUOVil6qKTQGG1Fd8Iekl1WncTJEbJ7sRw3ILLXgl9F9w5KApYkSegNLqd8mwi
eb2ByJREJy0tb5+MkbU14fc9NfT2VVC8reyQRXPTRBLLA1ubB1d+aqZZl4rUO+mFVnh/CrV6iETz
j2eUaw5wYeEmfS7q7wqoy0+d7YGZQCvbxZKjZi4EDeXG78cN8nF7XR2fy3rtgbi0djTmwCDDlsS3
zpx6kfuGXlOCpTVn3AfDsa5KaxuEws70jHNlpF8LXfpzfbsszebUL8BMUgml83u2eIYnim5iik70
V0mUv0ldwLj1Cy3jv/+DHZaMjJIEfHNeE6+D0oAUv5GcNHpJ1WgzOl0t2dW/68mTSJs6E9kftEJQ
jbgcjyQXWhrVLR20mf/VsPJ9N2pb+tpXNuEC1nhC7wFvA2asELHOliqrokon2yg5spCPD5qW1NuE
qHQv9VK/M63W2A19Xf0xrVCAiqD1Tq1mrrXzLuzOSWVg6q3Spg6F2dXZyFHvBYIsOSbloTpq97GZ
703Pu60teedHv6+v4FI4dWFudo9KKqJZMHhJjhGK6Cdrh9wotmr/ExdqxdFB5wLSkYrrU33vw5W+
co1Pvz57iWAdqiMqDBSg5/wE/SC5RUqjvZNJmW24XHmje+gsk3LlbZ4fYlH9HQv5Cght4UByX9Oe
MeEq4CScFfBNCBgqZl9yktR/hpQ/fUtb5SSIz5kW7xU9XwHFLC2oRtECzDUGtfn5N6XUd62Wghl9
Qts0pLjr5jdBEe2TyoPzXXNXsGlLwyP2AmU38SyKc3oCORplMdMT2fH8zSiSECLX7xW3rQc7R3kT
ktS7voUWxweTHPEYZDefHvn1MDR6Vreyk42NPTFaWDdaHBwTqqKJvNbrteDZwJD8x9j8qa+PXW8W
RiU7TQtapZUKJ0x5zyRB4H+p2zVK6YUwlp5yYFqACnU662eXoK/HcmQggQxKge41omYK1hA+ba9P
4LIVwOHsSi75udcRo8ptELaRnaqrqasE+l89DdYUjz/T3U3FCHhsJgvwSbzT7X54NwHqGJtabVgm
lNZyu6zD8UsqlsMXnubVjlcBL+9E23k5QgS5C8GvkMH7Evaw6fo9l7LvFco5F0fd5mpZYy7+zDbz
/nWwEU48DbS7z7yeGfRjWcid7Pj+SKugDCGhdYh069ShnJnEjqslP5qgcaryQTQPaWHY3vhaJgfI
e2mIWwHqLu1oOnbRQCSUhBhw5hMFQQwTQcNBUOpuqh9WQnN1dnBRmdGjFVNLa09lG01U+Atk2BQu
bzbfG7UqkwXJAYTcHCP22iaOgFhe32FL9VOdPB8H9P29NO8Si9MyT9rGY4slEF9lo6weO9dvj1rP
9AZmKj6OPGO2mem9ZS7rrIFvOgD/PEER+qyrenNqzK7fl4Mh7aS6KPa9PHqbsmuVjcov22HpgpJJ
YYo061jeD52bbStXinemCXIHLUP92Gq5ZqdpIW3rDllBJUpOfiu5TKv4tWp6dR81ib+7Pu4lV2hC
6/VOVY326ez8FkYWtd2oyk7hhv6xMUXXUfM8+qX61bcuIVuoS6W57eNSWQmMFg2T9pzwl9Sm5q9T
P7KUrPYs2RkFfV9CbpL66T6v0KyCK0LxhnMWSysvn6WdRJ0N+BuhC7m9WYwk0EPc+2qsOD4Rr+0F
574CYnB9Ppde3RCzT+qQxCbgt2dGqlTte+DX7CPUvgFKhRCBdjtNfDPDHSrYdmbxInkNRcGOw79A
YlbML3l/CwcJuwrpRAofl6elz1xut86VHUEwRyAIavnmxoUxblSY8k5Jlnf7VtTH3WhKFOQ8odgX
npGdM081t5pVPKUCNGm6VEe7LkjLm2oV47bw/IQBG3wC2F4oZ+ZuLLAEUZeFUHGk3BwfM0AxO1mp
tUOmdGv5+6Ut9l9Tn1oxomFILSX2FGdUdjpii7p6smQXzFx24t66kddUapcSmB/GRhR8OfldNOil
HDG2Rs3PQ9HeDom474TijnfFPuSNncuOpMR7QR82flegdfTj+vIvjvgd1Dyx6yFGePkBgFNa1P0C
hdSFmdExUX3NRXErG+P3XIdZIRy9QxqsFRGXbqbpyY1QNFUSQPGzjIIuur3ghbylAuUc9ebB1byN
Osh31vi7fvMeipqMdn/rGbmDPNN25EMKozsMsC6Ua0RGS3c40jrcE1yTdJXN0+muZ6FCNvJyNSYU
g/bsVoJTBPom2MXt3dCItpyLZzG/9/RjmTzqqfvFM7+Lrrfi3RbuR65rOtpYAxr9jdmU+IZXxYra
SY6b3bHSX1rf3Q2jCwzxT0QfxPVVX1yAiWSTvqPpQp4j8tO+K7rcnR5EhMuaBMVfOhzMPHrrdA2A
IYjJfBvU8S6WG6JpxzC8bZp4D31ZfQnSeiespoKX3kwGRAo6dBQ0iIIGv9yI7aD7SSbwainF4nWU
X3zVtd04ebLaZKcNcE/3pmdbXn+qlTc5XUMELM0+VBhTlosSETvh0noT6XpjkSp2WkHYJ8NZqqJd
iiYpBVbJelyZ/IVbhewPARky21O1aHaDhiyHGeeR7KhKS05/2NBAavu/H8ISGGpidwjJ6vWwGWp/
Qwt14T4MtCtd/4alT5j4fMiJUxKFCelyvJbehJHaWGx6z6y3cLy7G8uIvf11K++9CbOnKNAjggUK
ryA75jlKsHMBHaIBsX7rHiTvp2RozwqpY72klq/456wvndbdoud2EovUdklmNuM+z/O//iAdLLxC
3AWbwPudpe2mH5OTlPuHthBPobdWIfzsCElcTbS9vJohKZm/mmM1h6k44hFUl01HsL4rvJeg3lXK
SXTRnTL+XJ+aBXOEMLQF0W6IOvm8q1Kh6i2VPbF57rVT0cMq7FI7lrzvghYpi3qqZendmqrdAvAQ
D0cdnBwWmSyyP5frLll+ivuRZCf2wGHrPxPkkhJra2kh2slnHXan8Vdc/FZpWkhQi47qtUzM/+ML
NF4kdF9Rw57deADCLaGjNRldoy7cVGNGW6V704ju38H8mUh/fSF88jpIK4TqjxvI3L3ppu3bw/Xp
/5wjmeaBfkuQghZUMbPz3vtx6pHMlx39JdGMnQ/8bkj2DYonjaUdi+hhWAubFxzcpcmZg0/LzEvQ
VZaBtDRAUSOl2BvjqDzKddjtzMFItmqopr8rtUn2ZazEmzoJTFto8n/vxrr8kCkg/PBozVAtCXC0
smMJobDvY7/4MlhjvFfLVny4Ps0LDgBbVJXoTeD4s+KXtnSBjF6mM+jSV/ehqgJ+UoPX0NqmrbYR
qvvAeoC0MkP9PXcBfGdgJuzxtdY3unuf9Huz/2VQYIJMEyTuBNKGru36Fy7chJdfOJsNz/Ojuqxl
MjuZ+1sFHOzVe8VCawvMq9uf8/hJltR9IL655imB7jDbeNJdYI12I619yuKmBLVKIp0gQJyjR/w8
tmpk5GVHVKrO7rp7NNXH7qbMTTvUpJNs/i7C/Chlh15DIbLel9LzEBSH2jcI3PYDIKRoY3orJeh3
LPKlD1eI08hEoeA2SUjNlrCQ8yITct5AVdPGz/IQVLvUa/utOIy3dAcJ96MWIpgKcPMxbCsLd5KK
O6+WHqAEiG0YSb4ZTd1tLVc3N0Xmx9vAMiFEt6of/E8OZJUiClHyV6k2IoqNcfqQRXJy19Rxs+0p
Gm/UMRlObVOtKaQuzTZIfG0Ktqb2mdm7Z7qA9bYV3t+xXWuT5BkeMskqN6aaCZvM1L8olmekdiZK
lm2QlN5e33lLNwA9VVM6ekoezZnSVDgmZWXEvt6q24KCCXhLMw9sGiCEQbdLK1lDfC+gaGFLI+cP
cIhLn/WcnUZDMNzCTxUn0Ru6PlqxfOrBB/8f0s6sN24k2cK/iAD35bVYi6SiLMlueXsh2m6Z+77z
198vfXExKhZvEe7ph0EDPVBUZgYjIyNOnLPvojT8aeTW5Gl6P0Gu08AybRRy4paz5gWJUt+paTTt
6zpw/h7KVnGDqErfnAJ2vDytQk+qfG3jaxDf3cLtuIh5ekNPIgaoFvcEBfs0rpReO8vBfKp0Fcq6
qlP33Zh0rgr04o9rRtDj4N0IRjMcRh56uTX52Ctxx/woPbKvqh7RC/zzG4duLN09IFvw8CwRSH0U
1HqQDvrZzxumE6p9Zds7zXwxI98N0u4uTXbNl9sedp3UQsiBNJAQywIsvMRqFlnRW2Ub62cEpI27
TJPjx7RjNkYLbcWVuzg+lJ25pTy/0u8Bk2TDPSVm38kwFjtpEsRaPY2Mcz0XX81Av6+08C8/cu7m
rnsCFB0E46mZowfkTzZC1coXxUuOBiuvKEoCy0LK6OROZfS2fnZqlRkhfQ4PcWGMB6cfzWOUSGC+
eil6q/Og3jhcEQMXziouOYRgaUqS1C0yet8yO9vnTXdOe4dxiQxf/VxPG5fpdc6OmgRvBoHx5btY
whjtUqFUQzH6nNRSfAimyNo5UqVt1IPWNpE+B3VzUPZ0BxfhfsykIo4nwzjLbX8e4CG3wr9H/z4M
wkPJsFzZzJ/+2EtJDehzAJeED3NJtUuAbrqyyEwBOsmzo5ycIiD9U5C5eTJu1GxXvgg6kODyqYkb
jIiIxb9LfdSxCjqK8iYzKOopQtFVqRQ4YKWThjaxE369vbK1T+F34mPqgnMDaOCluU5pKlruCKig
06TPDzDp5dGpKLRwpyYvfWd7jr5nqNq9bfb6BOGpYUfB0jMgDG3LpdW6AiljTL51zvzhEORKD4CG
RNox6508DntTQ9fcqcct8aNr98SsgawaGQxDbkvCocYJ54KHnH1W62Q6lgqItSQO7m+vbaVac2ll
cYVNEpiRQs/tc1eFX7UA4nUl+sj3sPft4qg1PlC86nn4ogUMrYVnMJ+QVfzTx9GhHDe++Wtf4pcQ
XimfQHxHAfdymy2piiW5C+xzyQRmFj1Sny0n5sUYGwyDjSO9vgwvbYlc5p3f+k5T9SZh+5yH8fNs
j7xPmchLn0qEzze+/xWnFbaoBZKbMLy85AZj9EOvjLq2oXRiS6U++jtKmtGVkzLZd0FNa7eo1Ycg
M0dIOSzr0ayS4cvtU15zJY2MiFIMeG0AOpfLHZOCieahseHM6MHSte0ADFHXNw5wdaUwhTKjj7vC
9LrwJeZddYTXO/scxJ/GstyFGSTX2lNW5WDbslPsV7s5QA5mi41n7TSphkDYwkPcAORxuTzVgrap
DNjhosqqe7qv44sRyI9WOMqPmjnIG9/MmjndIL7+Zte/UktNpMbJ+2S2f19OkvQ01N+jkHeEslVd
WDu294YWt6AzasVUVZN97rPS5S0Z21sg6zULnJUYgoDxhl7Q5c5Fdj1kU2ra5yzxWxeoUe2WCiTD
t93v+jYHg0VXj9F62j5XXJ19a3ZjXTfWGUm6YpTdCSHMdItXe8vI4m4oEweCtKi1zjEsEU0vCzbm
/9rI8kS0Lrf9smMlaeCq5QfQMftoq7O7shKKprwqBJGOiu7l5aE4Cs9BdYIfaIqCuyH1mZtJ3Eqv
97dPZeVaIzPnm6FE93sq6NJMrQ6DEUmZfDaZuHGC4qlkQF/f16n+RYyPmM24AWlZ+W6YkAZfDxSW
b2epSjnlczYTesAHWifT+MtyC63eOfFG0rq2e0ynwK1E+nPNQ5TLwdhN2Syfycf6OztK9wlDOMdw
/HOwNfp/hIH/RSCSSV7un4Vmidyq7F9sFN9rs3Lz0Hnu62Ejqq6thz6d4AMkglxV1oAlmWrhY0ZL
il1oPYbxp854/XNXEIOCokaCL+giTLy7DsMykUvdaeRzVrW7qYa3oT/05Vuff7Hb3VZPUETjy9we
GnMBNdRE4ZT8+tJYTqINOgY3CD60/mNbFfvKNGGFe9jSz14JblCmC/pUwg5vdOGP71YVq8Esx1Yr
nyXzh+7/Goo/fuKykHd/f3HtNIoKofPA35+nD3bx97/7+yQMtGlF/vn7un33+zVoeVOzgimmQwKX
oMnsYeLUd7ePfs29BI5MUKvxll6mBpWRhXUZA6FNirdUq9yRnrmS/7xtZPXI3xlZxGYfrRH6/Cor
6SPUsfsn/Dgwwr81+XsBScZtY2th5v2KFjFabYIg6VtQukCtTpr6dz52u8RM9sYWYHwtgBKiDa7o
3wyzC//SJhO1So7uDOlLwVD853H+qGPSPGZb7+FVVxYYVlj5+GSWZFw+jK+O1jjE6oaez7wz/wX7
5W8GLvyMvi1T+Isj0o1Bmc0OZ86z7G+11T/KU/WA9EwabE3Vrp0PBRtRLxMqGMsWfSgZsxXS2jqb
2jHTd0bFu2pXoIN02w3WTkdEZ5qg0IfRerj8+m1ANWFG5nM2OmfXfWgR1aDuqCCFLcvhbtA3ksK1
74h+pwCi83ahbHJproySsNB4C58tX3qK6UXy/zkUybfbi1rBN/xG+nHb8LSnq7uI1FkMeMOwItFX
rR5z9Hsi2KGZK7GPrfFgOt2ujYKdUncf2yLwRjndQyF7+yes7Ss8/Y4QlaTfueSv8pnBiGp4qc8T
bCV697mwn4XQtDxB6bMv0pf/ztrCLWezNNFLzoCeZeGu1stDE8jDjkqNHRwh5D2AbCg2stW1YEVt
AQllUWIAQHR5knKepLXSGqQp/klnJsge+hOcRYI5ugdz/Ofrg+iYlyH+AHJjkYAjjZf0DM/D01Vy
jKNz7igm2MG0h94YcNbOiLbQzKvLE9QPtKqp7C0tmnGgKWOBo6ogBtUM5cO82mnZHZVMksytvvhK
l467HtQLozxC9GOJvs/mqHCMhMbESFoOBIZvQ3db+69BUfaTru505BebQx/9bLsNR11bKCGTdyFi
QSx38ejluuvUZqgVUSya4YYsgp+DKbnjdCIXPN4+xrWvX3DcWrBmiGHVxVWghL3WTQG2zMo/+Inx
Oa9Kt22yDddcN4MIGg0cSG6WGY3QA5kShVEGp3jRul3D6Q1puWFkLT5zUIJ9m9jJM/7S/6l2VRJZ
onIegsodklMAQ3ttP8/jBgR85U6DLAkkoCDxvOaAz80SIhSRqEMSPO9G+jN3atGoh9sns7Ia8Q2L
kgR1CQYWLlcz68o0FvkIrV+XjYdA05uDNiu7PhihQi2ljXC1ckA8PChhAWT9DQC/tFYMhaGFA4mO
Hn+Krce5+VjOp9sLWjcBUwSeDbHA8vr0ec10fsf1mYKw2cmB+Zij9OeGVbNxPluGFhfoaDdJWbHY
s1n+6qJzGb5MxkYGvWqC0rsoTaGnsCxVtzQ51UisZZpzpqwfuFx2+daGrfoZ8zLQB1CkvhpLy6RI
isIhVM6a4reP2eTo97TJvtw+lVU3EwMxukYYkOXFZg2g0o1EKZVzqg/tvvSNxJV0w79rZwYIIwe0
4W17a3FVpIJQvDBudI0anhtnMIouV87yXHX3gyTNe92oYpc6jEwhRwoPVpQZJyWpcPQ+BgytqOW+
l4YtAMraykVVE8pkGFypL166fOtEJCRSTD6ADHigPjaO/7nP96bUfby9ZPGlLt6NUGsJjA2NRXr6
i9RnpGbcW0OlnMHC7Izyzp+4kFH4sMryqOuvt42tZDmiqwueSxOK90vx3jIYplFu2N4iYwLnLNkA
B83vc1fube1zZ2+EjbU9JJoTnUDsCbTUYg/bmCiZsbRe2UnWjzL7PhiIBef/4nN7Z2aZuqWDw0Tf
wNXf2F96s3bl8O/M2VjK2imRzkA8JChBYWO7XMrs2FUPvxk3oVai79LM+UFH7fGe9Kdzc4S4nmYU
Rw63T0vsz4VrgLAikwF5R++fpsnCNZoolpkMs52zOs871Q/uh6D/2nbH0XHue73cRfM/QxJ+vm30
KnhRwhBRhSsSwA2w28uVynWk93WvSmcpK56k6h7yt4+O0WzQxV4X1YUZkHSi0y0eM8t0NC0zydF9
6Zxm1V5x/jL/0atdBTifeY/g2EXV/ZhvFOpWVkYko9uFDCJA+eVbME9mYMq6HHoJkAkUlNt+Rg5u
w1G2jCzWBb+zqmUw+iK52exMyjM4fblxha1tHh1cUNGMR1FBWSrO9VHqyLnFSob8A/XWnfHFsb6l
4zEYH9riV5BNKM/9uVuImiowOHT7mGwV635XtalMvSzabA49IYcZOfWOsSx37Dc+5auIwduPbgfE
l6L4wBV6aWUIQsr0rRl6pFiuJCe7EjkxBYW7/tdtL7/6ni8NLbNoObdNqVG10Otjn4fJlyzyfIiF
gDnKW4iOa4/glc5UiIARsqarAA/dR2HWRuZFuF01n9oU/tQ/joH84fdGFsfTNzqP1xkjUug/yA4W
pOaIKPjtXVtdCkObIqtBsmEJh/QnI+77WM+82f5bHxs3Tx/ycONkrlu3YinvjCyWAmdrQilHyzwr
ACCRDYc+s/Z1mXyd7P7RiTNlN/j1Tu30QziBOtLqDvakygOX5I51CTx/62m5tmpTPH9+i9xRW7l0
Sn1GlSdUwsgbne+17Lji+6oYl/3zvX1vRVlYSUIHKdEo8mrz1WjKXaZ86tQtHZ6tpSyyGqHXW0bC
iBN8jOTSVaZ2b0TBRnz6Tb9weXFRPKRXSpMfx6emcrmWRo2ios7kzGt6tBzt8G5C9SXRd3RM7S55
lLvyUKAxxqilpxRfIvNNS+tj32RHBSxZkr5xsHdyo9+rUbmb62F/e6evgwxPJ9p1/ELqjozpXv46
Rw6HEiBH4ZV6A4wPmb9jp5iwO7cQ7U5aF51u27vK1OkRvre3OFkL1WIlscLCq8Af6HOz97v/0sLi
WJO0g0JySApvTALXNN+irbzxOhO5XMLiVutlfwoNgyXQB+o7waGCHelNMV/qwtxTTjqY40ZevLVr
y+QnScj2y7TwtMKAg/qxt+SNXVv5GC7OZRFonKGoi85HZ6VTTuPsIGH5YCTRBpRo1QjUuSaKOpQF
lmOQkxGFQTqWhTdRi3ZpeH3tS2KIn9dvf+5l4m7m9cQHRzfy0quTCPUQa64KLwtnwWIeRfoH5ia2
0BArH4/F1awhIUPtAQaPSzNNC3N2RC7gIdGalfJLVci/9OYeZOdWe33FAdgzRj3g3qQquxy4ygcG
2nozLzxnzouzb4bq0Ymaz7d3beV4RAMHzglqooIz8XI5MjjqUs/0wovloLkflTr4Ac1ovGupeWwF
37Wte29rsXUD+hjU07AVza9yVd8bxreRm0yHPPf2olbyQ9EpovhAjKMBuqTHafsJzsze5NtBjzjl
HnXnpDuVde1qWrrv5cwtquApDU14FJ9v216JFBemFxvKSxwBRNXB34X8Jl6p7lMSuLA4tOk/Tlzv
EPjz0GTeqt+vHiTSiww8kmJRc748SF9TmWjucX95sPd++drFIUwWVr9VRl/zSl60lCmZ/qJeuVgf
6CoUiboJh2lD/UErinE/bSuNX6enHCAMMgLniKb50vdVuzYS3Q9KUg6aEFJ2Hq3uA2WEnxFTUjtH
VzeeY6u7B5oZV4GUA56Cy93Tik7PNYtTsyOkv5JpLg5SWtvHQkZj6baDrG0g4piiqGwKUuRlbpB0
hllrSek5lX9q1IYpKt/oaMjfNrO2IjAMfNcAtwD5Ll4SVJMzfkFReo39PCGeHpLaNwjO3rayshhe
kwJnAiiD15g4x3evojZK7Vmr2tLT5ZOqyFj4F8kKL2XyKHjWGCxf3h9hi7BPWPeVl0Tls12k5yKc
33Q1fDNy7Y/vQ4anQYGT6kIqRKvocjFdmiW54kSZF8d/S8UXJJx16+X2fl2fyqWJxeG3WTd0fRFn
Hs2LsY92oISV/PW2jesIhA1QwlS54Di+4nyZw8jvUSTIPNQL7n3zXIWv1fBoBx9RPJPRRpL/2NOA
dvKdwsREZYi9u9w2NeEfKoWZVzaQiQfmOY0edeZib6/qeue42w0GcRkC+W3o0oodF4Ep5WPmjaN+
GKePvZ7vNwsL11uHEQSA0bClssDFe2mkqghqlckrcqhmtxjRPECVYe5/ReHoMsVTnJpii6Hr+lK8
NLmIp+2ktlbX86SMDclVhs8WUB0OatiqRa7un4MKEpTUYAKX9wPogsgcZRU7g37IgN47DJRuAulW
VkP7kS4yyR79EmPh31PJ5ZCYVuapZeoiA8YTI+N1Kn/aPKrryEP0fGdpEd+mOZPL1sCS032Jxkdn
2CJ8uDYALEMj4DB0hKrnslqm2pJC5WLyUQy6Q9T9OEVbGJ3rzRLgeoEAo7IKAmxx6SR5qCllUzhn
hFoPifQZJU9m+PKHXC03PtHr6T0ByADBwNg88HreMpeOPc1KWWta5dOu/Sdv9478mXrxcbb8nYpO
86ze9dIDU3SSPf0oeRaXrRfU91obHRBb+NPv+LfWJdVV6GDgSFwsuoydbtb6GTKUyR680urhvh2o
59aOvCXqcI2q4BmAIzJJRAXeRA39ctVhHQOAS1qfonV7Ku23NowPWlvcjZL6MGbps4nASTU1uz79
EZXza6HGf/z4EbARUUxGd5P5zsWNMkDE0vAwkM6l1u9VzYuC1xx5pds7Kv7IZbGBZTJ5SNrCXUxr
43KVY+Fo2tBSyqt0/+hApUx0DCbnOIXfUc24bes6igCPFhVr0aeEDGsRIG2jrrSyDyIPRqcfqfU9
V16S3Ph828jKl0cA4Qrj7mJGaEmBhF5bm1RGEnjRWHX7ubdURtv1rX74yrY5ZJYAbsArMXa7WIqa
dtU8UQUFcvPI8P0HrfkQ6y9K1j/o04/bCxJR7/KEeCjSSUNSD2pd2pWXJ6RmIRwFvkTVye73WQgD
6XzyteaI6o2blr82BRivTwl7TGuKU+ILWxI7dSGp7Bw6kaf7050ezp5RSmeHeenby1ruoCiD8tZm
HFCIPfKvl8uK9HG2oqSjYhdlCKs1UrXX7Cw/yoVETgurmBuzG3/4STFIQhUBmDH4Av73t8zRu4wz
i4NU5+EWe03+ICmvor3Q/rq9rqX/YULoGgh+PtpdVx2gxo+sXE2ixAutLoDeNPgUGNnW/N/15qGt
JiglcHR0OJf9hGiwYyeZ2sTzgcrY9HB9Sz1M/fCziHyko7a8fekSYk3MOsHcAijDYlmLs+q1XDag
0PGshnpjvKMSF1nfbu/bMnv6bQPtHCEshKsvmxdWZ0dx7YyJl6MxPkHoD3rWHJ8Zkt2N3V9Zvevr
739ukTk17hLSTh5Vi7LcDMdfVtpJ6pW18rPuovk5LvThySaw76umju9D35xOYzU0p6RqtshQlp+1
WC+3CsQdvPgZRV/4P8z/cl3LcerpDoPRcWvflZ3xtbWHfTeMJ21+2Ex61nYYLBJ8lXzdMG0tLrSx
bvVIheXFs2e12TO/prn+0B51ubJ2qZTErpFqxSGrZeRaGDLf+N6vsggWzPsYgCJhjPLXEkIndVJn
j0aKwEdnk6xGVX0y0EhD7pISpdUM5Uluy+qQqGV3p5ROPO6CMXbu83HstF1u5tMBWu3+Y9H66TnK
6uJjmsnR822XWPl4Gfy0BGTzN/ZkEWv7wPDjTFNSb0yt5JBKev09NaR6o15wRc/xeyuErguT8WC2
ltO7sMXktlLZqee/FuWv+AlcVXEy/4IDy39MVLcc3fJNk+5ur20lZghsLeAq0hk+scVH7Gi+rc4K
x18qv+r+LfygSg/Zp/j1tpUVt76wssjQ9M4qMpoXqZfk54DkKCl3ivUXtCeVke7kLTYHc3E3/u9G
/mdNi0/Y0FqUVGIt9drMGN1BrQNIEQz54Kca1KFNG+xvr24lENLUZ66cTxc2gWVy0QdJAghFTb2p
gCiL+/4h0zeauGvHxLIg9BAD+fy1y1hrpEnX8AWlXtGVoYtmsPPIoyh8yJXUei7UFMW4eivTXDs0
0AQEQ9JqCsYLm1R2ojbJ8MfOf54Ozm7eKfPPsPoVv93evpUIBLs59RheLDp1pYWdyQ4r2ap5hje9
xGRZEOgf0S1oHks/rw7TIBn3VCjDD1Mh/QCdt9XnWbUuSPjEm5nR9YWzSAmzlvAtZF41JkfI1qdd
WX2zKnCg9aFHfWVuwu95suExax5Kck1d0KGERUJ/eZyDPlTg5UwqDz4S9TTy4Dv360/24fbOrjkm
NzQaxSTzMJyJ//4usckjA0mxGjNp+9DAcqAFj+VWb/k3jvx9Jiq+NiSkwdKI9wLoyUsjUR/og5OV
uTeVz1GEwmMguxBnxs2LJu/kHLqj4ph1NJW/1z6ileVT4UAq7xxqM9gNMZIwvgbIsrXcfIyemuGr
Et75ffhQzlsv1rXdeP9DxTf2bje6kp/fx03uafAK0hXdzdpxTrKNPb8+Wh4ZEH1YYmwBfvuFN8td
NQ1TAtBG7V+Tjxpv4VlJ7yAU3bourpcjiOW5FSBNY6Z++Xm2VQdIq5Rzb0QXV4GkQ1J+VF28k+fC
FZPnxgCgpA1fleSTLUu8vxOgcEi+dsYxlP657Wgr17jggkZiHq8lb1o+4vKBSY3J9AFk1McuP/gf
UjT55n+i7IGL+xi2w102qwkjvmd7/Kc0opdKq93J/DVEx9u/5Dpo8UNIfdl+kcovBROqsY4rqM9y
r0qS+phoMy5nW7WrpF13ko1YOzSh6R/yvN1Kh1cOHsviuSxEoeE6uHQvbU5jU43j3EtmCZHfU9W5
dbpr2vvbC1wzA0MEOE4xB0Dt69JMJnFDyGOVe7KRpiTB0AvrxWOdhm609TJf20uTRNQAngfyWhGh
890H40y0ApySD2asIQQyAHh1vaf5Z9hawBlU34wtwfOVFAgYPhepYMcDHrtEN852OgENCXMvre4N
uTpKw5vFwuLvSEVo6C+npxReuMAzlLthYxj0CiZLHH5ve/l4ZzjGb0Gy5YhN/3TCU6NQywy+pVW7
96NdVbx048+iPwZbYl+bdhcBw5/LOIkL7Dq2ebQGZ581z0V4rzw4+FGhuXMHx9T0vYBE+rYnrQUQ
lDPpGolmCxXDy+ON1WLO+6nmU5Hq2A2TPKaNSflAaYqtNsiaJ9FBAx8IVTfbvPCkUJ8GBmiQ8YsM
iP2QIJBOHeP/UOQP87Fw2vgQm1YH5VFebXwuV5Jd4ljfmV7qVA1ZNadgT3MvMA1XS/RXx/zeDkcF
odJeb++V1twBe5rh8vrkTHueGsP4EKlfxjp99M36NLXP1Gzv1Gez4sFx+wCuionL37Y4ekuPNIs5
dI7eeVCtfaPcBSHIaEFScgymZwftZBelzNFxbxsW2315ZbMnPNgpYQrIo7GIIW3dmo6UDISq/NRF
hVtMT3N2LNL8FO6q2NnVc7Nh8drXhAoFRwEOjTrLsnUIvfaodhDAeHE6I+9cB2ffkZEMC6u720u7
Do/vDVEnXTh1rTWqnrQAg3r77CfWlwBGkFq33Vo+3LZ0/SoUlgQIEWUe0Zq4tARr/MDTla6104U/
eNJ3bp9m4UaiuOIil1YWLtJ0Zhe2Zg8ExXK44VuoBN6cqnJJo92pmHehUR+UDjJf6QCNcLMrDX2j
ILJ6dJQaBW8qsP3fv/DdLWDowyyNYkct55XqWK08yurr7a28ft2wSOg4RT/B4N0mtvqdiSnR9Cru
ZEy0Bs73RYk/OU3nRvWDDQvcbVurDvLOlljuO1uh31Z2GWCrhcZAO0xK6AbV4V882C6XtEg27cCu
s2xSCs+MftlhTD3jY0rZQDI3h+SvP+ZLS4swPnVJlpepCkqjK06dlT/G1ljvECvbqSD++vzoT8rT
pAUbyO+tM1uE9GaAhD81WWA964+pr99Zcb83hjueNsi3b6Af19dI2LBQpwJELw713aE1yhiAITQw
Nv7yo38MlB3RkcM/lCxyredRGTa8ZH11/zG4OL58pi09VWyqYvxAia+xK7e59/Un8+Ntb1z/vqH7
+r+VLU7P7LmGQ9hbvDjyus+GZP81tYch/j7V/Wke7hxyPCfp7nlG9EisbBhfDWHvjC/OEL64VOGJ
UHrAN/NdVDbJTjISCoA1AKddYE5fLWWixgnayTrEiQOjk1ZFX3zTjPdmFucPdivBcyXBLLnxy0Tw
vLyhcGox5iWI+ektLiKCoWWNE00EndA+RfpXlH81f3TNT83gtvI3FdV7uzz9K5soU0MJrIuRlEsn
c1IkXxtjJDIcJ9k4+M7Xvvqk2idT+ygNr8H8NlYbcW9t/2FtQfKXKgAjB4vgXipK4/cZsWgu8+fQ
cR5bZTrcXtXal0MpmzatKB9djZsOcjp2Q27jX9Zdy6c5ZOewG9xBfs78dBe23yt9o5uy6tLvTS6+
HW2GMjLOfPax+yq3o6vUPpmeAqG8A+10JsMh2ex1Bx7V6KPdfAwn/0/5aqCoQBbmP4tefFROUEVt
pEugUPWj1T4kiRHC69DsEis7U67Yz1v8DuLSWLqrCoKTBz+cWcYyvdFlyoumz5L19K7rfTfM7qir
buRQazcXw6/wgwGwphK4yNrGOc/tsQdbOxr/oKnpo+aCek1gbH0HwuuWi/m9EJ7RjMEuX5hyH4Qz
bSQSmyDd2+pXx02VwlUQVIYt/aT+6ItPLWS9t/10pYLAK4SnK1czfRcGmS6/PnnSy1qa9cILPkvS
A724bBf/JUOQked77TQp4676x4+OVXWqJnfU9023EQ2FUyyXrYsSLsP8osy6uGO0btQG5BZLLyX/
btOnqNN3iOq6WXRStccy2FLQXbMHNSiPeGoVHOviOLOhMXop0ErPHtvXon7Vi+gxT7/mZQie07kb
m/bl9havOSlZP5nW70L/EhuilEZZOEVYeSqKSR8Gderu08F6SOtJubtt6QosKz5AdFvEE4OWCQNV
l4ep1HOS25DIAjT/Vkix69tfY/8x9i0U3aVjWRkPcd5yo23E01Unem93cW00uj2LgZoKRNd41LN9
n9mu5EBu/8quKlA0V6j3BF+D9Kh8hPzfLJ7qoHW7LVcSEW7hSnR7obdjmtwRzEWXy+/NGKXTgZ+R
OMOe4e4YXW0FbhlNaG0UG7nRWryFjQnxCtCfv4fkL60lU59NzYg1nWIQeTOV+ujbbNAlteZ7OYYb
cX6UbCZ/k+kwGeldW1kbP2FlvYIfFSgQtzWN2sW3m+hpntlD1njd8FG4L1oh032oPMVQe972rJWP
hiYV3wzwJsEKpV6uNdJDeUbpqPEG+0MrjXstfWzk1s3nh3q8a8P729au/VjwaIH8B+NGj5S61KU5
tKzCpMnK0EuD72ra75M723Yd6LFT1dpFCDaX5Qdf2fDiqytbGFVUchCAFjyXF7sZSUnuGO0QenIi
J4e5V3NPmgB7W32dPOaZWrhM2SVupzVPTTJHG3Wwq7Ok8iYKJtCvCY7EJbAkTH1zLkYxlJhmsTcw
VegmeuYfnMqqH4IhMHfJ1GUb+d5VIkQOhMAfIxAkfECrFh9MPJa6nebgjQpVditf+TY2/daowMrC
AGELBD/wb3rN4r+/e0NoiW3PdskcJOf3KdKqnTk90zmWKv1Z2dKLXnMcoFNwvikkXjxaFgGw7+TJ
NnKFXYy/1J3J8++DVZ3Sc5Ds03PWzndj+bbhq+JPXgQdsYfvTC5iX6D2ElOyYg/L8SPTujReWjca
jb05tYxj8pyO2mPnjy/yiL6F5c76W5Ykp9u/QhzU1Y/gIhdTA4haLacZ+yaey0llk5tw2qXZ7EbW
ywxnx20r1yFPrPWdmYW/TEmb5xSuOcvmpBY1tMXFzkHmWYleov2j0u3z4mM97yACum34KgVb2F3E
g0LNBgk2fSaR1bfQRphr1N0h2mX1Fp/2/7NChriBQsEhbixW6Mxy0OYzU4WJjSJIVMKLTg4Uuc5c
fFJiJXIBln9Tyuln0UaZqxUO8Jgw/wteKfP5z9dMccaCmBaKyavRvqQOx3yqWDMYjAcjOth2f3CG
eSdt2FmLARAUwoylWeLyXOxt56D81BR26BlJ2Zy6Qv1iDXq1EWiu7g8O8L2RRRCIs0KJtclgMXXy
Zg5u8bNE5zdQYMOIyr1ZdrH7L3aPEiFvPMFkqC0urK5JtGhUWZUjPyfTN8cqXct0W/XTbTPXXQQW
9puJh6EubuIlcMg2AhP01xB5Rb8PrRNlbTeOH3oZCY9Pc7WbVFd6VpkOuG12bTt5wArMI1MODKhe
xtRAj/LcgM/aS+S7cDxSSrZ+1L4rF7uh+FMCWnqd9FX/Y2vhH0MX+kmUYUspSneA5nYTCrXmge8t
LJwj8Ed1GicsOIxZScxVpd0GjGMtPIresOCYBGuwnDxJUXiwJ3FKzKq5o/ndMEo3b/60YPt7o/5j
ZHERyGptSLLEMsLgVe94L8nVjnmYw+2jX9+s/1hZHH3qO2k+6VPkzYmxi7qXzQrqloHFefu6WTCh
MUMioAYQpr40yMT/d0tYnLdWty1rYAmdxRfiMKEYbTTpxW9cXocqyRzBk9uQxOry+5AUJUxUm6Oo
FMut1OmQx/bBab5X5cZprH6I4uWM6i5wj+WcUW/AVlBlYvbb1u8RhfnsaE+N9pGozutGeeyT6e72
3q168juDi5UN8mTFJk9WT7FeA0AUVf04mFuDgVe8BeKbJyeU0SABYwpV7+X+weGfjWpjRl46HYeX
+We2N6uz4z/M5YuR6t6kfaa/njxJP4OwpOq8v71Gcf7L03tvfeHiTZjC7UOHzpObv7XeZphdhsri
0R7esunfRDeKLiTewIHgp1nYcsIiNHJfF95uOrsiGbI983HmxorWvimucMHXYuIJ5qLEaQC1UYxS
izykoO4cJ36YEAG+vWlrLs+ICxOCwNREseryyPK26QyEJSIvkuWdjsD0V3P6DM36bSsrbyTgJhqg
RR2KJxD3l1YGW4vUNvCxgkZlviNHOSIG7dI+QudlN0+9q4WbBIVid5b+8N7oYmnIhhmlbmI0m75T
vhx8eQda9YupvJnBdKRRd+9vUcSsPiREBcEE4QP13RLClRgoARRNGHvWOJLmnpBks6YIVteQ5ukL
nYNdDI3nsFXBuNIrEl8eI57MvFPF4DW6iI1F01SooOP7GnEx0ukMdJnqWqhfUcOogg/TF0l5qvzq
QRUaia76I7vvq2P9Fpt/0S3d8Km10xasPJCGMRF4BURRm6aJ5IqNV4fXSkiHaDZtQreGBhC6bgCl
UM9umFwLqGL4lG8F/OMVmqcM4iQCzRN7yDw8mGjTWd0jXGVV6ByD5+zHbW9ezd4YXRIzqWKZy/Ad
KV0nFV0ae70GkWdmuobZ/gr8fjfpiJQn1bO4zjUneQz8b1GzNe2z+tig7qmIKhIYzCW6NGzKRBqD
JvbqdryThxdGO39G6GkUiOANr23tGvvXLcrt1Q1mX6GAoehK0+XyC2YiMy/7eIg9w/jszP4dwtW5
4+n639J9X2/qsa9dVwLBDc8CWSpVqktrsMk70CH2sVdkqTuGxwqCJ7cK7yL7YN73n0ftBDyy+NxY
jyoVURgEbh/wqgO/My82413tIbEcfzYQXfTUR31CDoZRyfzRsv4iFShNY1dt+dNapHq/3MXtHI/2
oCT0Cry80d7i2DrlZXbf2s9+Ybq+ce+PHwJtp6ZbWcjGLtvq5TLVvi/nvmGZQRLtZOl73z/V1UZ2
u+o33C6UqQSp1VLEUtYLIWs6xV5SnDL9ZQbH6TQfteHRmJ4AQm8839YuTDHt/n/WFgc3D5WZpzYr
8v+HtDPbjRtZuvUTEeA83JI1SS5Zkm3Zbd8QdrfMeZ759P9HA2e7KkUUYZ9G3xlQVCYjIyMjVqyl
Z90+MayaONhtVTXXrCzY54V9bPFP4XM1ZUjrAfXNM2Jw3jJV/8eEWUs4p6sBHQGqzwvN7fWXMRA5
0fXIIZzpr136pJU/s61safXKuLQhXhlaDRls4/P1bUSIutJDk/xQ+OmxDaZT6c/3UtecoqF9Rkfu
0XbC9/2AqFU67qR5OmpKtQ8U+2XuHqWtPH/NLRne0CguQND4hgGtSRp5krIgYd6/3tXKMbMKL94a
Qn0j1vhri39b+XWTX5xxvfcbA3qd5KzUd1H8UxnDk2WfHM77OPVPI7RLoel4al96cQ5WSBtOoeJl
/oTYaOmmc/ZpkCw379qj5heHuWx5t+mnpJL2QVzvW0t7dOT6wa/Sj07iu31T7W+HqJW8jdkTpvvI
C3lEiPwmpTLQGspaaOLKGbAwHCpa6KkMl26x+a2lNEwO0+PjPqdVKqa6WTvq4wh501luq1Nhp49N
jUTc3oHuIXnptF3TI5iSWrvb61txAvyfSXxmjZhYe3PGprRWzayJzgEV7boPD5oJoqOYN6pYG2bE
DHsK9KTpspYXS3sf9vFuwRe1kKv/+WLoS/DOg/wGoZwloFz4Gh+yU2JgzucG/9l38uvm63vFHWh7
/LawrPPCQiU5Ras3vI3TOX8HV/F9Zo+Hup4+z518uL2YlYiOaCGcrNR0SXVFRmy/npmaVXnoq+k+
6aOdPSnaPh3nXRfvR7NJjz3qW7dNrrzsMMnTcpkpJN0S3kHRAOOe4rB/w7jPQUrVybCPO7BZTn6i
+LNxiWxZE65Fuifo7ElqdG6teTz6geXspMwBoZ+Nr52BhCzqvFtP55WMY5lDBq9HAruQGV9/v6bU
SzUoeDlXtfohH8KDEvie1EqncVb2VSlFS3lQGreIO1bdholQbpplpk/kfkrVrPaNxqAqFA//jsZ8
dNRwNyRp4SX08m9/xLWjxoQwU+M4D9UV4Q0oU3nU7YSXphHLx7i4b+dkn1Ubrc213JiBjt9WhKM2
VD1Q2ZmNDPXuyKTkofge9kfTPivatzQ75haqQWboBs3kNX+q5cGVAsnCwriCLipXi+CmiIZIplHR
htPm1zl4/nP8kfD3hRzc0vym7Qf+fhD9NORvm0Fk2RvhwcypBtAJzJzbV6Ty6e3Gcia0tM9NWX3P
QsZXR9XZItRfc7lLI0KK1hpZWhgl8LlIuaOkmoQ65+nJ7n7e9ra1Q0w3FCYfCO4YgxfMTGhl5mnH
Wsb4bNbTUQ4kVwVQxbSfFG9lLL/wbW927sKakBGGidX5dkJ5LQ4H+GIUv2h3UxgozDC2yJx2ar/P
5KT9VDBmNVt1vyAbhvddlxu7Qcma3ZAPL3aCsvjtTVj9oL9/lgiRs+e6sIAKUvWLAskbGIY8JLVc
b1hZi10gY+BoJnKx2YJb9l0+tm1X8UVL/WORJgdp9N1IHVyzg6NZd0tVv2+3GCVXvi/CD0wvkSdC
jSdOsyttqCwlCCIXyg9tn7xrmvKp6xiHaBdIQxicbm/lSvS6sidcCpadjVVVYY+v7IZ0u63gYar+
Ih5fWRFiZMhAYxEqWCmdB31Eg/gnTEqdufEmW10LIQo007JzIv+YDstrIlcUL5G8O6VGfKe6sr3h
FG9ngxTIrREDgtlahifOETasg0XcTHQCcRN38SEPortGCoOnpi32UxwpbpTkxaGwip9JnyTn2Kyo
FGvBl6nW5rtm7LYwhr/wAsIR5ffADQmVGEMAYgHDDIxIz1Kun8BJ3+VmdS8H38vE/xJFycEJTdcs
tWOi5XfM3DHe4/Iocu30gML60UqShfz/qxybP2471aoTU8NFU91YZjGFsIFsZtnKk8NlVRb3faqe
5Ll3q9C4U6Byr+PieNuc+Ta+cyst3FnAVJbew3WSocRG66PGQeaGDD1zM8Mu1f7R+o1a70rQwQp5
GqgyUAWifHfV6HrczZRAke3uUL4xLI8By60a40oWemVFiO8AU+xcVyFUqZ17yx48vdGO/vzUyLFr
wMPZRhuJxfqn+r0q4VNpVhOTY0eUaIz2XWyWL0n6rUyfZBMK6LDeyEBvLo5RXSGRyJRa52FONTPW
VCbvEzcCVy7/0xWPiRp6m0+8X6wBb84G4BeufqSnqERdO0av22NRV9hz2iDax5lVIaESFt5UJZI7
9Xn8qYM7BE2oJN1XMcD2wK7+GbVmQFY70mH3anw4d9l6va1+TiMVzyCEmGKO+szD6RxvHofvRtog
YqXkn8NwSnZWFvvvKBfZbhNqECIlk0+lbY6mz05X+l6vBOHjPATKDhHoxCurFCrLqmd4xhkLTx/N
8ayEYF51SOD3SjBIbq7XJlhTTdsIZKuHBlQHRU9gMvAGXO8Nh8nuKBPEDHA+K8FZm06p3KPe9Ddn
88KM4M9m39ZmMWEmiP19rb3Ug+UF6tMYf74dA1Zj/287ouiAGmiT5qvYsdARGSM0nx8KanK3jawe
FmoSBoENgKEYa/Vm6FoGeinD1R+cVEZgo2NSwXatV3MLTrlqymJmfnlXw3YkfJ4UGKAUIY9yhnNF
A2mQN5abWcjAlfeV+TeRjacS71BmxkGlXbuCOveZrw+U/buOrLVJdAuZZ//l9t6tfqALI4IjIFOf
1ZZMkp+P71vj1SjuyyjciC+rm4Y+0yJxaTNQKmxawEubxIDMmAG1cK7dOVVcRpLdQj4PWzpva/Uj
RKeAFSOCQkJgCLdOUMIZMxNdmLCPdfiN5vfWUMnHAA2WXTB1kUcj/EG3J303dWPpjrZS/oXPL7VE
YD0UU6knXX830w7LPKnpl1RBu8sT07XyH5W28d3Wmt/MOrGbSFLR+BOb31oFqjaEMO9cDu9SmZk/
Xrvntn0au9TN1AomXmafCt3T2PAke447+zAYrTsaTxZadH/uRARces8AU5ezcb3irohNfwz5LQpU
kDvS4sor0vSxb7aYMda8lSF68EQOc+c8G68NQV3oq0yBR+d+Vl9nP3f2WiR1u4hzsb+9pJVXBpfT
QgjhwNf2FmZbtGNYWlCN+UXy0pfduZwec/kunFWvaf4pwidp3hJlW7uG2cFfosYLIaiwi8bYJWPd
jDxskuCQnWondxkNnALV86fA9bdAhGs3zaU5wU3DrC3UWlF4YkTWneJknxCIoTqtVG4tR3d/sZu/
lyYKAPRqAa6uZ2l28RnQmxsOsE84iLVBgfGshfNO3mogrjVNAdeSY1AAAqgs+mTeVlE8RzKvjvFg
KAmS7rTuPtjKuLedzE3jXYhe9WMVbc0GruWjDE5DI0hDYcHaXbtorqhmjyoJSXYVBT8pGLTeIpX0
FzHm0orwCIbhZx76gdXBWXIqtV0Zxoe53aKMW3ORSyvCoypLIXnoEEM/W+r0TW1cTZ3vGdHwIn2r
P7J2sOn8M6LApcqrSbjrGpwj1GXyXZ+c+NRk2Q9AS7IHDe5fFCmYRCC/AuDCbS2SSIyVnfX+kvmY
s93uszkJd2lTbQ3vr3rBbytiCVmdAkvSdF4lkvYKWZlnGdJGzF19YdKyAP5Lo8R+wyDe5n6iaC2V
LaPaO/YxaA/Fiyy9rwJoId457Ws33k3/gYwzpn/iIPfS2cuKO7V5un2y1+52iNkJkjQb8PbFhS46
Adosda1VlaCgkrtoCA5hcVdF73tzOmjhFj5pzR1BeBAhGR0CAixELMmq67asaQX0fnbsG+9rlgZe
1JsbO7u6JBimmThnwlQROZ/qqjVTlKYB8lDrn+WzZfyT1FRgjK+1f7q9e2tuj5wkzBcwPy7Z6/Xu
ZSh+hcmCuMrH+oNZGR/Coj0Z0utfWKEOAYQDWBTDa9dWppC/2oIKP2ct/BE8rIaP1rSlYr9agWG6
ka7TL/JiR7i+uiGRmzGljzHW+4qShgaVquF8Skzby3LHTaeTkx3N8Aj01c21e0m2DreXueYesKDA
QAo0x4Z4+HqZiVzHaj+xmVYdd4C+nANyM9OOAfjaDaQg3Bhxf2tuYbUiFVkwefTlhV2dO8nPSofM
uR0rr2+Z4aoGJGgfZKPcuD1XLRGHaTTYSE5ZixddnLG5c6ygqsFr9AOVlLQDeyxH9X4ECOP/qdoI
1SEZSRNGYUCVMQ4ohnxbKvPGIFdPBnrSsaLFp7zIIOUzI8e1rcQ+/ulHu7YnZHTzwund9B1NDAkQ
mfNTy3/i/5tQ27cHbTEDkRvzA7wNREq1tq6CotfBhbC+73TYn/ImfS8F6RbkfaUhBFkdVWLuMUKI
Ls4R+bmd2XnAepQ0d9Ug9KxMdk0S4SqIyRmhRnLiU9oA4mi+d+VdW1r72xu6kvjwCxZWJtifTe0N
m46cNzpCa3hLGu3bukQOlXQr3gVVxpEMXV8PvR65Gr3aG5vN+7VtRpaBl96yyW9Emg2L1ZZjSyWp
k/ZGfbK/loDjqOoAX92F07/jtKuM3mPIWmMnuoS5Cv8+ztQvG3uwJFnXFSaqwDw0wUUuc4eiHqzs
ZMXg53yFIG+BxOleA0n1mOyXJqDp33c9StXdOZw3HrqrX59KJ4QNEPmCyhReuoi3g5aUOD26ZLhy
/S/kL/swHI+qMx66sHiI2/wpjQ6q0mM8/Wbk05YKx9vLi5XzRFqwgvSvRURoXfZ+FYcyj89peA9b
7EF1mh/caF9gS35oev3rxk4vUe7NTlOeoAcKUaumCkG3m2FQctB5PNdysQNfcR9JQ+BOpf3BeLFj
r5G/1OOdwXigm8g/btteXerSAQWxx7kWxwItQrrvWwpHLdzZKFjDOIIwuCtFnVdttRHf5nNLW+G3
rSVEX4TgzJy1YLJ0Bs87+9/W0d1IkT7cXs6yU292EqTjQpPIZoqlpSmve56xfLmZC1Jrpb09Houe
6QnlNZIebKlzi+KP0w9WxfYhlcXcCQ57vSrNnCc5nE0uFoPzYX4Dvq6o3e72ulY/04WR5d8vti6u
i3LWS4tUOHOKfeyYwb53ZHduktgtrTZ062qTGGntxqQnLv+CrKogwK9t1jGid1JmxOdR/ZzLoWsn
n63xW0H/88/XxiAudR4N1j0yxms7EeMhpVrj/SMr2dEg7s+Tb/RozvWRpw7Jf0BLlQ2bKxUuylvU
hpmvWG6aN+mAH/ZT5oA6HJBa+TJOT2YIRiUKPC13vDG9t6vnzNoYTVrbUJ0GJ3pFuAneeb1Q2N/6
XrPV+Ay1gyR5fkxxSXrSiy0hrTVnubQjOMucmNA9Q5R47sf6h1x8bJLw6HxhuOswSb6zkegvXiCe
OIZQaSUvhR7TFr4eusLqmA9Zcq7mb0PgQ5I7uqX0sZPu1Tb0pvH1trOsXY6X5oQ9LLkTaYznQAAH
wy2GZ5sxkc0ptbUocmlE2MDGQU8mrZcWZ+8Axn/yh3SnjM/GuHPsfYK+p7yJgVm7bC9NCoctl9px
rHNMBsUxr09x8JmpULenvCPVX9rmqBj/xLP+fHszVx3y4tsJ907JhNmYtWnCI42hA+WDxQ2vKI9z
t9VceMsasUgmO3RxFyZEMn2hoNM1auK3c5EwsnKsTYYr2tQNBqdyudwfJyk6Roa5H9HorZM7ZBsP
Sjbvi48G8xCzXLyT/W4jyVhzIyaz0GtfQHFvtBZGJW0NyaiT8yQ/WPoLCfMm8mdtc3+95qliI7sm
LllHJzoaUyM5835ylf7nMqodNKarKlu7u+auVLGpYVuolzKvcx1XIDV3pGo2k3ORunp4F/TKuzYP
kKhO3Tq/1+bk0yaF//InxVO/DBIv/y3SDsKLo7e0SW40PTnX2ujGZOibDc4VfM4yv7nc5TwMiZdC
YKlrxx+iinq8HTya6JzG0sOC7B12iEfM75Sy9WSNquALkMd9Mxw6c6N7vLpELvZfNA0LUPN6V6tQ
Gsss4IZIOjs/hKX0kjv+Fvh9zQ95X/zPiHAC9TCaAoaAyPX9/KDViVtbo7c9hrlh5tdteJE+BE3l
tLZGKp826l0wPlNHOW374aoVmvjLRD1gNDH5KktnsJVMYzEzIK5csSEUypXvktNtDXusXTo8rAE4
M+W74C+vv03pdPQcbFKTUkq9ASLk0KENpRshTzJHOXZNILtBGW7Qbq2eaKgCGCHEHSFqvLYaRAbV
YXm5v+u7SbLQTnmeOz5X9VfLW1g0GIWTGYwQ6gcan6vOl+UB+TnFmnViosaIeRpE2iErJqgutvKh
1U93YVE4zzJQZ9QgSGKrZLrTqmM3wWtjbOQ/q1/N4gXAgMBC3S1cAosKkd/2+Edi/gOurjkY/p0y
fK5KLp/66fbVtnp6l6KuRjXNJixef6s2TOuMiistWWton4JMlR6LrOr2t62segToL4REcMU3/P29
Ad9qFdqUr9TKo7DvAbyHWuqp2JIw19ZiPCO6iNxB+rEMsVyvR8bhZ5WE/Gw3g/21lRJjN/mw1tKR
De/9BWUczwHv1WA+x1WsegyjhK6ud+a7spf2lNjMnZxm+qkalZdQUiymo9T0gNpHeqdMGqMBfjnv
0F5BZ6YdjQPzJLJrR5Raijn90Gf14FpJF+70UC0f+5jfEYydAr9LGZ3GdIi8wgSYIBfmtKennBz7
IgvfBfxlV4tpuTsMy27c4MthE2+ghf2JxxezZqQU1xvCYHRlF8a86IwmH6dW/8gb2nxOE5RiqzII
v4ZSvSXtu25yERTg3QBEU/DfKFMSWYtRyil3hdPcj9bXoH6VtOBuMF5u+9Wa98IX4IDopeLGIMf1
4hIDKHtTsDi9siNaicmn2q82NnD1CUTX4dcIAgMpYjmPKketdNKE8I+tnsb2S+LUTzLdbWc8Vs4p
ywdXTiu3iz7dXttKjZvYfGFXuPMi/qrUO+QOYSGV7iAnLzOiNI+lAQN5Ngb5c5AHMSyKw7QbbEO6
81XlnzxQtN04ZeUdHac/p5zhB8G8AsCdahvcgte7LTWN0qK+hU/HwFDruzQDDZ7tO1Z/e+lr4YJ0
GwlqGRFqnkzXhqJQnxKnsZIz3EAyZUSlbV3re/h628pq5rSgRJj8WXTERGq41LCSuB/65Nxb/9Z7
CiGp3n2V8vaE7gMsPpR3JvvB6CH8hCnBSt0+32IPWov0PNSp5xNjQVsJh7PXeuZeVJ9ohSJnzPBV
DS9KWX2eELFsTJLFYmNn1+4vbmUe1gzGkwgL4Z7SQqQrGaJOSgRXhiNH/4FefZ8lW0/rFTsKNzLq
C7S10JwV7DR6b+Wm06fnrPwJzIeJgXLYuCVXnIQWEyh4DID3FbkhgyhJbMlc5IJS6zD1DwvQtZFf
t0E+y5UhRNClAYgGHEJmtHEFb6Q60mthQ0crjl+s4V4bJm+mq+/ABCuHu9zcpZFXF/shRYL2379I
fK+MLxt9kZHCCzLHJef+nA7+sTb2g6we7flw+ySsBOwrI8LXGjvoNc0SI0b5ibCdSR/k8Quk3s7G
O3qtXUDzET/nsWGgTChsZejLnZVKTM+XAJQ1F6Z3PwHf2n5u0n1QuWXqWmb2mFkboPA1V7k0KyQF
qik1qRHRILdi69COoMGSUT0rZvfd7MMtArmVM80aIdNc3vDLkPf1FzP5YIFmsMZENe/i5kiureTB
IT05xqGxjn/+5bhnSe051LADCH1BPfJ9o1wQnA3q7zESN7xw903xHMkjI8kbJ251ZRfGhK+XpdAB
+D24CS2c3htW8xB0X02r30V1hXJWchj0LWaf1Q8HbSWw/aW/IBbN7IDMv8xBJcYNzciprNpjZwLo
y2tdcWPAWafb27luj2cZqrjgyEUUpBNLqe704PkC5e7bXRwTIsctcZa1e50qD93OpZxKTiycNjka
A7WxCh5lyme5LNF+QGQh+qhW/4T63dDdBWropqlPIvla6aes/nJ7jWuh+dK8kDNNeTTNqV/CdoCo
hAtqD+mL+SM93w+37axk4ixz0b/h8UniKhy6EgnyACwA2Ejtqy4b77S4PdUZLNbfK+UpjbN93/6x
tIMCSeWFSeHoBeAb6NMAhgSw1OwY83vVW/qemVltrG0tYF4aEqJyoGXSrGR8wimujyhY7ErE1lob
PTTNrFwJXoPbe7n8cPEKurQnuMwcST6ozMUvmXWK9A+d/d9tA+tO8ftjCU4hD52j+IuB8pPRhV5Z
fNSNjSC85Q9LdLm4yaoYjFRf4Xd5B0FSGj3rXbOT5SeGP7UkhULmpxZuVfxWl8UjhBenCemAITiE
X8mJPytL2aixfkx+n3i+4j+M49YQ9Or30chClunIBRx+vTajSg07b5dW7PhidifJ+PgXn4fxBTQf
4UuCnfT670dhV5Ds064bGEPLDBo/NNrlvjjcNrNWfgYy+NuOkOH78pRI5kDlQVIw5R+yhPFgsPo/
eWAcB0ul61TpXlrbX4Edtm7ePBkJ+BB1PGfL6Caw7ts/aC0eU3ReygbL5KnYdZUgk5SMmd8TOy9N
+aMlxdOHJz3ZyEtW3eTCjHC8ssAcWgarKLjkezCxHpppXppudcu3rAhnzBr1KQ8LFqNBvreLJPO5
i/Le3RwPXT1okPrhK7xpKD5fOwse6s8zZwmCGd95F0+O7WkZ5KtVgkJF0Q31sXYa+65Qq52k1Fur
XEsSuNuoagJ7hIpZSBLikA6GltGlTNNpX1vtXWS03tD0h6z8pDbH4s8H/pYK2W97wjXjjMzrWBL2
LPiKdCnxCspkZvnltiMueyYG4EsrQiApykbJodDjMjNH9tB5mBvn0Wzb+94pT3Hy50U5OvPMMEBb
u4B7hXACds+ZYv4/1/ose0UWjJ42KvPu9prWChvUhZiHgOXYQXhKMFMWBU0tmahSGQUquyep2NWq
V9vDcTbz3ZSmO+bqdwyHbYSZtVN9aVc4biUcMxJwAFCx2XunP7ZZc3AYcKWwdnuBawfu0o4QNSVn
yNt+WZ/apG4sfZcDeW8nivsXViBUXfjsIcoW3zRDCcn7aEh0kZ3yOABcNjN9u9W66oAXVkQ3dyBn
kGeIYwzlswktT4uE4ZDK+2J6bbSX2ytatQWPKoRrDB4BkL4OIBLQSn2imHamLWjAFA/Ji5ZE8g71
2vhI2mOQiSfN8bbRtY/FlOgStLiBFBHKHuS+giMgS67or1SZvLRnFu5vAr1Oar/wAULOL0K1fJaL
ojZd8VFX3veG/D5ojffj5Gykh6trARK30BtRvRJfZcGgjV3ZlvT65WxB1sBQCdf/Rt9t1Qjc8wwe
QQfPkq6/ktbrdCzlgbVQu6rex1mO1kfk3f4qv7h2xMAHHzqXL9QJEOQIviBPjd5YWpSe5RrJ87Sf
B6+ela/KVMiNO/umT4KQUUo2m3A/+p3tgdAuvUIHQSS3/j1dmNLTrCk/xvogARE0HTfgAbTrtRnW
kbFnamrS5k+3f/XaHcQcMDgxmWsQeNr11rR9HAd9TdoXmO+67oVx8Ee16V2nX1iNXget3t+2t/Yp
GHJminKhqyeSXtur5KAoOoUWaIZ+4K5HgeWdBkjBdep4SxJl3RTjwcs4qwxs9trUnA6dAjKd6xXN
uiazvBCOJGcLW7kWoeGL/5+VJUJc5Oq1Rn8k1bHSqPnOTiDbnlLP6b7PZvfxL7aOL2WyeRgUwVON
qsAcvrDhtdF3A4L24HmzgLe6GEYGqN3BYkKv/HoxZtpVU9pymxrxywQlpwVLp+k8b2Yia3kXHIL/
syMcSN1pEkmdudayTtsbZeTpUuVVEmQso+2Fk+w5EDCN4cYGrt7izLEAoWAyY9HQvF7eFAVGMw3c
chMMzmH6OEArFpTe2A8nM4/gcPtXDSwP2p8tetXlD78JDaR4wE9Jz9HGujZcFmqMTg0RO41jlBJ+
IujyF1frohDz/ywsh+HCDUE963XYkMmO/gsz/T7KO0P3+bYDrl12IFxoVwPsBGIgrKKh/j9FEojB
pLQPczG4o/7oB0dLB82KIvxtY6tbBo6G2gczGIBYrxcUmgyBBxP3jx3IKFJn+VNRpBujAr+YFcTv
wp8mpaPVSlQSjFijWQ9tHdOmMZ4ddBihkGyi+8Nof5fUfVt81j/GuienX/x6H0+u0dB7xF3GXQm7
S6Lmh9tLXttfhjRxUOjgUdUQTl8ntfM0puDeejnf59mz2he7yUlcO3seNtVE16IjfG4a6EAEL+gI
Xu9v4UOqAj0rLnmHjrpbOQ+M1Wx8w7Vjvhy2RSoJ9jYxOZ8Up/RHxtnPXYs4VAzQPUv3ZS27Sa/U
LCvdaRntYEMaNwyvOQ/wpUWfjX2k6nu9uNZMWqWisXqWh/xjzjcbxuTuLz7WhQkhhCUdbG6Sz0NY
tj0IaT8qxkOs1YccAenR0rz/P2PCyctshrwkA/SGlh6SoTzXgavV0SHQxzOsDRvG1lKCy80TQonU
jUoT+wtUhNlaI513JuQO6ZDtLf99k+b7VFX3t5f3yxHenEOK8tSSf83UC1lIVjg1KICGfkrDM87N
p6zovEbKyI/kUJW+5GZex25qIyvmyp0CyC9WmnZXTIX6Q89aiOAjaBBLBjrC7l8G55unbEqimEmK
KTqUMzN2hV8Pr4FTZ5FrNb78KRytyF9GHfynLlVsn8Pd19GDlKTjxgt19aCh9Q7qGTS3KaYhQJaS
pEMt+hwgKM+TKmhPg7JVSlg1okPWRXMfdLXIrO0HcyBPE6FD8hNXnQGoV66sf7/9mVZPFeDmpXpH
Lv2rSXxxx2RSmptGAqBUHfzoXWTN074YjT8niAMeZ8mYsRkGRVjo+uzGtpNEKHfyfHNekvi9FdZu
G27cZKsrubAhBD8ZlUE9j3h1NEMGsW6RS24V2c3u9n6txfOF5Q4REYAAb/gVxmkKJzMFRJlG2YQA
etd4qZXPd1I/F++kQT6rBpPyt22uOcKlzeXfL76R0sl53LQgIap8OMxy+ZBRW2rq8a+Wxgg30/40
EsSmtRI1TT0MwA5CXdv5dryrYn2nyvmT08kI62wQP64tisoL0vKgUWETERZljXkQpC0vq6p4AoVO
gcLYS3Gxv711a58Lphna8CCiuIAFK2Wk5UbWS2ydwXQiwzKIGebOu17OzmWxJWi8uiQQa7TOFvDy
m+t3jngvzABEfAR4FXTMB8vtzL9Z0YUR4RqUTNPnSapy/xajF/dIo0SHWWM60bd3Wvd8e/vWV0T7
CozhMnOxvC0uPK+YmEWoQlyil+sFRj9GtduPf/GSZ4rtf0aWb3hhJC6cZIDrB1Jg6DTi2T9GvbEz
5GjDvbfWItxHfTZPTVADtB6M2CsZ9rGz5hhtDW+sRaGLxbxlnTUQSK5YjG00Xt81sONvNJJW17Fw
1HB4ZJWjer1dxuAbhW8tLh1Dd+L8iOME5pOtNG/VislsFAPGC2JGeNMredUi48U6DPlnXj8EDHqR
r2+kdFtGhE9SRinciqkN3H/BvhsPi5jH5pTG4qNiHgLOmEk9ME7qWx16pDzsJgNklIVftO5nrh0R
9Ku2tNm3rAi3jzLZURgOIeFMech3dayQ2Tz1/cZ5XLfCsBUwHCog4hx03fOYQAshPTdGflLD+6R1
Dlp6dIrvt8/9svFv9+y3HcHHAjuCKKxM0vOi5qY6nlyi7DBAm2chQaH9SKGL2Ly/1wY6F1YDLh5l
uVtlIUloM0hWEUZNz/n8NC9YQxjSpOYubb1fA6yy2+iv5fypgmSn0vT97RWv1hF4aANnAqALaHPx
1YsoZCay0jgxVd9S96HbltOjHk3vrb7ZZyCbpsfOCFygGOSU+UZgWvmotExRJuKKAjYjVtDnUAmn
cazSczwYJ975elcd0uSUx8fbS1y3Y9MIhvoDvmphhdUslXGl1OnZ1qWXUW++94N1l0/BfUGeu3Gy
V+5d1vTblhDT1SoxpsLCVl8RB7Oo7V1Vi5/qNHlORrBA1Rahz0rcBSGwzIMvVWcaYtefL9O0qil0
Pp8cfpmtzrXjw+3dWzkSVwaEFaV22mhjy+U+Qw7f7ZGQOgbZnf0E6uJg1s1R31JBX18RRR7Gj6jc
iZS9Zd0aSqou91Vgvkqq8cQA5qfba1o1wfw0QELEe+hXXm/a2Mh+Jckc83zMTr1tHMJxAzO1ZWH5
94tThXai41dQHJ5tetcUOFu/3PC0lTuEUPh7DYJXh5GpZSB60rOpPle0C9P6Pyr2G0bWPj61U4Bt
VFEXeP31MuRa7nVK+eA55X4ZIEHve3JOi/TsIgGkD8/KJH801PB0+/usndhLs4LPjVObDjkAsHPo
P8jNq6RTz4HSLdgqZa4FP9LW3+sTbvuRck9sqqwvXmhU/VyFeLdlmrE3oqfUeEwn5XGKnG/5oJs0
PPxs4y2wUp24Mi/kAYHSd7paYr72H+f0Uz8M7ux2U4lIMhK7/oa19V2lQMb7baGCEbw+6pswLTWs
6ZBjzY2r6jspvc+NLRj3mmcS0JFuAmzMg0pYVRpajRUscZ35CgJSYn2xKL7Y+VagWLWzTPUts7Ws
R3TOkiY2lCXpubVf7MDedc7dUG6NAawd5EWCHvFlpkoYTb4+Acok1b7UshhNkvJdVlGtkmJjS7Zm
7dqAV5Z8E/kSivnCYZ7aXC0UGEHPjWLu/OHZl58q5b7O+p26ha1cWxCBgyKbJSPGIhL0ZtKQW1mr
pGenLOod+Hb4pYtk2qi7rX0bABpoDwMr4oQJvibNqtFHPijtOEpHV/O/zmq0Sx3G5G9HirWNA8mv
/arkoHEo5E6Tlpphq7KaTLkv6/gEINwMjopseU6y9aZe2zmGLQE/8J3I00S/1qKkmo0+OzdVcKC9
u1Qjbq9m1QLvdfZMVZkLEFaTqhIZaEhMX4hqpHJy863u8VoMQBj5fxaEdD0r+9HQkoy+bvO9SbL7
vPsppy+BlW5E8LXvf2lH+P5xpzlDvdxOy0qWHk4NX8DGg3BtLSBIQYmhqY2jCbtlJ93UJUxKn1Vf
O0o1suBNeJjbb36xNXC4agmiTwDs1Dz1X8I7F7d5lRW11SlEGk3+XFRPDnl5pEWuk1kb7ry2bYDk
gcj/4jIXO8qh0/poeI7p2Wrvm0i749skm3FzzcsujQh+XNRtUsYtZzMwDVL7+6bdYjdbXYYGfxr/
IR4tskfEeuf3XY+FAVanlvnPxnjdHJfcMiKEfy1QJFPN2Cs9Qqmy+7mcF2cYdreP5JYVIRUZ9D5I
GgbVz2UeFLu0ty1vtKsGdorY2YiZa7GM6Sdj0T1ceGCWn3LhZansO1I+x9nZqWcTTcl6+K8JStsN
Q1l6nvL8e2926obDrXo2+AUY2xaqU7FOCM00o29pkhGnEU1mWrdOoGDM+505vN7eyDVLkN2peAXq
Tm+UOCIplKoiZ3ZMMRDjyGGTfIbQBfqGjSnkxXuFJzzYx2UAEUTuoucj7GI/jXlpZNnyIBqHd8n3
YngHKsTrtEUz1dsss6ydJrDu9P8hpoMQSYioMDFMuWZXGW44ubOpu91Wq3otS6TzSNyhqcRdJ8Q5
tYGwNahZUVL5bpdU+9z8J/oK7ZKNitj2DNdqUkzPbOleQZLJIb7ewWwmJyizAnt+89Rk4XNBSSeQ
4YiPTckd0x9B/nOIDgrc9H/uIpeGha2se0YZswbDTVgfkWRzp6g/+NlzuoVzWTvU0DMsyGKoE9hT
YYVyOY8NMEigy6wk8qbuvg9+3l7Muo2l50OJQ8POtQ3NiEMbmG3GHEQwHxYZQa/WrJ/GpAT725bW
PH7hzMFDKKTAI3JtCeLNUsl7LNljO4AJU3oyRwPch1OPMhQ6QfvQ+WZ1mqtW+Tb36lZlfnWlC6MB
LkNCKfpLG0ipTUWVz2aXng1HSTF7+hYA6v9IO7PluHUmWz8RIzgPt2RNkkq2ZVsedMPw3rY4zzOf
vj+4z9l/FcUu9naH71wRSgJIJIDMlWuthQ/amP8xsvANyR6ImUiWnKNgOAbBuBv6p8hWP2z2F65F
YRPVKlpX4PdWlrChNIFwrzJ8elxDxHXrx8aGRliW3P3GwbJmh5gh0plQ6ZlL/I7Rmk1u9zpxSg12
Yf7sV6962h/aBo6gfuM2tkLkrarwb4lShgVAYgmA7LOoj9DKEI273dnqTZgn6sKzczRC2nA/gSEC
wjAeB+dX0iSHcFDv28745qijVyVbxCGrA4edwubQodHZWGwM2e+HTo3D/NzJ90OoHTqUFqz8oTU+
+YN+d3trrNjiGkJeFZZk6lLLKm9kjJNdyfDXSqVjvq8mGdazIMvQlAXVaDVZAYtWkW7sR2XVKhgc
ETxpTjcWb0Yjs9pIC+roDMLN878UxiEz3dFxK/U9vWx7R4s+KPFjKvV0kL+MA09+5atSdPuWXph8
S0d5ZeNoZAZRDoLtgXa6xcYxB0fqjB7yXNVpD/nBaELXlI5RtdVivG5HJHOJQMTWxamRG0Yo5ypk
5qMfVwegd42L3ue4Bzc5nMCKVhv7Z+XchbuCHh9YiXlhLk9FSWqG2WGiz1MH8n9O/HzXjYa6YWUl
tl1ZWcwe3YmRRQcb0sfTpwEx0TA65Ga64aWrRmCkFvUzQL3LLNtQWk2o1wPqfHV+tNQPWUlX/xZr
6Or6XBgRTntxuyyznHu+3ZPlApQcf/a1X4gjaP/+SUbOR/C7AnOD1Xjh+fDhzaViMZJe1e4Tef9r
njy7TjYSWb/vVIs73pWZRQiJJgO1Rh+q9yAJvUS5T8z3kS4dS2Pyhlb/BCcOtKhPSv48yXcODfVO
M+78qtnp6jvYOd1674z0BP9AeR591Fo7sZfPUtLcFUMMGOe9cQfYYd+V0t5vHu0teY+11YYKTsjS
AK+GX+J6IbJCDfpWh0JY6o4c6l6ScGds9X//mNBEbzDEDaDi3iRGxkwhvy2s5Jrnp/fODLvWB7/9
qluf/32IJZCDAyWrQsFE+N2FXymjBTt3R/bUMGYQDXbws24jdTf7mXQ0oEnZ2UJK57bN1Sm8sLnw
5TmUhrTpGBzB3DOzH6NyH/0Bdw0NrFB+CtZxA9Tf9biMdhxUNaXrmTSj22aPdBIW1jE43B7JWhQD
uUho5qVMKkPc/S9mr5+gHYwsWtSj3HfT5q9QO942sFZd1C4tLG6H0tg3qeqL7m0zOZJNPZhj6/by
51St9mOmUTC6r40nvd9ZVuHm/b+vg2Dd/t1GAGBsmTkJ9LqX45SOWasK6CNI83IXQuiy4Q8rws/i
j/PmI3oCTXMWYdr084ozoqZhUDoY8QvMaHv6+k5l5yau3kQITlkuOdV82kED8FEfTqRxzaQ/gCxG
1mk3bea/1q4Alx+08B4nG/0mCEDSW/AA1CCjRsUbVcvTkYSax43zY334orcFH4LZ1VzsQSMMMzns
ctYYDdDST3YzveSJ/y20EWp81B7zv0YVOpP+AGXzYXxUPsrTIVAEDVOKnNVth1sd+cW3LPZmFU8S
qq+suGnurPnvQaKBvzgVplsmW9WpNSYXkL3wuJA0h3Jk2TyUaqS4jYEGDF9+ymMbbF3rJsqjVN37
k3XwgwhFk53lfC6j/VieJtFwP/Qb+Ya1WHT5DYuVDqlK6ZngjpuCbCf4bQ3T25RhFZt0eeDxugPZ
Tf7ZAdJxHSacqJ6qcaZdAvYdbjuqet/k90P2l6yd+/6H6W8VCcTfe2OPOzMxVjzqlgQ1xlzmTm4w
seQhq4g0cYrcJQoTdDbc9pa1ZANUeAgHiPwGd0HtemRBXPoSJV/aw5Me2bmPlWJ5IpfrR6Xn9CC7
CFa8DD5umBUB4c0AISfg7c+rgHvktdlMS2ILaSNBquscqjn1ECr1659D7SrnJHYenflZyef7eON+
tEYCAUcZ5A+muAKQdbu2q8hhqaUDHHmO+neM7HOkFXvDQLqweMjDYFeHOhXWyW0DWInm2TWj5sTF
euM5uLq6Fx+x8KbRz6O4MWgdka2vlJG9gQYVgMV38RZP/NrpRkYMiJugRoF7czHa0YQwQSgX+5Hx
qyjrwQul2NpwoZX0GNkTMs0KLy3BAXdtxIoLO7aDmCBgyXeTLlLa7vgUjAodP73rNxuTt7bfIfi3
BDAQB1pe3yw7ikX5jK04aJGXV/6jk6avfu1vBfW1QAqzPOSX5ITZ9YszbTKDwElk+pdarT4ZSr/L
socZIpTKU8KHdDoHVe5G5jvV+QJfST0cUtk8NT3iZ58DZauct7aQ6K+QleaLiLQLtx2LQa4hvaHZ
VSuTO9tq430UNMrGvX4tyuEmyLfBbA8WauGXeTFrUznqsJP3/jFMpX0egQgKmx066W6b3zdV/xRb
5R8EcNBxSKnRBsotbOE/tNYBySJddw5726NTxSoTmP6OtwPO2gReGhG/X9zzFKXQlQEk0Hmun8r5
ix5uUYr95qhZRrRLC4sl8mfefkbB5IXO+8Lsdj5NBkZW3Ms0xOTW7GaBeAdkEE+H2fs4eZS4icAF
hvTlsczaAbym7vIsgc8qujcK61087IN0PujasYF4R6lPrXqwoi2s/5qTX371YsmTqZYAr4slh2u4
2Aej7frpS5R6bfIHtTWeJ1AmwSwB6mcJS6DBxUgKh9BLF8NO3A0kshOpcviDhQZXRK6SswVY1vVC
z/R+9In/mwTVBpMTeVKykSVfC0Bwav5jYbHQUqPM49gyZYUCumIwPTs8F8jP3B7HuhWohXk6igv8
YhxdoKdZ17ArrNHa9XSdi+fwOG1si7XYDe31P1YWY8kivwodg22RzY+qb+yc4Rfp6R6RBVXd5XLw
73lFENoDe09xHfo9a+FtxTCNeubQ5xTl70gNZGPy2EGAQDE++JPpo1RLJgw2TGoM124Q1X6SNz7M
MIKDYOLMc4bnbUZh8b1v9vyFlcV4GOpcWIJ0I+zKfdpNT3Yv8v33c7MFi14LzSJbQepY0O7qYh9f
xC/LTOrW8lmoFHbynLpTZXhG+g1UW6kne6Xfk2y57YCrkeHConCdC4tRbgVSGLGRmqLf+ap6mBxk
x+w+OBVt+LX2t7K2q66IOBzCq0Lb882KFUlWJYJzJslrxx3D2jiNZnOX50npVmkQ7Qb86ZiO8dYV
eHWnXRheLGIIBcIY5Zzzpuhm6B5V/Rdw0T/xR0iZ4UsUcj1LrG1EId6ffYhMfEc7AvpIeB035tMf
LBmdyBRNiH5vlGkCP2xAvBIzqG24nRbfjV+dfuZUKY5OskVRv1bTgCeZzC/8troA6187iJ77fdNK
xEG7RL5emU9wLjjc33vKQ6mLHl74KN9nLjyl6dEy99YWGdjK5gN9ArqJkfIu+02hcOGgYaBJipGi
DhBLKY/roPxWhRUUWqgc+0GxcUlZNQZkC7AqWTbEf64Ha3X1mCYS7WqDPOW7sU57r2gzbWfTiI26
Ncpgt5dy1R6MjWBrxXouL3xRYhuDMbR024wasPNeuc+mxpPnfK9G4d+3ba1sAMBUSO79FnK3f5dT
LiYyq2y1lNl8VMIA1gXpSLqATo+dXvrxxlthy9QiqDRTEYcSbX9nxeddGXWuMsZurST72yMSrreI
y4imiNsG3eWCE/J6taR06rPOApRdD/1Ess0+VOHw/baNlYhM5KchSnd4jqADcG0jHILcKg1g0nqF
NAt9WQ9ykOznYq81yr6Isu90h7bS622ja/NHxRISe4jl6SlZ7LkJpWjEy22ua0BVk/olJZcoSXe3
jaxEYiE9I97lpPSAXV2PLDNrK255Z5zboPESRz3IwUfjPoQTWHqetxKUK8cMuAqxp2jQhB13MY3Z
1JmSPGOsyL9kUHVGL1rsu0OceQAPbo9rdfLAkQJWEwwlbxq5y7KWafhiXHGhuYEvyUeq+plX1tO0
u21qdVQXphZvGmlOeQqU+HlEGU5uX4bh42S/rzvLrcqt82vN2YFgCkEy6BTIZV8vV9eXXZoNDMsJ
PvYmiBSoJW+PZi1JRIQXJBs2Kt70wF+biJMhtAaNUEvLgBs4FVfDiQr25CWp5EbNfIyynwa5P0fe
QtmvxUHEpqEQwTXe6iBRywpRk6LttZnSz2k3oo9V3Eexs4/+oCxElfY/lsSXXETBHqmLLjZpdg3a
uvSUyEQZ0R9VzzZSecM71hzx0tQiPGmzHY9FQY9bFb6W2SvqJ7Z+f3vJ1ueN05mNRd5ySUZRm5mT
FhajkfXYKyATtIr7vAgOUbcRLNa8j+ZqQYUEUyxiBtfTVmtJFyc57MU9rFjwXUhxdrw9lN+4+GU0
h9yHV6NDyofr07UJpxwkuLpFQ0rqNlqzV/dF4YFxCU7W/GmIXuf8LqaegiTPgABL+bWFZ2b2qvQF
BS03vo+DOwjxQ2DjGx+2toyQ54DiBixIlXqxjNMktXVj812WDYOH9Gv8X7Btr00veVlSwfROEbgW
XjlU2mj1lkMgyScy+ArAnq2U6Fq4vzSxGIYfqGi2IZN5brP4FKiPUzx4JlJSefbej4N7X/NlVwGz
MVaf29p2q09JsTMm61goyU4LPxrRQ11uFf9Wv4lww6pTUeKCd73kk1b2CUp5QGSt4lE1P4XTTyWu
HtRce1dr+h38fVsgLjHKN05GEVDctQRmdjHRqTyrPU38tPMUHxSlOpTWz05kwbIHM3u+7dBrZRNd
QMVwZpLRHOPXoxulTDGDhPZTX8Vf9fjEdcFDcuAUyfYxmZpdW5L46R7HSffsKHrKm/GD3dpfwQQd
bn/KWphguCCq6a6AVmWxe3U/KdVRIrx22pMRDq46fu1LOH8+3jazRkCuk98j+8PTldAnttJFcFVq
HV0Vi0R0V+mfHKP+6QTtg56i5jBHn219lyT7PHAjv7Z2Sm2ebltf26fcbrlkiPZ1Ysi18aaTMrWC
ouOcaEd/tryqDQ9jkW0ckmsO9Jsxm3unwStdvbYSaJNmQLYL9CLpXTOuJLANORh1IHNlr/8dNtJG
tnZ1WDBCwLvD+hHkrw0q6hBAgaJThCeTKDq+K+dFtTcc5LYRY1kecqTEJ/IYEdXEBzm7H8yTYm/k
09ZCHEjh/zcOpu56HJI5d0MqwARSf4/4hLstL7W6NBcWFt43h35IOgPvMxGT0Oj4hgbpZ9Ldw7u7
4QRbY1nE0lj2UZehLnGe7ccCCvMp3IjWa6+Oi8n6jTa42Eh6H4L29BnK3Lnkaovo0Bhuv8unV83+
FHYb1jZWf5lMHUNJHyNVLI20q8LygHrNvjI3IAqriQTwswKuRCLhDX1FHeahGcTsT1ki+zyqrjOr
KPlax94hRV5PkDp9QwAwTLOnqLMoaqdHdB6Ptpn1bptsFfNXl/Diaxb72B7VsJ1sPN6KeqThR+uj
XmpblfMtIwuPLIZEcUaZIRe5sp+q5ymT9reD3paFxXnW6UZbZQ4WnPwlGx4KeSsjuR7TLyZq4evA
ikJj6LAgaV/iTt/78d0Ud3BX78m1RsO9Eva7Ios9G97x22P7Hzzmd21OFDaXu6COkEV3hAD3oCat
7OWdYape1CVd5JVjlis7Wy4mgyicTIML4/PwFCs2HMXVbM3QOxVaeepUJY+Ofg5J/d5pIxLRTq5t
dcetHa/ABkhA83yh5Wdx0JvKrJqawP7Uie8BxHH96eAP1a6Xfm3MiPDK5fXl0tLiIJf7SLODKaCk
3KRebIKucR5j6fP4sQVj96w7rmKyWeCd05RPt02vjhHCawSNQYKSDLkO30bjpFKuCRpyNXOjWFPc
3nYQ4Nbumf5gI3+0di80L4yJ3y/Cn4baZt+NgFvCaH6ZhkC7s/JRPEND2at6WDwmqP4O9lRv3fVX
4y68u3Dkku7RjYVh1BZqI8yoOrf+Xw4X32h4P6nnYDjUwfuY5DQ5ztvTujrSC4OLJ3dqKBIawBic
muEIBQDp73cj3S2hwnvOMHbhvPFiXI31NlgQcsfAsZbrOFdwFpEpZk+9xlp+PynNF1MBNnR7WKup
BAiOxUwCzoZn+3oFB+pCk1VgJgcEjxBNqP5dRMdJSl2l/gBi0i0qSqZbtcc1J6UVmnUDkElma7ER
/Vr1s8TBSenKqNunsrxXisDthi8boxPvkuU2vLSzeLfEM7LsdYydKf9Skx1+1L0ydKMUCigvepfv
ZOsvuOFNzrXbhlfHB4hHPF4MnhWLWXXmSI6tmVl16icwUM74Aju11W2c1GIrvxkdGGkdblBAbktU
0gQEIfCzlpKQgXJm55kQMTq7OUDiciNVtxrhgZMAKAQEypgWUaWgQy3PNOp32icLDgL7MFCTtqMv
o6Icelv1eD25HVVRq9NpJvD85NHIfmTAjG/P6+pTzaJbjnwh2ATFFnH3IuDEcmaOsc+QFdj0y5+B
eajKfd95+bdIfqnplzDn0XVQVcmM86zdb6Vi19Cj0ONRXYGaG6mRN2+XLEptYxR1o1L3uuRvfRpd
nTa6fDgNr1l8GCA4HO6U8X50fm4MfXW1acMRkB7S28t2a9kOEQEKqe+odu/izGPxPUIUDpSApJ+K
Tj602RHgjIBTstG9Vn+S28qdp9IV7CtblE1rARiMmmD/pHkauO71QuSOlhplKlAiSW67aY2Ed+F8
ilpI1ZwkGfZxijjeQF2GPprk+8ZUiNPzjeNfGF+crklb1rVUUguF72oX1spnXfveB2eqz3dzrL9r
usoNs2BfvIZbXA6rG5uOBCRJgZPTf3g9bO5XQdF2VMyhlmntx8hGH+T9uNUrtza5orSMJB/pXZ6T
11byIqpN5HQIj3X/EET5vVp2jKz6XIUqB0/7Y66Vb5KW/X17Xtc87NLsIlr6zUzlf8asemwpGQZl
tpf83PWt6rGduo2tvHa+UU7Dk2HvFuiN6zFOpiaV7cxMJuUrjHIF3JZWtBH/1w5tmhvoQhV7Vl3e
Eho9DUOJqzaeEXiF9p2jRi/yXRLvJyjak2JLA2FNOIameDDHwHBFJ9siTMpqVfx30bw0Ki9qfgQV
jBVVg1DXk3PqUulQhjx5qz205m4zRadK5XnVznu7tH+Uobzxkl+dYmrcwN2h6iCtdD3FnSSnuhSy
nppeu5LynGhg5awtZMzqw4PGADR/QP8RHRdXo2GKSxUNQvZERJX7rmsTV04sEEv9ro/3wNz10oty
tLc3DtnV4YFwF43GlMaW/C2ouxhZ2EK+mvW2IAkxRnM3+Btuujo6EMYoONO/hpXF6FSlVVOt7CiI
RVHxYOeoiCcaLP+OL8d37ay2B15e2sNU8l+F/V0bKsj2eRN/ur0315royFFSPhAJbkpzIjJdnHxt
3ceOxJvq3E8fgmRXRwN6ehWyFCfL2hfz3pC0R4ioqrnZBXn4XdVPvv4oQedbCIbcNjjd/p61yb/8
nIWnw7hr1JTCocGy4lMHzH4en3Npy7fWAiEtoYBLgQiDZl0E+rmV8mGoOGWyxtpbzss01g+FBWzP
pFOzCd5ZauVWxR80mItG1H+sLsJvmprplMAOeS6t10ztPRt0wfzFGjU3y2aPCOndnsu1QwVsEik3
qAA4VhZn6dSMdhuocK87yTPd2QekwOwq9Dp74xa3umYwtYBZ/Q1hW6xZEDV+YE/EA0l/DSUIgmDx
a9WtTMeqFdLKAFehYOP6e+2oAQm3tm+pfxZN+mh0v0glHYL51+0pWzuqEDv9x4j4iIvdMFVZVXWi
TK1bjTdVrzL8UPqHOdvlQ70RAVZ98MLUYtbyJok6OS5Q4R20rwpN0JnZ7cdav7NShAZk/c72x30U
b8bVVa+4sLs4ICFXR9QJuNU5aPyfLYlYIxp/zqb0MMvE8dvTuXpw/bfeowXjEgCA6/msaciyAqEI
07d7PXySR082P+TZwe7f58EPG/Z4e360rBA14MdA/haQ6iu454/p1sN+1Xt4FoKz/P0hix1vlI46
6KJ6Xkaxp6jPqpm45Xy8PVzhgsv7I1uARjbeNAbP6+vROgmopKDHe5Qg2NH3QC7T3PCa1dW7MLFY
vWnuJ1Pq8ZqgCd/VprGz6uYQWvpPIWh8ezSrU3ZhanFC+VWhD70YTdS8yiUIxPBXudW5sG6DVn94
zOhsXHYXGyVwbVngn2o592zpV20XLmf6nwzkP0YWa586bVZ27LezPT8JrnO5f+ynrfaI1chh/sfI
IrgP2TTpERolZ8qsiKQdS+mzQv16RmepCL7/yYDgx+LRRoZlCeBX5X4CvYAT1Aqgsfq5tHS3TjY8
bXVpbLhQBB0KCDXh7BehsI+yoQ/FBQXu+8GlS6k/2WPhHxBecv6PpsSnXJgailRR/IK58/MveZft
huppAjN/e9LE977ZnFTXwdCYALmWLUFTHeWdrw1ATGrreZjtX9Jmv+xqOsMRld7ffKs0clwPJLNC
U88axCsyK6AnMuzfKXr2kCNaEbTdIcraDy3blO7AR6kkTd3vTfTBgVOEu0QLzoPpb2RyVtfw4nsW
awgSuvdDE9RGI8orwxP8UGXy5fa8rkQk6uka73X000j2LYJenfeMs8NP8q47jbIdH2F6LHZhak3u
IG9ROa51dl2ZWwTAUnWKPhhZxqwcDnlNuBj+Umb52ZaHr0LwIUzvEutOapBdybI97Ja7SNmIJ8LE
wpPoOKCFhbYkE0TMYpWl0dfNfELYvohR54Tx3ZA6r5bnPeKMH+LxKRz//blyZXCxjIkZyhNkVSDa
4OsGoGFNe93P7Q0rKxHsyspiFzYIrei5zrCm4hV2/vKgIEpKiaHcgm2uZbuuLAmXutjv3DO6uKU4
BqfEx9B8KqNh12mP8ykxPsCZt9MLRHUeW/C3Xb8RBP4H0+CXxMsVIubF2kHCZctJA81uZH5KOJ2D
km4b3pXHRIn2NsQGkJ8/2tPH0VTfZdUW3HdlPzJwk14zIJDOm6a2fIyBFSeQ6899tkva+wSkm5R+
vL0hVy6WFPABhgPxhVhKW5zbdpkCprapmkWv8KHUT77+kBpoXs9nldteZv66be43TvTNdviPPX1x
x4MXOajlnqbZMDsM+V14Tk7hU5fuuuG9XCcucvAWeWr180TDoELvEbj75qdivPdTLzd2weCW4155
Lx2VrT63lYgPzICNKkpyIpFw7WYj8FY06SbeW/or2fLC3hj56oahT4NKg4qOyhv53LhjrUORBhqV
h3D4EkFCHe4C4xWo8gYufa31nLFwdQW+Q1uVs/DbUg1IGES8HRUFDNrXIdsp+he1nd2phkgu+wx3
yy7VrbNdBF5vHvLxfWgcqrrbSdy2TfNlS6Fm/YMM+qQFfxMVl8UHRXxoODp8EPRCqIya5S55R+vp
IVBfuvxjmj5UlkOJcAetYqQ/q7uye5n1UwjDuZP9ge4XtQN0OFgJh05OsVAX8cSSw2SeIvpzRnCx
hvHd2Ur4rW6pCwOLQ2euNSV3RjzJb7509nQcqvFOs++N6u9at7+P2peUjojb22o1VFyYXOxiJcYP
yh6TefqsR/dB3FNf0na3jayV6dgaiF1ZlB0o8ouvuJg5QlShxBlA87xEGyUlcbpPHMc6qDISOrLT
tgdwQbMbyCO1UF3yj70S9RvnzurkwosIVRU1fvhsrr8hM4dqIJ9KvCp/aF/xoj3PxFwGIaTNnm09
3R7y6uHNPqLUgqLsG96xXtb8IEN95kwL8/vE6HZI7rjNcDL6/D75MMptt7GQq1HowuBio/hyEdba
SHakbx8DoS2gbLn/6gSKhD5dMmTwlonSJCoVI7FRChQksHH6I+s8pfHyv8xk7+elhwjYxpDWDRqg
0EktgaFcRPy4jHmXiFZey0BJttTP8Tjv9TjdB5nkxcZOl/ehvoUJWMuYojSvkpOl5ZNOoMUur9o4
7OIgRD9IUIdXmRJ51liau05N/WPWQfzVztoM17Z1rA0nPqnWVH+cnCDa8NfVTQNIHf5YsLqcL4vr
iyWnDVUo5ptT1TwqhbxXtNfeGA5Z/VR3L4p/DtONS/aaE8HRL15ipBag/L7eI4PvtPoIgegZmm83
rF5V8/vtbbFWAYWi4f9bgN3l2kI7yV1tN7QylL0b6/kPddiPD3LXf8+L/m5s36sUbsYvQf4c0Oow
y4DAzY2duXo3o2WUrDgIcLIni0/Qq4ZYJHR9zbb8lfR56VqTcqAVxpPa8X1qpQhv7oyQXt/g1ATq
vZqrp41ZELFmeZcBu0p3Oqpr5MMXPjbF6VgGDSlTSQm/5KgPAm7Z+7PkZaZ6UmvZkyGTMHJoTmHA
GSFBuG1/bWNdml8sM7onTIBNrICLBQ6bkvbPylV/KtBVUB+Q651mxRtHwNo5c2lSfNLFCaDEsVGN
pYi+3Y88snaiYBZsAiZXB8bOBcOFchUg3WsrUd4W8qT4oIfm1G1l+ljDfT1804IXuThnRnWglLTx
9l3dphoNpqJfARb+JaoxSZzECBuZbWo1nCXf2tGhRPctynxIf2ePJ4Y/zE9ZP3i3F3Ftr4p2KoGE
pjdtadcKe7WaLNo+gsQUbI+RvvWMWHtywwUmuKy4fcnLrFk/KBNiuESD0nnUpNjNoi/dWLmb9WLh
7cvdcGlneTKHahtKAUnTXB93aetHnpZq3LDUbt5PhGIunslW9W3tfL60qV57SjvTvWWX5Lbm5GBX
X8afdvHSoY0+uGnf/MFKcY6gnkC/E8/5RcCB7FeTh5hiU1e8Sn7lmltNF2ubiwsy/1D1oE1xMRhn
HGvJmklvzp/i5lFCmDtqm42YsaYhDigPBAfIBQXlpkXQiGWU7pyUR2Ubteop8u1pN0VFu8udXkIQ
U1NOIOggFcgjx9P6tNtZQwtJrlEZrmrX5UvaI5rj2Lsi8H2PBjBxrE71fixq2/MR1PScNNgSJ12b
GA5PLg98NZX6xcQknRbGkYzIGC21HoyAtu2a/RYIbW0jcpqwQegzp61t4b5R5wNyCqP0nJImVfrX
vNhq915zVt5ibHN6dvCfxXExNk2phzJ6EjywPYkbZNYEXmM+EksFammTNHd12i7sLZZaz3mF2Lyj
AWE+1Zl+6IvB20zorQ2K+xv0kmTloYhZ7IrQ6I1ctRo0JVTTnRL2u0IZWB73jlwfuiI+6U1x+vch
89LkYqWMXmoKtAZhfw9+kNzbydAb37awerm4NLHwOEemC6X2h5TWlN46mvUAklgOhwenqoJjzv0c
PuV2PpYyHXRSVPKE1nCXLEyVJ6Tq5K0O6TXfvPycxasgnVOpswxGHHJnFyi34Q+qsqIEBQmBQ+fk
G7I6SEj9NOuRoTH6B1V9UjpY2aTn27O6dhBBRAByjqIpKiRilBeXhyQ06tpXxKQWjtfngxuD01Ac
tK43DvO1+wNYG9hOafTmabFYva7WyqnPdfQ0kByZx/moyy+x8RLmxr0fFrt6svZhsvWuWvUZAiv9
8Jy08JkshgdEWJLgWUX5AnYReTCeinzwolRH0ezz0M97bfqaWYlnIVFQhMPOd8DN3Z7gtRPYAczq
kDOEbnHJR0Dg7n1l9sW4oTISiW96HvPYa0f7frLyvbSpFrey+0142oRak400sL0IMbM+FIU6ogpc
S6K58sEqd73+fpoTz4QwaOuAXBkfbBk0AALZhaxt2cHv5x0d+ynrGqpnNfmaj3/XP8ri3bxVpFiz
YwnkhUKyygSqsHDUPLEoaJkoZeQPun9OTOP91DTPRgf3m6r8uL1oay9VjmKwQ0Lr7y2NV+JEttUL
a42Vqe7cK+WubJCbSurYoVDnfE6drL8fUqv1ClC46FXrwzEB7Hi8/SEr2xOeFWC8QKjExWAx6qpU
alnpUDSQ6srry7/nbmdzf+u2euJWdidofZKsgvOJ1PriDdEibJSPY5mda5380dC6jX1X3WmOp8yQ
U//Kkz+4AAMRRaSUACdqMItwUMZRNkZCfCI2uYTKn6Qy2imO6HzY4vta2w42iXqhzGYR4hZTiPrJ
YOW9kZ4Lfy/J8SGJ1dw1zPAwFA4SilVGlkzd8h8R/Bf37t+8ViQXQKIAwr72VjWXwsD2URqwlCF+
h4zed8WnedN3/NBxh7SA/r9MsoMPZvhdF8zlUbXH/HlM8hDK6WHel5rCK+62L61cPeiJEPwv4EeF
1tT1N+kDqm22j4JJHvTZYc7SzotC9qnVq1v1+rXNyoXqd0ygVruEUdQJClPQAaDOM/8y6+m+h8B+
x6vg2Etblec1gAqhVSgOGQBDHH0xrFLRIqWPcuRS6np414eWv/cBiIP9CYO9oSrRqcgLex9R8vMm
ZaCoS/Dcj4MgghrqZq8MiLiEqTw8jHM+HuRmk/B9dTZACdL56QgCEvH7xRnbanmGTHudUV4pimNS
lNrRyEPnkBRmup8NPfqg+35+d3u11yIHQCsBmAGc+Obt3ECsP7egoYDhde8CS/swTd9qUy5c2d8i
tF+5CZkccbDmAUgW9BPX41PSCKmJHGcv63vDfEqLrS28Mhak60Ba/pah5A5xbSDXArudA5a4ND72
0UcJ2hFF8Sr9dHvKVtbJIntl6lAcUnVbQp3aiI7NRJlYp5Bjxn6X2rNrjJI7qe1dNf5929jKpMGw
x2WHshOMBPLCbZU8cwIzVNiN+fu4fczyLYHVNQPIGfBC4/wj0i4mbWzyJFViRtMUpb1PNEVy26a1
jreHsRJULA2SwN+SO1DNL3x7YuUn+NSyc9ckrjbOnjI+kzzaCF2rY6EcSo0I8hnKgdcOQL8YbW05
DdqOTvmpply4JzWsblhZczMUzMk1UYKiDXBxCDbZ2BXUoApa8/wfjv/BD63DkNinIP0DQUZKu2R+
uKBBybrsAoKnNNKqGUkTqaysh1pvGtcK9ewU6YG2v71AK4OirIYJAewkmbZ4plS1PYa55KB5I6U7
GlihMdEgvYPK5Ladtas2FQyQuGRdBVHxwt+MLC8tSAqys8iRfJT0L535Vz2fc0N2B+nB9mboc9sP
UrvbsCses4ujlt4jIXQu8PVcXq59Ixx9cYBpyMMU7WkKk73ef3Ty4WFQ6K0cg8fCqHnQP1imtGF5
bWaFgBZ1egR9IOa4Nhx0jk+6HacUb4tWh6io+D5CMKU+3x7hyhbj5geLLgBgBMqXYSlowN2VXZSf
U/W1Gh5pGVPCf99SiAkqag5cssYbVc1u5q4iW1l+HqWX3HoJKfpvdoqt7GEg+YJCGpbYtzWXMBvt
MDaL38MwqEU0W2wdq+txYWARiopSHmvoHPJz7TwC35vRr6jqx82U6poZHjwow6JiZgJKuF52CJX6
2lTi/Kz0D6WNtm/yVx98i4pvt1d91QyJIlJs5KXADFybkSZVrquuy9Hi1o7ZvgkYjdp6zlbf0lr7
AN1E/xj6nYS/uJ1MVpLUUtGz9p3jana7xyDq4tETR3nTP4jbaDRUbmp8jtNddJgD82w3zv0MoVn/
S3Y+/+thU9b9fWmhns3xeD1sY1bKqQ1JjOf5i95/982Pkvkh2tLIWtlSV1YWb4Kg7IZCyalTpc5w
7+yNBK2Bcos8aq18QVMegFIOE6Ekugi94O3VyNJJTlNlLCbLHY7MZSXLgl7YMI5zZLqqlp9vT+Dq
0MjJGmRLqY4vu1LirFSqGGbdcyQfw7JyY+mD0m7E+hXfhBoTUnZOclgWl7xzVGMsK+8ASer6tOuH
wJuK4pCAc/eTcCPICjdfRPcrU4vd5tSgAisbU5P8aMb9Q5S2nP93PNA9Kf8VNvkp2KL0Fy52y6QY
/cWG8LVcbsYWyKU9PkOgVjxYluk2xrxT6Ji8vVhbo1t4e1jPsipZmCqNvf9lqooPsfmQdy+1+eG/
SPuy3rhxputfJED7ciupV7edeMskvhGy2JQoidpFSb/+O/SLmXTT/FpIHsxg5iJAqosii8WqU+c0
+bckqFdWU1XXAPkc4K1IdIMAqJFL33AoknY2gENcunuqm2GrYU4USluLbcVzmoa2INiPTI+gJdX4
K6TCqq15blw6D3g5lIZZ41uaEBM0jdCw7t3h1/UVtRUf79yGtF/wgiAzZ7BhjFUMwr2YuM2KG2oT
uI2RW1sA50kJBwXbc81tvOYFq9hdR5Jukxiad7juiGprCCwNBGFAKob5+8svhWKbxdrBAZeaECQJ
eERSH5RLqJKYX7v+kA8PbF57yK3ZFH9+tvM1fW7broHNCm0CEOWjmR+2dNvNwx7Tu4P+GqyNTavO
GuDWeDWCZwsPL+kAmBkySs0OABgwvxnVLbQL9mDxQu5R0M9/sZ5nliTfkHmM2BIJdn42RZzX0eTc
LN0NyZ9NZgCtKholf/5swQMP/XIHiQ+SNHnKlJkk8zUH7asOHYutYfB73urZn59pYQUPVpB6iEaZ
tB/duWgmq4CCdNtMEMPQtnSMGsvZmaMRduTnPAD7P2U345fEOVxf04/3ACyjtvD+wkSxWeozuV2d
4aZBg8I2b3lRiHSrs54xXXjdjAKUf2lH8rCYMr1YTDTNikbfV+QrBVGNDSayHHiKtv/HbJ4NpOCQ
KpufQGo4Mg9tDAMyNlq9wuT18ejjh+B5iNI69HIwbX95QHyttdy2hMNueWf1aeQsz9ddXTEgI3Gt
Mmghbl+hHeM1YcJe6BoQXZGUwAUxTCiwDaK6felC7ltD2XpYSzO193nnbOvuM9NvR/aZzgMEmI7F
BObQeY2ESISry0sVZgXyCW1cxDM5nM0O1OVGA+rQZrFBctL+MrXPZVZuet2PV5v2ylWEbozo/IiT
Ie2XiRrQyJmEsdQLPe0z0syVi/vjVQZ3RLEIUF4kW/KEMU0cM11SWMhTCGUCbDMAmF1Va8n5mhnh
6FlAxqMP+AZhpkT7Ukxwdex2doa/ckZANgTlLt6zl1Zoa5jOkCz/J0KOGRPgu0GNf31jK6Y+QK6E
LeeIpzI6ONLlTwuUaW0dtI3lnV2GM45rh4Tqjg4723xxOisiSR+lc46BSQKM1sq5UoaQc/PSSuZA
3GRJiYPlzxGy17vSfTShZ+zrt1phhOUYazXmN4cXnzqb3mz2HnhISw2M9u7qjOHHO0/QTKH8g7cd
aFJl/h6/q/yktHEC7V3T/iRZi/mWV4pRl/VF/1gbuTQlJRETKRyNNvCaQi8zabYpuZuzfAt5h6jM
4sovQ4NH7Of1T606fef+SRGmTtx+nOeyEMUEz36uxrVrVfwFcixBHwfwPqQMuF4lr5pWr3R9Qedd
1/EFvU2TPRDyTOy9u5ueNW3ldKgiF6b7Ee+hZYTBUMmdYtFrZs+wlpEx3Ro1xgGTWYNap9flB3fw
QNswYGLI84r4+jquGJbBlF5rMccnMFyK4tme8Lgwfk7OzskfUyAsrhtTXeVnXso4J1oARNGVwMGM
lR869jNxSDgzBiaB7XVD6kBgoh8uHqlgE5RSPg/jrp4+jcVpxvuX928l6e/q9Lb7WWlH0/qpWdD6
TDY6VM1GMJOt4VRUERVdCrxcUX4FS7YUB8zGo7VVA+8wlS+YKMm6W5a+XfdQaQKlVlw8aCRgn16G
U30Bw401m8XJcg60v9P5Vm8er5tQbg30DMSkBAricmLpUp2YpLFw/YDxIL21+FuLqTK2t5pfaFtH
140p/TkzJh2AZWr9JRHIDWciYZ9ADSCN+JoertoIJgjASuJAB15aNDsBOZ0/wIiXPgtSElf70rXj
2t4Tz9sPkQO0tv9akfYeyJGNjJqAg3hQksuGeEj2ln3izrfRe7G8uOn9CBP0efEgtC6vr6Jw4INp
yE6CaAkIBoxJXO4Kq4KWnJbgk2XGMO3IYtnh7LdGbJQtKJga31rrsCvw4Aj+KOgiT30/adJWB/Ny
zzPmI2u2lxjER8YYgt5siB3rlkPvE/dCBPmgwLnPCQoOOYrla9K6ym169gvERz9LXwzMUxNtwC/Q
I+780+YkpGxXHFGj9+hamFav729vpQ0UuCnHHZ/gFbRgvip9nfJHLcH8Ev1y/TuqLh8MKYEDFQBz
5DLyafAcdAl7Wp6cr2lzqLy48/5h2fzZIZ/Mvt+Yjba9bvC9USfvHFCA4GMCBCkGdC9XcTIdjFQW
KfoMQWsfO26VYW8JXblx5Jg8zkuMkrrLFsl3dhjmKt0AT6rtg74bPvG8tiKjGusj7xPtqQqS78wr
B5R4UUxwGgiVMECdQ4ahlI0Q4ti5bPCPedqC4dqeglvfyIIbNMTJ4bpPqo8FimdRPPHwJpdbGgWp
tA7N6OKk+d3Ws4Cz7LOo1/NN6//5FBZ49cH6+A6iQ/4pQsLZHhydjOcueFtOTjeFZgvWoSbU9JVv
pHxVYYBQ8KCDjQZdgUsrug1ROSLgLAsxk2jhM4lrf/xmsyWLgop/p/lQbI22iGy7BNHDOG+uL6j6
B6DRjzElgIihL3H5AzLbrbuGa9j+bYy54uWmL7eFfZta9/4/OQvHb9ftqXJYgSv415wUSOlUZAAd
4LShZvmrLZ6NBGJCZr1xSxr3/cropFi8DwcAjBwGYIo6KP4kY1MPVrfAA3DF0qKFbbWfRTfdUf/g
+PTTXCb/TNUa27rSPeCOUWVDqwd3+eVqziA2G7t0LE952cekuREqgQFwSizW0vwvrlcQVQmyRkwF
6e8vl7MN2g65ORs5gBpV024brd7oVXCs6rXrQO3SbzPSBvEWPEVKOggzQHdV6W7EqBMaLbGZLMds
8df0ChWlZnSbBb4BDUVPFPcu11BPEzBOeICUmdWXqd9T0Ci0rN3bBKAKPWpZtUOZL22+9t2aCorq
2jm3LF07ZpGicOpW5WkkcecUsV7GDpl2facdse0gMHd//TCocheM9poo1OKuNWVdVaPQqNnYwPcY
3T1zIXWa3WbVGhGP6vudG5GW051Ql/ISbJPC26fgp6O0ivkQBfluKP8cnoBPh8hsA2cJOIwMqTLc
trKH1AFmwC3taDRmFi0aSBhA9rjmlnLtXND8vZMxfJiK9pbO8IaRY1tao3tDjWWOK90/mMxZS/5U
dw6wNgI9ivQPNJ2X+7GywDg81wlwAn4dasMUD+kXHZO5eb0Si1XbD5sevmAvIGpJ24/m+ojBfiB7
MmerLXnMxwfdDptnP2Ebfxifrm8+pVtn1qRznYIJC6RygJIgO582S2YBHDp40VR76db2kONeN6dw
DutnoMoMQDNEhiRzLuUOozZicQctrXmBzsAPUBSY/ZE1d2W+crAUvqFCgjYwWoB458szk0E1VDUf
xEFu9nN3AgY+dUHP7a98MMUeRNkLtybatO+n+HJn5AAeEYbm1EkHAtzxo2Y4Oqv63YrzCwQqoiFS
EHgkqyFbs7PMQY7th+pnSuyNNr244FIe3BdgCVY+kgITKeojAJ9CAgoG5QrJoDUYDmpzdipNFHOt
J9+vtuVgI/B71Sno7JPVvWnA9OqoYRPbf8t1e5fuEpQyUuPGYvPa71G8uzA8hRYIpumE4qGUhPVs
7pkNoCXqUJt0SkPfR2NVa28Ft3NKPttFZAXxMH4lAUhFC+P1+p59n5+SEgiYR6ca7XjAqR378gPb
Wj9PpAPEgeXZrk6OnB8a7aZNNZT6xnsEni3pZrz+uqidBj1y2DPXG9CY3U4uZiJuHO018bZDvuPD
HUOXmxvH0XpleDJp5k1m7sr+4K8NtilmwjCNIZoMQHCCBFXWoWxLXRvSpWOnxouLDDUZl+yLwI6A
Eksj71fphDWZN5qxQMd0DPGrRh0iE3c5vxVKfd3i7ZAMf+LdWj4t1urDWkIAApB/G+JsMpxan9wR
GTVgC5pZkc2EPGlX202/Vi5WxBnUZ0S+jiCD3pY4TmdZ0WAkne20GGIIHlN+HNOfHvsGbeWwsmgE
ma+WLzdTRz4F32n72pevaTY+DmYbIrxCTXA/tslKlqYIRaJeBEgz+mzA7Em/h+MTeQA9CMKuPOqL
4W1YzN1CvQder12JKlPgewSeFiUywep56fqYZEvSCLKzMstjPz2YDg2riUYBW+tivMvBSR8T8/9I
OoH6QqSQW4cod2qMDxCUzEw/LpIg0oofms8ihzh33vSr21EHT5Z53PpW/5gmXZwm+94atwQVGiw1
GpoaNPo+Xz+uKv/fEauozgnwk7TUVPPdtl5A8LO0X41kC4EKt/42reEGFUEfBwu4aGSmwK3K9ZgZ
Q3KoImPGF4VAf6lDdA3D5OG6J0obCMCgobV8jDlYl1/SbYG2AFUjaj7mk7OcSlKCOnkltqpWS4Bi
/7UhxbZZL8qkaWEDxYrQRrpG8y12cZjNa0h7xcn3AUDE1Y/eITp40nfBERhrN0WvPqvu7AyMvmCC
vr5eqkN/bkH8+dmhTwKAN8oSFuZlr09o3QVbzPJZeghwCpQU/sIYmneoQqCyAgaVS2MeQ5LoDaIR
+qKhTx66kGh29Cfde+jWgrniAYtQDqJM0RZBt1z6RpXJiL8w4CpY0X3y7O4xIPpd4aII51P3yYC8
JaDgQN6U09t1HxWb48Kw2KBnCwq53brIahwlk0xxZ5so8nQQGHFCW29XAqTKR2QbICCG9q7Akl6a
IvYCGeoRvAsLrvbFOAT8V/0JJGTGs6V3UeGa2+uuKeiLMErx26CcUOHVM+RFjxsiqRrjs+P1ZAs5
jPyOTD1I/tuBbtvC7MMhN7RohrRLZKHpEAUTxDAzjFuGfMzG7Zx06VPJi8wFstJh1dbE8PoWHLLT
CnJA9Ry++LnS88MCKQSEX0AM4ZfWKQ2e0yb7TJNgYyU3GSi/UcCjJYmHaQ5958/TaJAII+0CXhV7
WkYt5IBU5maKlXJytukNaJAZP3wdNXZXWwl4poho0oUi2CZxQ/pgiQCg+HIXJIw1Xm3i7gIR9nZq
Nj7tw8nxY5A47K3uxipvCKiFURiOOp/tIARgeFvW/GTZvk+CWK93gRtVEwo9YNmZ+5AG9VdrWIM5
KaDq2Dr//coPrAH93JEiqUB42JWbsfuGt204z59Ga9hqIO8AhOaflC9fWXvoxjtryFfuN0WUAxoI
AjxA24GDRu7rmUutNWkOWGgh5jPv3QQM6NAxhf4xSawYqIP/0Z6084qa59rC8U367JQUZmhBDIME
h7ovwxEVYO2vzKFZCoofFBHe3yZnMSfTUug6eFhcUCeEmv+sWV3oApGjgSROM58G0q0E8ncB5w+b
7n2ORkDxcRlebroawYw5M8gIHY7S/5gDS0khdG71x1Zz4xpDzRbbz+y5pe2+4Po2S7zIb5bnck4O
ifFQLifohoGshX7qq20VbInlf7kerFRxWMhK4fYUBEByv853G+K1mY04PI5o0mlQxzW9flub88Zd
rHkFoKgKxVh6sfzI7tAhvFyPtPYGswLf1ymvqo1dWKB+xWEvX0uLfG6gCNN15uvC3P11HxXJjvjm
wI8Ihhh8h0urfc8w3AcAB+bwnjSPQW1k7y1fr9tQriPwxgIUCeiS/K6t9AYQ/wZJm0e/970rAGeC
pSFboxhT2UHuicFb0SwESeilL0lJ2v8jtzDpsYYGkG4RaJdtXbL2UlfFgnNDUrzUzM5ixEX21qUQ
ZGvI0+Tfg4JvtPvd1CYbqyO76ysokjT5rGAmFWJsqAsAHyXtDXQ4q7F/B2ckzxOxb5l9q49R7XvH
Eqpgf2ELBBQYqRNaRzKNTqXzkfQG0HJ+ZoN7ig+bCkwNdXDX59keTK9rPCrKOxa9/f8MSluwTfpi
Ll3AXaByvWjbIrWfDf0HKMfiaogg+gsJmDjBMQdLynVPVaAGiKqh5w+9LBSr5IcU2FucjtoAarVe
QPajJgBFXbNAAnGwUaP1tR1zk+KG5Q25cd1m2lB/vE8NAmGcxnRuDcxbrERF1XGENoItpm1AjyOX
XDpvTIOm4EAZdUCnBW8+9KbIWtKnXHHUvEU5AP8DkvfyoDS9546DZaDDa/M7Dm7pavJiZyyPBnHx
/35nZkHcafbRGe7zftn+zbKLNgOQawh0tvQkYYvFvIl7yOFJARLfxBzjZs6KjQ7JlNDmzRghKvWR
nbMkpsPkAy06sah38RAbh1o7CS3hla2gXHfAwlENcMG9Lb+S9HKqiswRff6hCHPqQWfpJR/WiHFU
xxhfFmLr2O3gbZZeFH7AuqHignWha+IF/caNTusgTLKB7pqhvOvKlRxSZRDlCOwjwWOBS/byQwcu
KFTGESDjjrq3Jf9m6EfUx+ylPbpZfrj+WcWPl2PUuS1pUy2Bm0yLgKh2qeD4NxNtQ2bbW7mvlHvX
09GBBrUKiITlgcXK9gtOApxZGjT1FuNpdJOmfrLF9C9I+Wc+7R19mDfWZLCNWyyBETKWtKfZL93d
dYdVt4AAk4JyDCVofM/LxbWqdnbHAkgve6lBRCI0uQjoerYjyaeosNIerGfBE8/6cSVIqO45ZGiY
QwX03sMD4dIwIw1kwxKs9Gi9tSh5BvZtN9DY/3MFZNw1IJcRBOOGUHi+tAMVoG6yEzg49gvyD9/O
96i0NnE/k7W3ttIlzJ9CZgm8qHhUXZqaR7CkdjUuHcfKQqftb3OIhab5G17mK9FHddJROsMYlKA+
RdS/tGTXdsK7AfunbB8wChJmYJA1y/kv4glIQS1Qn2BnoCp4aQXTGB1rRjRcKiTQt8jkn3sr9fZL
QJKV61q1ckjfUHU03yET0hE3qzQgjo9uCxXhvAm96m4qfjrpyktYuWxnZqTTPS9shFQehvnRzjGz
N8KdMFhDGytdEfValM+Fipj0aabKyvt3fAlUFtOkjm3/4IGzOC2/Xz+4Sl9+25Gfcmh3sNZnuP6y
rhWaJCn4Aut8JTqowiFe02geCR4oRx4WR2Cqc1wkCIeGhfHLMk6w2a77oV6v3ybEn5+92fisMa1n
AMnUyY4lfmybnwHB1v8C5Iec/bcZaS/7SM1as4UnRXJgxvMQHNrk9bona4slhdKpbYeKAIt7MlI/
1JomIrq3EjTVH/23F9LmSop00OxGcAMZXhVlbRr7gOmCOOtvAkyA5AZXLhST0Di7/CpABwbES2Bo
sPOtZX638vpg+G/XF0z16dH1xOg+iBVQkRALevbpKzdlJOfAFeA4Bt5L52hhOtXxRPuVbSyWRb7V
xSQz3qUBkGxyuMzcek6WAHP6LjLD4j4bvxsBemxllGr/tBPZGNMfpyzA6QFWAPQJ/kXqculZk6Pl
63EcznxyD978efG7UIfoXGPmB95++9NlxEwNaM3emSNQ15G+VT41mNVj6Lh2DCTqb3N1qvkLwfzt
dTMfFxHkPci0gSAFI+UHQTC98sogaNFC5vY2c3XIZ5fbdqxx98yRR9wIwR1aFvP+ulVFqiQ4g8B1
AKIPqObKQ8WOxWdepihggz+EZjvHerN4QkOANyINM5C5nYdTVkX5Mp/0NZ29j8cNtlGuw4EDfw5G
US4/Y1boqJ0UaArg3jvUFrh6+AQ8/Nr2/HgOLs1IIdCust72a8wHgsQ4pCU0U1G2Mh5cf3t9LUWM
uzwGl3akGOg6jcEWTJacfF5u8gbwMn7LrT6a5ieur7HDq9cOfT3AXiDeJavZGM1CqcZTJEPsU1F8
Mroeo11/PHAuHILSNmCW4hkohcNZb5faNwjuDqo/WE0Q+n1za/K1Kp/alf/MuFJ20oxaUuo6zLh4
VxXdbW3cu96v699GtQcQbkFoagN3guzxcqsNrqfzFMRYJ53u9e/dSzAQDO6//m9GpPXqO26PhQUj
pTWGLn8wShDz2Xm02q9TxQoXM/qo+KMlA+rmS28auFOPYpaQi62cHyaACMZXbjhHT8PYX2lGRVmu
3I2qFQTeDw9yE1CPD6RDRut60yIoKz2qh7jla59ss5HGYFS9voqq7XBuSDpGlstNbpYdaktdEeV4
jGa/0JRY8UZpBO1hDzT5yIplTenAWTAsJ4yYKVjyy9fe3K2mqgobUFxCAcXHfwXs7vIrdRZ0XvRO
B1OcTdEKOQIkFJZ4JF1fLsV3MdBTFyyCOq5gmQezhSg3RjCBEmNcu3enKvY7H3C+b6vzpSJdkMIb
DAnpGuBDMNMtbbpk9AemecBS9cMk3EE7aCWPUARQAWvCECvekyAxkM4PmGpaymvA64C2zDHHjdwr
KrLbJiDbbo3cUvVx/rMllu7y40yzm49Ux8dhRbDhdNPb9jozqtqIEKERDUKwylwaIUVqjEmNxKhz
vf4E0tpiq7WjjsLdSFYuH6UpRGqAVVDCASz+0hRlmAwwx4IJcpC+L2Nk4Fm79phQGQFkGjP9ogmE
CdxLIxnGlayegSCHZPd9A97mvg9BhfbH72L0U0A7Joh4oF8jF7J7j9pzLth+wKlio1lXHP3h7fqh
UTqCagXIrCDjghf4pSM51XS9tmAiq5dIg5xJKZg+nZVIpjqajihB4XoGqFLuaVBmlEmBkg+eE1Ap
ziyAyu6hgOPRbGXFVAcH3FwAFOH8CMqqS3e8sWvsIjfZKSAPmPDrQBEgKGh0TC+DJHdzfe1UXgmX
kPHjAwVywCk8vF68NgCrUMYO1KYRtpoBhe10WcP1KtwyxXQM6q1wCyjoS7cw6w2K8BqTD0sBFeDh
YLD9omf7snBAArBSu1B4dWFL2hH67PpaqsEWP9pzFvd61IGafO1DqawgwKHKioANOkXJo9bstApU
5MCj9oyEjUaysG9+LsjLY08vk5UvpUAagrvszJzk1DLTNPcEXF5/6VLoLHQPXdlubdSX+nZnN0/O
9Av9Q2sOS7r1CaaWwaTW8VOAnhhOSKzPe21tBRQn7+InSYlYSSpa0gArkI43oMBa+Kd0rV2puKhg
AoSw6PDhMpE7F0vRWsHii/GEuQxz8mC0z9dPgNqH3wakm7AqoCeTCgMexCvAqs3azzzY/m82hJNn
j/cGM8Jzp2HyYPAfR/LM/STsypX4pJgjFPvjtyPC0TMjxmCPFPOKWCnHHSIQqvaPIAATtA0TiSaM
k3yyagL+JxeKIEuRVyAp141tZvf5oZ+CIqSp6UQDRCYfrju/9gWlY0JK4nu5WGDff2TzL2388b/9
/dK5yPR+thMoTJxQ/N8ETnczQLnoL0ygWoB0CUmmLtffRwAliJYLLjn0q8z0OHVrJ0m5SGcWpEUa
rYx5yQzywGpoMfOvQxlid90H5T5HGgawpMhf5fTFWshAXG0BlyX9nk1Hnb2AlOu6CfEjpaQSikm/
TUhOzNYEtc4WJoYavFR1NJhb/XFGOee6GdVaoYaDuU4UOoIP7C623o20GcTgxvBd71+61ZFc1VKd
GZDZXeZk4IaeIQsP7Hqn8eG2dPVbSvK3636smZGfFG5OKIeM7ckevbD3bo1Ui9aKoCtrZZuXQWHm
tqVNiwlXIJNr+E+m/+u6E6pvDgY7MYFkChEe6fSxcXD0UawV4+YeRGavrnZXexge65c1CK3SF/SP
AXzEgOEHuQyD2V6a6vClq79M0DCpnDXqbXFfyRtYTO/+a0H6IlrtBJMgeD0lS/PGwLgYYgSharon
z/465beLl65ZXPNJ+j5tOS6DZwqfCshlF8/FsHYtiN/80SdL0PnYqOoH0qEcSmo0FvfElF0xxq2R
vgZmGy+50O11I6gKgY4lpovzFbpRBz35izoaphAAqgYmGXJyMriEzfUyTxhpRNpX8zBJ02Mz2keP
fVm4vWt1tPmv70f1gv62J92C4GhH6u7iFhydZ1q/juP99b9feWgFxz8ezVDHk6EMzgAGWRQDQJ+r
bR3Qis76TbGqdiMOzYdvJh5+4H8SgjrSrrAIEv7KI5gLmumPpljCBTNjbrcvTDteK6YpALo2OLuB
O8W8GEqDctHYyAfC+wyPTV6MGC6yZwK8IVn2iz+PkeFoSaRj9OrR7zHfkFoV3dKuua8p/Tb6Wh9h
BACjh4QQyALQYJ8D24PJrBqcPcEwrb0hlIuPF7EvfjEuGinfnIrK9tqS4R4mCSQPRA/eCac16oBr
VoA4kEd6QDhtaySFlWb4MdfPY3s3tH9xGWPGFwTMKL4BfisFGptVFfXTlp0SP7nDzFkG+is9BdfD
GnBNGZ4DZM5Az2ImRn5MAqnaLBpDbs7tdmtMWchSA4DiZAP07vWDoShjmuIdJAbb8TyWLwKd9phI
6LGNvB5AWbL1eewnv7T5J/fpHh3d2VvrOKiO+rlFaTcU/syXugMbsq9rYR58SVYVAdZ8kmtYY83b
UoMFDSiTdvzcgHyqd4+Nb4Zde7L7TU6/XV9FlU+id4ORKjRT8I90X5cleCsXm51q79WimBajm+sG
VJsbD3BwoSEou4HcrOwGw6VejdACuvHym1c0beR6ZXqiIxRarptSkB0A4ge4HeSX/o/l7dIZz+qT
XltwkJwFU/nVfcf0LaHZRjdPtW7cL4Ij1nkt/bVkWuUjnEM/FjUn0B6KPz97CTW08uouxRij18yb
mqZRkL3SZWX0TWEEY6iYFQHnFJIRWbzLSymfzBToXc8p3Me2JtPWmqzpWPdjsnaHK/ISXODA/4iS
EEQdpTdqnbUDJ4Jdt8qSbZNmn6wUqCOzj5dmN3nHpJoQqHUOvpFnE7OQXjDeA+8XslsfPNR9bpSh
GWTokSTDCuWDIrxc/DCxnc9W2uUj2EAC9DkNI/iWQhcmQyvVzeieeivhRQHdBEzjbA2kj9rPzEud
AXj1fJi3UGFoUtAhPA8+yLCtT4a1T+qTOxWxm22mnB6XZQ2oqXYVKCJwfOMAyXxYlTPqRYKX4Cln
XTiTNzPHIKdzMIuv10+Ncl+hxv+vHSmqoZA9g4MRPdySz8mnnpflwcnmJ4zFrlE/KC2BzAJT4kIg
TYaz+c6iObwGybAFvLQDjS8oUVeTu73uj2LIGR/uzIwU0sYGiNrahGqiu0QY8Mug8KqHC0u2izH+
yEcbMaDZAAd0OxL7Tq/41gv6nW1OdVjqy8YnQ6TzNdZeRYIFpBvA72LUBlA+6UBBE66a0R/BgdL9
bA++i7hwpme3be5Lffgy+dMaybjSIJD+uOxFhVrWb5sS3qSuhgkvgqGVyon1Jay+DTmP87VZMmWs
OLMknROIRaN63cDSPD+ZxpNG89CAcqnroxI4bzX+tPJ5FTcWAMVgsAIoBaUF2TOaBzRtKBrlnOpL
pDcl3Tg1T+PC0knUT0USTk3ex0aaTCHYdcYDG0mzt2uw+S5p/iOp+ylO29pfuXyUmxujWmK8BQPQ
MoGcz81pdITuZceOwOaGzdKG5vB43XlFTABsG0cHikagR5L5kUDaNdbUwJwDndsgtuf7QbyySX2f
olq/uW5Lsc7vggyohAqBHRmwzBKYn2rEBYdZL23b79OhWxkJUmgM4MmBXikGilHHgZnLcE6rcdQ9
BnBFvzQH6LiEyYh03wUHaB4xEw3c5kuVf1nKKgSu6pvJaUSmKfZQPORGFbEZJed+7TcpPuTFb5Le
QoDdo8ju+5gwz62vS7bsC3TC7DIDd3LIp8fSdEJmjPHY37Vth72mf6dm9WIjzuR2tnIRK07xxW+R
wkafUHPWCcANJC3sA7DAXqjnc330hjoJi0Urt1O58JW3gvLDQ4BNYDYQPHzpo7AsrXnP8VEah3ZR
nXZIdg19OVzfXqpkDYJKv81IvvGsCwq/hm8lf4ZQVGgiqdDbN5+8JboftZhASz1rrzWrMxlq/3zg
P5FM6Zjwvdx0dZU2y2KD1lbLHBNdtanfFEUG5HHdG1CyGI0FojBB+w+FgPChHibtDu/RfKNpDYkM
LaGRT7shrGiSrKQcyp1n/v5h0oq4QzcnON+AmegMwgJNPE+vfzHChCN3ZkSszlkGxe3c6lofyz4Q
siHEC4f5rUuBtfXTP4+IF5ZEMDuz1Hc5x4gNWM6n4dhgvt1NDn6xxpKlPCFIuaFRCCgTnriXRvKh
QfVFwH96mkTOsMUhpd2PoDiy6vv1DavcNr8tyfQLZtkv+C4I8IbHj8vwQDN35UiI3ypVYVCA+c8X
ufVEypHSnsIXA9jn3DiWEB0tvc9UfxKXieBWwOjrdafUy4d5IMxmA/8hF37cCsrt6Qwky4IJ8N3S
JeS+K5MdCZKwHHiGtGigz9dNKne5g2cFamYBbjHp+FVmy/C9kJ419rccLIIuBTJxDWugGDjGNj+z
IkXxxfXnqZxcvJZ4erKnqKIxZ0U42ToGRyZMIdpdqC3d44CkgfttGvK8C6F1CcKHqT4GZbcBWVTI
HRLZ7RRb6FD3TsyGBI/X4dEz2NrssSKLwu8V/R5g+jGNLa3KOI2ivYvfm9Vp6IJ1hqc/LetY6F/7
W9dbe1sov4GLBAJiMAL7IwWBrKdwZRA5lN/e6mzgu34wIZzHg5XG+Joh8ednMWD0Jr0vK1ym6DVF
jnfv9cgOybyyi1U4VBsYVFxXEFUw4NilGWjl+gFtYaZhR6NhkcEOORsiEMDg8LDMjUm/efTYWpKt
DAl49L+P7wJ3JE7XmXdVUdYdsgWM75r3tkduvTFYuRKU2+LMgvQ4KzyMsdmYizgNQRVOlheamf6S
kRvowxWhn54mey39ERvtQxA6sygF1JklWT0L2GaRanvwemAibtyADwP5GAm7NNi7/EANPV7S4p+u
SZ6uB4frKwryt8sVpbZZ6LkHf1uXHcy+3FfNShlFmUL/5x/kkC8tYLoUKYHgXmm4FQ4L+Ywh1E+9
7YY2XYMJqrcl8IFgs0ad8oMCx5hpFV9y2KqaIWrpuBsrN07n5QAiDCiDWTxC+fqxDYbHtE1P6bAG
U1OuJvjYUIsBnY0nc2/4XPM0QyA9u7noQhP4ywfWtNOP699MBRRB3QtdIxAyCQY46fQF4JCwCopp
MVRMogU9iqk04sVBxkzMqKpv0PrvIRxhH23+lPXLJh91KNym+z63QjS6t7PRHFpqgBciO/HU/X79
56kW4fzXSWlI3bOSZhN+nQ4tENL5GMT5ct2C6t42IFIgYOg+0g0pDFgDmGrrBuDWsjgQKMfSrNmO
HNPhe1yCeMuMe2bT+LpN1cV9blMKDLnrswrT9Fhz8p2OdkTyISrrpwTLmXdv120p9zHm4ADeQwsB
M+JSYjraRUs9SKmcPOtLCeBD2QSHikzf8tEB8ap7a48bowXpV+q8ZHm1lqMo2KgAFTszL77wWZj1
K5qWPplBnD6GIO7Jd2jKAH/d7MZGv+37B6Kl8eQCcNTeNKgsM56OYYuHE5gc43RotwCfbAOkGEuy
RDbTVkK08iEDvg7MlwvpBgAbL39enrtWWwV4T1RNERVJGo3dg+FUUUn0h843ojZJNuCBS0DHtvJd
xLrLsfrcshTLjKLDZLOpY8yML2GGee6U37H+dapfm+nVspZQZ+iLNzcachsjsTfd2tH///gOMDn4
XEFLJ5Pt6CYBbwDGME6DXkdec1/5TMB8onFeosUEEi4oj6S/abNxf9135f7H21QwMaA7LxfU+tLh
40i4UO82T6XDdjakQoaqDT2/2zUYLr9uTpXHiKfwv+akLVgYmFDLhOBKQR4wFbXT0vvgb4CYaC/9
NiLF0SVrXQMEq3iYWqC5aYLb1vhulMcywHgX2Lyve6RcQEB+3wkfAKaQzrRf8QagbOwdsw2ijG9a
h0ZUf6lRYliylRtizZa0ehhc9lkrXtwZ2/w/0s6sR24j6dq/iAD35ZaspRe2pFZLbVs3hGRL3Ped
v/57Uh/g6WIRRbRfwDM3numoTEZGRkacOCdpeVS0P2bJ7UnBTb3e087buuDRNf53YatdrNKJiC+M
RflwkqwHW1FPgJS8jLNwewu34+IbU6urRYsHOZQllccnbKdN+Ziqj4HBUHpSerP1g/RsSEDg1X5V
DTtZzKY/MjbNo1fIsq7pVhcJDjmnICQqduR1yDzEtTdWO0Y27zWeCICCyR/oQlwGNjtzSqXr2Ulm
Js92+NAm+SEdCLXBqRu+9Grjdors3d7Tza/3xqZwpTex3jIrJAdGbDrNfa5+Q17CZSjmzAza5/9g
iK2jU2hxu/yObG8MgRK3oYCouUCzaT6X8zCQpFQLjFSh43Z9uZNXb34wtHTRuRVNpTXlX9SFTd2N
XKEZHBNMBA8x1Dt79DS/M62rCwHIDRmnTsa55q4z5WQoO6FiMjrZobPb/j6waLIYleLlvQ2bWAbZ
EVrvy99Jm8G4ErmDcoIB7G6BCmW292rimx/T4WpEC4604Xf5980eN52c9b2Dlzb9h7rNF9cue1fX
l6OWcEXf/p5bGwzFNkUFwVdJL/bScUID4q5AFUIh6i8dU8Pwddg98SJQrff3rZGVd0K50bXxZDBs
FlUHNNFywA23l7EVKt9aWOV1ypiMahcx2zuWmaf2/yjD2Yw0t6NBpALIv21s6/tAACf0bmhYAC+6
3LPZ4TUZklzRUi69uoDTaJrv2whuM07DbVObn4epew3CS3BZqnppqqIxTBJgM3RrJl6jHorWPkDA
9X8zsrrTcgsGo8hk8wznazG0bhwfM8b7/29GVpeZHiijFWsWc43Dgy0pnlk8Sc3eyRGf+crRwM8J
HTkSqzUz8dInieEsDBQMZv2FIpzXLOnXvtcfJlU+t2X1dxg5O+va9DwAZr85cxAyWTnDoA5SqvGU
8+O49g2TjrZ2H1c0HYBnUQq7vYmbB4lpaCin6JkR71fuoOlB3XawVyhyx2UpW+PZTrRq5zLZdDoY
bAXnDjDqtdMNuVZE0pQzLpA6hSfI+D3d7BUuzLE4317Q5lFillYQ74j5o1XZZJISx2hkJhMcJrAr
/bWJwtPUp66V7JC4ba/pX0PrFmAHtsoKStDtFbLczTAdnfFrussjtLOc9fQhlNc8aham/w0rgH/U
/tHYn6KsPuZmeLy9cVueAJkxyBbKaDByrF9Pc5m1OsRLftgtAB1MvU//Lk1pz+G2vFvn7v3NaAPi
dmUmGzS9702uh3EeHmeJO7AKq59Rr3zWkchieubl9rK2NpCQCqUBw1vg4VYOzhB3GNYywzN103iF
/TNB2T6U2lMxPt82tDWGwaL+Z2kVj3IL7OQot9Cz2KXtqTOEsZbTGs+tbsNfLtupV81Nd6+H6QB4
1PnZm0Ho9ZosebAc+YlUm14LA+B/OA9vf9UqmkhxEqO0yXmotFfL/keRv9OTifL+P5xw1OIETTWj
iyinX8YRdSxy9J064ghyDWb3IML92IU70WorGjOyKMR6TaRf1omwmdnIcKnMGaglhMA24tF9+c3q
6odWlY5JT2E03hMb3/IfzgRwUKjC8KLV074xwq6wZ3DaZb9objR8UjXbU/pMdqd+L0zu2VIvNxGo
SGcbAoVOo/7PIj72WXIIebEHwXK47axbp5AqGcN49PpVGJ8uLZHalLI0IyCiqZOfGIofJNIR9oFz
lpmnKkt32udbDxhQIpDFgz3U1XU6rCuNXuUd2MM5d3LX7M0P7QRvrPMYGULN4Mz/68GZzJ0IvUEj
C1ZbyBoA2oaUcv201qPMnKSI6R0jouwTdc9B3H4seMXntnbWDAqeS+HlZfIk1+OjuQRuPLb/Ifw4
6FKiPsMIHxSElxutzkk8qxbjPc5cP4y19UeeaF6VDndWvdei2PQeCr9gBfm0oEUuTeGTaakY4HAL
WD4mZ/xgAfsZZuPJ3k2ON0wJ/R4dzkh4GJD/uDRVQEXkOKhP+nbxajeL16DWUhcWTd+vt/100xBP
NZCWUD4Avb80pCqVAWExX7BWntBh+FTkv4r5QTKt978K4ZUAq0jVHE7WNVraaO2UuhV4X12S70MA
S7ncnv/LJNaFldWpq/Upau2hBONLXSmxnmM0PJNyj9VzI0heWFlFEW3poioS4NthkD4OoK1M6UWV
OtGlKrr4EFjdTuzfOmdYZA4I/Q5xB6y+UjWPoxFXAmtumb2LlhuMms+m8TpDdiNXx7Ip3TIc3Fr+
IxxDFyj5/W0v2UjFDJyDijgDxpz3leeXTiENYylzzvXJrfJfvAT0cqcGs2dj9R5sTRoLao+NXIeG
3nrWbN013k9XJriDaCfwTOfOWaMA4iyjIVYxAZ6ov6yCWkHznEBad3u3ts6UCqM+ARnpSWD7l2eq
X2p5qMus9JdYL8/9bFZukGs/K7n+CMNCs3PTbFpDjp3hSRpwmFtZg3TVgF8VSHa43DfwvYd1/dJr
0aEo+p2FbX0ileuFKgelF2cNzK5ltarMQCp8sy6PRdA9UFd9Sgft8+39E968ehIy0fQ/M6vzpdrt
VBhaUvrjkKHZ+auv90ikthcCA4TgFeTVJPb0TbmmbyN4pPq0ZCGvGDCdr/Lw6/YiNm5kMZb1r4mV
E1hTZy8xYzW+wqQRWhRD4zrdQl/5mMbTozXpB6muHqXcfL1tdytLppAJnB1ZB3Bfa5xQVZBQdZbB
vGvZaGenQhutirXejYOuIOrahCuSk/M0qcbrqFnMGlWWlxaJBlW9pd/TbRNC6zPEP7d/2JafMnMF
Lyw/Sgz/XO551YzR6FCK9NV6PkPSTwK/nGbtqVz2ij1bYEv4KOEREakQ15r4/G8+76QMLUk0fqok
xv1s16clvddq+2iNjmd3nkz3boydO4bivfCT0xmnwBoPcxl/Gu3JU5sXU9+DoWy5NDOCSH2yfMqD
q4upmRnkDOOy9IvaqF270UMv0oP3M+/ytnxjZXVwmnFUy0HD56apbYg5jeGpyJW4djBXp9tfc/NK
4k5i3kVDwZ3qxuUea2WpxspSlBRQflm14o0AeKpYdN5GmWH/x0q5m9THuQBX6Vj3ED7vhL2tI8w7
Be5WxpRJkVY7Oo9FnXd9zY620iHOzksTHKJpJ63eM7LaUGPKmbC0mtIvAfWQT9hz7UJWfXsrN43w
eEZ/CFoiqseXO+nIQatl1oSR6Jk3rlc3T8XwfnVzrjsxj8D1LUTjVwmlM+ZLyRVe+VXYlq6VPVVD
8lM1GGzJ/sv1B+wE+lkei9DDikDw5vS1SdibXVdXSJ0hn1RIP2b1byWPHzlYtzdOuNjqniB660wN
Ek9gONQuDc2JHEtt2qHnpiPK7VTSSerCB9siVU7Gg5H/cdvcxne6MCfO+Jt1WV2QU9dpS9/uZzco
vyspjY1dlcstK4jjic6GTaKyBg0GU14jHCrj1yAhi649h3exke4MF22N/CCazhuG76MzECN+xZu1
BHKER09V5beSfR4d/VMUfq36+MlkCmppq0NZfgdA6BVJ47ZBfgZLgCZ4t+P4G0GRVf5WUWPmFETB
5Y8AtVxkcd9Wvl1W92XTPBR7LLgbHsIoiixk4qnA0vy6tECZvM/6JKv8BtGHOvgQ6ecQ/kstj9wA
nZnb/rGxHIqvXPk0ZjRkgVfLsdBGsK1srnjqK9pywPvrb0YU8QS5bWdrUbRxEdRiVAEM0ioojXof
LMusEi+cLkMyQS3uzbFITgMCg25QMZFiL9GekPnG4sgtaWmwOogB7dWhzmk0jQNcI76RVcdUcPq3
ifofJijZOpS+dTHIw2z75efqFNuQnMmpQGw79rmrpPQhjhzpQS+nducEbGyi+EpwQJEzW8aaB6xo
5J4iJfX/mP/BaTIG7UGv+9g1F1M7FQWCRFbZaTuP4K1NxCBVIag84edebeLUOb2UB0UN+2/zXYoE
MNcJzre9YyN+ADVmbpLKEzM6a2h1HBhyM0V6DS/+k83Qc+NUzAz/B8II5lxhlEUiRHVQA1x9qWFW
W3uMG66T5M5emp958l+G6KA2YHLB5kuJ5v+lDa1TjKbXqsaPB/McWtJBqcNj3wd3tzdMbPrlLcIi
4PymIUS+DJHapZmibFpIeUNea2boN/o3E43FJu/cId4jXNqztN60pMq4FqMSpPaLlfyVB4yCmB9T
6a/bC7r2MhbEAeLT8ALhvF4uqII2IOy5630pRYnCOhSpebht4drHyGEhk+RuJ+LBOHZpgfbs3FUm
FprgbCFY2nWvdrRzQDdtUPgSIsJ8nDV6Va4LqmyhxeXePNvxK+Rp8HHfXsbWRgEY/dfEysEMtWnD
ejL58vbsFoPQQr5t4PqDw6jAaReuRbReu5ZeyNGc6Urppy1KUJEp94hnVrQ4qyrxJmlcdupEe/ZW
Xz4sCn2S6cX4Zhlonq3Xwf2US38VMqg4rcmbnYrN9RNXLI/BUgYQkJBQxf6+SSLyQIqKXltwA0kb
DwXCIq7OnaCMzVEd/qm17jAppeQG87hzZK+DtzAsSPq5atE4EL7zxvAQLLGlBWTMYAZyhCuKEIHY
J4TsvDh9vv0Jt9YoaqOCAZERgjU3IcMTSV+oXLaO1fg5dCTIMQbwlNr5SYX/ubQt19y74K/9UpCd
C6UIEmjQzKt9LdNS48KTW1/Tfnb6U7unP7CxfRd/f7V9hZpY6Nfy98cp5oH4IXCT8GMZu6m9s3kb
/kjsZtu4jQCqrAdYBauRoy1qS4L3z5h9wBdQdIHbdS/z2lyQMANfIHfemuc3z1vDWqag9SPTuKss
Rq2/9FLpLfXwkBk7PQ+xOZfXBR+HyiHcnuimXGFgS2jAF1WOO66L2C2ZlNcjMsudEL5pBM5dUZ8S
4+OrVLIppSW0dYyE7FeZvA79KWtf3+3ZKBH8z8YqN5YUaCoQMO2YUZc9O0seapB1KEce5lg+RtVP
bYTSvFPjnex107lRRoR+83eesnK+ZtADc57zjpnpz0XxPI57tb1Np+Nlo/HnqYWsleYyu2RapWw7
X64/ZVPAe306EJEmVT3e3sCNldD7smg5iYoOxG+XUagpallDI6f3YyZbjxpaS/dtFzs7MX3jqUar
R+Dt6eqB7lhfIp3URYHT670/F4uXOdlrGdlPg6KcxrRD0278PPf5Z30pHoz4bKYPiv1qDt9ur/Q6
CAIpAbogCLx4A6wDPdcVXRtTG5j4DopjRNf0lEgq1Tt1DNxGTbNjFNJ2hMb33pjm/P629esPinUQ
NIgGKtQV1qe7q8h0utoefCZavMFZ3Ew+c9u6lbmTnm9gvGnucZ/Q4IB1jXTw8ou2cdDYrTmMfjcm
dQodYVY/yFphHwsowLx46ZyT4+SBByK1caspVE6S3Jbn28sVRi4DDD8ChD1vEvJeWhWXPyJWcjPp
cCw/X4LDFDK3m0yu1Og753BjVymd0UzCf+lTrOt3UxAUszHCVWSPx+RTG4oRIT+qih0z164jnlfw
SsFPS5ptiJ/x5qpuKT1nVtrIvmLU8mOl9ctTJDGdoA3Z986CX9Cc5fZOz+YXwKnaTp6woYtp4zn0
UUXJWbPWi6yWYbGn0lJ8AxaEWYePfflSZU/ZP2NySB+d5fOsJi7qf0F/MtKH7jN/6DwHX4Zfhf6S
BveyGXt7bCvX+26L8T2HD8u1yMG+3JBcLQwm6SLVj6e2Os6N3FjPTpEMtWdERskoTUVBfCdSbTg2
NDrQDggQNZ963ZEaejUbumyBUdsaXI1hkdzpGUiyXei4XL12DmVmHeclOTbm+6MkMEjYiRkWolbB
XM3lekMlyco2UxRfyyWUEVLT8Nu4q7/cPjQbuwr+APAISbaQWlyd3DprBjCxIbtaxMq9PJiN5JYM
0Li9xpNuZEZ2J1Zcn1Kult+ZAI0+VihSkjd+XSfLZFvVrPrMQ6mQ85gQc/zIGqPJn5KpjO0dT/5d
qbqMCjQPnN/kIzQVr7onZUPpOSlbxZfNQ157uoWggFtpB4hA0RhwPuRA86d3B95Lm6sMQU4Coxnt
Uvk9pV2Nn/pDadQebIq3v91GiIBCDa8E/sN0u61ebmVak+tTjFF8K9eHxluMTsm9rGwKnhNZWpce
EEEYiu2qWw5htDCWkkuQNN3+EdcpJCmx8rvsynAyrdTLHwF3vi1N0sCPkBT1TDXDPkwQqJyUpLHu
jSU+jb0e7xzLLZsiNYbhhZc6I9yXNqH8XCaNpoA/zbY/m9HTTAPFLTWngVRY9pHK3lnk1k7TIHZI
JEDsXEmfZggR6x2sRX5RjH9HEQNM8EqpOaguCKbuiiT1pLJ167TZ8d6Nw8ItwPHndqXzvoYIKk2k
NvFEzAOYJB3taey+l2rueF3SDvNOvrQRCZgsF8J3ikB6r1kknTwn/4OX1dfl8HM3MHia1sfehF6C
lOG2z1wngNxqOphlaujiKl35TDpKVTNAXwOnqR59r81mOKlSI+9s3rYVanngyDj3ayhQaMTlohCB
fKCcsZvPVX+XVuMeOHXrE/Go5g/hFvRuxLa+iWfj2JVjZiWab2eoQcta/0uPws6rAW/tRJVtS2J8
ELQf1evVrlWctDRJMw0lbuPHNBovs9F9kIY9GbRNM9z6JB9kzjC8XC6IjiEdrgyl+XZRYZaYQucs
ihh3VS0vO6UqcYWtYjNrEaqgZMdc7Kty2BLJhtSGpuobQ/YAFsPT6j/qRvby4ZMmSWf+ue13G0uj
aULUUJhkQBRxtbTastSoZ0rZ76e/iiVzHQZe1D0+g2u3o1GIxwH6osJn2Ssjso6GK+yZJnSJaK85
1fxXYk7pTkDaNAKahFq4oHy1VzdMGTf48xRiRG97+VDXJZ2Z0a7s+L8YgjmTQ25Q8F+j8J0+rcrC
qE3B1FV7apGT94RL0f3z3i/D56elBWkzYZ1ZoEunk5dGT9CZMdHkaXP52DrWUN8NMymQ2xe1knx+
vzn8TqZdQg2e9+6lub4LmraMIsvPrKZ3B2t40SP7znz/cD2whf+ffIgJMm1lZunrEbrJ2PIjqfaF
FXh13l1VcYCXUfCCd1xI8a28zcmEaLUUWsijxl95tAQ0Yqx/6szem865vh6EIaglf9cOCdqXW6aj
IjkHdmrR9/nWptKXErL2HCU5Ze/dvmXIoOXIzYBunL0W6WnGXg6qCLJGs3S8cISLL2TUVYbDce/z
3LZ0pTYzggqTe5nPA5/LUe2+aXZ1GHu4u+y9u/U6YSFR+XdNVxrfUVc7PEixpAVPStl8gIOkktoP
SljzSN3hU9leFUEBUQ+IOddv8bHmGC81+6cmceQVoRqdmir+VOZl8VjY7c7B3QhEYHOEHhDAPUrK
q4PbQ9Ha5/JI1hDRPHUlJXy1AFf+ffu8bloRPRnyTDKw9SRmnKpGUKi1CiNHUtVuoanNWSH5+3nb
jDgsl/cRsva/kaJsH7nlysfrSunCKocKtrOy7JA4TApkkqx5talMx9umNlcE6hyyBKDnwHsvj1MZ
q0oxth2ZnR4PHoSDA5wAlr3TaNi2IvTHCA8EcPHv3yQnkAQuth0NjL8nufMZ+pHkZBaRfbi9livv
hmeQoA2TMzKz/GdVdJVGGKJCaEr8Pg/dJtA/tzTOWo3r3NJftLLd2borB8ccD1ZIfMFEk6WIr/hm
UUa5dNMcdL2fwrGcEX+cwvFyVGf2Tu3V7oHZFUyKDnC433OJl4aCCTBcoqg9gmTDK1y3OUUsaU+M
6nc8u3A6YUXkqLBDkBSvna5X56oM+3bxG8Eq6JnanIVMog/6jwyS0u5gJFKhfZgke8gekyTpPzta
ZDvndDAz66kMSt0AFqfZi0u+E/WHVp/Mf7SuMqpjYFjxNxvyzS9lICtIdE8CSDm1vf5BG8e0P9SS
Un/OmyKFkbcqnddyirRf5VzWfxudunzMEjv9UqRq85x1s3TMwiBPeEBr1csAkyV1L/TGykO19OPn
hFrqxzFPlg70uCP1x4Gy7t9qUaY/8jmIvyRBlBWuUVTlc5AueuZVi2E+aSB7oyMIz4gzBnnCn1Gq
EuiDYZTpRUTjfFKXdnDO4Ogy45QPZRp/0csiKl0tc+anRm8k/RTFqsTMo6H9MINE7twI+IH8pNRx
9jzkUD1/KGKJd/EizzA8RXVAYyDLR+lLKMfpn4s1lN9Gq7XuE7me/8TL08yV6VyVnoY+8/ciyRhp
a/NyUA5SUGZMiw59/xJSupBPk60lyiE3lDrxuq7gkZFFXZu7da+aX9tFm/pjWyRl4HL8ne9RjDjE
XT/NiUPZbJGeBzmpc7eP6648OG2kQN1dJ7CqLaj//BUXYbnc9+ydifTiqHX38xTmys6b7/ejbuV8
NKIpMJq8a8V4waWLx2oSteo4jT5aZgWMzfPAO1YvzTE6yYszZocgseTPfQO/iptnTvzSlZ0VsyFa
obtDX/IplNoZWk+blfx7UGUT+I80UcGqJmy6oRRNwq5QXjuoqCAMx0y2DcbNzDi3XCW1uidSCjkH
5ssMhBdopH0ejIHyE+XJ/AiRf/03oJ2mPjjK0v2UIAlPD8VgwwVpjwBhjkqqRo9j5QQvVpzn0h2j
Jnl/stqhmc6d0/TzQQO5XrjgWazPUzvK8oHhojA7DtMyl6FrtKgzuH2tWbFXNNSKdtKzjVjFU4oS
hUAVi1zzcn+TeaiiwqQmPZoVM6VnU4tOQ/1TyvZI9a+7HQBKmXRgSITeDc281evQlophgqmOsnQS
Kp9hf5hcB9Lm05xU8rHI4dCI+6lL3LqwUfKRiBR9YEmn0gKZyZMzPI56nezx8mxEUFv0H7gceAyB
F7hcPtzjqdnp+eTzeJi5DiTYb0zz13uvH4b62F40KWjKXVXKp75vyz7WF58n7YkhFkhBu4e+NXMh
wOpAtvN+c9QReTRQGRas+JdrWhZz0MsllP0SoODHXvS0rQrnzcEqk2UtlqfFk/zuO48riEktRgvp
rljrSyKzW2tsJ2mB+y9xjnCO53dtU/YPRquXFBeNPY4BcYdexgVhj09GFs7LZY0QHdqp5KNGsh8l
seWFoV49OYM0HIx5kHZylKsiABMLtDnQtKBUw42+zlFGjbqdmsi+bATzvWEW39XOHs9T7HDZANj7
UJhK52WKVJ9uf8iNIyMQsBRPueEB+a5Hq2SpiMNS1RZQ37Xn1OpRtoe7sXeee8HOAh+XOn0ZuhTF
6Pu4bCc3FpIBVZA83/4dvz/earMBHpHIQFDIVODao8DBtM7QFYqvk2Z5Q0nh3LVGc3CTqaiPET3U
Y181pkeonLx5iSvPSYb2lMc9ktMoqbn5OPysY0v3eqUrHvNelp5keVm+wiYynpjXbw50fDNk5Cbn
rqij6qWY686dizk4wXxWf7DDsnu5vajrk68xwUNyy2AqlT5TfPU3SZpcxWrVMpXka9P8oVLrP7pK
2+vEbTgp87yAcWW+HbCP1UmsZjQIyGgmf2Fw40lVp+CAP8c/LLV3dmqJ16aE7o3BqxRJT5qLq0CG
3nJcRlql+mVa665jdPMdZCW5p0/dtHMexJ+69AbWw2UMgIU7D87ry52jbBWxZkfzGzmuH9WunY/y
YJifi1xrH7muTTGl2nnGZIaes8zDHifv9YACtwihCylm/gEhvrpJGodujBZomq9MNPcgqQscmFHT
HxIKts58bO3qrC+tW8njaQgFxfb9bdfZ/gEOVS2OJ8tdDxnZzMA6ObUiQIXozE7hMe0nL5NrSNOX
V0X+WkMGWFgag+n2R3lsARzuPTE2PrfoZOO89JOFEtHlN6h77M+DQkwq8+FrozCzR/3D1r0oCEA5
3l7vxgcXVzcvdeHL9HEujTFKBKWv3sl+LsMSR/68wIIz6PrJStvxdZTi4NiqQ3oqrCT3tMUpj7ft
X+coFI6E/h4awjjdejjNjiYpwJtkf2gV59GY4+FolklLwmlm34pCKndCw3XAx54hyH4QD+HNucqJ
AkWSl5reAC3HxLyDKLd4CAM7QyBUHT5laZB/kIJR/2iXkMXdXul1O1dlf9lnOp7MN12lCmoW2KM9
sNRMjbygdJ7nZH4t4f1L+tEzEuc5KqMvbQJlob6HrtlYNaYF07Qtbpv1NReHejTZEquu5ULc2F4w
/FUmvm6mbmVVXtye/9Na/2dQ+PibCKzFAeWhHoNOPbpS/VdqpycGiT/alQSRaQtAPH4o6rpwR0vZ
sb1xfMAMgB9gndzra7WqhSYFyhKUa8zczg9qGipemg90Igcj3TF1zSzK6DWgKApDoguDR10uk+Fe
c+LJrPpTCYdo5RZQidsQTi5B9o8ctx8QaTlIaX1f1fHncYmO6o9xHP5InPYIL9sxQDElQvhiSX4x
XXcMxz1ozMbhApFCaQQkhZAYXkUSm1pYlYAG8w0N1kez9OL6W1LQXGv2wsieJfHv33xvelymXBtU
4lII2OThqTO7U2DQ4t7Tb9w0RAOK+Ch4A9Z3IePGTjsFjcoAmfNhbL4lXYWyluEa75ZM5tNy/cCV
w0Am2kmrwGgk0yTwEaqfJdmhML+XlXmnaeMRePZOTn+drWCJzhBBX3SVtVVIcgLLGgw91Hwj6Yq7
0Mq/cgvv8VFu3Gs0q1mPxb6xnHXXQUklE9bkFEQHJOpQivfjPQAPdCkBj6AWEBvL0TSn9q4BIHFP
u7I/zmRYT6PtdF/p1w47heLrRTPuKuKg0CMRHI+XDtNFkj5ETSr7batChtYu7Vmth/RwOw5dxwLE
bICYiOEXypDr2y0FLKNpfEgf6vr7xQxgY+3vQ3MnabqOruRmBBqN2Rce3GsUAqReUipHi+KnanuE
TvxUV4YAZj3O8vQ9qNVnbU+79voU0LSkUSVmicgq14Ngue6MzsDglK+Dt39WqnY4pEVgPtgmcDBp
NKd3uygPBBIfgW0T6pWrtFCilmGXS0NS1KnFY1SaLcRfEWymtz/XtVMwEQiAjnoP/dirtwigjVKP
5Un3y1w3Dp2etuexDN9/3ujuk+Qa4sw5+MWl62VSkw5RixUoZQz0hihWlH1u72zZtethxcGGANuT
y66KW4uVF8HUabpvT0EN/ayk/ODsO89122rH29smcuLLpB03xhrVK3hrrgY72lxZ4iRLDF+quuRs
VDl3iVzISMmr2nlOhvk1kvq9u29rfRoPWMIkBWR4Iy93cQqsIC/KzvDjRh9yeIyTBBgcxVPd1dsy
3OPHunYN8G+A4Yj5BEmeBpfmymLuq2WsDX/Ja8OzUYk99W0nnW7v5NaiqNwJPiyewoCRL604MNAs
NaScsDIUbrl8dNLwTknUnai09b14mIIS5ygx9bVqW8GU0Rlwx5t+bMdgYwc9uzczbbyzgzK6czrq
3OBm3w0V4dSyb2S+NAMZwV4trdTNaQCQbEBwWA0HO4qmR95XlTsrTrfjjxuZrrAF0IHViYm21cfS
ZiNt9MAx/JrRynOZz9JjxjzTHUNavd9bTXhfZFF/N0um5umjmjzm06zs0V5s3Hg0B+GOVGhRM524
RqjF0xDKQ1CAHpALcurpodPDo178Bf+iCf0L3LFuaFKUZ7D0xdpNuTdcicIDpVAqsAIpIf79m4yo
ahw5DBbZgNvPitF8iaaDHs2RS+Za7ez3pileqrSmwMKR4V+aCido9PveBr9gRrb8aGhM839K5jhT
XUcaJm2HUPz6KNqkkqCnELGDnHYNnMmzLKphBTJ9qQyCL01mtT+rKZB3cuvrRQkrZAeCY0wMiVwu
ql1Miegqm/A/2813dXC0U6bRyXHjtO13DuTmisjzmHWB/JaC5aWt0pKMLJMyy3e6aGxcSmJjeRpL
BvJ3LoVNQzSRBQkjbxRrdQiV2jaKduBLcVkXr1lg5XeyJFc7E9rXAGqBxRAlbzEszhFcradN6GWU
DIX7RuiUf0ImAoQ3aaWPzdgMD/1oyI/htCgPxSTNx4Th6FOayPm5zfP+c61k93qSZGgcB9nRSurg
bEuD/k3u0u6PpJqrj1Y0moeh6dJ/LLpmOxnAxleHIQi+QD6FGAAXofPNqbHGhodz3AagSlE0LkMq
hWZuvBjZvPPJN2IUhxPvEgP7Bq/yVdbdWxPNRUMN/I7rS3EVOYr+NLmrsyNVh/jvuhTEplFfDwfN
HKLiZKdj+TqkhrK35GtSZNUmQSUdxiPo9q77FGUGe6CcRDbax0lyqBJ5+tJIkdMd7DA9gaUI7gZk
vQ5pTlrXjFJz7ObgQ5w7zUe4WdKnLLVf9QbujozA/+m99yFyNVThqDsKhuQ1K7Ss9IPT9aENeYI5
fzFDOm5lHlbPC6WKnaNxfSnymgOEBVZFCDms54a7XtSIiip9Gp3cM/O/NVgSGwhKy8phPP7dwQWU
KS92WFfJ2/nvSzebtbDtjdLKn0r7g5gKURbIrr+9d+9ENZ3aGgVi4tS6lMpSaBylavq0FDQd80n5
R1eGxTPDXTGpq9cA/FO03mAI4dxcU0trkMdqUVhmTwGX6ccsjUXhMrLQejCSB47Onur4Vc2QVyrN
IPH8FvS460nHSLbysqdx/FTksv4yUwA5DHoPL380/lyCzvBGHdC3EmnOZxVB+50cTcTIi2wX6yTu
lImJDxTeVxdDXwed1nRD+TSkof6UFMtyRDFrOrdR9zOV0AIuI7nxINBRXm5/0CsPFYYFQTrZBHfF
ui2l9bCQLrlTPk21mGfStLCCDioIQsWdVVohp3zpmp9JNb17agHDBCjqtLz1BGPrpbfGEoDrQomq
p36BMZyROPmIO8WunY3dzsG4DovCFkgq8JZEYIZnL20lRgETrJZXT0Y9BoeiqRwmFEjTlFJRPoGZ
jX7ZQ6I/BN2UZK4VxuonxZmKu9s7/ftdvv7GXO4URGDmYLZgdT5HO4zo0lfV06I05gtjbBDmGZNo
zFsaG8A4UjLOxUmWy/4lN3oIceIsnZ/nssvcxUnNh04yrFMXOD9U8KKnxZlPE8MlXpB21ffbv/Xq
xhIbJib8aFtQbFtH7yoeDAc96uopDRL9mKn2h4Is+1wVtvbjtqWr5AFLYqCZi1ETgnirYiNNk1SB
eLh8WhwlPtSobcKXO+U7cfg6mIjTJebebUMVHa5LB4jtNqhjs9Zo7gVdeqiHQqV22pj5c9fKyQid
eGfsjaxc7yHQWw2EJwmsKGus3sq8xeeMU20iubeEy0tRp1PkQuch1R+rqUz2BquuzTHEBYKL1FW3
bWc9Amr02rhAMWP7CECCIbJoSNpPsgMI2Y3lKGzfDUQQyCpOFH/B4RZb17oqvWlrabYtP1RTLXaR
D02GE1ShUbiTmW8tjLaVmNmj3nsF+MBlliYtYtufQK95EPfCtQwKKn0Zgwi5q/e6I/jON8aEu75J
1ajgRQbSxbbfA11xeVGVrjkl9rujPU838GmUhACWwMJ2acUGKb3kgwTytx7Us7Y0kETjRcxu6VHi
jqNFsmB0euk2mpnu4GeuAz5pKBUv2hgCJLCGN7cBKsajETkwTUyHagge4ymm8d1++X+cndlu28qy
hp+IAOfhlqQky5biOHHsxDdEEiec55lPvz/6ACcWJYjw2sDaa8hFqZs9VFf9w9RJu1J4/PB8YnSo
g5cEeowOyOJt4Ddj3kdkiIe2TEbDHjUxEZzG1GProzk2bjq8cZAaB184l4xOp1Q1S4k3SJFDSotv
QoP7Wm4lYWPJa12ns+W4CLS4qfXSVLxMQz4v0TtXzv7m/YNRhCt3xdmpSBBeiLC5Z8lAlsnpaDxv
rINwVpXI9QaCc54/ZmKbrlR4LwZ5QxJROMcQYLHWq0BIBM9E1qTtQjB6mt+Gn0SEO7KP7ql5MAi9
8W1mnZ6zk8lKKBlZJlKAfujt+xTTZrqy9UqU5brmVmdNk8aAVxJpWi2O26BJzarlaXSnj04hxU7b
RrYHi9QYd4O/v76ql2uAWCDQ4KK8ee9BJTv9PL0+GlqhedpdIn42m8EpXaNp3OsxztKFtyBwv+nX
UwABIXEaZIS7QaXC0u/ESBeAZwbR06Qa2VPHk+i2HC3/e8Nb9XYCfrbzlSl0TCh1z2Kr+w/6UCW7
VsAWDHXH+jYrEmh8qfo7zy0Ftf9I9df8/t6OjffJDb+W+jMZAyJnzMzydV4o01iZaWLeASlLHU/N
8r2EXpZDO6baITQ1uNlYlZtmKE03MsP4k17Xw05o9MynWtd6t7lslhvPyINPRl17R0MI88dKzJsv
STqTCMZe2E1T4EUuSjmi2zQQNSFst1q9UQ1QxXYggSNdOVSWaQODguc6s0FBGlLSXOx1IL3pNEy6
eQcpnDfbTpLrvdC+xJQern/stUCL1LAQRwALgNXvuumOnr2j9Iqdhvdx9/Qf4nDDzbj/+dJeLNxJ
zpomxFHvztBGnHj1jZWFL4VabobJ2F4PdWE/8nL7F2pxII96m4tpYJp3KI199tCWNcptMx4bTbRl
uV85yi7Nn8U1Aq2T/JrizulekZM2VOA2WXdJh8p7j7j3voanfGOO7SfVGKWVaZynabHYYbDPBnzM
IjnJIpzYKYEn5YTrK2uwYz1r3UoO1/QK3rgEJ2Go2M9IYglON2twiZmJqRRFllEGh14Oi9JBQdwr
Nl3QdM+13xl4qxi9/LOG88AJNCbB4Az12LaOOMjN6MS51T62ppgFboUSt29TjVaQVhjzWFVsxR+n
X52eJg96JkrKJotVGZtlzVek32JRKUC2x7bqTZdWCY/AUPbLtV7SmTow9xpS+TzuZ0PqWfrq9KNJ
Yxt6hjT4BysCMtGZD6Chb9RKC3BQFHA5e+lKDLIUPEzr9HniP0UsWrXtNqOwhns7W6ynP8VYvEJS
6gFSHvb+oRFuUzEidyh3ibwzetNGu3f3wZ3xFgzBHg2ArXUGd4XeOmpBM/qHMHkOFWHTjX+74BHH
2Ltu+H491NlFNYeaOyNwM1EhXvbHBcxegfJOPurDpSt7twMY8XFNHu1s8yGIwrOaQ5IH1pyznH5H
S8s7GQ3r8FCl5rH1njwp3vVYGKvtSup6hkxhxRBp5plSqQBfP/+Sd9l5Z1meF6QDGB9JuNOMvN8o
JLJNqeRf+1IZd/GQD5tEwuxB96X48xCY9XYMkF7oA7PbwWWQH8QeyG8ukbuVXI2fPfLG+zZTvuSd
ZXwB3Ilm/fVPcNax4UfPnMU5+501wpZcnjEEFFsqUXQoo9fAL7F3Gl15UncQprYGUjXleIeapZs9
sxkTY1opdl4MT08ObDFNGBp0i6VdQiioRlGLEP/GyLWEO4TlwW2jdTbkB1iAA+eK9lnTfvjVc1ur
bhABK7o+BRd2FzTUfz9hsUByKY61WNOxZRx/+hFstsb2BLdrREdZA7jM74nFkUkmO6M9aa/Mr6vT
FRIMhoq6N6P1xpu+/Dt4k+13Lyk2pbL/TcOu9/rIzpc+5E1mdi68cvUsGf59pqBZLLfBQQoPdECc
ygzdzNI2WvrreqDzjUwFgRYudUka4tSST8cFvV80c1UJeN3LM7DaToVvab0CX7k0mvm8mJ+l1CvE
+Tu+215RkkHLSvzwUOZ/BMHxHzLrrql+fnwkoAVNEBdcblgHngaJy1GTo7YO2YS1kxRuglWiNK5V
Qy5cLoBMSUnZc/DhoVCdhhEMXzE8XQtBSz8bSvpZ9PNdbgRfzCreFhPmq6iBV+p3yy8G22yq+2kU
/s6UWKFdecpdmlQ+m8mTgeYiP+r0h0zDWFgzkAHBqttCfvMorcrW7oc17ZJLS4TVwdFIUkKuOm+N
d18vCcsAknIfHXQhcrI+tFttsP1oRWDg0nDAA8F/BPMJzXK5wdRcCCZVjQ6+2NoCpyVkNZtnSKeu
HPZnORYdZsBNoPdpZVECXRwaotTJge+B56yj5nMupb09n7Du9cV4aTTvg8incwYIXtKnoYoOszSy
XjT3hZLbsfXgV+Z/Gc5sU26R88yq56eRZLUcLCtuo0NkpJFdCdG9KPRrNbmzQjeUCxgfwJokxJUo
uiyiDGVeVFXCGhjlbthVgdRvBmvS3Ao4F8Uk8/coKCIVbi3ZNNlgbbzeij582HPZAciYdZNnucDF
fUMaOaBYKEYHI9QCV7DMuwo+3CYQlb9jXWjuoHJRX/+Kl1Y+bprU9+mgcDYuthiSJ9XgxfOajKwd
j4TphkwydiLc0FYGd2G9cP7SlAJ9ASls2bTQC7Et+8yPkRD7mzN/HJBKXDkzo+fDQzoJtPiQftC2
hRoJ0UGTkw2Iwluv1w4wczfXwyybXqyXOXED6YvayszFOF2VPnTBLg3jGC9zq9wUXub39jhZv/Qo
rR1Kx4EdmZ5k44rW+9AN+9WG9YVPd/IDFp9uEkI8G8s8PtSS+B0P810ravfJKNx4ot7bg6l+inTl
ufTLm7HFBY6CNGiXCMv3NEI6bEhS0UZNR3GvT8ulX8XbjmOHpgQkosWvynKQE9BM40NQabYxRJtk
+mIU2kcfrUw+xVF6BJQZZG0JKCojJWhBHMxjr49l+TNQ7iU5vLF49Xx8OG/2LxDxeWst6QhhUeuh
aCUMR6k2kgpPyfhVlx8uwM3D4VXDcnqLsjywW8XovTqND+1Gp2MVZN+k+k8O2evb9dHMa/I0xcN9
iuMNEBRQWzgHp2u2Vzor6ivMqgUZf9GqK3Iy2X5zPcilFYDlGSnKLJp85nSf+pVS11rBcV1/l5On
SL6por/XQ1w6S2b9K1hW4CSo852OQypTD+ZpSQj/U+p9GeJ967n6mmLlpdkCUsRlQIsGlv/iq5Qt
wmmDxoml5FPxB5B+7eB1oOcrB+MZ828+Sd7HWdykVV3kqBYE8aH4nsSZLeBqIGXwzj1bRLupKsWd
lya3SVHaGNYlRvApk9SV/XT+zOAnkJvMQlj0VpYJUB3mYa31UXzIhcMYpvdD0jh6fdPHARqya9Dz
CwuE9zvZ/yy8Rx14kW21FSY6RiTFh3SY7Eb/69eZnRjayjK8sEaAKIMOoqcxPx4Xa6QTyqD3qpFZ
NX+JSWML/hYKOdO6hte5OBxqEaDf6cjrS2WvyDfbsh5kLra2suXcd6bpdsw+CoVmkXDMsW9VliOT
txhOX2ZhHRkGB5Gpsz58R6yr/zBjfHpq8vQmcalbrMOkx/MFH90YC9jf4fTQdSEXWmnH1dcP796Z
eACpiqVGqrMoXumRp4J7shgKmaPSB1D8fUdJdqhsrGytS5+GrTtjU6jMYnxxek5QkqsG4Er4a6dI
N6nPFiR746MSN/OXmbur/P/MUV5i+OKu7Ly0qwmClLRvbiz/XgqOZbLWPbuQcIAenzvVc5MABNFi
MKBmhzolTh3jwBnGm6oK97Feug3g+9y/DVrzFqDn7vrHOq8KvCF7SI35UOykxWaNtUlM025MDpP0
OR5s/L4KGv/bV7V4vh7o0n7lPOfxDN7vXF0wE4tS4BXPNHY+eK9fuB/YnVg7q0/1S4tiVq4Gtj3D
/pediU6sgtYak/RQN9FrDqSznsDI6vXHMwfu839hFhtWqMUhGAW8vItau8myYD8l44uhRmvXx6Xh
cBW+QaDIhpbLjwaqp2QTzuQ93Bq7BbS5jXt/rqNo7UqR48KFiAIfVXsQJ6z1pSkJDQ/aatLsGa5E
uiN50D90Y63idWEdAOQicwSdwAN2eW4PfmVZ/cSCq+vQCTTDFmrZoR5Kp3XldLhU6IBfMkOWUbuZ
3TZOd5RhlmbSmkNyiNpbzARtFAzl5LnE7LGgM/Fb7G7H8Ffq/6TeXEqaMzZrh/rFsc7Eah6dM7d5
kWFEXpUrQ68kh1y8MUguCwRKvdDx/8MVhfgfdB2LfIni1Pxh39U3JCnXrA4tQMQa012OtgAlMCFY
KZfOC3qRXEInVWchinkoS6J0qxcA7RovOcQK8qfTbkokp1IeGu9JWLP9uXAocc9CYsSamTrVEojR
lLR2tJiFmMHVtbvUj5AXidJdOqrDvmhJOVNA78cQyPvHd/UMfkWlgcoK2friOOS9Jcsp/zsYKr6x
f9pD1H28oQK+F4AQIk+zfNWy3KF0Xl4EfhAc2uZXAe5J1MCet7cpXAFrVb7qwulBUYVGCl3NGc+7
2ALoIdS6MI3hYQoKJ8Mg3Efibnz48NHOdfWmrAm6gGz3dPkhGJTKsaaGSOw/pFPritpfHb+Z/9BN
mYG1/+LMg323zEMjGKdepXBpaF90z3Bb4WeUfwFFs3JwXFjpHH9USOdTgzW4SGAQphwqJLBCFH+j
jUkG44aaRFFeiu0xjV+mrviouzo5xruIgDROR6bWklKAvQqR8UwclReCHH3BOdHWxWRlbBcXxP+P
7UxCL0iKKJMyj+Jv7dFa7EUGqP8cWmPlLlmLI5+OyGqx7GFmw0OKNPSoRBj9kdeuMTEv3Fjc8bzg
VPhbvLEXKw/AsBdrZkb7pNKGnSXFN52Ci8T15X05CE1t0JE0tJcfJ+5rTUQJMJrr5ZPu/zXi8fV6
hAvnHcP4F2FxT3S+H7eJRIRYrDeJ+hM1MKcSjRtBOkIUc8k1nesBLw2J1Jw+w9ubY8lIa60IzoVO
QKry9xlUNHGsnq6HOF8ACp5DEhCtGQfA5J0uAEjW3iClnOFCYTp5ENtN82tYK2+eT9wcBCULHmcs
p7NcrzYwuaPUdcgLb5tY2qdI+Rbq6l0wDPdB2sCPNW6uD+v8SgdLxQVBq5Uty5l6OqzKE1QLZE56
gBVjd1xEw2fffOzWPPbWwizO7bDwmqDKCm5AfZMkWmiHNeWBtEzsyvpzfUTnpx0jmqu2lMYNiJaL
nSpbQmJGYp/Spbv3wuKpgeZbDPWnqQAYEayZkl36YrCuqE6R/c2UstP588RWoApH+hdEtGJC3tHC
8FSqaFhXzV+gn+vvt7OFOO8r6tGkYDNee6kli1xtM4hT0R7UJKrcGjCBi2hBfqO0wxpt+kIobnVI
bDSaZovYxZvAoN+Zj4HUHeLQU4/pkHwfIl/eTobW7q5/tLMNTCeDPtbMdpxRncuiROXpslCWXXeg
X+EKRuEGyf56hLPn6GmEt37Ku8s29RK9rgrGwj4S7LYV2w0Rq+2Uxc0NDfXIEcRK3qpabblDPEjf
roc/W5VzePwXwUzQaKLgfLpOutILAInLHXJZWx8zZkN+9N1K+YRz+vVAZzttDoRuHA9vyvxoaZ8G
yosI4R+Tcdb6XYIijocHaWSgfPX7epyLa+NdnMWApqaMpUBiQI34FCtH1X9KlBUe4FqIxd7KvVAc
w0jlkymfu+FXbx5z5eX6KC6tOxQrIAzMAs0swdPZQqAtUlCW6Q5iONgi1oiDUqx8kLUQ8wnybuGh
05jVgUKIJnqRm/uo+3J9CJdm6d0QlkJsSeOPdWj4/SHJSjeXSienIZzpK03Ns3OOZQWdlWMH/IMB
3+90FND1+qRu4v6QvdJ3cCLtsU53Xbepwp26hqO5MCIYg+QmIGg4PJcnuNkaPfg1RlRUD1n0mGBR
ET1en7QLwzkJsbiP8rwojBhVkIMs/ciTV75Lmd/XAOU/S/nK97mwIU9Czevj3feX2wJ4LjKfhzSp
SVB/KuaPARVJaS13uByHqiE1vTedw9M4kCqivlNCZk1xrN50MpMHGOqgqjW51yfvwlnGiP5FWqzo
mSoijQZrockjJ0azFaPmTaw4goex0srsXdg9SBPhSohM7Wz5KJ+OyhdHeTSLpD+EgA8ydbJ7Xi3X
h3Nx4tBvfUt/IP4vTjIN2+QGoX5kRsXbtPS3aAvYqn6jDunN9UCX5o1CAwSJmZ7EZXA6FrMctF5N
2gF0fGuHwz4pns3sx/wuktqV2+7StFmgh940BCmDLkLJUe73oloPB+TuIFIqUeC0Vfbh5Ae2+Ux4
5S9Kh0i6nA6oN1MjFwYGFCjxnf4qyL4bjs+yv5GkHTCID7KDqOWdRFvs2ZFXlzXE3UDFNXLTHEtH
76Fbo9JfSBMIQmZF9Z01vgQTVRLl3LqphsNY3mHMhkErarnljwqVBe8VnTW1XSt2XfhUlE0oaUDl
RYhrWbFGiKAThHAYDr1yzGnDV2tWwxeGdBJg/vN3B5CSm4motj1rIR42fRw5lAs9dAHR+Elkw47s
YtWo+cIJ/j7kMtka+nKKW4GQUslhpB0DcmPey9e30zkEZhZQwAGQ8ju1jTMLggg9GrMg6z3E0b4b
fXtSdNLuetO1uh1HrsguM/B8E/WnlcCXP9m/wIt1D1QqgkjL7jLrQ1K7SH/IfThn4S9l+10J8404
aHZu/VJjzR470zZlu4/XVDPOeRiL4S/2uJdnlWzq7D5fVsFnmUc1ll38nBp+TgQdA1bbZLhe+gWZ
cGV4hEdaFzZd2cRyxMQt211XbvPO26txQQ9wZ07bxvpUS8N/+kywA6gag4FAFPN0/ZmS36oAcodD
SJt4SAq7ojCdUIxMNccY7M77FDXbFu/z61/pwrEOov5f2MWyp7IxamkwctqKXy0/t5NnX/Voq64c
6mfyBxxL7+JA5TodXoCKhVipxFGsn2aySz4L3W78hvfx/BGCH53/UrtFp9hTI/P30OlXxnlxe88S
rlTcwCst8z+50Pwo0ZleM0QwNhQ2ffEXq6rtJNSOHHZbYfgmePvrc3uOAZgH/S7oomyQtD1KIwlB
Ydc+mLjeanASovwWNoGm3fmdY8pPqpHsRZZcgHnnlK/U484B4vMvYIOjP2zMdazF6pcms+zlSWLz
a2m2U5rHVok3jVe/SOVWFbtNa4z7si9tX3GDuEGfvLiDUd8FAt7D+T7276rpxbCObeLdpv7aATEP
/6S3sPhxi5SiryKc5RR+nK9rW81L3cb67LU7ZXC96ohoUfBFGveFt4ZZm3fSWVhUOGZEBLOz5DZk
aZ56Uz+HRSJv8neN4iSpf6wE6+c0aBvTFFZeBW/vo2sRF18BL4UYU2wiFpm2n6b2xi8dRZNt7aBH
uyA41qrEHz0pIlK3JG6+YFfxvpvEXV19GMk1zzlNOEY/d/3UxZLEuUfIC1/mp7Q7uTtq8mOhrAz3
fKsBnqNBj643/4Bc3ulWn8ZaCcdCGmd5rUehcmre8ukElXeDhxTZ6Q+56F6v77TzU4xIMwAXWTRE
hJYyL5ZX1pme6OMBgTePbAfmnBS59Sqk+HzpnMZZfMgYSvlUqdp4iB5F3c6qnQCK9LkSH1qAzNeH
dJ4cnIaah/wuHyljK4+l1Bzf0mBMfT29xt/8PwUBhcshxWtVWQYZukTxe4Lo6hZh03KcmLRV4uZ8
tp8u/3ko/6LMGf+7oVhTXha6QBQ1es4glewyrFQ4dxPlBa88C3qkMmgrIzt/RUDuQB6WTg5dZ4TC
T2NiFTR2MoYqByPeRtbvPtoZzacCI5dUWblZLnwoqMlwx8FtzsqQi5utkczRiut4OqDpw2Dae8Q0
prDcXF8OZyajWPLRPUQdj407IzYWF3VbNM3QT9F0MPL7/Et1KLzYTgvqmagZ3A+m3WDskvBv18Oe
L3ii4kBM85dSKjJnp9Oop/nUFxqDq1UI5PldBvlscDTl0aeQ24Q316NduDBPwy0GCWWL8lNDuCne
esFRrRK7rx67/tb7EkPgNYSNqmwEdbwZg4FHx6/r4c/XzEn0JWW3KWmX5khtHjL071Xxe6k/j9/p
sTp9//e/RKJJogJl44272HcY6iWcJMIIuuxrJHwTvZeg+qt4f3iuXQ90eUYBxQAR0PiCy16ZaXUt
/KpgAg1huGUUYgAT2pzNAq+OutvSpis8hH0ACErCQ/HSATu6/gvObwMmddYPAhVIQXd5xMip2IiW
zycdUZXX7VbeSdNWVWkMJU5p3Mpfroe78Nw5jbc4bOS0bdLKZJ+M4lGYvtY/sdn5roiuHppQM/YD
ZOLrEedvdXq6EZDHMLrqsyfKkpZujOAQY5FV00xQUlEYrKfKpsEWrIrWn580p5Hk080oW3ojaTmR
VHGnUkXQ08nVpm0sPubJ98x7LAJtU3U7WfSdopD2FNidsd437co2mS+5awNWTn9GVWPxNlj5dLC8
H6H1Kx5WPuHFbfhuQheXrDkpURME5QRuOi2+mB4l83u5dGM12F3/cudUQM5UumCILcyKOzxBTkdS
1FkyJvWEp6qfHDH+Tp1Gqc0bQRQT1KYm4Zj2bW0riPk5uV5sEiMv92nVRrxcfWV7/cdcmlWQcDPB
BrAu5/zpb2nEThrLUMZ+pfxtBPfZWmfn/CSHN4TfHHogKk8CfbEvzEDyvELWvYOfxq4pcNd/1oTP
UYxFkt1/1FicWhdbnRQWPQhK08sU2wqm2Mhj3zsEWWmrDSZTH14js+oagCTkFRA+XyoImn0B7dXk
2BpkeF3lp3SjxA8qKhdrUlnLxTjLUs7VTh2pQtCzy86vlOrdUBaKcBCok/jha1Z0doIVPHB4Jy9X
FuSlYCCfyMTo7dGeWiQtHmVcPZ8i/9jU++wzK/AmRbrbpGMRTCvY8OVymMf1PtTiLGnGqpKLJPaP
iuftw8GEu1YK27ImGfP91I6Q6xbhvlxf42eH8/9FpREMRJNS+3IR6vjCRW0rCGANB7v1H/Vp1/c3
/jHcD8Vff5LAyr1eD7m8ft4iomo4a6qxYLTFFh9z2TNqgSmVmp2sueUg2uJ36r624X0Z90a48uB+
U6Z/fzi+xWPBU2Rg/bPjTrdxDh01mWLmdQqTr8mQz9JatlT75Ex75VuQfpXDb74HkeeOVko0E5wL
p+52XRbYwWh3xR95WkNELi8ofhJ9forpCpVhTrn5WnmXfucqC7jtVf/oZ7u0va+Dh8H7TG9i5eMu
D7C3MMAu52I6fIOlDxkt3TDjkGHxmt0PL6z2Pt5B1z/mWyt9Mbvk8oCzeLHArtcXqzbJzLLVpZYX
c/XUmS88BxH1dpvxd/XDLL+NtasFiGduhOq1PsQgjUs7TL9pq6q/FzbPyc9Y3ICmFaLGInfBMfE8
24JSbSkPquDG7a0S76I1vPtZ6s/MokwCWEPlJFLUZe2qxxYXs4s+PFrDVxnvWOVT71eOQS82uInv
SWuO2ppE0ZnYzhyTFgwYewhx4JAXQ5QGCOyDNYbHtD4Y23LIbWNbGbcRdrwPKAEq1lYtXd17TMJX
f5va6JqKnpubK2vqLH1d/oxFLiAkKbBnfQqPiv+zhx+NFQe9+vsUAZXv/XDXFo9y4RbZRldbR9Ce
ry+3C2cHLIC54wBwZebRnG6cASZeXEBqOcb6sxkYtqfhNujZ8UtuRHYoeZsM5YLrIZcpHnc/klC8
JCG3o9+1JIRMBZTYlpr5sSseQ3ywi4qa4c31GGcbdY4xS6zTuZllgxfDSoKgg0fcDcfWKOwemk4c
rT0bz2aOEKhRzBpBs6/GkgxiVqLc9aM/HsfdVD9qgiv+HrLarvHFNPZWtvY2Xgm3FLDtAj2MrJ5w
TbVHLw4b0PFv+0f4rbebPLWzwJH306a+U++T8EEobNHNvq+248/PptMxL/uWtWmGEo3R8ZgXn0Uq
3FvDlmMbv0MrQJfpMXgVvLscTFct3PnUjnheQgtri5V7/XzjwpEDFTAbnZOynDkSeF1njchVJsdU
prqyr+tvdZ655UuYPUvYFdY0BcWDjyrDeOw9+Ea0OGq7qW06NBZin9eX2oVfA3sKGTIyWpS3Icif
biFyiqyWsgDUdpZT4M5L/8jyjl2vQErckr1mI2t+uZPGodk01dT8VjPZ2mdWnn6KZ4PkZMyCbWbK
IcziMd31dY7vnKH7mykUxZV9cb73+K0qrMA5RcbNYXHWDLI6Gbkc1cci/9EqtdulX6NhjRSKLv58
dJ5cYnN6j/QMIgi8yPlcp3My5HJeKpUwPCqGEah2QkFxslsvlB/U1pd++moX/Z6CIREdeA7d0ROE
5s84mnqya1IVafR+TLND1cP+d8MqlV4q3Os/jaMQ/s2TWNdsmvTW7aTgDbtNiiFEajn37qe+MZ6q
rAfeF/daLNtd1WHM1FVC598ovGl2PY3pYSehPvsYtAoGVZEeDIpdeglVGE2M29048YltVPgEaZ9o
HaSKrjczN4GPBS+6V5vXEmnIpyovA2VfZILSOlLThZgcGsn0JJZ1XceOUab5WBy0oh5K385CSYz+
BkhT+HSQTc8yOnuI6n7aYjqMZFqITdq4DWMT/wAbDnj0a2wFhJZjBXVgN9K6id5hOAoQG/0GxTV7
RHuzIo+K1dqW9AAiVVKHkfZJzc083ddWRj9XKsIitj2lbXtX15LJA/cVUSuOu1oRsRXmYHOUMjbT
nTzpbXjDT6EgJOBg+Nr45O4U6NU8cTSvluiMiFQUIRVkmt1FevOcm94QubHWhPqdirYO8sm1FOwD
vG+/lElcYceba8UhSPSmc8GU1w9DKvrPU5Q2v8CkySLIpEo7ylFsNZS4JvMrVhVWuYuQwcWLelSb
3sVDV3O1PO5ixy/qqN4NhRn7TtT21Z9BgvPqogVUJa5piiXHoTJG0XYMlRh5cejk+6JJ5T+lZnnC
LgOUcqtFmRBvwtwcJhzg5s89KK2B53OSNoFTt0Lj71BuSh89Q6QLKqO7JduAJSrBbUKjxlxIiXvV
aaxMTDdzQ+yY1JbpU7qLi3tIUslXrQGAaftqqCCtWQFzhfSaVA9g16TobgrUijEVQbML+8KTnFwQ
5fHGKK3mrh/EUXIGuqN/Yj0Phb2SeykPlqqR6y0u3ayKMRe11yjHVcZu+jyxNrKgJIpdDaLyUCm9
FzlBByr5pq1aA2WOshYlPBzj4Heemu1vS+l6hLSEuilnfRA6oHlmNpBbpC6yB33ie/l+04qOr8tV
SN4+dekmKYJ2cnW1s3gEqnH1LY6BDdslTM/RFdI6VNzK0v3O7jteGGgwS6Mzjl2Ic/WsrazR5Yfq
WY0ICEd4bzqKYOSEFCnNmSFfY4u8R468d4h4r61MUjve9hhRCkcD5IV5rAUN4yYpC/Nq22iTigCO
oXc/B8TXHrFo0B96pvGhFRtrl2QVsbOoG147EHCRLYe8Ph0J605SGGyskVAMo28pitrffE0PPFse
cGG1285n/LnHErONodWfxbQ3+KKSUf5RxiDr7ahSpls/Ctn6DVXO2FYa2sw0rpo6cSYvzxubd4eF
fDTgW9q8Qx8/SW0M/X0Y/erXkA3DXhLSEXZlqgV3mRHMggtm51sO6HL9po+yiIB0UPGgDD3RqSKs
u+3WLIzvQglWHsuWNul4x0Xe5E5eGmzEspqvuFwTgMJhU2rHcVp+KwotbYE5ywmzFYcCR5olp69J
05chopgtPzSc9MR0Gi2VQkfAVtR31Fy0RmrqpveIqEcp2qpH3wxArEZSZuAo9KpVXl+7WR9YDFpH
OM6GmCx9MwA2jC4pu/6rMrAisac6jycnwAn8MQvT4WfRlzEwoyIyips0mD8q2hziJ5wXixqXVXzK
50XGgWDJTXUreBWIrjjTObAaOdGyzWRMonITiVX8qx0KCyad74naRpFKdIpoU9S3Yjx63k1A4tfb
vajEkqOqIx+i661eB3QUjZpLxb9H+FKdmsIRvVT5rktNrsLsavPOttDHQspj8OUKSmptYlabkdFE
sd/uMx3ZzSAtDWFntFn6jCi9UO1Nq853kzi0xS7Vylyy+SZCvE3y1DKPQYDezwOYX192hTqdfcim
qL8bWh+Zu3Gk+25XiZ4c6wk7ht00CM1XLHqET5ST4+RrLwt1dBDENpeoXavKjma3DzKCU/87vEW8
QxV8u3/VrYHDDYXa8OdAz+LriL2kYsudqT20rdGUjpkZ1ePUJHFkK8WAOaJVqAotZyMVu51J1jRt
EqudlG3oD226V9UZEjyYfpHthBBpWzuCJvaI8ogi3kh6K+i7Whu9+0HipnF0oOWSLaip8WuoEba+
n7SyaxzkPxXlq6hVVDtUxSuL41AX5rGAg0HfsETb08XfXo4xaiub1pV7zR/vhKYPAjcQpU6361HJ
sk3mN5aEzj+/3pFYn4WjUyBlGnHw8D63mDQ9kmn0kp1wYEx3aVCOxKtUcwS61PiFI8k8/51Aqeof
tKuMLyj7BT+itO8jLmgJsWrNCofqUPde2d7EqTA8xLQNom0ZilTNE83KdRszc2Ejim2DXNQczK0C
E1j2EJvaXvaboncUHJatpwnpVcGejTZ9V8uqtrNNoZlefJS6B9tjohF5F3rYLl0hKMAvDeUYdEUq
b4MsUGVI8KI37LWysjqHylsYkqK2o/+1KHwrdlMInb3TBYiUcCzlenLrj7FvPHShxSoqUtFonK4Q
u9r25x6ay3mueTOpJsgAWLC4Hc+qiyfT18UCTCZu11sp8bHTUptCzTaiX/l/By0eik0aacY9ukLz
Ewkdj9hNegG9gVrvSzZoSDHa9egJVq7Q53KbYLApiI3jK0TZtX6JopsskNIMVRU0t3wL8V7Qo9G7
q6U2DW60lj/dDZ7V6btOyptHI4TP5HReUYvbUk/j8s4PQ+FO8PziNYu05MuodePgNkFCxVb3izaE
kd70Jq/wXK33FgpU0GGQHwd752eGxYocKBXkitxJW3+QuodEbTr/a67EZYU/Zx34j9r/KDqT5TyR
IAg/ERHsyxX4N8nabcn2hfA2NEvT0EDT8PTz6TJzUMwEP0tXVWZW5rL43+Si0iwnot6b7+PF3w3V
fMcNDWHE5DbvA1sUKt/CCpiKzoPjBsPafStDgv1admePZcndZVw/1Oa5/x2mH4dih6ffrvBBTZ3T
T2feuVqmnl6PHhQgnaBjbN9JlzPntfManPfcITuRxJqO+OosW3StfX+qX48h80WZjngklEO3ev1b
ZbFIKN29ar8tLmaHZe1WffglMcnRlse8jvXlEFpFN1zBhuzGnMHI5SGGHH45dZbUbxXfkMwdB1Ff
ua3p5tJhdfRPdAtpsu1vqsO58XHgqlRpEht8LLwdP/0q9sZzdfCPTSy1fFENMxaq4cX9HniOFUUA
/f86O/XxJ1rcVJy8KpUvEuTxTpmUEcI0ffdWk9Mx3fQq3VfE9OCrn0WXtpIwgb+Mr+LnKrp9f5VV
l9ZkZtcT7QMLbuLsiuEYC7F6oimiUdUtXm1mErmiY3jIatf+CXuTpvnGtlBWdktTzScn1jxDTREL
csJkQv7q1/IvLq3I2cj10P/JXlXfpsR482niaOyJlI/SJQ9SpCrAhLpuTpVMApEbnNm/+Ptg5JmD
jN39pk3qx7bxZxoXd/KfqSFxn3fpPvxQO21OTtQ4Q8XebHxHtjuOPZc1dzlPt0ZkzB+92f95S9K+
eF11oHNZ5B/CFcbqNM2Gg7FpJ4EGHEz3wx+imCbAwVAW3jnYH7JmFswubnDIk99SDcZFEKZuE/k+
Wq+6dIPfP2RkSl26w00/aocVeuMM5sXVblUVfVh54Skw2vuZCRecgOiflsexpGHptlHYXdNAJDxQ
tcbiktTutBAdttrhzl/d0ZyaaKvcnMUi9K1A6KRVz+Git0duEf13k2pgqD7TTn+XTaNzV0fMq6fI
dtN75a+ARiKlzc/Zoc4iHGHsZvN58VOLC3SXJadOK0TV2ySNTzNShU0Z4RmsSoaZY6B1P8AzAaDQ
nOAXM4rCaZNs+rdvCfc8mLHIokdqZHsxuNosHFuUnwfGL6Uvuo3kLap1013ZsQj90nf1OL8k83RI
PkxqVs+CgoNiGImeOc9JH/QFDuvtkzIhWIJbf3YaftDTo7kWA/8i0QBmpKultsmpnfH3dRiij2Bp
GTjGcMNl3knbqcuHxWyPzqrx9dxibC/BzGC6YKCN1cWu6rTPVT0ep4iT2it8DWCfx0QOuEW3TRhc
4US03tcRIjkZSX5VFm7qi7+yaUFn5aV3U7Papsjiudf5kTrjkXduZsGgm+R77Te4182EClp223bp
FVE4ZE82UOGY91MdEzO2Rl386afbdUXaNz7S/HDd/1R10rs5xkp9W4olNgrV3ji8ELLg/HXZvADR
yYzc2Q7W/VCscTpkvJT9oGhVG/FmIx2+zOS2pKdw1smcT05tCTqSRK2S+URIwx4CLObo7MATp6Wh
E93mevtPA3WiPg1NeD/xt6NwTdQ/IdFhbJdBJ/8Zf+sevU7UwykdNZ9kGw9pU/R0TXXRN12QlLWf
RLD67cA1RaHZn11XtPrs+hw0nChT8pU3T7wZLGBVzt9qp/SyXglgM18/Watqjb2XmGxp8YBl9A/V
9ixrHOxO9dQ1jFAmbe+Cw++ID4tHgobjbR0e1xgUsfZaUlpo3I6aMdaaKBdkReLBACv/sQR9+0pk
Wgz8g9PJV1d1rrqwhRX7uRjdac99vgaSM0I8kHPpj92/VmrPZdus5hgUJiUaPosP8Qfrs+N1abZw
L4MKiIP/pG3vubMa6xkvVo+4ZDgLdz1x3naf1VpPBco9ubqNUYV5XRCXPr4Kde6Zmrj3KrWy7OqW
FbeKbfO4TJnsfqR9FbqnrY3lk2wOizW404sfO9NqmsdrtET5hPvdkveiT3HLnAdEpEQ6YKyqnSZ7
3QggUZew6URfIs5gkW5bo+aEHaBnrhLAH+Jeq97LsQatf3hhaIY7hgnl0RKuAHdN6jCuDuTm+sxh
/aRO2HbX3qkOyHMYt3ZPTtvWiz9Tb+SzAv0UV3/qguk6yXka38as7inWqzurYjMDJFQ/SVl/Vd6g
G5Y3jiUsU0Vk9m3xpP5uO5VSGecoe6+lHI/is4QmeXi4I2OwOzKy1CRaetejt1N3UVW0BGdP0O+m
jfV6MtzMSlgSsHZUzI7nPcV1y8ltB3d+0r6naK47x+e7l9TYvFKOL74o7en1PtIrAyNBFoDDoYgy
ev0wrK/VTtYu6mxv/TwpfTR9owgHmthFBmMe8woC7Nq24nb5IVGXJC+GaaEb5oAScPSd/529IDsB
cRJ1tH4cqVK2WCatGMYcoP0n6bgE6hqSfKnlVhzjXRB5RH+E06LTEu9ZVNcNb4JfeIQGePncIXvI
k6Sd8VdjfJ44oWZycuPWr9xSuVv/GGQyG3OGI067wx3CAOf1OmyLIKn9Pe/mWiWnSh1kfSxymJBE
VvvqcfQ1wWnz2o5MnE3RSw5rYOd8DypnIi4gBrEO6x1+KWU8+eceyvlxTNHinWO664Wi+elfXvGu
I66M1yV7wmgiq4CWu+RpxOo8Aya03kB3SUo6LaFARK507afXPojkz8ybjnff8XcEJcax//lY/DPL
BKvXlWFo0yKt9uo1mxze+M3vqH9JUFPGV4ivD6dNDfMFth1RngFZTXzJw34eU47oPEN2z6l3oIY7
M0+PTRH34Rw/rKyPVJd175M+d/yGM3bteKKnHn9HOK09Wedia62bFm2FZLsQNl5+BPNg1Um0tQ6J
k0eKkYttPX6l2xr8HfYgBr4ZIv/NTPu85WKmNyqSIeRjxuRW4fIeq44amgXyj+nwqcCMiA4fcFBL
DvC5/sz81modCoIUhvutz3rOsa1heKqwaHKYu8xnyKnfqadq29PjlLp2rMu+lQEuhZYQ4KLjOPjX
j13m5iZ01YPSQwA02Kj5w/eiPrgM7rE8pOmkmnJX4DR5I2Z3eMi6LhbXODGzd/b3LfDPrWMgfkQn
Bz4yHHnMGWZhQz4eBQtSbl+7dekYL2ivhrP9OYva3in9JgZgAkpKmmI6ItU8RbvTNvdb0BIpMXse
one9qdHPuz1twmKf1uVPIBZvLKPRlVhc+WrZitGTTXoyU+j/xg8y4dkc3WSKhm7HPx1E6unCaH/7
SE1iHuWuDFXAH9WKn/Skfzqrk9G9kru3lmboIxoA0fZUN2+Mv2/RJwRpERncVOao7TYqV0zFiA+/
OjnDGl0z0Jy9lKhyvHzAjvuarAwgpyzrZXMZdinT/HMjkrO0dtLHaXHIvJgEXZXKjeVoKBMEP4gH
dwq2s4PPrLXuXyfZ9UDGm4qTS7vgkM5i5gpXafbU4rXcYddzFiirFKBmmFaFJ2sXcFkatZ2zSYMM
T8xlouxr0hi7KXK6Ep2EBNPTIryfwynR15oYWKzLO8snxhJzWpUHgKYAGZZ6KbzJJlO5Dr792fKW
qcL0fUfTO2KP7Y2ZIM/D+O2ds8bSQSjtBIAw3MTubu6ogLRZ4XivTAeUYwFLH0M33HSRMbVdNVEy
c9kp62JU2kn1ZRGryyVEK8whAm02Kg7V/ElFyhlY7+47oE63l57aAxqmARkircyksNpBALgUPumU
E0jRkv7nNVnMnr4ys3vxR+J883YXrinRr7vDlUZEqgJ/Q74nHhddwR6K5JKwfia+r4GuftGR7aIQ
rW2wvh+n0Z+vijy7BmDXlc5d6w3Tdj4M/8oheCCh0mCdWJunTGSfKwopsNC+7kkZMKrpM5Gq8Vs3
ed3dVvdkZEakdER9saLafK+N7cYXpze15+bb4TY+SagZhmq2Qxs0WbvvMElrdd8eoCoF+EoQ5W6v
zFHqrrJjmQARf98bS4ekVLu91rGsvkfiiP5MVXsM34nbWu3zTAmJvvoU7f12VCx2P3OVVpSHO0eU
tiob/Xs3qvzq56b0wQMbpvGLN27SFEPW16rg+zKsPQXJ1JW1Deof2vVSXoZwSL9OW4oSq3KNpDlx
bTW87WO3caxJOYOx+vNep1vRL0p2lzGdPx1FiRgL1dMW2lndan9RHiajBJoOb/jFejyL0cREprRt
65SkysU8aa2a175XTUif51XmL6auSwpADlnAmA+fS1y1DgYCLiqBRdyZdAEnK6h7G8r91ZCIdLe0
TuJzYA/CKR261e3OLIf3DXR8eZgSBrhLRxchTrU2bfSAdY/+Xfep3lELD+HyGPQuIvNA7BIEm2mR
0TtTaVLM/J/kTXbGTNcltrYv1zmx5s7AVnFMO17f0Ll564Oc9T6+z3vcNyAPKhblJwIflsk8htfe
rq68EhspHCePUrtUF4RBnXea2ir1WPJNpLgbu4PHtRrH/UGvG7dY+nZkSYapjOCD2HP9vKaQx7WN
LusLUm1c3irj5B7Abp5PdKYR2drDiiI/9DRqCIdMVr/oFhOPr5oZqT81KedoGdRdNZ2j1qurC9K7
4FuY0KVw29LGKZsF6zjB2ig95DpWlTkdaC6Wi7eZvr0t2RwO99YjkpUEgoTI2LhbZPOxHRyJt7ai
vanA+HbcBXLKxBL9C3Cx3O/dw4tvSx0uMb5Sn0vUAEDfpTOP+99mqZPqD0idTV4orwFDyD58Cmi0
pEkS3nR3hEolcFdNTxc7gNTQ2gvnOoehAujSQhGbUQFtwQqgqdkt4JhmcfrKSaXd4sgGtf+njTrk
vRMJuZ3FmAxPc+NNyEicI6BL0/OxfhmF9vuimcbheO3oQ96dlgav2OO4/4ocAyqn6By1O3dZk5n0
Y+z949JPB73EwS5Tf8OQGThzTF05lvVM0sYllpuKnrLNa1jlG7v5t9cEZEQRktR3+eiFbnxN1355
SnDDjPN9XrwToU/HQ0VIjY/NMy3fKVDyuLfK1XFeVxkqnnDQ7V9fdG7yYNS0umBRAGE0qbGNCw6c
WdwFgdH6NVK+hedQ0hXnpu1odutOhkDSNpUgnEsqGEX8kbZgkMfNn9L2q4A3Q1DqxKiUiBhYXic8
RF4N3XVzg9MHXhiojXE+joqJSFSu/87NTJ+ZMOxDt2zxT5PxsHIVCnNJmqMilyWW848jyhaSkiLM
789iioOatyCZfPTAzQJAuun4xQPHlOAFcbLn1TSlNgcE2FXubbHztQNyd/JaWUwe2qGiFmyg/jbP
xj2RgNJNqLkaAiyKhBrNVzT5+ynhtP667ePwSwPfPbdmoQ/DJ0QV4XFEt6YHezqNO5Ne4XUL19SE
vZ5KGRr3v0F6wZKH4+R974WjfhGe6Kz5aKx8DWmwwnJl6Lan2df6ZWN5o8rZBD4+1p5UtmVMh+h0
iH2yhfpsMOEv4u5dxAdDuYwFVE/si+q96+cIAcInUL8weJ8sWoSGXnZqt1JY02yl6fo443sI9VsG
Bw1GtTR7XMwAKUMxizH7vguUSLee5v/xQMP7VjcGDq/yJnJ+q83sT72jgaC9XZhfdZXQ7oumH2zu
gZzdzUPbxefNG9pbNW87lBqcEAsMQJk8RwZ53lEchq5QQBENTSvj5x0M4J3iEPxBVQIzRKS4gmPD
2v2r01LdmZjW8T3gRpJMJKnpuaOlswO5N/6veJ3Tx7mfRhgMb5q6wkkXwyEW+Pp9ydzqxQvZCEiX
I/u6p1XnQu2Y3cm9RgP092sPYmcbT7+gGI7wQuuo10B4dfSx+ptoLlNixUWQO9fkGh7qi92wqsyd
bm/uApstsDMqbI0uYjrAm81CbFoP2Jm/dQIHkgN+ym/E0QwAYYCGrywnDNuJpZc5I6Npd9lE9MQc
FFFPE80MYSqetNiDu4QtvTafbGP+CHdYQoyEVoBaL9qm7UoPaUJAeqjsAjG+hDQbQ9uex7lyn6dq
Ilt2s+BcRaosz3cNXVJ19aiAKJYGua3dfGIIdtPbb52p2v+2MZuGoh6WBBapXeKvgzOo4MssA/UO
238MebYxAxfD3Kfqwq/2H2sRNkc+b012aQM6BjiIajnPsmle9XSQlDZ1Cy9V2OyMwHJq+s+PfFfX
cWp7qI296t7ENB+STGXCdk/Rykpb4QZ7+udoA7TUq6y2VwQC3bPkMp/WOtp4I+ZPVoOhePmunEV9
ARio/+5GzIyOdG2/yAI6HmTnA+Gke3wnvU/tq1my6C0QInJzZ+jj/wZ7+NnJtGs8vNkAqo13cB9v
68Jrpd3Q/2C2+ITMTYKiydSDup9WgU/Hkfoz/ZDr30S/V8lpDqId3VPciV9Zb5eXbgRXyBem5f0M
PmmrAl9M+8sJyVQ8E6c1fkclQdeT1lETl7SVToQ8YJ3vNn9nC5rsITMBQzbTdOvkvo3nlpb3LRHB
Mf0QAiUIOuxIYbESOIjlCpk409nBa3S6X+cMpjkO9s+3rJ3McY03X4RX+ApfQJdjf3tbR0O6sI1t
EFzE4hz+te0z+dHyqYUgtToKfoPFLt63PtkC/YPeskZdsbFrBf8diLPvtMorOLi9HwDwQ3xZ7Ny4
p14RaJUzNsQkWeHWhKZCJqir1tVjMQTJ4BI9u+gCaAebapzuooNOtvRhhH/EA9R4WXFGuaeh70Ik
E9D7SC+ZPporc1m1Fandqux8HAuLbWEHPHXJWq+fkG7vEyBFsql/aQYBBfLWLu8JQ1nK2x5zIw0y
ua7gg1j+9GkqJWLKAzl0tm6OR36icPU5kCsgeC7bafg21JA0f1L+nNyPjes0hR6DjMKJgmCFjqhl
UB66GR0MpaE+klJjt8UqxV6F2f1Yze23fgU/5zypkudoj8P/1ml3q9OSeqOX13uT/EwHbwaLcFcX
Nhgm/hxHrbNdW4F8GN0jAyliJhffgn0OTQdluiggg1R0znyKNsshax3gyTPBDPF84rUDFYCrDpcc
LdCAVaRx+FAHDHufA9U1zdMcKbDRGPQEJUSIuuaOvjVcIU4VriymCVEQVZRcWfQ4Ww5FoP2dznVK
ozfXyw4DabwzSkbz1MHby2TaGPYyAZQWuF1/RgbTh/keIjmC9UwGqLo19b51vvfJc/Rsfd3svlVJ
rlITe5zbWbQUvcgYflY6+jR3EiDSLYPjLYDj0998xxbRyLguMJJ2mcmcYPNi/+Z3moqfym1xTkin
xvZON27Li3kIaDGDjCI+mZipteBATdYzdN8elLhyNNygvZWq7KQf2Kd6mz0YXg0/d5wcf26P0zri
SfpsdR3X52WGgXqOAvR4gvPUJOvzBpq2leS9HuJOjUZ2Tzp2hXsxYe9vt0xvwPVybl3nGUmVFdcm
7rOEcdMOD6T81gtNuJOZ9hsAXkdcrDtq9RroHQ8rGJ9wbL56VdRlt1QlkC5r70QRdxiY+YOscG+6
DJ4Eo88Od/saMJ59plzq/dMvQcx9afds2y9ZpRLwu9bp+fXOaP+iFQMOc4M2MedMTI1zAa0M1Lnr
DuLQqh2yVYX79tsEzrqePacaVDmodLeFc+hKFFuoEOjtXBcEC9PdsxRmrfGcdDPq07BV9h7h3SIL
NHrgRQLjFYB1ICiQS7kNWbGSEoHTUBdiOdVLv8GTZTlAZNNFj+NrLQVIPYV2O05eF6EznprsU1jk
bjEJblO6/GDKqV8SW38GfiQNzskzOoYJ5IPdzNPSDeZBw/MfZ+lMdc0OE43F99Yky5aHzZhWZx4y
Qrihh/3NJZLmpRy3UWWoKvwjA/oYqonMQdF0eYjxaXtqiONOucjAIirTk7Lfe6SK2LFpfzbvB79S
vcwVyrzTGslAvJoV9vx7nTpdiAitwtoj8lRPz41Jo3nSKIQfJkc2y4fnY6NaKmR5fG2G4lsQQ86+
f+3NuA+M9dRwK6p9bJs3KWFoyE11th4YGHIXUEsc1cM+qBC6CNN8kcNjxMMNraQN74Y5co4TgHVj
z+OasUtixsx6ZzrUND4B4gwmFzzy6rY3tX5yILHUlZBpt31bM8CsdzcdhX83UHrE33VI0uXe29kI
whbOjex137r4i6eSRVyIi5NHMYjdY0E/RojyUNme9SNUlWxPrscBOiec9GDehlRovpFrH8xffARq
2eOSOen6IxyDlrcrrDf/7qDPiUvYPo37Jz9WlseytdCRCEZWNiR7j6rVVUn6hdSuJLusFn7x2vdL
1oGVxnRzxTLz/Vxgguc1x5Q39M54hpGnPuHGmfGWLQmCjGgOxR2xNbyVGyIre5mUGw//vMklKfeo
AoRuy5hlEk5sVtb5loadjE7t6lTtBZWG7UonMt74xKncP4/SowwqLxm3556fl10HbfvqfVgda15d
nF+4dMpV9dBtFe2tlab+4zmsPH35dHoDogejdu5hD3HZ6cF7txJ7ZK/9u9nYx1JoVgSz1FaFsKfg
8NWN5CIqWDcfFkaKg9v2p8NuvXd2OZuXrw6UzvJJ28D30W+maBIBqStxW2u//gMSsZGWiegm2MtB
7xUennB4/W2FCYBNziSWhs6QOds5ciOMX3a/Teu72FGLf4kO7/ia4J17XJ299QV2bvDf+azD6k8X
kw59Wlno6mFJKNsqB4sB2EXywrDBfEz6KMD8uJYw42i/HbPElI+MYo04TfufUpI5Wa6OWh19z2eO
kCE9ZNj9HnrmMULQsSg/bZnx4zI0pDl/nTx/jFnktUN7H6vE3BOYwgi4Lw5bn0t4YJVtbOsBXsvQ
ac7O3iEYCSIVhoU/Ryh+qZKUVXfcGQt0RS89EauaXhTaY5tLmh6duyZdnFIOAz4la0XqGJS/k0Bj
INAKcyoQEsh2mOL2R6cW9+cQTmYCc9Do8NBdZDrXW5L8gCEOk0uUKu+N+SiiuZ7akKOvnafmEdJE
bhc7QPXc2iH4/JYX1/Ltt9LG0FaxpUzrMJ6KqdM6uncO110Y3Nggu3Nqx+clOCLAbT/q2iMnGYr5
Sq9+sKNbGbz0NqCA36/OoVooWVnTkDlhFHx2EDOz6KdDRlYOFbIJxsA+HW/+euCRTTDQ/J9U/vFf
HbdtfJJwKy+HikFrsnVwpxOtzPHOyRE/hRNz6EuQQYZepmq23zZHsDuXqWF+BdAfn7J0agiQNfP+
1rCZuV2aadDHuWe4P1ATTsG/gbcpyoF56GwaL9hDKFOyldmSJjemrLJ0+S9y5j281vHq8eOjpOpA
hzB7ZJyKnF+QKEuD6m6MX+cdpq3A4FcTNT0sKMp07ZoHS6ndbyEdinf19iwjd2bZd8I/7CI+3Cbz
fzCdjY8G20+dr1vmdoVBbexdNbQbRmVhOyIcj6Uu3D3q6hLelbicMWmnB+XttS1SrCGJq4Y4+JYg
BFTXZEcj9FsDd69IAwnYKNGPy+YOmCKc8CeQxs1Xq1JUZTXv/AnNGKFvTBC8cB2hOKALc2z/JaY/
JpZf5tE5L7VBVWHF7B3EYx/uF8PX05WkSm60sJ/er3kWBTSvem78CzYNGdKAIZX+aQjA1soVyS51
Jgz2hhAthdlnE3bLcBlUs4iSz5WVuIRUeSCdVLi3I0gd6mYS9IZNSOLTXfczjlePdV9RCyhaKAys
IFF1bbF4ND5NBx/YPIynxfWRI9oYApcR61M/GPv4FBebQrcEq7B5O3ZbxMGRV7Mz8NAbufY6y9Y8
CpTiA1AcHUTu9y1LphpoeTvRGrdXB0/d8QEKPfuawf/3pyRcHXTys4yjYnX6I7i1yFHtHcwBX4Nz
IKs+SdJ7a/jHaUDH2gILFXFTT5ImPrHf0pj5qADl9OrLFvdw+N2c6eakYxl6hXsYF5ZPrtOrbl0a
jSjBgW+LoxFJ7W6q+OqvKdes8QsOli79F6nWeUOSkzybSqM1GPHODu64GPAv2/p9X4zxZlCbTymr
1IwB+58Fr//hu9WjO+bJsPtz3sVtHT1DVgRClY10cJcvMa73/FsPR8drB7nsocJHa3zS7hwd30QK
fJuDQDVkdy9BIIouHNf+PMdH9OjxdLJCRbqZvnxqaX4BiUti0o6pmYtgUPVr1Wo6esmbdQdRwrsf
RMyUZyJ55jeBx1yYRztk4mVZage0c3ar75z3R3qmBT2qUlYj0Jye+cKLBH9c92FIgv0aHHON1nZf
BlrtZgFe5pd3zvckOTSTZ9ewy2K2IKx+LjBB10/frwihBq/wfolcOaPx1519c5yQzGqTAnn8HJZA
M6+ME/v9uI04HoZJnMRAGd3+Iqt9QOMVayzDkpG9kjNhLNreSY64r/Aw6R8doW689em8/pzQUIhy
ikK+Lh998XZtdCJZKUzm3bwoXPbsF1/ss/hIwk1sZ+4tVtQ0gs67mackPrU153Ax9Utk7zZVVzpB
2xEGXza2OQxiLB2w39WQ85yDIhzmnHRVFp9N06lPWKbLfiajl/4eVt+OqICH4Ksj9fw9nByXHSWI
qfY0xNW6F2tzpC/z2LXUW04afe7j1nPYs6xHQZcc4HUJa9QF1SOCzGYuF5MafBHaNZreYFPivkwU
jWiRbDFuSu44gmgT+ej+XEMjnttZBET9BjtQY98zrj362THqcqwbixpmcyZdZsOS+uXnpscEgmH1
u78N/lSgD6m+blsFa6pF09SUBA6yE5OxvJfJklLUwhoUmr6KBQzg5P6DEJzlL/1zZx9Up8Fsks2s
6cnRvhK3hqfwb4nGrvsZuqyDgElx8pRm3UArAq0podnoHLaco1osp1jMdfeLB0hIbMOEupaWlVGs
UajGsoyDsPs1Uh6f3M21P9HgdlGRHhH6pckz0Vwcsxv/Wm0wReeFk7NhMIwn55vXfa6JQT1TpQdV
ZfvvgB2Gp25Ea/Zb69Y6txlVtFui12um+9ZwzLwdNVRm0cQtqAIsL3jwiSUa2d9Ak6v5L21Q6J6X
NLb+XWftMD45ntaca/bYghzDfviRSOvAQ+ngVV1wv+zRXJUIBFnxJCLNhK/RaEPn1rYcAteDuoBf
Wr01aPFG34iLPuatO4twnvprNNcyuTOUaOcGRgwB6qkJHp4E2sUrqY7CPdd+BD9eM4yBeaT18trM
GdO6G4XT+ybGeM/HOIXx9dBMvcXZ0hD+QPuNfYjPGijSCgEdush04nA/4vFx3B205DHckzkjwfa4
6mpHFo9xmkVgdwQcGpDhZrhM2lHhF17HpD7ZhTm+qD2A8By7Wye8cA4eayG9mpDHzPVQ8S2owri9
3bgWNfHcP9k1nt56vej1JZv7IDypza1+xzOKk6aP+qrchkr8rW1YBXm9BE3zYJPdAZBhJUt88fHL
+Q2ykf02KmEE7qwbpa890z4xEwOKtu7SQZchMYYpXN8q9p+QYgg5035GkeVbPJLKPc/NsovbFiH/
5ZxyxVa6Opj2MwFjafXFdSufyrWl/viMo51oylX/T9p5NEeuJEH6F8EMSIgErqWLZCmKZpMXWEto
rfHr90PvhQS5LHuzl7E388aYlYkUER7uHnRUpIhgycp+NRRyBTZpPDx3dEDUtppWQni33dzR7lpr
pPrTp+OgH1wDAsxGk2Ik0NAwzpb5OkVkUTQwfGIIbqBgaZ/7WzMYzBxCQ6bl4AGYMTdLIsGBkRRI
xmniGMpB04BlPU6vZtKFh0J0/phQckw3CYDAuCwqV3A3OEn0O2C/waekdipJf7S6oZdOGim8c5P1
Y6iGnf5DRjomvp6jd6jXTLCVFWitP4I/E4t1XVv+zKmD/XEGI7UiHnEoako/pLT9yRU7BsbIh/Ix
CnHDIQhXhJLd1moUcUXFXv5cInqjeNSq2cuY9+1jqQ6Nfu/0HgaUWd6k30WZNMayTepOXZhpqlnf
8UHLYY4GsHkXwu8TNuDYFUCJIcGUWHa9Odgb3UY4jlZHjtmmH6r+Vhi4yC+gqY3+qQOp0kiZAxCa
Bj+e7JeRjwDHtZ3VNDpDvaEn66qzx2+D79jnBLFSSbwsQnlQgSuTG9dwa++OvsShvYbFFUQHQy1T
79LTu0ovCZ+cIIHJQHg1QKDMevsyQHFunyiMay+VSoVojeZdidd+DdeFa9qXPLTgC93CS5sRfFwz
/UecRqJ212qwrCnz9H1y0l0x6W3Q3HUkgPjQrd1Y4dVwYz/8RWFdBd6DNNA4Z6tUc3wYbPxaluxE
3hfo1fZLXYXJYySp8aCkSRJgWfJXbVNFjsVucv2a5lRIUu8o/ZK9VpmRHOE/T0Lent69dF0dzJdS
qmNypv5J9NRjOeStpFYlr+BWOq8YtUi4P42ZoZzQAN5bK6SzsDkGFpqJdCI4q4HW2XfwESi1xY2k
L5ZFEhYvvSiIHN7lnNq/a/Jv/wL/et7eAkXKNoEFVYmoA6I9t1itFSuEn1pycLXY19YBES8kGDtu
IUXGqp50J4+IMdh3Mhybraqm5WtI9VpbWaM+tOT9Gg24ZOgXf3qzt159tci5JlItXIatHZ0zt7O/
a0hBXqUSlhARPQ1xoSbtylylTYY8tNSy6LXsGkW7pV0OOgmo7EG7Fp5T7aOuNu2FC1fOvNPrLmi+
h6XZuAuOsNQW0DfdciXpxJqtGkOB/Zs7Or5pYRrr1MKL3n4mrKYthYUowV8ghUCXBuMfPqTjDj1f
SDZuP2k26KHE0hNvtVFtFkv0z7VKkG6WwyqvEq17aSodeDBOst7b2UZuoBl1JuUdxSQC+qVCCclH
/zgkAn2cXV7MstUPoBV1A8Ya17/S3pbobUyQUOAmZDTjH+Kl/ltPsa3ZeHlOOLrxJPzZFLvluFsJ
y48xUCG/I/k2or5Z2oGLe19VZKlYuX6JzCI1/OQhcyw/hzqSWOWybsNCXWdaq2TwNdz0gm6TzeaI
Vr0hUHftlUr7ywd86AzldhSJVq7CvnGHY2X5CbFvmTvGygHk9wjBLO4qDgXkjrLU6mfcTytr2Ugq
fi7WDi0VOrt/doPG757HfgSMLoUVNFC7pm3aeZHxB7iG7xCiv3R3atMUxN4ca75SP+piSfHQ5Esa
LR6IBsyslSwMxV703QRwuOMUKhWejlK3cqhqQqgP1NshcNxkIZLAeKSBceEiBxIQcSzPq8DTPEVp
VsPYNI8UflM4OTEaBPD/wHVXUpTdbQ0FGViUlTyRnUcnq3aRFIFEZcnSzJquWdtjqLaLpppU0qai
UtINkHvS+yqzxC3YSPPaRlrbLfo2HA4JSR8tACLX7bdpO1E2qUKrl15lUY5tTcViT1mtzfHfqdJf
kOdz0nRaxR5ZwLAHpYPbShkk0MuN5kQZdYbW0BAYQWtEI5GN5blSmjxeeXFGxq84/Ii1aZT2D11v
kBsAhcJCTwzREIp7eD9hPD2i+eY4JAXshIna2Sl0E1mqdqoi34UkuATWdJ4t2lf/TNUw47+Daj/X
sarSa46QeZlRdfrmuYTMS6MbM6QDjRtdKkRs2sKGtQjKCzi3gE4OvsKjBOc3B2b+xe2LpTtMeiSD
fJJe3/SB22sLU48Hzrvn4DRGtNTIQzCq9dkLlOHsCy1VV5Sok2JrJU7/l55PSrUIzZr6IUbozRN1
jPwJCRLPlK3HkbnTKlj4tyWVy19J5KJaGCO9Nde+5Uf3OFa1pPyF3hzNnDL9RAfgGe6rInkw+jIW
a+xtYE56Yx/euFjroshL1WgfW7kpSf413U1TruAgdw7cwQrkL9cUNlwCTQnyVwM+ElYXqHyq8EcA
IxLCIjsiudEMpehWpWk6CEc8HAAvqkoefjaK1C5vuLvav5gBYNNOotX42yIx02f6uygm/K4wqx7D
3MiUTZDG9jEAn+RtDVQ+LBOBVNeqQCOLMdOhIuShQUGPNLU2bjU0kQVyp7g3unWSgmR+GxPTO3c9
hT1a0BXqfaTacXkbOjRyW9d6rgfHTlZmeeum+kTMbhzNX8c90TtCpGj8hYyY+hF5DoENaSCFZwrF
3otdETvx/3DNv7oE1+Xr+plcaAxDabeGdLgrx852lmks3BOeMEGzbnununRKr+l7k2qx9t0tXf3R
qMPqx2hoXQFPqckx/49zUlYIC04tIVAkEQ3MmsjBOlpK1xr2pRqr4y1qmMy+oK8eHvQ0ghDRhwWy
+ykwq2+qXOLjyIWPzA+1B9W0Pg5tZRXmZQGBMuh0dy3UhMcCIpW7o1TQPtUi1Z+BXsJwARMKx34Y
xbZNd0WvfB1phQzJu1UHdYHoI/hRjk794hDJcQB7AzlKD/n0tyBCooxYgeMsoUf37XOnRA2lvIZb
cUPlRzdoQd6TF6MpqukYosZI5ByP64gkPlo5Q9YbNIVNoEy3ABEZb8JIibChnSeqiTT3rY2hEudf
nK5znLNENQTLT3bevQJq2J56q3MwZ9BJbVJQdwXCLYJOt172SgqpJkGkWi/VIiv1naH7MNEicgq5
GijsOcvC8KrHNDJb9HMNMiEqv9Jdt4auGvuiynJKNr4sX/JSqaptm8RoWf2miVdaGVgWt7ebFrDz
sYAm3FJfcmyGqUeneQbgGurJTgPvnWRsZbIGmTArzk8/Jss2FORxjSH8XUcLFe8GPbwLvz2IlO47
0U6iAwR0aXCMINDUf0jjUmdcxG6CSxEYaSx51/3hmKMi+NaJGvJsWhNLLHQhuuJhwP0IPt8Ip5Sf
a5vxN2LSJtgXedT+jnwESgsISwX3Qy71FzNVhmOkDmzCLMjyaNMWTf7Uh33yIIN4BJLoiuG14bH+
3UJTsSahVHNO/UDJV7RTGQTsfhVWr7R788F0BziEZmnrz7GfT1fBIN1kiegujfkehHrwAOFWLoKi
xrelNqCFrRx+p1wM3EXfTLwmYFyVgfetdv0oeNDhc1H/516NHwrR+09RYvcDXMW6OYMOlzlbcURM
03iq3e4oCAHEm16dmBtVQ667yAEg/8iBOHNV6WN4rAcXhS6KswrGC9K4xxjPJheOrsBRBXf4AZEN
LTFf6zG3EVx2CnRVnsYfKse7XEEiTV8l+DvWO2gR2xViDnwM0k6VS0rU3TOOSoOBFjEMT0nqOvhO
26qibmtCzAPcCP8ZNhKMejMfQ+zZsO54RuLVlhvc97xi68J68iCKV1HxY+QdJwZTI/2BPNP2l4me
wu1Xg6q8wD3pgxt4Sx7/s9X16d7C8yW7G+Ok2RVjWbJLKCkF7F3DgghNYeB5qOAPLWVVt8dozIzX
UkA6XUgaFuBPV3ZA3YqDoAdCkQVrCmi4ejRI0n+h9EjqbeKW2l98O+iL2uPQi2UsNXqMzltv+hqN
CGDY4180NlT41NFELJLnFHiLXGT6Ukb54G/If1LlKMsx+wZARunHc7v0mUs3PfbEBOoSnNYmWqqC
plxIww9+cQM02gJRWO/cDbhWUDAWoXMDXqybO6iwSXRv4ArQMs0MNLBsapsw0Ym6gzRgZ3Hl5R1R
RkFItQiimAunjc3Kemo1Yfg/kK14/ja12vAO+pTugC9i7cOmhZuRA1j2O8CVothVfoOtghlColxa
InQpvRiqFMsxlx3aADN1fk8Mq0NLFUHdjpXdmQTsxVDeTljyjwDDigiKgtSfIlM4YOd959unTOuq
4p5qFRqzxJ6sDZQg0spjrKd1tG5kan6vQ28IFwidw5NL5YlYHuLT91wbELW0Ih0pmivBkNJYYSBF
dtqopQKQeXEKcjRxN0Dh2QgcBZq9xGpbEu/LYtCOaTV6JxXpzV2jWeiwF1xwZfSQINtzjpbsUo0o
rQ5Rfi9VQ1U09YgJC2nEJgsL07Wh9jZm9XNMcA8vV6C30GUXiW3Irt9g0d8qzQU6vlZoZ3to0Fdt
NV8ECZoe9ICJd+8MOCwUt7YOM5hMkXxL99YWinpTIlBBHR7s8R63FbpFmFqsEKeWfvHDyq1RJQOE
9bSKgjZHmJ5a0t0ELk6y6SorhcgCqMdE39GyaNX0b155BcxMqtZdd1Ay+uk9wFEf7bXIuo7ISw2w
UdCzWrqLRteGPzreLdnN6BJwUGIw8vSxC9wkv/G5Cc1VE9vpq4OnknquqOdPam0uefu30iaddxZy
cKjc2CJycHTrg7jZR0oixy1tIesUG2urBXjpPPokj4NVJvsh73x9V4N5egenE6p1Ezs+d6aoRj9Z
dWoo+4eaM03viFRaFtoMHBG+FY0Ix9vKjkz3gMIIvZUgQUXFRU0UMoTG6a/FAkIesqxFyukyiVuR
kKxBPkrlHvAE6U4fUcC9UbCko/kYHjCcnhGPAnyMYsg5Xu0M/FlK6e2CzLubgL4Cr/kuSaHE0ary
3Ax2BLO+6bURKbFDmQDeRfhktqX1QyCi4b3IO+dey8eUHhQCyHOgwIhYKE5CIhvenZRE3HHNRSTd
4Wy4ptGeKFDxhnEijadKt7G39zjjx1ZpWwwP+NzOjWKWzq/eL7yfEQswrn2I4SpAA8jOuimt6lfi
d4SPnREAhEo6h+FI1PE3A3fsUM4ZYnzJR09xdyLKlXJHEa//1qay26SWJaptXbl9e0z7EusVG1bB
Q+sA9EGeQAm8690c1SnuPx17RUa4BbbswOOY8cLe+hICEORJbgcMg0J3Tbm73I3JWBfrrC6y+2H4
997pWv9U6JTiVqXwqWUioEmtpc+4cul3jtaDlJsRWpOiMfqdm0X+M6YjAVlDkzh3yFlxPKGTU0Zv
U42O3/At4KoGJmT0BQBuk+243nPuLKPF/Wf0/Qtgl1YuSNuB6yqVDGwCrjR9XaHEfKCQT4FaL2Ll
NPg+wG3pJUjX3dZp/nadVZOecoDydQirglQdvDgDJESXdvSQiLoYP2T0j+rBUG7tsYY63dMZhuYE
ePiI20bPbcjWXgWDQqVAW3Cgkj5c+3peMTXPrcc7IQFDEaeXbrvsKrBp3EW0kYSkMoR2jku9D7Z2
ZfuTTKso1DvRoi6ggKCA2+Vl3/YrNSHjWpL/qjAohhBGlswqBCVei9ECdblw4VVCz1Yi8ro/EOjJ
/Vxop85C82VjbLNKeghJeK+3GR6C4xp3MPPeL/BMWOHc0V7UzqbQ3bguiRMsPfZZDOvtqXYLg5Kx
U1UraYA4Q6BTywsGMAF4FsKF8k5iNPZtyLrePWZ0dHi2aQy7ioRo2pdBp/ANmj44IXEvVXvON9Va
5LJ4/8FyLFtnQXFHTZc4AmLwooVAkWuYJzBddSwGoF2QmmkoNkvzOZ/SnpVrysLjF1t5sneM0X0q
VYnqmfKt+SBzdVghLW9PRVvGmxG6qweb3qp/I+KHwYM+BBQeozqSjRHwV12Txasn7GacSa9MtXQB
AhmhWEfCra0VVE5Yd8BGhkkIcwJxaT5SbhdJGT9HSRe7t3YcKz1M71hdJaGFXYCj2fyzk5u4nHVm
Nx4KkvZfGWIDpOpKF977Y2kKpHSIYxbwkBudaiUM402Ii77OPnOq20zVXJGDMpXpfW544CipmlZ/
U63Nf2ZAw/yCMrVJ0kEMhp+tmZRybTtFf0qAtrpFkLq688dSFQpJOhX6radFTrKEcVQ/YCJh5SjH
7YSsqM5T2kVbhX7TGyWVlCo1fW+fWZU9rhwKUfnabgS21jbc+1ttMhpaD5nfnrhY22hNuQkumsZ1
oGz1JJP6MU+aobtFD4BsosOBRNsXAQoxh6QaNqBaVT8tKR3afqWqY53Brx0DdSzCDtk7GEq1Ck1r
I7SGvhLurKRBChYY0v+BbiCEF1w5XX3yvd6qDnrTT+y0VgsOBhoK/xQ1SWIc1NbtKZsgaAmiDWwG
m43bRQgDNTTAvwIw4B80N8vPsIfgfBNQtBKbIAfFI/8ssoNE4KDsyVpagTq4zuJ1QS0qwxECIQ2g
RABTbeESSylLBwvzaFPGJE6crIDa4DIodYXeULFruzfccvhGmroyUYkw18ONph275gwtH39bNn5u
Y2nijfD+6qUZGI1+8ipqBv4CPXHQ8aj5KDTKpcZlndyDAY0oNHE2NzddTZ+lnWNGyBMpuTX6ZsQJ
0rgdOkpvExIs2Lw8vytS09FfBrFW/+6aQj8nBj6w8dJpQHkOA5b7WFGllkr7NWyD6uIWqk1ifNcw
lKAUbCpKdwGi8stvcCZ9BNUSLoGxCiG9wIkRFAnBBvFVSb8FsrV+xVw0cEB0ahRybA2qPp2FJyPE
NhmvuhIyOpxwyq+bJI9qdx93Viu3ePWU1dbpCFh4EGFy0DMrLKMcxrPlYCnZl2Fzk6UJmmS/LfVD
33uq54BS+5r+c0yN8k6koPvfJbQu7VxDQMTmaxxq+z7M68K9c5BKgl7kioKd78gw2wLZrfJdM6o2
ox0Kf+0hluD9O6coKemjgRGQ8BCJR0ayEq5XXGqlTsW+AVuwsWAS4iEUgeesRlUQXBdRB79HmQSR
KcUI9YaY1wv3vceJ3fl8lfu61MgynbLGaiCRtv9KgtlXW9wsm3MrZFGtg85qWsjKteLtURZ76jJv
swFNF1IETbm1Ae8x7XId3724US5+hbniFfvcLmiQbekOWQgCX+uVK6XGX6imZIebk2e3EWCD1G1K
aBXEmOJ7NvIA5qjoEj+68f1QrV9tlXgbbAAd/DoLhkI/mrjT+bsshI+AMRruUQsTII/+KnHoRc8Y
tXTexNQ11fusqPLsRAsVLKpL3aiqc+UUkN5GPpm6Ry3kEbMLxdSLR6PJLQrVTQXo0XY4vq2SyjeS
M7B539/oFuQfpdUt9ADSyFzEbE1rECnSxvGAu+z427BbM4CcW4c/r7iLfnSyFVgYwiUxVVqBm2Lm
lx61iWbDf6oPsIeb4EHEyTqBiceAUJzUxah4j94Yb5pM29u7ernkS12znp0MTOdmnrYucLrH8Bv9
4Mw0VGGMNpZec+jiYli3JXbmJawoSrRdviMlBwokkte3UV80G8WSLykqsr3a+uLkoRpwrxiufvD6
1gQtehG0UcWeTEwnh/k3Xt9mg7WNn2XNgVrEuh12YfLH8b7jmXVl5T841f8bh3430Ksw4rFnK0/7
rEYgF2oO9qWvH7Pl0O/lwVTW9VJqj0F6KFe6t03wRlhmdG44Jdds1j8dH1xvaiYu+AXz8WUgRabW
zQHt9HJsjiNGEsT/nrpFlO/wdpg5VPu/ZGIgset84uLW+0H/Kzplk2fRlV3w0TkWTEpVp0WnR86H
FiBljfKxxczrQMHj5BUbqkqHsLj/es0/HUTD/5tdJi1t/mkpW+p9DLP/oBnJBZLbrd7ch8bD/zAI
2RvIOMGKMGbetFHq6bVluO0Bf9dvjqX9Qc59sX39ikvxfC5sTl5ldHLSAWoz517JluJUqm3m2AsF
z6V2L+STXVwZYn4SGEJTYV1gsGsSRmmzHUKwZ9Y28cMpzC91dB+5f4Xzs2xO/2295qNM18Ob8xZg
oz3GpRaeqvKnCH7bzmm81qnhk7V6N5HZDZMrvev3gR6eZPDkmkfX+G1kV5yPr63V9BPezAIvr95w
WmbRuWfTO7JWang/VP9xb83XavoVb0bxWx2tjsooWNEtYw23Bfu7YV3+/z7I7AIMoJsb8AjDk46C
IVL+4EKHfu/KV5+/O/93JkQm+tRJUtVmM6HAnCu5aoWnycxqQeXlRq3Rc349k08/ik011+QityBL
vV8uMgFosTjQn/z8ZGNJGuJZqQW/y+5a63VtfplO0xEmx1GXZOK6PtvEsk011R+i+BTUd6THQXVn
N/gBQ0Mb85fBBPahUILN4mYUJ1d+j3CI1mm01wPt+1D4HNykvp765ED/9lGd/yD9/dT7ejQGxeUH
+aNYx7hoBaagVuitSiVHmdUtouevB/xsrd+uwOyMKW3mWhWowql1tuJHikFhYlMYu7rS805484nN
DtooC1C3wotPETaYCdRXBFvQS3ANc7a4sjko+KJ+I6HQfz2/fztyvqK2LnkjdA228HzHNnakqcgL
4pOTKif0dxCzzni0QSjH/015iO7lT1KN9i65se4SXH/AUa+59H+2xrZhU9SZAhTDmq1xqPtmM0AB
O+Urv1n7irlAiofJ97WpThf7h6mamiUgqps0I5mt8aDZLty1Oj4V9T2Y4QLTrZgoX3txF/JibPBl
ghEWL68s8LwFgRS0yuDxt1TCEUtYsyshgiNUglAMZ4EfhEoiVGEuYKzysL23ukctuwVZCsn4G7m1
xc++iM/Tt4BBMeAyle9Imzdmm1z5VR8O9uxHzS7DOgiGHuew4dyg3xv6xwA9vYNDVUP6q2Wbr5fg
w6U4DUY8qOPP4gi6D7w/tDkmkmbisgLSuwc6WJTln/8+gMXfn3px4ONjzF50MC84KmY+nDvKQLqO
07Py8vUIH/oTTV/x7RCzOShtb9rkdsM5B9ay7Dvf+M2cj0a07nB/pq66x0miLZwr3+n/MS7Zg5Qm
4YozOxuAhljope1wjtJjm7/gqrdSJvWXc1Js3HR+9g2uhcWVk/LhQDJZllHSG4hWEQR87z9YhSKi
oCg8nhU8iesEhj1nEurDwbjWvP2zkWhtppEhGcBn6uw+twvXLTuvUM+Gh4M3zkRuuMd+GqbN4esP
eG2g+To6aR8ZXqyeG0TqR+xiFfAuDFg5uPG+Hhx79T+MJwUA77/Q35690QPZKVlcr55FFS3i+sEh
fsJkvUj2X4/z4UEU9NM1LUMI8DUpxOxTmR7kFogTKjpqearNaFsXj15R4sxjgO+Lc5upD1+PKD7e
HQwpiW1wXiBEn19oCRLpyugG9Swz7DljQ/lZuZb9lIzUChJso25NQ89uKuo+N0Y1ar+Bi4qdAYy2
wnK0OiYhNZFRQ2a6cL0wue1ryNKYgJk3GFIsmjp/rRFOoPA1612Lv8GiBjtfKp1yTGwz3GMN6b+g
VPavnLTPFlKfGh9rNjtemLOdCBsjQ8cg1LPWPaQvYcQ9uBzbVV0e8ytb8ZMzTSaI1SDYANehNu8E
Bp6vZFXucLwwn45ybZNb1joYb3S7X+aYtPRIPboRe6BxWH/97T5+uukacTC45pKUBHbvD3ZWRYK+
D/14lpayQUSPiYSyaZMbHwJUpb9+Pdi/ROrdeysYzdBtev6Z/IeYzuSbsD7CXwaSpRzPXoULDiKV
W98yd0aYfNcSymcY5mKyVf/MkJwivlnV+vj9f/kFDlgVX1boJJXvf0EvTAjFGDicq0phe5XfgL72
br/qQnOP4vcVvSl0ZsuOFg2R3deDf7bWvPk0BjRpJUlw9X7sJvDGsKJwetbT6tG+qeTSSdOHZPxr
59v/r5HmXcB8CpcoAKx/XzVbGIiPKWneJGO8VzqkInb67evxPt6lE8xAVAw8ZfJAzL5rqsMccSJP
PTPDm8ZyN7jpIq7P7+32ykifHhULGI9dS8cisp33iwhu54+GmnAqT4WVwZ3/FVaPNHIKUQ0pLn2p
Y3VdZPLaCf10hm+Gne0bTNr0JCoZVpHVpmy3QV2iAcgPceg+uq6Alrv2verg5SVmuyvskhqluwmc
aJ0DcJbXmiNOcen8HHHfgmhJE5cra7aTepG1GUaX6jnt4mDrtP1fOrZ0uz5Caf31l/1sz5IDmKqj
0QvGnO+kRKQmhEDmbVDCiEacbndwz/LuyUQG+vVQ/7rfzmf1dqxZ0DaWfV4YcaSeO7NBOENzjiUV
vJ2hpE/UpY+d0JVlaPR3Y1FeqAvcJqPxkMS0K8YWaIlVb7iuEvikJj7lC+lge5RqOqoY9eTht+uP
9cULNIzglHJcZSBOmASAbbvab982twKG2LIQ7tpqO3itorp29X0Meal2YR9gO6oALXNmk5P0U4bB
V/IsCxNrWL0+NlHzrJpjuEziNF9CQfuJp+w+K4xXyiuHwPZv4jITSDH1HdTW8crr9unv0U3TAlwz
HX7V+3NE8AVi6jbqueY1XXSmCJfQE40ro3w8NjYvpEn/ENodg8HOEqwSebKi65442yWk8FzcJfI4
0jcKOqq6+3r7fDqUSdtaoRJiOepsKHiXY9CA8rF7yFqwbvOxaaSeCeP/64E+Hj7mRKDDbeeA5c/j
AhxM4tEaGGhsKswhRDFua5robL1M967Ecp8OZanU5xzcGSwxhShv3ktFG5K8IUw+l5TZ/qJMCZZe
0KW/rMD69fWkPp5zJjUFjTCKBO1yZ/ebjvut6XiMlFL3pTK8jNsbqrYJhj1ZfAVu1abI6f1BZzC6
/tq0UaZl/DybiGIjquiOIKjN5jiPQu6RT/Sw2RnysZavCbXKIPiG2Apfx12EnEz3rzQH/bj5qc5Z
xKpcaTbFj9leSX2ESkVHPwJ7gDFLGJBQ1Eus/2GjEOtLg+degyI2GwUnJY0KWCfOhH4qBXgD2pJI
l+L+60/32cZ/O8z0799sEqNE90srSHHOYi6KGyW4YB4J5eTrUT6J3Viz6ZlnRuz7efUqr8ZccXG+
Oof6nwEKlhI91vg2pskuiv/Ai1gYyXOdQiW9fD3wZ2fg7bizVRxyUFpdDuLsUZoyEuNWdjstrzdf
j6KJT/bk22Fmq6hbud6NiSbOaYaA2nb1VUbLo3VVghFP5DMaB9Ttnli5POIZHNzgc5ccIhkFdwNK
6Cu/ZhpsdkBsrl/D4H7m7pz3PjbqFHVx58nzAEGAjJT8CDOPhVdKfY3TabP+evJTuDAbzpFkcA53
NF92PpwL2G5FBl5jbfiqY14MorL0+ovI2bE1AgKvufWL6soZ/Dioo6LrNQ3bAgQiFH+/bWHst6hl
InkOCm2npIvxIdbP3aDdReG9bd041pXxPvnCCOMNh3CJ/sY2TRvfD6i7YQ91q3POQmvWBUYDVXAp
oj1+0ThflYuipbrdPBm6tpRIC7k8rqzyv1jp/TLDhbRRfk03H7HbtAXfHFQHpr4dGoN/SZofpnNC
Gbcwwq0G8ybqlw0sgh6zN5YcM3UluUCTGoeDRJyB70yBR1FjJfS/++2YxRVk4rOVkTaRu6PTr3Dq
x/z+h2UINGEMaO45gtkPY0OtiLFu4L+28G99GjgCH6Bp/G5tgqs9SKdVny0KX2MquplE87acPXHt
qNcQ/Dzv0jXiW17uc/qyNxtgKMy2D7Lp1w4+kKWC140zbrPkYAZnTdl5QXXlyH3yKFGaJtAlgaGl
Conq+0WA5I8WQ4u8C9KslW5+U0dy7/Ih+yWoSh/gCaqZt8TSY9XlL9K78vxOs5yvwtvBZ6uQpyYi
9gA5bJTam2LATRltt2O84i29zCEXaW525aN/tu6UPHWd90nF2Hh2GgJ6JqBa0b0LTjHomwLIM7jW
OTu8Ga6h+Z+c9Cm44NhBYDLkHM2nTdA4yEF6F+uAh50R7NP+KDtnEVvROiteFPvaQfsQzOjU1yE2
gDGQJqpzCAwWj7BwQAgv43D0drGxH7yDEf5tWdMofGwMyqM4YuebwfKOcQf2t9T6X+EKVxZlKZSt
o9xW2KG6OCgWubIsui0aIR8v4zgMrsTHHwKR97/0X0r05kroaOFID7EuvFTdi06/2+bP1zf7h4dk
9vdnVw4WT7KyXP6+0SL9t4slcr0i+NE2L/99HFtYQGUWz4c+j+jstqzTYRzCS909G2V1tHNObGIN
l8DrlCtr9tnXtQ22E3EVz5Y6y1zSwuxqJXKZk0zSrdpnMUaABWnUmGe7amjaPeqrK0GI9vFDUSEi
UnUoFTmmYc4Wsq547usq0g5JAnfUJ9W2Lma48r6P3cX0bqrkIsDN9Ec6f9DcUVlIxboy7U9+gdDU
6UdYkjh9fklXQVQLpy8E8o/mmBTlE40Ktv/1K/J3aU1NFOBwctTpJ7zZjQ2NG5pGK8UhtGj4iO2I
+iKTv5a8Vnf7bCpC5drnRtAhQ83uHh11tYKAXWC0DOc82lTmlW3/7y+8u0+h570dYfaiIUT2pBEx
ggLFb6LZT17ft6qL4jdbp+2xardl/rNJlX1uPtvFiiaR8kq88ekkudMnJq9U9TlvRRiKDJLAFAcT
X9tRpatwuPr6c33EwqZZginQK1a1NBgq77+XHsMvzMxQPyShu2n9O15sp01pP5eh7f7tBEeb3hR6
nlx5Kj/c59OwvJCUnwS95+clmor2aPaoJ4iCkmUYpDC4/6D5re194d8p4W2RPX89zw+PI6kaRCYL
qEvlijFnB97vxoi+krZzoPfaMoxQp8X5WuR0aMc1pcCQo7gywY+xgG45tmEY1Gd1ahr/cqE3ByEq
wtzWKPQfTKT8SknjHBefOA1f6KFZpTTKkOkNSpOFgmGeVlJBUrBWMILF1/OejsH7Tfz+V8zuHK7Q
xsMg3z1I8WegkVJ6KuSVE39tCP39DlKERFc1xO4BteYmjPdOd9PhoPY/zGOyxeL7gZvMy0NE/wOQ
TeseKq/CafNcF3eNc4Xl93FPSm06DOaUUmgQbd5PxKB/jRaPo3+0oxvzu3bK9bUa/q6cU5zSGrX8
z2f7/Wiz3GWgZccEl/pHj/ZGyyZBMq9UMLi/Xjft48afQuP/w9l57citM137igQoh1N1nvZogmec
TgRH5Zx19f8j43/3160WWtj7wGPAA7hEskgWq1atRUSuKDpDmufo/M5PwtwI6Osc01OSfQxQgHc3
qGMPxUDj86cEoRX64Xd0z5bjqVNQVDLyqRnwif62Xai3O3cwVz7qNqK4/qbZ0As5F+qo80InVK0H
9EOUzjp58UsLh/nK6Cffu3Z/k6ZKxq0aXBPEjtdLGkMvbapdFDpmUG8L43OOZJ5vu0+ev7VeCMgc
KNX635b2fN+usjBCyQDfDTqDZwZPgWu7oxXWKFW1sRPD9+nDMmcjv2HrEGGkzbmVfkhRukl/Kdoh
RIsEkjoINW0hPkJCJAuQlNvRN7q0zOYsCLsOPrzwc0yRx6fbhZ6dJ7QMwuKJPtz4m1JScdqY4mcL
/o/7Y7i9e8DOTDlQBcZ1Mmyz3RCSoZCLUo+dIs5+mcA3VFru7pu4PTmuTcz8ABE+S61R5XI8QDJZ
e+r17VCuJArXbEwecnEMK22gDfKADQ3GR/FcBTtZXoHn3aa1uJnBzht0QaFCqc4PDhHmQ82tkGoQ
ymJfGc9S+VHlQUSzOu2b21g70Vpid1V08NfwoLdx7LXl2Qy6Xd8oY1ajQGh+/KZkFI5iFF6PFQ0h
95dqIU64tjTz6IpCbJp7TebQ/25IW89E48YOKCmbh/oRMm1/5f5cHBnPStMkTJ320fW65UqShBZ9
c06ifhXq0m4hFZbzrwXtaQE8tvdHt7BdVeKDf4zNjgmxV5NJ9oLB0VtBN7HSfDeyA+D6tWhrmqXZ
eYQhWgdUiczVDWwLJtOxjBrWy+8QTJBOuv9AR7dRA4oLH2Fh6/VnNBAo4Getc3+IywtIbgS8FBEl
jQzXE4qERCNlQpE5cMOXPny770iOlhmNne+G+Fy6H/pw5RRcuntIhACJpp5LNGRNa3yx98QqMMFU
GLkzNN/V3wnShr6LBF+1q4QPY3bUu537U0YM23zsnobIgqR90/dfjXan697u/vAXrkE+QqdeL3O3
G+Js9CEqOKKRprmT5XQPaO0mGrwN2MdQPspebnvKsOJSiwZ11QD4QbxiaDOD3VB7PgnL3Km0LyD4
N2L3GLreNtSdKuvAYq6YW/BgoLvEmjxqwUXMW1MKYxTgi5FzJPJ8ANWIyJPygqgobNbAYwv3gob3
6pDcTfW4eaIXEm/K5EVSODQ1w48WbrpqJTxYskD8RT4JZyXbOv3+wm3kvKGhXEkLpwoS6dzTBrWD
UGPtgFm2QrqSI5uYUp3t+UkRME9hQ3JysyohxcmlZ9qO17Axi1aAa0wuQEpDmY0FjGYSV9FQQCkB
g2dynljU73v20sYm7Una1dKmCp8422UBnO+VbwWFg2SPrQCre4KiUawP1iH1HiVuVhPt0Ps2by5V
OL8ox2ok4tjcvKuuVwhV8CavUnyATplsU0JWdtSRYtmVqtFu75uSpwv66sic2ZptJCTE4UP2osJJ
+rck/PUbEbN2U2+F+jygCmqqTxUN/vmLm26Rutbqp/Abfw8/oKRt371TBWOkJ68M/zY1MPum6SVx
4aEdlFJSYfJNuvKl9yCoO/nSR8H/imQAyW4bUpPoQC+/B2XIcBg7mpT292flNuS4+gIeRddfoFhK
D9CSL6i7P+7Rdf9MDDfF06jA4jLuNeNTNn6SCmvlFL25lKdoVsPbiN9lTrbZuiu5WKND1TSO2SW7
XH9ppQfZSDdxP6nu/Lo/xBsfo9BicM6ABKLmQgLkeoSBoTRFoeulUyTxlzzy9mmOEEXTfLpv5ubg
nOo51l/QEd2aZAauzaS0DWrU4ksHwcNdpnwMtPzQZY8dkp73DS2N59LQ7LyJKqY2aTAETuINeW+a
pK3HUc1Wpm1hPBoZBx4ddMrx9p9FhPC65LR3B4wHyliEHE3/3cj3GSSg/3o4OAInJ5cXz/L5hZpD
sG2ijFE6BkWmKnwOdiOv5Ps2br1cw9voSbGmDDxPEPl6ceoQzi9NAt4p6cLwmLWFQo1PKmkUGZD1
CKFaiioXjaE2goYRSpkJ5EifOeye+/tfsuD4IMGpblG/5sccLCUmdFrmNKc6otHaaPUcxOBnpKYb
1wi2qrX2bL098xg3HTjq1N9H8mh+m4dpOMkEeJSJ86+j9zMr6NXwt4pMamwzflC67Cjkz2iov/f5
3vrW1d4BLVqIa3zxqMnthuyLbjQ2EPK4fbKQgl1Zl9sq5N/v43E4oXWpuM2cLCojuI8pBThNaR1r
pPH0nz7iDYryTXqAMzF6yw0b+hZBfIgj1L+VU94/Vj6tCJB/qI+lZfvxp/sLNN2jV7fE9EWQR0gq
kBpKCDNPaVANrmHN5DYfis90vWxoyV5JDy1sYKDXNF7qKgghLttrZ6TTxe/TrqidXBpRP37ooeeK
9JXtu+BoU1MASFpFJ7t9c5k3lVGMUVU7WfQgjX8Ky9qGobWR/UlhZA1Es3BWXBmbXa0xZHt6qpe1
Ax3ZRm7o/PrZ5r8DfQW3dhMKawprwoWh0O5lcXdcTxw5pR7Khaxx9PqHgCSQSb+RBDKfvLYsvmsk
n+77gjwt9swZTJrYeM4p5GBwiGuDSufliqp3jeObB6UOdzxX4bypvtSQ/yiWU51SiGGM3fAzexPP
0Sl7s9p3K3rAUx39XKnH+59z6zdTZZoIk2ZaIDza5LoXwUKcII8bqwEFl/S51n+byYcQ7ql/b4M3
pYTLQMt7U1ry1SwWYA9rnBItqMB7SrN4U7creY7bPaaCz2UHkBcC4/V32i8G4iudmpPYapxGgRu0
lvonGVGLlZH8xW9fL54q80o1Oe2hE6WKdD1dgWFlZaOgURGryWP3pndEcDVKX8XGD94T/2Vs8i9i
D0NU5T6gIja4yCGpaDCowB933puf7zr46+LHDDm14iOEfR/Q59wjnSW4r/cnfWE++FJqefRfcfLM
/RryLongtGgd16yEUx23KC1Uw+/7Rv7W5G7n4/+szM7avCxRrYDKyknGxwZCHhUFN24B9bv/rCbo
UiOqhqS1lT33Yvop/6P7e1TVPDle8eKFwdLFgHdNiWTawWef0Wa6i/xpNTihjNRvC+XRykAXtglq
R4QSynTVa/OUqeBDjiFU8uBUyMfrEAzTxBZX9fb+dN4eeeiE6sR8EC9yvP69eS98WIdkPBt7SIyl
tD9CQGlrqC2n6Wc5XzH0946+XjeubsgCyAHQjYF7XPvxaI4GiuOZ7CDBF21SI7Bd4XOIhqn6WxN3
CUJNwL8Nt7Pj10z+VFZ7GPr2Udo9BS7QY56JELodWygLh528hsi+PZGpTE38AeQMCBLntanSTwId
sI7qjDDwbbJRUrcjHNLoWecoJqiJDnWECFolhJzu/vwvW+YeNQi7uRZmLwjDzHgjV1guybx3ZMdR
zrFF2BBPWfUlQLH3vrlbryXtr4AqoAJCfGDNDhPTEENhDEPVCUqAI0K+r4Vg5VRcuG0APAH5odeU
s5G77nqhJZSKyXFZqlP7u/w5pO2zPo2oJR6S37GTfMgdWP8j2e4+gBBV1H0NOZz0LO2DrbSBYfz+
eBdOi+uPmXld6FopVMem6gwvIpTY+llSN9TeAf0G/alC/2WfFG/jJzpnhvoo763mtPIBtwHMBP8C
ngbkmFfBPOGRmUU3AI5SHfi5KeNuFOklOLtG+p6Hsq03D7H/KDcPkfmgSbDbmrBC70PtR9i8dj/u
f4kyhRWzDciXcHDKaNfRfjUdOBdbXdAKo9DhgneMn2ZMCdtWa+S/n4RN8KwFT4jNNcIhKR6Ls/zg
P6hO+KI/lQ/x6/ibPgzZlj9LxpGClEWryyZnj6ycD5Pnzb+Otw3ZUYsjldr+9ddFZSVnecjXDfXP
BnL92npJlD9/1HZbwrGc5Z9XZkNesjc1vcBhAixUm53fHj10MuobmqM8dRMZsV0/9+Peew12kbaH
4yw+wFjU9a/UIpGs8s7FJ0vay4/t1xE610dhP6o7ud6PxoumH1MYzHJv3KF+ewjUtR6O24tg6on9
vy+dRnKxbnVUIh6tJxo1jdbWIWmG4kJT13LT03hv5p+cnKpTsKF+M0svyL7Ue0bVQXABpVEJ55hK
RPMayEhYozpBS6qq1jbKant9d38lbpGSU88vcYMJakUlGz2zbCEyMCRCqzlB8VM7C+42lbYwQbaI
pA/HOnga4JhtxNcxWBny4rxe2J3Oyot51QZXarSq1jiPPpXBW8qK5/9p7UwQQAyPhPrfPXlho6w7
eFizUXOQonJGIzq2Zn2A4H3lKbZ0yJDk/sfMzJlJoqJE2feao8XaQetifWMM+c+SREc8iQVCL5qv
XCQL99Z0fZCHYu1kcK7XkyfBuBdT0tGcOP8alecAoe1IQ67MheIzAHUrrHjJ0gh1ujXIAPCSAbF1
bS/TIyRTPF1z4C4GPP1Zk7tD6H6cRNl7mIjvu+TSLTmBA3g8ExLd9t4GZR+I9BQ5Jlkl9NwsY5el
dDHet7KQ1aAAT7qAHDXnHlH+9Zj8Rpg0xmXV0eHeTs1uo0WvSfxJhTJFVHc6jgJSV7T7XQd/oYEE
7o8o3RfWqZ7kLPaW8hWuN7sWNbtJdma54lKL1/hfoDzFRku5mXENPYNGjnTVScP4AQlm2wWmB61/
hw6Dr8s21PEbzRU2rgu5+vg9Bk/fVIdE2ijKm2cdwYBZqu1+RM6ibT6gTbPiELc5Z44Nup8MMnsG
N+u836QcxlqBOV91JIDmmoK8pt2V1dHdQjH43d0C42i01+C5E8ztIL7D43Z/9RYd8sL8zCF7lac2
7k7I2CcolPlDtwvCokAyL0hsZrPgZT0oK4NeckxQMgYYXIszeg7shmrN6IyBS8uVIZen+BVuEZaK
9/9+aCAVuYx5GkwIoGu/BM/f1hWC4UBkoMQP343h3BnFvpWepCBcmcZbECjLeGlsdvq7iTdW5qCq
Dsz8u7x8oNYrG+9qupd+oCavqrvkXXkwP4T52YVC8v5Ap0Nqfudd2p7dAOQ3lQr1U2zHX1WoW7ty
2/yXuAZOMlaNehfsYdM3XNwAEcyUaG9wUHrDt6w/ttNFgybW+BRUZ1HblxCI3h/Uko+QjgNMyPE1
YbWvDRa1WUAKT121cJGqih48fyV9dftkJN9L7ZikHHEriYlrAwhzw43cTga08+BAmkw0/Y2S1Mrx
uLQ4FtBEOimB6N70P4+Fb6YB7PhOi6xaMzy0yjFDzer+ZC2O5cLI7AgWtLq0fLnSnR6/M6kSSyZM
hraRfb9vZ3FRLuzMotvKIDOCAIHuoPKbQkJTAXwqomHl3lqeMmMCdyHAzZP2emXE0kT0oe11R9EQ
aVI/QEAoKWtPqqWbn04b0bK4u3TwnNdGkIhoPcQZdGeAwDT7BLQnfzd6hNx4ymU/7k/b4vJc2Jod
DjJt0mqJAILjWefxp0g7AV0zUrUWzCy9PejR/JvEn3oKZ3tUaht4a/1Cd/Ic2lDlVFUiLa7Ftu9f
uOQQ/LYt6/X+yBauD9aJZwfnK12b82q7maehhyim7liInJ5NyS+QkpMOY64/Vryp6aMOViwuuCBt
w4guoTXABp4DMNDFMxJPYNsqpfRZCnkPt9Xb/UEtLNeViVl2wQgyORWbWHekSLVhzBNg31THfZL8
60YbmHOA7RCcQWQog4q79sF4RDAwkjBUFL+otfkFLbX9Ch51YTNd2Zg5xViLhmeU2Kijb4ylMY5S
v8KAsDhfpH5UetdY1Dl0xNKHNkYVldMn1lNULYc3XefppQpVbEegoe6vzpLLAV4EpKDphkhIdz1p
spcmWTV2uiMgfLprJ2p/aYSUw6188aAlgX+ApmplAy/aBARIaytwW8rJ1zYTFEJSEPUslFW/1UFv
biKzQWqWDKNqDXar0Q55f5RLy8YQ/7EoX1uEs1qXAFLqjgmOtnwNkS8OVqBjiybYuXTL4IJM57WJ
Lu0TGDQl3VHHp877OAL868yVrbS0W6lb/2Njcp2LsMHyqlIIapUjaex+9lL9EzKb3f2ZWlobRAun
RxXqWsDwrk20FRKLQ2YwU5qn7mUv1g9ekn3JEV6TGzl50oHIbe+bXHJ4MhkwtVGMp5tsZpIwKZI6
IzYczXgf4hNRXxaGGzmL/v1FSGsDXVMQ4oDKmKc5kwEa9VIKDK5bcFJiCql/3FIR6dBaWfG3xVn8
xxQp9OtZjFOtLDRNwBmq8mOotp/UXv5sBFKNrt6gIVDXt/v7k7jkfly9NLySq7mF7qXIG/SxWhqO
JTwI+oso/ra4Ge/bWBwVha2pwZB7fk6rIxiRNrReZjiFD5kG+eTnKmt4UGlkgpTnMTzcN7c4JHMq
cSmQCJEnuZ5EyiyjHLg1TG8JIp0DMkrm93p8v29koZIGPo/sJzxBCrAFfXYYGYOvIn/TGE7pDrbf
nVG+bznVhz99/YwWb2vuLRMEqvhcoI5TowzcbBAoSMfKTo+B8Nq3kV106InCpTC43aOHcqQbb6vm
WVwD4dxi2LjgAKsQ+sgU2G8aubu+LquyHgzH9RNAU8rer89wqCBDivYDUp16NYCXla3/sA4Gi6DC
mgWxyDzLUnaKSV+QYjhSN+mSGvWLIKTJwSVFsFIlWFpxWmXpvwAvJ8NbeL3iJJRSLab7xwlG/Y3L
500vjQKlI1lc8eS/kdTskfeXsg3+O3AQN+R3UoEeXO5ZhhMjMa02W+vLkP0SuoNWH9z0rCdO6KOP
qfPStUAJ/hAkQFWZXVanIdupnbxpx34fVKYtFUB6hLOlnMC8bHP9PFRHJTybIQ8H+qvR81NokvEf
EqRfm+ipavaVAKkPcT5kA7boBDo51KTadrprQ2qi5cMGRe37Lr50a0z0dP8b6/T7i1tDCPu6H3sD
D28lOwzoIlsrIC2d4JQQqGNM0SspgmsLVRTl+KtnOkb/XCMFGwdvppJusmblkFt4ZcDtI3HAkRrW
FX32YGoLuTYUdI0dxfsuDt8nBTq0kIr0O636O9VMdvcn7rZBhQ13aW8WuoZFXyh1jj3D/CF6jy4t
vfFRrzrH8EFp54UtFpsExYx4a52DsEO+Yu+mJx8JEhpyaxnRjbKHVHmnDKg25mfi+41LY0DysSq2
sfR1gObO9TYJcizFa9x+MtuPkYtKTnSMoGm4P5bFw2Oatwn0RhVuTovUN13mFVpiOvHJ7L9C/2f7
JBJP6rGNzqPq9Ct59KUUjnFpbxZy+UakW36BvbauN2OWfNasz2Ljb/QnGGY96yU3CzujT2EMdnr0
ghiNq6015/y9kOa7/PIb5jeIT8/AhBGj8fxJ9NHt+WjIqAWhCydBuXoAkyerL9xzGwUaZaRcun5n
iN/FoHwt/WPuu7a0CtteeFVS0wClR1EF1L8xbaWLzVhDalQGES7Vsf6OUvCKzH7m+UZHu8s70ly9
suzT1ruZAsxRbSQqIGNybQ9BCfTIvNx0Eg3Y80571kaHXv3+K4riSWVDdVhlK0+K26ZOts3Uo/7/
bc7fFIOOBHvlZaaj9fu60s8tHDl60m6A3erVwR+qTV1BBQ6c/Ay/cpWtAa+X4pRL+zPXa3ovrLUO
+4WVPyjCFwSADPEkokus+WscVYvrSXyC4gG5VzJf1/Mbqj6K7m7Jthokmy7CjVVtY+KG0DgL+rOs
FJtoLXm4vJUvbM4O9FjJlVIBaOIoyk49dEayMZhckuxUlZBU+Jy/S+6f+360dDNT1yB0pssNtNhs
mLB/FopgdsjpauK2Tr+IVDqz6O2+kcV1I98CZxvcMRSQrueSnnhJzUrTcMIw2QTy0e3iLSqqtVpt
BG+l421x3Yhjeepg7iZC9wXk2tKO40nzU4QJ8YshOkfNlghsHw39t6hEljL9cn+AS/cXiW2Zkt8E
4NGmCbjY/KKUNWTwMWpWCiLXiQ2396GxaGzN0D6U3u9bW1yzC2uz27KoyygsNNxEZ6Pn8g9V/jUQ
qd43shg/c0sCckbjBO+YecZgJVEqCz4HmvApadAX0n+01anp3jzvS1wfkc9pAAiIAWfsY5g6iXTs
0Z1LRNgBjB+h9ThMLR/NSDdCviuV/HPt1YcyOOTmIe+O9791ceNMhX0aNSVeuHPmOk8aa3hGWtOR
vJ2v7bLskLxCfKzxvvBBG0mv1dr5u7TilxZnx72RqF4YQoLmBAEhuzcKX70ULhYEeQLjZxl1Xzru
nPujXDM5c7LGzZowHjA5RNEOzn7otN76+CkDtu/F3U4VtJWttGZw+v2FV6OYaI5V208GH9yHpAo+
RO6vwns1An2bBu3x/vCWNi5pWSJN6iYTd8C1Na2RlQp2LoAPOm+g8iyZx06wdSAImS3By71GgjKt
0OwCNXkdWpgCyk0f1LU9yWsHS5ZIiOA8O8P7IefVsTZMNH2rla20cPxdWZrNYyzkaMEVWIrdb7VY
2lOAiULaNo54mAor07g4LIA/FmhjTvS/4dvFonktYm1h6xsotVIQ8sO9KiNqpcPRJ64lQ5ZAfuZ0
NvBinWgDrOmgurAVIWftFQWJF6pdQXgCzzYaJz37OW5b4WvU7yI/30bvjWDXP2AlCyr0Q+WNXD80
J6V/G/SDHK2lipdOAj6JWjGPTWLhv5988UlFhAigkMCRmSDtq47vpfSqmmjef8uF5GRkz4qXfVKU
z/ddd3GBL4zO4pKIZJrepxhFYxe96d+U+rd19rsB7khiecWbpn1w47ecx2TCuXBI2lxPuoioeRo0
GBODRN7EMSV3IS7WGs8W3ejCymx3NGOAJPCY82KXHqDQhPg8MFsaPrrIDtCBvT9/i8YYzCRQRClr
LmYwSkUYp2FFjiv8atYcZeqPqvosC2v1v6Wp07miqTFOQPybOATSKqVNyLP05lswOmb96/44lvxg
AokQ6sD9qs7bMEqjdWtgd4YD9YmtFV97Nbat9BMa8tDDfr9vazo05m4AgHOaLjCeN/0YhdKFYSjK
JDrU3SiXdiZ/jEfBbl8qcjnxytXzt259x9qcDoHkYCwDATIQhzZPSvYoZtJGDb+WwklKv/vKPnI3
pcZZ48fnMPa3eSntYnF86ONyBx8UajKf+6rbiNXJ9D8ZfWK71pPbvfjZrnU36CAEPRq8wTkqHiTx
NKHqx+qBpqcT1DgmfPHZK4h7msbsVACSmH6AM6YZbCF5NZAVlIft/ZlduIhAevwzs/PEIUwrbkDn
leEgQv7a1QdTFzaguoDonsGSdqdaWsu/LvmlSQP+1LhGFWqeVe4s9GwjEvdOYoSbMBUfTSE/3R/U
0hbDJUFiTzoUEF9fnxrwFDcDjfGGE2UqwoKxbG1QX5RtMeHhnHuesXIN3Xa/k1KkB4XUK+k+sq+z
Y8qHekXpZJckb79TGhty+kQ/R/5Rb07ieGr7aNM5dQWbzYNIMX6EDwx4BHXEwa7XGraWtuXEvA2+
a2qAn2s7Raoy+t1AdO5Vg633X1X3lSY2FK2fS+So78/zEgSZGgSdGxPKkd7g+Z1oGUPGevJuJG9I
MqY4+v5hNI4Dg0N3HSg8d0K0jRrUde1+5B9hJQ3ftO5t5UMmQ/Mte/khswWwTITTJbMwHaE46nVw
FIqdzsCH1wzmCuvAAzYN/7jKpiS0/03P3LBWlllKF1xNxewOKaS+j5E4NR0//pYZ+6pqTi2C1YK2
NzS77V4moOT4O0f9NslO/VrdbukBM2HtgPiTj8H1ZythNnErZG1twnJD41Mp75tk/KhSDK3jj6Hy
JLuPMmrH4c86+aMpSIOfhp8j9EoaSf7wqxgMmz63JaWyS1mjElDZkvyr/pp87I2Vw3XJZUiMg98h
lysCj5rtzUZF1dIrKtNxrS88obzE3bag5U04zLUBOWE1QoP5jPKt/6xY6SZ3j8O4BWy6ldbmbOEg
glydoJcfwEv12Zuv9aQkyDuJNx8ajjB0xWtEZAs9rX/p2yfdoumO/LtoF/GZ7ylZrlea6dTmoTG2
1lGoXyTtcWqbLF5yXbWL6hysoRsXtsLEGf+P0Zkjdk1QFW6qmo6VvmnWjyknXyv7lf02zc1sv03M
uLxQQOvR9zLN7cXI8JI2NzOBU0YMi62eQCkF13Kx18vsPa1dY9P6fbjvwVpRaunDI7wL5aMYNuaL
DtWhLeXWf0iXcQKDqWJB0Zqbc59XcpEmUs1q1sKjVBzcZ0E7x+REk9f7Q18IRUjsgDOB2poC+bxr
s6qLUC0ipjciHyES88vRGd5xcsDe6FF6WznZllbz0tz0ORcTPSDi7ValQrIleKzl73kAo220coyv
DWm2JS0hyptxYEhhQzo1s818j/K2LRc740P4H2JteqRYJnSNePnOSSNNtIijRs0sJ6EjJpLelEa3
c+FLI685xBL4/srS7EhU6eLOojSlCVTOP8cAZofYTkv1ULl7o0NI3bKN4nvV8Izb1mtIssVjDopi
yKOR3aCkNCsmSZlSWU1QWI58UMdDFD3HxmuK7pYiP0WSRankpDWvtfWQK28CVDHhu0KvULMSlyzE
QX9f9SQiYbcE0X7tPOqgKkGlVZbT0pZW01E4oolnlt6mMleyJwtRB5U5EDhT67wO7vvaUprJQR2O
ggV6N91q3ochaew6PEnBi9l9ur8Bl3bE/5m6ocNIoVvrrdZznURESp0eO7qeqGHeN7IQ0XGuyUQ0
NDfQ3jRHkGRuEA5CiPME8cdC26bxRmu+SBVPj+DR604xRdPg1CXfDIFKeQHr9NFtDoA9auG4xgx6
u4qkNyRCS/7iIpknOWJQJXWrs2PiXPyaScUXIVSgmTS6faxUaw/uhZwCTUo0y5BchEMJQPb1SoqF
BDank1hJSdvQRJ2XU0Cn8Rgwg3wzxHvRVvPd/dm+XVJsAuvlrYrwr6zL1za7iDRzX4euUxMOe/W+
kf1Nt1KVXx7YhZHZdV/V8iCikuI6VfwnDF+tfZraMLbop3L8KSjiNh3XXuC35yo8cdBV0vxIvhzC
/Oth0Qs2iC7Ze8dXAGu5X7NAd0pPPbT+rzj9QAn938/itGr0bUNPhx7etblWzX36FkPLEWlqGMaH
YpIfWGmdWJzFSyOzQ7VSaOQrFd9yVK3ZScoHRCQqw7LlWj6k4UtvfdbdX4OQr+z5hUiKqeS+AJ2N
dhxvx+uxpdzHVTSyB7rUyeTwwbWKLXx/dnlqJkSDse98KHq9ANLqlQt4oRnj2vRsWq0kqy1TKC2n
pC7VR+8vPfJNxx6lUdsND+nW/GXB92i2eyPbCdqa9dvK52SdvjUqrYx7fg4ZKrxqsT/Nt5Q2dtr9
DgFfPCryMR25zUYSnRvF896rVSmeJeclq0pqeiKwvuHkCYtEab2Uu0N/1zp1x+Uh67uWPKMkf11V
iV7oyEGhEu4s+P8oKBNWXq8v/PxNpps1vmvCFBfw/gi0QyF+6VxrX5b+xiz3rsrZIJmb0uVpOdi9
8mj0I68prdoMwVZsfonl3ohJCkGiUh2MtZa6aZmvI97pC6HAohUNfjtxOqUvAjFTUiJP90fLSXX9
2Rd8zy5LbyW2vL1FsQHFPvQOdDHfEDRnUlxXSFpYjgVfX0VvaNi/VllrFzwlV4mtFheYJMFUgqCH
15hFKDSjZSZklvh1pWwi6cQDzAM2ZpqZXcmpHdJrpAhPYnQIEGsR5H5j6gf0GoGNR7vKRObDfPOG
NSq9hbsO5L1i0UhPnwdgretZVuPSV43A5fZR9rp2dsmYSfIpqOqVs3LNzuxobuSyGguReEVo1Mcq
SI+0SjyovJTCFUDtottcDGgWGAVSluRWxa2jt9F304/goIWF8f7Bv+Q2EDZMOGTkj2+ammK1VydQ
jOsYmm+nxAW0eSjpZ7GSbb9dwXUvXdWXtmYHMc1TktAmKVd1dzDUb0XyUmgrJpYcc6KHMIgFyGPN
U5JB5cauVTMcvwfpsrVCtEz6s6ucJOVBN/b3526a//m2BrWLJYDqaJvN1kcvUiDVY+U6yIt+4OLa
AOHdCr7wWycdW5ryB7n7WXYr0fKK0TmbSB3UQa6jVOQ0Qwr4jjyhdS5FXgVQd9VjnNiDYW182V8L
SBYXD7ZrmNjhWoO0/3p3NWqaJ6HIYL30Tx69meqvQvgvAcLEqP0/G7MdnLiVJ6hh6ToaogDJg3wq
dyqKpMO3MHqErSTztLVQfYoOb5bwwuJsLytKDY+MjEXd7Z/aGukOwxZNRMH6Ry97zckBwvyjSx/6
LtmXsn+870ALiT9eCRDkydCTTeX4mQdliZ6PQ4J5kxqFLem7IfmRS9+RSrHyj1JytGrFFhU7jh6i
Qdmm/+HKuLD+N167uJbGcaqS57ULcEGyC/AIWm8cjW6bPPKuWTk0F92WTi/A+5YOycYMDz6we7RG
Y+8H3Ncbo662faAZm6x1D22767/Uk+i6dFiZ36WjWpv+awC1fPP8Sqi6wjLzRGJ5g3qTJQfSZpFw
7MdtDL2rWnypzT1ajIH3LQCXvg+zTVF8bqRVcvWlg/zyM2ZeJooZWMCOz4gaBbZV5JU+jvnO2w17
7dBvYb9wqdxD/1EwK8LKIi+diEipAX0F8zjd1df7tjIDr88CTsQhPNbRV1hoQcHZOZKalbTJtLU2
y0WX/suUakzRDkmUa3uIkcNKJ7LQ1ME3vZ68t+oJZXLV1TdZ+qGuA2R/ib1F5EpJbovqKV1T214c
Ma1cMs0b0E/NyQXSfAhFYeSEpOViI4V7Kz8AS3aLrSx/MNdEpZaOxalv7H/GZpGQiaBUp0mTsfF9
QqKXjxD6/pdT6tLIdIpdbFQzHgcvETh7uaPdstxG8rdYgcRL+hy4yUbqvGNCb4/ddOMeifa0j9f2
0bRo82MS52E+RYNQYX7TuY1SxX5iuE5IMihWN6AZtqB0gYCQwUjOdbtv4h9m/pgG1lEO9obw6f5G
Xjo9LuzPLz34hej4iHUX5vRdXPGc6OPXYjOI+1xrP4q8poJVtPDSnqUyzdYB+AKqcbawgxiGQitb
7JtOPySRo8k/x/Jz6Z7FLD64asfRZWyjeCPVPwov3EHX86hbq6nApSccSQDuWxowSU3PbkS5Fusc
FjOBYxOs8vDRb05mAeUBlCdeDd1M39oGXXGFEjpZJn28P+tLD3aTy5iUHC3TPC1mc+A3XVVGsipM
fqfH0dYP9on62u6iJyuyUXyQ1yDT0y0w8zMMwvhE8wOqdfMXa+8aSRzFsuBUhripC2EHPKAZEH+p
kEk8GPkf0eo2yqp7L8zyldnpRLnYX1IiqTnTJzhZ/LGH3xmdoMhA9h3+wRiOq35DtFVtS3+NxG55
goHhUG1Fu+cmPSf5ga+MeeOi/4AyaWADpU/GXW0CxbTrc6NChbRG4rFwJcLKO0miQ88HZ+jsLAnw
9d4sMTkI0MEpm9CHkNPTzjQ5nu67z8I5bBLV0AgIP59OZ+r1rNZZ0+mhwK3XZubJ5CFoBuckMY+m
Hmwk5bMBkdB9gwtodzhG6cCmBRYiReSeri3mYV8VgypzTgokdkmVwz4Bhr3XT4GZ0GnwgjTMBpbF
nZRBg2HAqwZKR+WRTNy5DeUvqfdR9t6VtSt4oZrAdyEbAFMxk3HTHeJ7WiAraSg4bQz5s7DTUv58
CBVODl4qUmojJXbwqoOcdAiK//uq/rX12Tpokuc1VeMLjuGOiV1VQDM0R0e+vNXgdlgDli2uOh2a
5DvA90B5eL0GQVzKML7mWIM13w9x66Q5DgpKfA1w3ziHalhazSwuHNZ0OcDpSq50yknMHidp3QgN
6ylQwR4AusgoJz1Z9T5zn1J02sEcw2RFasKHQCk7y8VTmpyzfuWOWhy4PnHjoI9F1n82zYiix40Q
pILT6wezqPdGEWwNimDs5lL5Bf/1ircvRB7Q40B9DxMP7Lrq7O1Q6ZDy9QjlorShi1srJyUdCFK6
bY1srXl48ZySmFw0XtjHJFmuF7XuRdeLvApbvLA3+PJR8MX+1PoR1fc4e/x/nJ3XbtzY1q2fiABz
uGVFhaqyZFsON0S7bTPnzKf/v+VzsKFiEUW4DbRhtABNrjzTGMN3AP/FSW489nkwbgLFXHsJF2eX
7C2xA7VTUv7XXyCNQTK2gSydPXaukxDrBiThn1rQ0lHzLUi+rFwlSy8R1lCog5Sfrv/ZVTI5/Th4
KatZp09eFG/r37q5MRrjAommZcQuAaq8Vj8Rrvj89Xtvc7aiMSwFraZgM61ccyrcYtfS+ZL88Db3
B7c0lwh7CFY5SmD6fGx91XWNZDjSuTK9b1mZ74sExhwQ9sl32r/1xl+hDFiyR3mPojfBH4/dLPbL
Y0Vt05i1a61N1IQH6VIflFbdyOWnIT3eH9vSTfDe1myfxGEoe7nYJ/0wuWFL//Dadbr0gL63MDvn
JTLFWVOM0vktaNSdibSvtBPibPfHseDx2kIcVvAB43zNae3NymyU1MH1MkvzNNhHf/hkew9FCSmk
UvKA7IKX+wYXh0VfDZAlksekda8PmIFmYC3KsOdsgktachDnhVtXkw/ymqLG0sVFiZBGcrgPNKjL
ry2VrVKoWYqTVxhvvfmcWV+DNbDO4ov73sbsKJUJu7Ei3Xj2oK/zdvXbZB8tFLC8h8y1tqH2y/ll
2/v7M7gyLmu2zQe7Sbypw6aj/k7a37ZzKbpv900sXsTvxjW/Bk1NIpNhsr017iA5eVLgP9POsnck
y1n98r9M1RoZ1NKBAtVF0yUdMsCeZvkDp+ybsLVl/2IlvbydNGN0pyxb0+1b2n1k/aDxJ2BXbxDW
Ze0VnqJRMke4CbK0Xef86CoFqkVnZZsvleRsYNw0W5K5pedgNh67CBrbDk1qU067jUFNhNM/5SOQ
/qynHbhAa/EUOPuJK39UyOJ6z2b0LZ1eV9Zx6ap//xWzM2DkgTNJgUWLR/qrBVf72HytnM8EA3Tv
Di7chDLUuqi/nodw46nPfInUPk/xWkfd0rQL5huIlE2VBqjZMUlkSP56dfDOkAO4RUybWXQqJ8ft
4mblPlvKC5Em+Z+p+SNg+pOdJvZECR0BDVt3kUW2HzMzOoLQuvROR3bmNc6g9bOVk6G/VmsSaEv7
GA5VAeEXxNTz0LKOitrIMqKRWj6NUgD2d+VsLiwpx0R0sYgeFp6762utM63csqfMv9QO3B2hz/Hk
BYq/ByUBVr3mkomVufIV0NIQlLBCzh4minnm2B+TSCs7K0CZlHLmVpQ7dTTekbYJnwtrX/Yrb/iK
vT8X07sQuRynrG9y7ClhhjLD90BFoWu8OPUbhP7bKnus1mTBbuaTEVrknBifgxKxPjsirdL4ee/p
/qWrk12Z6ceqPyTxS+nonz1pe/883pwDYYv+AKFU9Kf1+Xrt0rL4/7botqAkfihh9Wgs6bBarF4z
NAtU7CFt/Si2/UvrfSh7DZIhJHFS1S3XkKSLhghCVPaGIHOdGyJvU+FH+5eh07YRqANb/xBNzkOu
/rg/dbcHW8ydwwJxbct0j4uD925nJJEM71kfBBc4I6oeFYVo3BL6b/U0fxy08ClJ6GFB3hJwAHtE
zr+vjnVpb77/gtlYBdA0b4c4uFD4Hbz4QeoeazN8sPV0G9fxpkvSreL/uj/spfmFNMNSCLxIqs/r
GZZW1InmpMFFJuQCDqwj1Gd6D6s1sWU7FpSTNOZwFsTP381uVwNmNIYiuOjJUfZ/CcQ6qOPgr3nX
WESC1v+ZmV1eUQkczmww0/njrgih7Y8Nt4/rTV3K6zDnWzdGmBNthZSdybDO8UVFifgQsQnmmnGj
cId9i8Le9RC5tbud8XmUvsaRsnLGxX0xvzFtIasO1BmKJWu2T8ui6YZA6QPo12gQf/bZnCcv/Cyp
h2Btc4hfdWNKLBd4cdENJzbsu0WLtSnUunwILr4f8dKZrcmz7q89AbfyOmIW6aGm9Q3HHXf62gw8
N2YVw+R0UYzINfN/OmShg5jmkvFfJHUmPdyo6XBAnpecSNkfm6naQL60keNPlfmawX3cSznwAm1L
S8Ph/vFYnAEokggm0LamvfP600xpSMJImYJLDJdMnIDkXPGglgwAiNJl2FbgRp9nfNo+1rs+d1jN
xOCIl2zZYETx9v4wlqaYTm2Rn4WSGKdhHk56IemIxg4uAnA0BSlkmMrOai7kO13r+KuwPtnK1gzf
pDSBEM8d9G0xunHxICu/gyThev8PzURUUd9/0mxqu6Y1Sntk5F2X6he7MJQHzeu/3x/40gklhUoi
lfEB2HRmVoIu60Jy9NypcUA3N6TjR+REIu0FYZ7YxU1dgzbeolDEuN5ZFCv+7tAAoW7iQPOCixY/
y/aACwVKlgSIyFOXiUmX3Ekfo22CYpXV2k+KFhyGhuajJ8n+2SAvaIw/CvVb4H/qByArhy7atgYs
FEG4YYdzej7cn6GF6+Tqc2ePTpT2feebEjujhNZG3kY0zrRglp3kS56U4Pby3X2DC/7QlcHZSxCn
fi2nOvNDaeBD4HjbWn5yvGAr5Strv/CcYggBIjLV4IPnhClaX6th0MYwzMvfyq5x9WyrKSN7eZtq
MKgb34zp6/2h3VLliLVnowk2YNEEPguddbPKoipPwotWfVVsbiWlQWA3UA+qlG8kz3mAeWPnSMOD
GX7WJWnTNh8mlYp+v0aQsHCt0PCOGgTE2aJ7e7YJ67CS69xn7IOlBDAUjbARpcVf49zFcN9Zme2d
JpPHrIER+9JF3/VDZBza4K3JdjDl3Z/XpZUEvos1OnoB789c6LDFa2uQ1r00E/3u59x/9LoMTqbu
R5YGrgPyZoNneN/m0rl4b3P29nmmF0qphE3n2L8A/9npO7895YGxgTP0703RTwYMCx0BQGEzp8Us
xxAfOo8uSrPphPzTrqGqoX/wmpO0GsD+wVbPHnVayoCEglWkmjN/1LuuUwCHNlhL5Z2E8kMXiZpC
/0kqDp6vnMIOIRVkccwXKdiX8cGu6BF3wk9DxJT3/bnsfvWS9m/6Q39Gv70a/kGupwy/tBQoBh7u
qH4IzKMF+r95iNTvkb5GQrB0fyCQyXzhA+Fcze6P0JzaSYrK6BJOzYEEOh0oZvqcKtAgrVX+lk4R
xAKI00GnCgJitjBeE8aJ5CTRRQ1/kpiK1tJ7S/vapNRDT82fgH72++syHA0nZikcnCqpmx6i6VQm
z1BjuzQT9U1PT/lfS1Zwigi4gR1S18ITmD2IkVXDKwK/9yUzaZ7WOjeKHknhrJyexZl7Z2Xm0un4
p+SSe2bOjBw3beyfZPjWNAIWp++dkdklx6RlpuK00UXOfw/pyXC2SvYm28fARHQv/xat4dAWYhiY
t+Q/ZWAhbToblNJrI34UU6f42yB+TmSkzHX4H7I1urOlLf7e0GxgzWDU6FNgSLU+yka9Uyze/0to
1ftM396/exZNkb7GYRHJnnmTEXipIZSmmtPUVFu1e3VaCkTSxqneImkl1LwFMJCTICHPxAmBMBJ1
156RHDsWQh/4+apvfEjH7GhXsiuoqr143MXetNUMOPM2tvQ5DNc6JBfWDtuCPBGfQLBfXdvWE71P
JBXbnfZaFMcMplOu9DW5r4XZvLIyu5tMf5Acco7BpbWV3C1oGTOjZw31qWEyX2P94f7a3eaABWyX
4QiyWHADzszcqIY6YotBeGkjVX7y4qTcyok1blD6bne+nCQ7o++nw6CUhVsVlvdk1WF0CkzL29P1
nlEeyfO3sSdqaqw2XNlZC6cTDm/SlNzRIvCYXTS16SserjDul+MfaiC/8HT8bPTUHVJAcZq3Verm
O9po/9yfFLGQs+dN/UOPweNNXWbeKmlKiJPpA49pPxSf4jj9mEGLo2lrXuxSYKERt4kObUrJ2jyR
aKi130RWnFyQ3xsPY+qUbjtFSJX4Z1RrdbXxcfhyF1LuFs+zWBPMWRgmYhOcof9HbzJ/BTuU5NMy
7ZJLBUFpPGzMbxM6V/encmE3YwPsDaAUSBTmcXkkZ6Hn0Yt9qSo73rF08qm2FYfGlyz4ail1+cHX
0zU+hblR0in0EAlORUrIPFWzSyIwZS8NgeNeerWjHe5g+WeDVpLStA6RttaoLW7s95tFGKNNG7Zq
QH6iQez6VtCkwJwaDWO+/K1oh72sSK5aIBYH6t6+ONa2U7611bZPZdezlE1srgDy5qso7BsQASOx
K8R856pog+k5Q1Z5yUXzEpfs20CxNzb+ixGBCmcZYQ2dl2BTkrVOTOPlpTJq1zS+DFXjSqtKL4tD
eWdl9mb5U8pLHYfpZSTf3DN/ucAUwxB5f0/ehFhiyviPDk4RCrB810s26H0d9Y2SXOJY2dc2yhQB
YnvxJ907Ko+WcpCN7EFJ7b0uNW7g1HD+oCf1lwdDfIMgr8VtE6DUeQ2Iwoif2gnLljfBK6w3JK/Y
Kd5eSXa5vFZBv0lM/7EmHk66Q6nzzYtbVqwGslaxfukE7XCx7XA7SBOJMldCsF7Hw0PoDG6Jrz7B
alsEv1NI+O5P+9KpJE0lzooGo8o8lobL2SsryKovMnfrxu55bnzcht1oAZfyitpzk3wIj/eN3gDI
GTmanQREJB8BQ83Tq2BFJ6+3sWqA15a87/l0VIf8W6JunB70L0Sr/Ra+L835IRvpFonHCOgKl72x
kkm4Gb0ohNFMIJQ8bGIP8fN3KR25zb0koPfrxdYkeSd78sZE6GUzjZNP4saAJitP68P9wYvzcnU1
YRN9YzLZdDdSbpw5m5IRSEOsOeFL3ozBtg5UhT5Vddrdt3K7uYQZeIB4R1D5vimL65Wg7EDS/QVo
d9P/aopyo43KPmvCvVk4277/UjZPQdjB1IWA37lJmpXb6SY1CWfO1RfMLvyBDhGjb+zwxUzAsidb
aXzq4mdDL76RR287xaUwkQwpdOj/DjuJeD97bAvoUEy3UU+Sd6RfXFv7ppt34U84zpuH34Jy67xP
vJikzkpbFrxPlfwhzKP+ECeK8qh5ANdKv9LcKaoVmsTQAYh7wzzFRd5smzpU9zKCNh/0wBaIrabp
H6dGQW0x9pKNVKBlIvOMbou0eQsM/YfUIraGenu0CwKSRPeXdu7xCgg7309lgksDyr7ZpkXDp0xG
M2lOyDa3u0yXTTQX7eEQDZG/TZH+WfNGFw3SYIEMOb317JvrU2JMQSBJTdmcAv+sZ+mr3byqJSIg
1WtXDa7Vfa965UHK+oP3pX7og6fW+MH1NQXWyhPxJ1/y/uiIkYMUdqjYUrvg7rj+EN/pUNvL6+YE
s/GDrzw2/Rc4zBH/KoON74c7vYT0x3tyOsstJSituw9+sPM+JO0P3+j2hX/KdPOYV98A0wT8D5/G
9K6+jG+mpBz6NfKxPwf55muRbOFj8OBhG7j+2iEkl9UkQ3Mi1fE45K7T6hArWu6YoAPYfPLjFkmk
XyZN3KRNH7Vs2tWNsYVuOTUf+uIxrQTt6TmojU0Gw53hfDTGQfCrrRTO/0SC8++k9/dPiwUO75x2
XK6qBva5pD0lVlpMbtUbxUumCC0ldQpauiB8OdS3SWUmjtv6VvCkjknoueWArpscUiOzAWlBbKQj
hfypLGhLdM1Wtx+j0huyXZtWyjmKW0BLpRdl9DVIdvrvFPm0gxZ+G/1blkbvw6JZFacBR/t7EFcy
SU21ioatnjX2tM+0WKO2OKVrdC3iBroZOXkgXnt63AEFXa+QrocQUxhk42qY1Aov3Brd70z5jigg
+Odn+287j3lreOtpFYDflvhizg5jKgMckkEunfzQO6WJx8aoHi1jeoqlkx43uPue8uUv7wpMUh1S
cNEsDRLR2WMTTL5WUUCTTmb0SGntoW9OA1FNqH/+WzukGYAooNLBnURgeD2T7eDAijri0ksTErx2
dazKR5jsd10xrvgOc3dUvCnvLc0KXmnRZ1WdmP4ZYfKNKk2yK/XNT6mxV8on4ha92hszO7PTm9Rl
51OAwI7ePuOnbYvMfzL8FGhY9G9S/W1WmmEJH0yw6eAcQXFxPYGdlmtt0DKBQeI99q9aufPaU5x+
x2vhRVzZFTf7fmZsFh1JSm7plKgYWxY+2rA7w/7qFqkB8o3OiHpyoe66vz8WZvP98ObZKNNvJyhI
sKinH8OYbLjtbSdApCCkAv/3fVs3z9X16ObAqM5sJT0uHP8sU0AO+43ePWd4z6O5kgdZ2IlXY5rt
kCGsrU5PsDPl3yjBwiyp7pVif38wN42is40xP8H4h4OexVjppS+haX/pvPQt89Qn9VPyUupbyQ9f
1QychDG1SJSsYLnnvurc+Cz2m/LC0SrFY1dan53+15j+pf/95/eLdjTAJ3hjf4iK3vnfZu55fTpJ
/jlxwNcOihF+bE213/hKVey7ssjPZTusZQyX1g3kJ6Vjmo9g65rdVV0qTWMfNsG5T+Tejei3fEyt
MeOZkddMzVNlYnwE58JhIT6nsnF9qlGFC3F06+Dc6GUk7QAQ46HldUoXHAHCh6RO/QpWpTIfDuVU
tjtP9rs15pyF4yAiADS6AEfo4COvvyFNuFr8MYzPft+HX7XQoYu09fqdMjTSZiyqeqXodZNAY9Bo
QSEBiroESLl5ZT63EmcanCY+Dx3qHaoH4xFpLGRW/KrfxVOM/rO3ac3wrMJ9snJaxNrNbm2YreAj
IpeAyNucBKCsR92YDCU+w+qXvEVOLh9GrUTEwtHizZAUCoBeRdqVjvS1Ufp+W5a5v/JALVyuuKbk
usiQwt09r8M0VhGp0qDF59zpynQ/TJPxse4qmi1sJ8jLfWDqcrLRsjILt14YB2td3kv2ebtgzeYz
QN/M1ruxvEwysyk6y6OG9ERUJgejrbvPsuoXm5iY80kOpOaAMr261oq9sNXokKZ+J7xInQ1wvdXK
SR6VuG1T6GAV/5JDpHJwmgph+Nzed1WpH+6v9pI5IjkOFwBUaDdnp2uMWrW2qjI7+1MG8wghWp62
G4R0N/Sgrwko3eSn2NbgbJA0Yn0E5EbM+7u7Kutku+qDKT+rjb21/NbtE/PBC8NjrJ4QQ95AzoBm
tdsq5iZVpItOXbFOtacWMff7w15YYKipDf5QI8Dvn81yXAdNoJtlcS7JmhQWwNMgPzix/VhUQ7uJ
ovZVlcLdfZs3JR5G/wdqDERfEJvOM2ORiHZrtS3PVW4fO/8fqXwp0y+Wd3HQ3aI6bETNMRw/+uoa
9+zCbU13qEU2VWWlbxwje8yBJipZeVb07Hdj+bvI6EEfRWvi2Ut2qJqLfDh8FzRXXC9vH3tx59lO
cY5jbkg9SU3XfPMSw1xZPfF7ZjcUEbQAbnNENOBb13YiiotIVuXleazDXVqBNiTXZPThXk8+acaH
+8u28H7bRO3g4RD9ojgsTtC7PeuHrSeBuSO9g0LkiyJl2cGHiGrFEVoaEiktRHFF1QL3/9pKTs+n
ZzlhdS60Dbfz0R6VQxn5p67+3MtrbVgL55AdKJTneE7FMz6zxkaVnB550jOif4iZSEAnH8eW4Km5
GId0Zxbfvek5Q0Eqtb5Hztp2vB0rYRRAWQoY4ijMm4lluc9HU4uKc9KBs/O/y5pPXu2Bx2DrhJr7
t8t3bUzs2XfL18a5NMZFXJyzBmb1iobXNXYIMVnXu1GDkYxktw7Agrh0doXGttnDp2zHZ0VOdgOE
GzGYgKj2nlOrWAG23B6wa1OzULRFzkeQbMfnAlbmEBWf1zhZayFZszHzV6UqkioothKwMhkAyK4I
EyhlU3tr5k3zdn9xFnbC1dTNFoc6QZ8WshOfU790p/yhTNgJ9pOs5ZvJXmGNWrM12/Pkco0stFgm
+SU398bw1vxAvGuTpGt4m4Vw43qVxJe823IG9ewiSrEE8CWfNgPgeycheTVqwccgqLaF9DGNnvsE
AV36gnplzXtZHCnPG319dLhp2mwFncZrA/LKbMg+22R+9SWq+708Bm7ie8gHfL6/hrf+OQkZnhX2
HcE3GKLr0TbWOJmDHCfnpET56NQWBz3eNsZRik9e/aLLP++bW3hFr+zps6dbnerEqWIAB42/k/On
NEDCFHWpcQPxoV/BSVc3rkNCsBjWFCaX5pXcEx1CYlZBQlyPNK5GW5s0moCrQdqGrq+fbZssV/Zv
vIaevGleAPEj0lz/MzXbrEFcWnqVY2qYviBCOymeq6rd3ssRYDzm8XjQrK0/9dDuoTKOslzo7c16
cGsk2e5P9+LqvvuQ2erCtl76aHklZ93/qjzp01f4YeDKaD+l/8rZSqS8Zkv8/N258RLcht4ukrPl
HzIEZkkh6tK+LN30J7RuRrcGxb4pof2ZZdFXT4EbuMCc+kTgwj3FapPzJO2nfY3qhvQjpWEpnY7K
9Cq1P7XHbjqFJopf6XaqdmO7N9eSVguhHieU4wMxP6eIjXU96kqS4tRqkhT23kpTXKLCwXezCJbd
jR91ishIWGVDiaDNf6ekfBEokGVa+0pEY//DdUwfOP6FiL1ucCh1NAyNXObJ2dDrvZweVbb3mDyl
+WVIhpWNtfTMvLc1uyRLOTJ9i3f2TKbcrz8n0gfJWcnK3zr5zCwM8pRkeRWJI69nNtbMom1rbiYn
7rdo7RGnbgMb3hVoXoZvdrSWqViyB/UZ8wdrOaRUM0fAbGR9yroyOXvTyReKRL9M88Hvnkbze+8c
75/LxUcGNmQLKkyNftV5BBMGoZ2PsoSx+m2M3BSVPbhQom6A2VFxZcnNfHMjlcZOnf4d13JaSyOF
Mkmj4IHAOPnT65nNtSoLgy5OzxJ6o2kanCR/n1ro+rTxRrJ3aNzdH+2SPRFVUO/lWTPm6cjK17Rw
UAawZ6H8aEhPSiVtPO/V17dWBoi9hQLgvsGlqwgqA3EOmFroma8HqCedXLapnp5jtzAjt/Fefo0B
/37z60++ttZAsDQ8W/AWs3cINOaopcFqJ8DXTso95Lk+6H/TB6WcbYyQkDj7mAfeSkxzU1dm7UiU
oQoJ4xTYojmM3Up8RalqKTtPE7VlMlltrp3H8rPWPjXap87pXxLbO4FdLAxtRyP7Rn32qQTS5FRM
HXgxYzuF/0rhY/vl/rzfsPv8+TBSwpwgIFUg764n3vELtIK9JD/bWfQQdsZT1ZQ/NKf4adARCUNV
z4YzgADqtXwoJXVTEbEErh/gXqGqufcqcyNX0wcpOpAMXfm2hfdfR1gYahK+TgjEX3+bZla9Zg5S
frbMX4M3XiY1cm34hPNp60uvGWjy6sWc4m3bBe7gHXW73UikKaXuYfIGdyJRev+DhL1Z4AGUlYQK
IZToO5l9T5RWuif1fnr2bG9j6GC9dCs7hX2kbgv/431bi2N/Z2t2XVddJpvepIu3eSu1B8pYm5KJ
r5Ntaq3RSK6Na3b4Uj9MbPJePA1asNNAtqkfJbnZZ/1KNLX09LL9QcHYOFs8wDOHIyK5YOcO11jV
w04e6wVV5Bw5IGgBYnnTxvI2SLT9BP7GStewuwvvH7ZRhaJPi7zyPKUM6HSM0i5Mzz7SnHloPcRj
9dlZpRi56WERB0qIlpKohzCZ++V60ypxJ1m1V6dnje7Wqh52ctg/t/7H1vqR+M62Md3J1Le9Fx79
uv9H1z8nq8or4szO9yk0NLJoCAXFNxeBKttKmyYv43oz9WSj2jmCMI756/4GXXoQcaMERSONDSa1
+OuB0iUQB0bFQMPst534D2mQ7ozB/Dlmw6NBy50VWhvDz56N3jjZ8rZuh+39L1jatjyIPIr0Quk3
vHZq0Rl6mZQpEBysNTQqwD/vAySo/XHl/l7aPOxZiPwFdI+axPVY1UxjsfpGdDbIimu3jgRjoqPu
FA+x9fujWjT155VAyI/0xqxWXNOyboIUE6ay3eBreIR1/RwS1P4nQ2IF0XaDsm42JoK6sgmtnvXT
dHgPP4c9LZLxSmFlaTR08tOtBl4VXq1Z8KgB6UlzB0dCgsBs11nqz77KZddszLXWlaVNLypX5ENp
xaSJ9nqJvDQv5MLDg6iknmTGSx4OKxO24KMY4lQDW5WRitBnG97oOtsZyjw7V1OXo0g7NCTsPbL8
h0IaG+8hkDTCRskbnWgrUWo68FDJ6e6vtwcpS/LaCAGIatHsI+CkHKug6TLaU5AWdfY0dDvI1903
spSvhFWK+ibK7jaHa7ZsTmGnepSW+Tmuqy1EszBiD1DLj3m9q6KHxtkMHawmO08/FvFbFT5KEBHe
/4QFF81QIRvXVdocVXk+zi5PQBpocXams8bcW2Hg7Spa6SFzBClha8W+MhGZmLRiLVm6dIFDDwXI
SjTs0+45OxdpOORqwF9nHpHin1JuekRlB30D4XD/EDa2WFwlOhRjiPB7Wpqb3qH6GypR+gICSNok
Wlbv/34yqI2hOoFGIw0xM8djQF8mKeDUPpdSbD9VuaPsalyUR7Uo5Ue/dPxd1Rfj1tAD+fW+5YXz
S5Ot0CkmEc96iJ+/SxHIwdjBLpkVZ8mY9l7RHbNoM5by4b6VBWeHTL9oXmHCCeRm2012gmlopjw/
t96uLP9Ru+OX3vi9mjlbMkPHMmIW3HnkH2YrS6VtqHO5YhqLmFVMIry4QX7oJ+2Sd5OxJR+wBkpd
uDPI++NwiEiDUzvzeKY0GNIszgvY+bVHJQPmCDVJYp1yTdkaybE7yDDM35/MpcP73ua8QywrtAZa
BmptTf/R9k+h/L2zX9tEfkizgd150ZG7q9UPEw1yafap8vNDsZaSXbiMRblDIAngReU2vt42juJJ
Fbi+ghBn2kjD9zpfcyXFPTfzcWDfBvBLUZGnf37dy7RBxFnZU1CMj0q0k+kOLojfdl331idvyti6
fvIpiXdrqkULTgctrDzLJJC4hucop240B8/TCOTaRK13qd78o8E/vomtUHbTwi629xdzaf/AxyBA
KOQ/cUCuJ1KW4rxNxzHHx2mn0jVDuXB9uPhelI5SQec8lCi3PlRdVCLdJskrbs/CJYz/iItFPy4M
oHNESk661YpCicKRQ5NqHWxQDIiTfaUdeykTV/FKq/PCtgFpiEtCZzvKSPNavOaNcacVFbWj9ovS
Nm60pvOwMCASj4pA0dJkTvPO9XRGCQ0EHR1C50jTq6M/QpyaG8P4odaS+OzkKp0ukurDNOpbK9WQ
hYtUJI3QkLEpWt30I/fa0Nd2NRVnyH5IHTnNc9eOx2j6D+U37hrBO4YnBLRxFjfS1dsq/RhTqp2G
TeCbrq/t7m/JJcef0jZ9f1QfREVx9hoBdk9z1aGs7mfSI4LZH7up2ZTW1vYq1+/y18CqobNAf7Yv
bddrkn2TrklqLm0UlUALzULQm8CVr9dxNHUfMT8K7F4cUnH5VLe/7g9yzcBsGrvansCCJOW5zp4G
+cuQeyu39MJbhHoRnjFN8aR/5/DdLCjTKBz98pwKRshAPllQouq7XIOfbv/3YwFLIZAbrBre+PVk
pVMh20Vel+fcQhg7ryd54yfhSi1haTw4CgrUQzph73xFTDlW87rQy7NeVJt2UrcybNBmHbnQqLwQ
Ka744gvXMKEtTbU6WlxcizOPAUqswR67vEI7DpkNf3i0Wv2gcV26wcrAlg4uc0dAIdKvPDmz2UsD
GW8/rs5xZJc73Skvfdzmxyxc2XFLEyg0NUTbg8ALiAfvnac1wcQ71K1e4Wkl+14KzkpxANBEebZ4
XWULXdjecPvj2tOiIqQ/Z9vbLKogjsykRqElf5ucATHmcqUYsGQCl4eeBwhIyCHPPJ847ceeWhbN
N3UHtt/yol3XJmslgIV9YONjMAoSLrgBs4vA8biMEoXOFLWynzorcqUJPhMz3Xbh4f4pWrCE54hI
DxicP0WA6/WRzDxJNIA1Z/gDtnr4s8nfZHioVrnJbueNZh5Bt02vDembea+NKqVFpnd0kZqTbF8G
w+6/o86cbO+P5tavwAplOPooSFZxL1yPRg7VqFd8/Ios6J71PsuA23vKVvMb58GLgAsPg12gdlZL
O7sZnd1967dziUuDg0iHJxcGXa3X1sF8FjnPV36u+wKe9iQyXnTPSrZePpA7GqxgZbQLNWzR/0ba
kQo9mb651zaocJ4GelGctd6nn3KSGuW5liPbTRTJeh7qLLpMNe+yXaX0eZq1Z341uwKdhAxgyf7+
4G8POovLjc8XsZFYhuvBh2baB6ZHSBUq4xs0XM+a/A1BhLYuN5a1di0vRLNYg9YDvkJBbPnnMX93
rTR1HPSQx4sWMTVPt3VdlN+4YYze1btEfRnynJyvlJXwVWRSqH+FE0ZXn3tAlSh+xhVUZlonlWhi
TFbx108gLqWg/4KiViRMZxMRVb4RdamHS1TX5nH0c+9geKGyS+LI2Epe+BFiFXXFDVvaeSKDx+Gi
q9iex0bdKGeRHuEeNVWwlyUpFWo9j1YZFZvSrP+5v9K33qZIF1Jjxk3Bn51Dv5S0MfJMxVidj67I
4DsQfE3jZvRQFo6dHTnalWdx6Vjj1UICQIDClTh7FnO8TF5nrsM6/qjK3wtlF1iPmu82j7X+MzLX
bt/bt5EBvjM3W8G+rR0ZApfy3EfNB5QCjoP5jZaQNUWPpRMDd4pg/rNpCJ9nX/XIL0orIyzgx4c+
8ff1MJ6GDjdaTegYjv7DvjR5iYlCuIFvUk/tIIVtMcrF2Y6VQxjQJjs57a9Js3/I478BgPz7u2Rp
EqkLikw9dUGaOa/vgzhupbqr9YJ2NoCJNZ24QMSdcY3YcGnnQ+wDVQsXPnM58y8C3ysdqx1xmZEa
ymq52I6G/22Y9I+Sbr7dH9JCowfgPACftFPTwg+M4HpMSm15gRSrGCN/iErDMejz/aBuQD6FGqLX
hCbFXh3fLOejHOtIZ+Dn9BfZOo3hf7htOeZAGoXi0E2+NGuGXEtKuzyX4041z3X4VFefLP9oyCuG
FopbjJlUKckyYGsQCV+POWymuODJK88TGl0KWUMoux6Sqn+QPcNNHIW61vA5KpLPU7EW1i60L5EK
RhaESEg0mM6zIVUK+VASTeW5o28Jh5g2/ao8NdW31NLdPDolyquh/iODlGy8pziHxS+VPiD98Ne+
MidGNHgLLidR6L6eAriapyTwpPLcqta5kUM3VJ+QuPp0f3eJibxO/VxbmR2YMS8nNQSEco6S5NE0
N3C1uUTVuyZbWdKFk/knwOSppm7I63k9nN7PQ8MIy+psd+1OthOg3upDow0/749n0YxlQtUn4Mr0
tF6bkVq/HLyJ8SSS5gCcU+loLZPmEJAaX7lrFt4H4VT+z9TM75dkpL0g4qvOQde7dnwyIn8TRNLH
sIEesHQiNy7hyvDWKieLK0bLFZlrSNKo/V6P0PByPKwyELFN5NKNvMtxdPTI2cX5yg5cskQpCw0O
gjUOvZjrd+5OW9b1OEZVdfYpLoeJudXiRwCD+7L5dX/Rlo47wui4kjSR0xUwr2w5NdqCg99XZyVX
2pc4H6u9UozTj8xQm0NV5JFbKPpTF1rTfpLVxybM17h3F55FAVtBdEHomeNpXI81gnuuAg9UnSH+
2ZopwnHDJ1/ah//H2XntyI0s3fqJCNCbW5JlulvsbnlzQ2hGGnqftE9/PvZ/cVSsQhHaG4M9MxhA
WZlME7FixVqSfmz64/3p3lpXygA4jTASrTKb10OqEGwKs6V9LrPPUY6E9w/YY6Hy+f4oNwIm2rDg
fKh07CNYuYknTKeTTJHxRqGFU7zE/I7vhVQ9yin/1tiJfcgFPsyYOf19WySVFVBdKpS0bNDpcLmU
0dBJkznSc5D3h9r5bsTv7W4HS7119P4cYrMz2yHvy9iQm+csB6wtkQaRKSKV8wfdEQdZfs3lg9qc
7q/nrR2yghbE1hbY4zbN7zuAQv5b88wGHIzBH/AHdtxl6D29jXa6ZW8eCOQ9iWEIPykob7ajPESJ
Mthm+9zW6k8pkZXjYNmR1+pG48PZV44Ydq9+oVHpdxGUmT4fnZ2A+9Z8sWCjBEyqR71s8xOcYojQ
kwBDEd1jnTjvCCg/RklyUiLlRZg7AMf6wbbPEE0+IEMItLN1NkciBeNthyQReI3lB65SxEDyUNm5
sG+duz8H2dycUVdCvVNj8SwwYxzT0+K8SqNbL//DtYkRJRUbQHFq3JthJJqI4rCvidecSQ5UpfCK
2XrsUkf340pL/fvb8takHLh35iqOjvHl+hn/uKRDUUKhxlXumW3Q0JqOHK5Q2tHPjeYcmkLsDHfj
Q1GsWcsJbxXzLf4ppxYluDzsnlsh2Hum3Xgg2BkcnHjP8uBWuk1t0aHdjk2BEeA28NXCzInbXjxb
cV1Dpf6vxDbVTSJd8+cJr3oBd/9oL5J+zntZO3ZqUb6MuLse4yK2YdLVw86XvTF5IFkEDmAMsNRb
qcEmsefOmtKORwLiSmS72tD7prZz0dw6/EDZNBqumS7x7ybxdNSp6eM27p/Nk9M8hvYhaZ6E1VEP
eKiq6qhaCSf/4f42ujE14BGZFAPLGSLvzWkvw2LiDuiGt2CmNz7UiuamvezdH+XGZr0YZbNZuzxq
tHZph+dxcev5Sy/8Snkdqb7dH+bWZIiNVuYYGRNLeHkm1CkNc1Em47NZ/Rrjx1jxNPHv/SFuzAT0
i2rDuhWI0TcXFj3xlQxEOj4XS5Amn2tYk2GmHhzkGe8P9LbLN1cjqB4VfRDGNRXYBM7dLE9Irnbj
c5/Crp3j+l3bfAXfQztKGwuac+DUg7ZpzrkqlA+tRavz9yHyehUB/X9G88divlRl6jZ80FYnh3zN
yxdz+GwmppeMME9EdjbT5v39X31reWD1gIZjjYJg9uZHJwWd0UuojM9Wkvql46MH73bG58RMdu6j
2wOxaVFrXGGvTZQzz3mdm1Y/Pnd1cUIVYWi0D1FSvc4RbrD357TumqsPQSKGpBZwF+qcl7tqWuRp
yjJtfJ5PUfowmsYJyCk1R7fd7fu7jt1wKuEcGnSpU5fZxhrJkE+TnNKLag7U3rnMxVPqJ/G/jfJf
Lf13f1r61bRoJEZwef1UFNC2fa8abowLEDYZoDG5ExfstNeEen0cMc2Cs2GDA4E5bTdDuzRm1BUr
dIf1pg/A4Y465kqK/rcWQOw1GmIwW0ClipLt9i1Mu8UkMkupA+amcOUYT97ePskJmk8Z7qq5/Dy+
DFm+E6zdWECAAvyPYeFy32xh0HCy8m6ZScgUvQlQSfqhOOXOJXADc6dEvJo3aesqXvX0T3Jnm1lC
PNgjJ+Dni4IxvVW8mCLOfadBHQ9nDVy3WwB3NbYxaV8KL6R1eucI3JrqG1+O/m/eJ2dzrPs6r+1K
JonHMfGQSeVBD/+5vxvXP+HykFF+ouUFxJC9D7Po8pCBModD3FnNc13XbpFoWNFnQ+GpbRjUuiL8
yNb/C1V4YnKz8zZdH2/ibPD9dWKQCrbC+tJgGEA/VouRdX42SOnNOIhWQkwWvdP0j/eneX1tweeh
dx89Nao29PdcTlPVITzSmTbg3b1oD7WG+rNqx6kfCzE/WFol73y4G5NjOaFNwZsirjA2oRTyyJVS
DBXjVeIMD+VrHSL+IOEm4Orz8Khn+vH+BK9vMCb4x4CbndJmcxHVajM8l451VmnJiBvfgrGxsEOz
UD3RLHK6P+JmSXns4dWQbZLtYqJzlUIoeqSNEya6QZMqaKyZU/lgjLnt6Uq6POXC2Ku7bW61t/EA
B6G/Kzz/0LYvPyFGPbYRylUdWDTw6NSAEsDXxvpxf1ZbgsjbMCiT0ZqFYC9I8zrtP+J7S+/snCoL
w6RQz7H0MR5R/UNTNq1rb7FG7V8x59mHYUTcS5ln6ylU9MlXy3F8nJOw2MnTNvto/TVwHmBqYTBA
1LMFJZ2a4k6iql0g6XN3VJbkc2mln0yDJnwnKvQHKUTi5f4K3FhnnluKm5QPWOctnFAWXYRZkdYF
GjuY3kIpRvYvHglzlnhnC20beN6mxwsIPolMMe/IZrH1qtBQoFRxZ4iVzDqi4R/C5+vpT3OyRCIC
T8ysgbzVtl/jKhvsg6QgyO1WmhT9G2JI9a3vBul91s+t7Rb90iKEh+GehqprXrWHFg2YyUX3To5d
GgjrHVBkWyh4+/X4ZWirRxbv7VVMOvJuWI3dBa2S16ObRWlzjqyl8KvKwvqnG0YJyDoqj11vVqdM
muSf0KiE6sZ9Ix2lJkUCSZb6xzTBNE8PkeIc6rDd+Zzb7ObtV67Q+qqOA5yy/Z5ZtsRzXFpdYNFW
Tt912r7vpAiOy5QvXmTnzVHq+twzzNgB+cemOcLRaOdDv52aP54ZfsSawQI2vDXJ0f59eaqqOayt
CKQqWMIMf6RCDY3IV6dl7f8LrQnxyirpvnC+w/4YQ2Dqjy18M+GW8xT9Mw6hBk9mFA2RmTI0L3Yx
G15rGOkjmgBlBFJvzzUJ4oTEoR3HZvlPMk+D8ErEdskThkj7ZCDUJLmyFi7LIZ/6sEM3ZpI//e3R
WW3m0WLSMIBbKY+Xs2yTZTazcRZBpSrVoWw7ha5DUofBcHYh3DXQ3q4o7wrxMTcwuPtmRfvGslLK
jYyFwqofRrmqeaJLcf9xQtuvojD8PFlV6OtSPJ9brecgqMt3HOrSnQ22DrT9IdwW6Aes4qjIkVxO
OqrapJYM9ldlTQ4y+cmn0MyzM+ap4DApXmdp93eP69tmAs2llW01jMMt7nJEq9ONNtMXEZhLjcqn
RdglFh3F4t6MDuyz8QSjRzzc/7abQOn/BoWuRXJgrgLjm0ApGSIstlJFBNhgte+hhSSoapSVbzX9
fCAa7E69EuuneJ5jL1zM8n8ZnnCbc7y2n23LyDIKHkXf87nN2mw93SjG7whJKwhz67+yoiseTF3q
vGxoVQ/gdK80v63RrbOnVECsxou4Mlw3aZ8hU4q0Q2kITLlLPuZmhw2CLqNbaONtn6CsddCmZD5M
fdV7EdH7sRON5BHmfNBgSXiiURu/KsfoqzWIvbrQJvR5+21k6pDpYB6pV8bYcj/R7qGMdRBFIA+2
gBk+6PiKd4viNqBq7+3BCl/r3NF2Itjrl5I3ErSWrjnaWq4UjKiT1ANFqTYYMPSZ3Dbq6OVyJLOX
T7iU6tbOFrgOuOgxQGAMlArEmU9xue0Xq4/HFG56UFGcfp/r9JHoZjd7tlHDGM9qI/l6f8uvf+Dm
ZEPd5mZ8kw5HWO5ywCRK43RJnDaQ1HQ5SuvGA5jeqwTdnNYKHoG1AKpuexupqIydM0Rd0E+hWWDw
PGht5gFb1dJrEuYLkZ4UauOyk0XeGJZiL1K0q+4J4g2b1TSTBSrTOjl1/qEYcHbgsBbSgL6j2Emx
buxPwihj3Z2wpsAzL5fRqhWnJZvsggZjGJEbnmWKg4lxXQ+5pbaqU1fuNfveiGIJSkAYqJDQ+AJ4
cjlmPbZlNvT9EHAzOV8jI/86mXl1qPPC8GMDkxhn0nJvIGx1M7xLPPAwin6JbmA9NYR7Elw3NhJa
7/QgkkpzX287sqa0qsMOOdKAbj39QzxFyzEfuj2o/MYNDTSIRhv2hBC9tj2dNeh/kyTqEGR68dI7
4TGzZH+WEANZHqoWRRtL+zTq8U6EfmMfgRrRiAhRjdXeXsyTgve5NbZD0Eb94MbViFNd8UPu4nOj
n++fxxvhMrT1VTYH9wne2q0WVlGRhXehMQSyIpKPWij15rmQ0sHxUhGmL2balx+y0K4dN9a4p325
7qC/ibYpfmmRnh1HubLcjGfsJaqT6ZWK3/cm65QzMW730GaS8jpo2LLd/9W3FghfLiBVjAdWlvXl
Vozg7vRTHY2BgGk/Gs4A32H4qU1N7dVtfro/2I2zBtK5an8Tk69w3uVgtTlqRVuu79TUDt7cLpab
5/kvEak/4kH4XQ2DTRd7cd+tUVfrXxp5+Spk/Jejpr3ZW32djEFrGh+74t3S/DvkpywkDhGH1dT2
/iRvbHTurBVye+si2iaF9pjW0iSqMegG8zxFFhJzX0r0+ers4GjlqfwVjvMOwr+tDa2PLIWKt/eO
Cimw3+UU7ZkugkzOx8BabKQtitl+GHITSXdEE09Cl4cTooTVOUrmzC8M+xtxpjgoYJ1u4cQnY7b3
2jxvbKv1EeSaW/+6IgErkRVGadGNAbYW6RM6eeI0g0yfVC6GBylf9hoRbo2HsB+EBc4fb+K6B/7A
BZZ+UqSeZz5Q9MWvIPu6nLyfkVZ9IxYVf39mYJ4RzQDJgULImw1VCEeYWCBNAd7g3xsgHGf5rzbm
z5HZ7HBK33RmNo882BvNYBShyPi3+l8pj1AqO0kfzKY6f0LO7XPfpd/lZqh9OV2Wp0jNHT9uNesT
dPvKy8eufcGwJDtYcpJgGZkYaeHOdfkbT+O5gXrt1B87JnYMQXDdOA1VN62y6YQ4gnocQR12Tvy2
XsPO5I2D17ESpMlCtvFDV0mW3XbZGKS6ldJQLPX5A6mD/TGKtGM2DOk5KkT7Pk/s6BxbCHUqKhTd
0SzJdJPCOtaxNqG2Zmq+oGpyapvUOfaOIc7VUM54wygCBxwzdOXc/hAXqeTHTk+eg8CyV3AL+Vmd
PybDADNwEHtt7je+Dr6j1Fpsoi/IEFt+5URbitMWYgyaDL8aSDPJx3Took8JNbfDOA5t4cad9pl2
xdkTizYeS2ueDurcpv7Qj8uhn8PenbpBPCKlGj7aXFBeS4Hr5BiReSpnI3RLOcFsR8PVO+0rfWcj
X7/8/P5VwHXtoefOWkPoP05NK6tZHxrGGIRLHdISJ9WIsGAjdv9CvD6bjEIAyaPPtYga8uUoNn2q
clZyF+hCEn6ZKcu7SK3GY27Jg29Nvbozq+v7Hjge9smKERLObNscFLPTumWJp8AsBtXLbGt8hz7N
4uqxNhysrIp9IewKuWtjT/Xs1siIyYCiIJoKd2oT12UDWplhzS3UTXV4StToc7qgGDgOBkqgsjq/
E0I71d20h2dfPzkUXLS16RDsBuOKzXc0i97EcLddgkGciMB8BECm94bZPSrSaa69bk/kaAUNLm+l
dTzkB96ASMNe//sf+8aiqDSXabIEYz2e1CRxNQU7ouh9o+jeUpo7++fm7KiAKPRJMbmroma/LrjR
LwEd473fOg0kC0fSOOmG4yqz9SxBDvTnZkWdTHPZ2U03di9AOgkQnZ1Iu2zpaaLW8qqc0Y5rFfGj
Uwo/yX+M5u8YU5X7x+TGojKQg/gPGsZQDjZvOK0xljLK3RLQthC3L3L6bPSf5Wz20Oa5P9KN/GOl
FzIZFmYlbaqX3y+eQsmUc2cOopa0QoOEekhiP828DnxA98RXIXK3VU+Dafg7Q69HYLN1VhfOtRGJ
BI9micuhw7AahBotS0ARdPBA0MTo8TzYRz6k8eRMceNKRgJuZsSFP1tIk8TNkOxkBbeWml4rGJYs
AVHvJg6Nuj62G50f0SeLr+fuAgaiPBp57HEj7yz2jTuBpBJQBSSQfHard7YokzpNlS4HoBTvgMvt
kSjI4O8aCljim1q3O/HnNe4BCsFNsFJxCUG3PCGQ6qnKmhmDYyN/kIixP2HNmLh1Ke3xDq+XkZEQ
5seuDXIDy3n5Lc06rrtuDJWgQ2dRfW83vwbzEVELl+7TnVW8NSmuNhA2YiAKH5v4Tm211nLyRA1w
PBJPZWvHWAZI2rGvhfT9/ha9fhTR6P+/hwNQ/sorUTRKa0XGrAXpUNYHaiO9Ny323oSurxUoUyDR
hEfrOdzS6ierLAt5lNWgH/SPKorlcuu4Ca6wbb6nC79+hssjx1Ccco17RSUN3ry/xOGmOSeWGiAp
9KrJviK/Q5r+GM3yiVbnUwvGQYvrDoBz/cFW9h2JEBAcBFF7k1eivDJmjhg09IZD9P2A/iVEvQdE
4XZ2xo3ch5FWaUjuZgLHLRGlbJcoTwumV5tCCYxB/BgEfUJ9adbHoopeFR1/t0ZCPmWw8JvIlGZx
QXFjd1malyYRf6kWRMQL5A9ZhYogcQC42eWpABgbRi2UtaDOSrctfmvhl/sb9Abc+1ZUWCNOlvhK
fN42otZeOkXDp0lOU1fptQ5dgRA1WX3m/pI7tf2SNMlY+kTlZAGa0eaQYuGbCa9LpH46jL2YJC9W
jSr2cjlGecXpRbFzkG7UttB5JPpf3T5o3tgy5p1miut0MrXAqjvdzbPcOvVZOzxVkdP4M5R+z1jY
9ZoWYv3V2P/0Uj/vbMMbxwyZH7YgxZi1ALK5okYjs/qx7fUgtX9q/Spocy6d4liE6s6te+OQoUiC
uxmHmo7hLfgzh5iKpH2nI5o8QwQZ8FLLLcnEjjivToZcp4e6mfKjlIv4NEzarvTs9a1FbA2IiRIE
Fu40wF7uukiq01YZJj2gseRJr/Cnl9PXWXTnSU6eooyuZe1BT34mSgLqjhytoeDO9zrgknN/c944
95C0iJSIMCxWYxsahsbUk6frAdc1vQJK4SKF/0T36Kf749z6sKt7yxpqG7AbNyGMI2eiTdXaCBzU
YJ1uOc0oto9DhAXbzkg3Z/THSJvrU01au4rsygiytoV69jUpksdO/nl/OtdPKdkXHUHUK6hYEGxe
fr62rim54oceGDrIoDFOo4cx2WekLmgk7ulEmhX8ee+PeWti6DbA4MX7+JoXqpdhxztiG8E0AoaO
swVRws71Yy2aPTeJG1+LSgV1OdJAuti2Bao81syO/9ODqK5fTQf2WSy/M9pfDUKz9yd1HW7hFk2f
HBQR6nAkYZcLOddJ7FR46AVYVTxK1mOtJX4sI7Gs/KO1v0v1eH+4GxAA4wHRIIhGVZGhL8eDoDbU
vZiNoDAWGXdcIgeVLa/MJ6Vfptabmth5ilCm/GYXJaq+ghLeyZJKuoJnvam686jMxnOjOInsDuaQ
LV5uaKsNBm1b6OAYIv6lq0UMpdzKx8qVokV+N1tWbbpaaiX/3J/NjcSA2RAVMyXiYqDazWxCxcQN
VDUCfCrUJnGtcHZzKTvVtHPaspcqKN7LLz1873mcXGa+8/W2zL718eSuBl1jdP5hC63pGtHXCoME
VoS5eBV+GHO6nbqvWpw+i6+W/Fj0oyvEMY/VPcbbrecK/JDvSMzMDb4tlU9NBj0NbZZAnX4mi+HB
svuRda+oVFJYo39WSz1TnWoaaU/3l/3G20GiA1wKPZt4esudKrKVRm80ZhAOEFPCKRoOcSGkczk4
qJercnWwW1vJXKmeEBOmNnS4P/6NiwBvbmhiCKTRL7+FgRokPYmvBmJR5D39aKpy34Bu6zWJtmdr
/TaXTTDK24AgG93r9EVtiRFhvBjaHBOtpUt6QMPRT53vTRK+ZBAcQ82b447OPcyEouFotp8ifdXc
Pc/luTae6+h3Pp+cOHEVNHg7IIc8pulAOVqC9nft4f6i3NoO5G3UrVfSMTItm5cstMBaNDPXAl35
HjaJ33TOL+p2vq2+W2GAvh6O7aSdu2xPku8Gc2mtx701hqKPzVJdnsJwqSQ7JXAioo3OqhadQtx/
deObXU8e/umm/U7G/1rPjJOlCT/sz3EizmE5HVsjPuex+eH+Sly/TfwcdjlgAUWba5TQyhYjRiox
wP6x8vAMTh6ztNUPpJVkEbBXgQ3sv350V2FPyISrhQ636yZ9mLXUrsMwQc2uWzDS7cLaT1W1cIth
Ts/3p3d9+lYZGaJoGRUjksvN+97KtWm2QsfbuHW8Otfet0nnjUX1vEza0Y56MjKTd1+83h/2+klk
WA1i+xqXcvbWQ/kHhlbHRgwjyzQDqfw0t6/x9G8egRvuvYc3Z/fHMJsbXZXKfJYj2wy0tDqCV/9W
4F1oZf+SjrQ/ECMi5OWP0k5r0I0tw+QQRCbSg0q/BViGuG8by0SMsGlXuCM2o6d4qpuHPC8L35Zq
cbBrNN/ur+j1Nbau6P8fdLOiIl5MK86QVxtoR/MpRQD5DtW3qAnF4f5IN+4GhqI9gGwTMOsKkixF
OBtjxp4pnZ8J6vWWc+Y8e2oun0v1KWsfh/gc13vf8uYEiRBRRoPTfyU1Y9Y6hJIBF25yCjfHMln5
YoZ7EhV7g2yuPTVvu1Lq1w0zKX5rmW6YGu9q/a9jTxYQuhQlNNx/7S10FDmpieyRw53iRNGhA67y
+qL8Bdw07ERo62V5+eAwEs8bEQ1fjBzp8pxFQz01qhRbQWrAezOVtPFqaun/wygoeK3FILJdFFku
R7Ebuc1WEY5gLDFSt0eF+pxNwHB/310Ht6gXUk8l1FxZZtpmh2fmAg80FHZQygVyuUUje7mT23id
ON0jKhWLO1bNP3ls7Xko3BoYRh9FLjQUwazWW+aPywpd+HmW5MkOwnHBycUszCMtXwW+f8lymFIr
PytC7U5GVlY7R+3NuGXz/Wj+QVaHJ5G3eKv3oWkjBGFptAOj/rTIXzD7OxbJeF4KlL+SHxOEyUw5
64Z0GIzHYQUSqF/RKuym+uw6XXWm/+PRRtwlkZNHq1s5Z7tlwPUx2v5EttgaIwDmob90uTpRkae1
lUhmYIo8/Y22Q/2pl+SQSCFsXnRJrzy70TKfvF0/1eYC+oZMO5JvsYcwluTbsdYfG2U0XihTyV6b
6vbn1BlNqHpm4/eK9M9ULNmHRJbGnV1743GAso9KG9E2cffWm7Pua93OZ64xa1G8dDZ8ufSr4Wss
PyzVv6J5VYzv9zfwjcPIQ8vLDlMR7vyWpjkns1PPYYkYiyH1ByW3foQCztP9QW7UnEn+OOqrJSTn
ZKsiaTVDhSZhaAb53ASVcyisJ5BjgYq8my1u5MTHZf7HDH+XaewW8UtEH0goniLzWaP0opTjMbHH
p474u3Wz8dDan3r73Kjvqo7evUMWU+8azHYnHHizIdlsIhaFIj/MMJq2trq2kg6WHnIrBvKiVOxt
PLU/KmbrfEqEKQpvyjT5pPbWUGB/o3PAdTV2Iqib5fxfryc0xjXUepYjSj8JVee4qb6HrZNErqWG
MuquVl5CQh0RcImtTBW+WqClEhuF+HdajAWLmTFLNF/JFv3flPp67KtaUspeF+dY7AxJONBPVYk+
P0gG+nt+Had9AQ0wXY0Vytn5YTSdZbuGVDTBahuZwbcM6cBWcwPdA1GrS069bu4eCYXCDxhDKd/0
OAvJeTuVhLkyMqXnLgsly+1zJUs9xPecU26P+tdo0drRdSaj/SziQk7ddujKrzmq/MKNuioiSjac
Hrm1qM58qHXU20NVijzJSXgcu2Luen8e0XZ6NAeLhKZtQQUPRl+ZyQmpF7N+6ETX/5AHSVEPEmIa
+sk05uZHBfj63YyGosS01ggjz+rLZTxjNGdpbr6oRn1Ata/8KPfUJnby4G38BFEdTXvavXki156o
TdSGlbYjlk4Cmknk+lQpSOcp9ZT6TjWET8moikMYy3tcuduDQgQk/TcUw9oEwnKrJHI1JGYwZ+f+
i13p/lIdlO4okr9NONfpoUTJa0n8S9/DZnqtHNNBpNXEvo7mhrH5xWn6BzL7nSh0/WP+PFKUGLlr
iK/pFVz7RzePcpHUei0XMgm9xAkwfDVE0Wc8adoe5f0KtlhH4sxyP5Oz0PmoXr4AeVmHyzAII5jT
X1PXvWhpcxqHd0lZuGIwXiZbO8nle5E5P7NxT8Jse4kzNhQbSHXrXmGmm7GNxlmkJSSUCudV2Cc9
Uitzy9J4tNLWVWhpU/CH7XcikW2UuA7KzmTKiL7xD5u9kjtml0FMMoO+Sd1YpH4Lvz1CRH/nKt8+
rYyDxy3UNsRwyAO3leq+j0NFbRU7UKrSPuWdTdMqTFaPFhnlqPZC9aPcjDw0ArqHNLaXb53Z1Ud7
cL5llto/zcWoBHNIWJC3qC3OhtACycQFShJZ+qAPqAeHRmkeQyXeE4bc+jLREYagDfU25Bjp+WZf
XO6JZMGHSe/SMEjyyNUyPJljqfg8RPJRDt+F9qnRn5zW8uRVyiCU3o1zeyjrGcJP79WFb0gfrTE6
tJHithTBU3vv911hfYBrgDDIhvHT4E9cGWO3WSSDVoaBovyO+Yhpc1S699lBbyK/lBd0/4EaNC5y
pXtXtXtfdhsJrKNDPMLoYE2+jS0dWBUYGmhdHgYF7TdulUiyG4fmTrhxc46Is4HMrueDMvXlN5CU
2KrRguRRHZv/NItybqqew99S6GlSkITdJyMaj0akHFGLxKJvj3l6fUo05NU1XFBAF9B33cTrcaUC
rRO3BbZeupFcHGWaWjv48/dPyd4wm+tUM8M4sodZCtRkdoVxkupfCg459we5ynn5Ym88aoSlSd2I
sC7XsstRxs5CRwpaOzup4+CikmiOFHeN7+2A1mrehZ5dCy+f8x26xhWzeh16dYog64GiTP/n5dBF
KiTI8Gn0HCroX1m+pFtnRjfM11ARaF627qIZ/+Ta8FHqxStmb/+OCFMKnXhkelRLE3jwNck9e/5w
f02uIs23HwaPBXiUxaECd/nDYgDIzGyK6HnoDkghoE7uaWby3FTH3Hiw6LulZSEqPxRYeyK9LFBB
U6sPq0kChi++UpwVGIJ9+jmtDo7zoW+Paloe6umcpgMoX+sl9aPd6Tu+OdfvBbExGRUvFmt5paYA
/ybVQrXmN0vHGW4pI1FY6BOk01LLs2WWrrZp6qBp8/5qXT/H68CrdAdPPsXB7WLFqW7QTRo9O4n6
PFqjO9PYjv/TISvih78d6q2KhloTZujcb+vt80e+mitWpOS4Gj43oW37wkqPna4sh6j8Aen8eH+s
N/mJyzBjHQzaFkEAXIct4RuKjSZJJIF4yaaLcM0sanM37Gj88VQ1VSY36ymzaujgTa4kEYfosZO/
WhI+0268OPNT1SCdIS+2etQG2OOuMijjL6fNoy9FUXU7h+n6KyAKgScT0QLyUqAJm6UBVVAKfclx
KqFGTbHnHJXhI4WftW1t53xcb7XLsTYorqXmdUM/CKasc742/4ajX82z79DFfSxj+1sq6csxlrPk
IZLT7nz/u9ycqEPcBxUTrH4bQzchux9UIX+W0ndydDSrd3mb+E6/V9K4EfxBhlyBLAW++9qydLmi
AKht4RRp8Uze5PURqpjt51r/D1DgsFD2ywd3jE9NKflGZe1EuNevqIFq+FunwZrvbq2MNHvKQwcz
+2d+mfiYN7ryVBiZ9v7+Sm7RH8RdHKJn3lF085A23hzcBpUC25rw1jOGMHmcKNd40B9r2CWTmjA5
WftcgPHhudu24c7pujX2qj7KdYEdA+Wpy8XNERYqJwkruBARtBE3Fr3JvFhC4gO1n0zV3tda/e3v
pwvZE8iJvbP6eVwO2Si9Kjm9hp0fvpPJwp7VTlb6jXU+Zp2gi/PL/fGu8y4IDJTf6H3gukLM+XI8
W52rUpuM4rkc6BkGkhjjSPLrahrL13aqUvXkZPbSnqGeZPav+2Pf2kCrUhAme+xe0L3LscVc5U3X
Lfj5FbRgLbOglKbppf/3o6yMRLozuBBgm1+OomI1A0FFxoJVlAVXsay8OLUyH+6PciPag8gAy5I2
L/TPedouh4mKUS4yERbPFLNcy4g9MdJ1Mpxl6NdxPB0lIzpgkhgX9kcp7IPc3gvEbsT8tE3A9CSm
XuVIt7tVtqKCozRjfAfD3ZXNVBwbq3iWreKnavThEb2a2M0qi+toEqFX6stPqxHntJXnY4hU+akU
+Sd0lQovI69zV8KaFwm1P1haoR8T5X95KKFKAI+T88PG3bZ/NQvuvxnqJM/CkY5o6rxMBCRd+9qG
ez7ot65jCBlruyNyGRSaLz8OrSFqL8tD8az2YfYFn8PQx4hteh1zR2c3GOrObrh1qkiGOVcooag4
q16OZ/WaU5oFO1vOfztO5kLOKIgHxscy2vNVfDNJ20QAjgO/koyPdPiq/dtEZQ86scRnx9HofTag
x6FGinw2MAJ+F9N+7A+C7hy5kNqDU0jcnCh2+hCC0lNqttVR0wrnHclC6sEI1TxrTAY/j1rpfRFF
9A4rnX2eHWH5XRcbT5HRZCeqeC9RU0sHPS3r05hq0aOsjaarimb4rdvYrUuiyj0syRokHbX2YVY7
cuXKso+gYCGdYJnYeW9v3dSEQTTrcsaJhjcfeMghHALBYV8lLb/JHz7FcugqSnZkX3t6F3mzDOny
/pG/uamoMq5tAagDbvHkQrJDtZ3a8pnG56dWmbFfeKfHZWCJ7/cHut5N3CrckaSr9Nqxfy93UyZE
ImHYgCEogQwGtoWS+4IDnS3WSzEsn+6Pdh038dAiK0nLA4gOIiaXo4ULaalj1uWzZv47WOe14aFo
3Xb8T4/yJ8jEH/B2vT/iGwn4cgszJHJI1MAhMWJhcDlkNIlklBWE8I0YTxo4pbOo3ExKnF8CbZfF
regWJNfTnLbygC0geY/447xouDV/lbPK+KyitTK71lAvvWtVpta7tZxpD4so1e9VH9YfndhofkaQ
CQZfLoqIri6jNn50mJ4ddRh2OxO69cHgbkOLeKMtbJ+cISobiEtj+SwJWlJq2QU/hkg0f8rs0TP6
dE9k8dYnIxGkNsYS8r/NdTPFUZeRvVXU1M2HmVbTICrnY44FXxzKZ0fL6Frbs+O7PnFcmhD3UJay
aRvZtqbMg4nz6RyVzyYKSLVzLM0fjV09UgHv4vjgkI/f3yQ3Il0GXJtoaS5Y2XXrcfwjrbILNbGg
0GIgK0sC7J52528FDOrHaKzDzzQk2INXaJn9MYYObBI35aCd01ChdhUbE6TU+7/n5vzRJuCA0C4D
//vy5yxL7pBrNSVPSpZ5ekpVLS4HbK6GrKTk9v9IO68duZFlaz8RAXpzS5bpalNsqVv2hpBGEr33
fPr/Y5+Lv4ssFNHnDAZ7BGxAUZmMzAyzYi0r/+SrkBWhGGhtWJ7vsuVpoeRKBoHQ1hybXlpu6SqI
YswBNQd11+mCE8dHJRA/nKmzzQTfNG7YOt6VSyueNKDb5I3ZuZfuGA63k+hzR2ukzyfHEHuA+/Ge
ysgGYnodEc5GIQKAvQVEzLJmJVtxl4jjxN3TQ7uguiTYG9Hgtc2DeW0e52JQl/Lo5bLKzLc835rF
bpl5z4nH4qdks1V+7fwrM5yWhjx92WWaGxiepBBHZWcfmcgYEHwpfB68Fw8Ipj9tpLnrV2ge+IaC
ZUa5k1Yv4s7GH0plHBS2TEn2U6cSdLaOkk17uau3CNDmb770PGBBkAqR0s3ncLF54Vg1QTnL5wr5
g+e/iMUXUbVVH0EEQptfo/mztrZIqq65BCAlnJBpXhjwFzaZoqyBq6GhSufPO9SGNu0iuA4Ot0/z
lQIjM+xwu3GkmOImjr5c2tgNNSMedX6WggKZArqsz0FWOt74mt2hl7srTM2OtyKIa87ILBxHmOkA
ntvFldYpTWxM6JifVeOhSF8T7b4StyoE1+6p9zYWbwO1lawLOjR262iEh/M0Fcz2wl8MG5bCxNmG
N17z/PfW5l/z7pKG9bMylMpH0kZL9m0sO5lR2ErxNaqbO03ZUkW45hvAUQDXQP7L27A4zGLfRpHQ
kXNpGuCKqCHOgwp6q8F25YQxwAQXqkWQAnJrsaZkkMpmyuLi7OtZtq8nQynBJrfycRzS8C6DbWdj
E68sizWRsTIBxnDBcmZqsqKkyJIWceK8CA4+fWIb8pIPKmrSIqKlBb5zzhtMuv6LgzWYZhiNZled
1UH23K6FecYsBGO3cbCueMQ8GsxMMkQfWFqYEUAdx7CizwoLFHb712IIHmPxVa16ks7iOaGx3Cjj
af4vlEJ7BbKGAKUJ2O7tPO0OdAN2XqBulK7egFcXNxmVPyos1OD4UUz2Lr5pCdOmVrPmc2e0w49k
jMPIKSKmQ3f9qOZ3TamEotPSWYh2ShgLuy7S9KOqMOO0k9q01GzUco1fMViCX83ooULgl41s44VV
7YzRqH6CHakCRF5Zwd5DGcTYq03QD05Z1SADR61sQLDDgfpHaGXVPwgM4OoOc/f936g1h+GQ6F7f
fs4zvenvqqKKFbuEjqW2jd6Sw71vdHM1MfNi/uiPOviDAg7RjS83X3mrPaLsRcUcp1+p3sixVfRW
EehEsaVy0tPi5IkphfO6F08ZKEDHmBpjtMMgqGW7rqBU6CxxFpXqw0czL5MNOop1AMirPY+LAFEB
iEYp4/JuQWiFXBSUypnP1Nh5opzytNkp1lFKFNg4/Xu4eA8T0zh+HH2aem8jIFpd1m/mKUCRXgK+
XPK2hlkima2R6Oe+9g9ZqUvkKaETeHm4EemubuzZEFWDWcuN5t1yFrssozbqpkI/52YGeAQKjaQi
g0jtqmFQuXnsvY0zumFwyUJllZYCLCrXz0Dx7RZ6QguK07rYSZpqG/Ffwfq64VlzTLLwLB50sO0g
j3lsl52r0DSCphc5feCDuz03Vf6ghOq/qQV4nwYJOmFhPqmvdQmkvMuU/FD0vX4UZpWR27/k2jcF
IMxH5S7EzsKl0jRQOyRuAF9V0q61jqq0p4C28T2vGwHZwkclqF2GFgRoqQ5Hnn5uAALWNElpq3Pv
bxzXLSuLrCC1KNn4XoaV+r6h0GhkR1XbCADXjoLrU5ym10i9gz9enkD4KpmHz1UFeeJ0x7CWLN15
8QmqJkdBmzw0N/zyrUty6SecNPD/dDbm07AsfAQi6iCVFqlnQqjUATc7QbQ7auI+DT/J8fOo/hDl
ryJlY1HNnIa6VdWNB/RFn3yV+Y5k68W8tvx3P2eZEjW6Pyh+zc9RlEfVg7VQf2ysr418GKKHPtvo
e6wjUlBIBB0gEWb2fnb7crPx/TgyNMFAmFXUH4c4M2y/AD7oEc0dQGdWZzn1eQt4Uj51WjE6JVq0
h9vnYxWJ8BvQe4EXgs4c/FyLwoysBDFISsM4J7yPdJ92cfr94xaoyvMGAzWD0Wje83cBozkz81hT
bZ4LUVCdmMO+E5NiS+ziypejRAEck3oMlDPLK7XO6zZH6JArte0PgvIXwOyjED6pJzlMdqTpH75W
qIjQ1QD7AZJNWVKUdCEagZ0Qs22meK/JlLUzpAHVXN8SP1wfejpvJC78L0hTMKeXu4cIZyHJcLSj
Ftk9ZHUT0uIPP0metXESVyEwWPn3dpYHX65pHojYifvJNqGqiMOvgHf3Rf/xR362BGqFhgB/emuz
vPOHEBc3u5lXJeNSOJhtrdii7yd2C3Z35yWecOqaybuDYxWiJm8QDm2baVw/mbm/7ZirQXfSaRXJ
LvILTZmD8EXgKsKbJxi+h7biKNg9Ek9p+jWQ91mqvnrMA5ZHY9qVxeBGWvZSDMMrPbsZIJrE5cYv
WVX35gEhHss59OASXA4R6H4JgrSWrTM5Cj1eKatPZWL0d6OSxXsC747pQE86lI1vnLxRlk63N+Ka
eSZ1ITLliyiUGS59LNDLIrIyzAu9BUOkX+8KgzAwiwwUfq3TBHeynqHOqG0se5U4kJrQX6Yticol
xYbF/Rfx0oD319qzOrpe+F2jyhZOf83s5Gkb2cB6hSoFJ8g0gINBybIEo3mjEMPwUw3nyYLuUmjR
ORgcwftGzbDsVYp5ggO37cZ7vT5SGJ3RTIhFoWi7nGoYeyXoNV8ezpL2GQwVzyks3M+ZPm5EH1e2
keRutsUY3czcfvn56lZEtiYwhnPJVBn8InZrZgwGg82WXqSw3IgQ5gvn8sVWGShjbnEGhOI184Py
7vgWvtjWXh+NZ2ZBHnsa9IWAREu2RTp8bVGUvRidQKh3nQoMZlQJdLXGc10zmdo/BwEw6cxuYKH9
+FjwnCq+N7a4/FoTrDsSBuPZmAIcwRHzameJ/pOSpP8y9VdVP3ZC8ZgXd6Gw8e2u7Sbv1TwfP4PP
loOIoiCqnRc34znQT6EhnLLY1gGU3D7fV/fynZHFOZuynClEsRzPFP6OhhraST8+tI9+sJ+Ere92
xekRLOBfSimwhyzZ0QZGyCwjrqazEgG5DH8oteyI4m9D2XivrgRPzMTzgMC+D/iGrv+lH1YGHp7p
7XQWKtBNxtH8LjaMDu1ywkOIdvdZsvHkr/v/UMu+t7i4JuNejpn/x6LRTgdTzT+3zxNESw6lDBQy
h/wR4fm7bLDl7n9lmXYANXPyGE7f5VqjuBp03e+ns+Z6WbqvimNKfn6gYKnHv6pP4H/q6XP60Ur9
3N9iIAyIMTOyq0cJZuB+LCVkfKKIQl8o7OMi/vi1zKgOJV/Gw4kxlw0faYzi0JBykSa6steEguAN
mdWwamou53Bfj+FZqRlPV8WNE3HFSxmA4KkjeAP/vcQlSPTupFGpxLPRtc9dfpelp9r8Havtj9sn
b/3uvClLMQE1eyrkxJcfDkBTNVaRL52hIqybR6vo7LRAI3Q3yp2TScreqP/ctnjlXDDBpyjw1OOu
zEAss8RJTRop1qUzJDjqlNpRLTly9K9PoErJHvT2Pu76E9yXzxt256Vcvgvz5CBgfWpJMxPZwkcV
rTWJfjXpnD0K5t2kSpTV4IQf/4Pyl7mvJnsp9WwvGR+OIWazPEXAPiixLwvsUdJybFpTOkc1E/7x
Qyz8bFBlDN1Q2Mhj1hnGpaXFM9sVciNFg8G3bCK7/SX6r7L4NSvjXXDvQYC2sZ3z9bXeThrMMDCR
HYqLrEnsjAZyVdZVj/vJtbi0Gc33NPTPIgmyNQ/GkT8+N95ts9fWyH7RZqIBpBIcX/praEFxo6mZ
fDYNJpmsQ9A8G+j5eU4b/hLEjQ295qq4KB20maYcKoL5cXwXSlRiGE+RmcvnFCxr3+/C2kb7GKqm
fVraYfkkdLGdoO1xe43rsz9Puc7kEJQ3FG7TS6tFE+jjFCXyuRSfQHC1cb3Pxle/7Tee9it7iZ15
eTM6n2jp0k7pJUpY6pV8HoraMfNfAUJJUViAoUFdztLu4YK/vbCVzgp5zIXFxddLsqGbNKPm6+Wx
HSfwked21n2nPS4oTjmUx07YqbWFaJlhk6/bQmABGt/l/LEZ/qu18sGzjk1q9yViErhZHRrHzNeP
iWw4mgLafQu0ddUDwGpxXcz8XXjd5R7lUSq3elvK50I4RF5sy1G1yw5APaUSArnS9gyGW7coE6+U
maENIGog0+GqBOBwaTUYpYLedIffBdofxFOcwQr3orIrSAzEP0TsEBtXdmvAm5tad7c/0vx3L841
TwLeTpEb6PByaEzSqn5qq1YmPjI1+CDq/DB5SXy4beXKu4MODbECVDMQJFiLd6evyslMAw9PiLIX
b5jO5aQ4edjuBD1jIFjkcyrUtOqNy/jazs7cmyTWAJn4nIvvqQdVXwnUu8559x8McD0WRgF1XFsZ
dqNpowSs/K0FeXd7tVfNzuQhb8eMvv8iwA26Ui7qSqCKCNodOfNaGHeDntrmcNKl70VcfNGFgxw+
wur14SAJzsh3lhevbQ44OTZiXzvnQ1kx9doTuTRIo9xe4LXPyTPAfDzSMwj2LbZVSUIli7xAO0ce
fbSYcdXm31ieBBib/a7b95/KyDjeNnntaNK0nkmawB4yV7GIr8VJo9fDkT37tS3um/FFht6vjI59
/kVMjEM/xba0EUOszwZxPMHcXFSbaf0Wmzky+ytAMD+dEzlS9m0b6qdaMKrT7ZVds0JHmdBo5tRa
ncAxUCclD4rpLE8EtGOIXg10uR9VvSAe4Rkle6VECHJ6GflVHpzUcVlOZ12Y0oMZwrxiDkq4cZus
37JLKwvHz1NLp2VNYtAhYvpoINqyR4eugS7VFE6Wp/Ybe3fFHu8m2T+9XoamlrC3wZrkxItj6exF
iv4z16zxIHUm4YHmBZUNNmBLcHudHxPHvhHI/U9Eu7jIZl2yijyEoItmN/BlrwmYvIIuS8jLpts4
ZvMxuryb4SpGBBo8lMwxWxZ1g2wA74Wg1rlKRdsYfTsYRp6kz5r/dzIflGjjiK0389Lc4lQPpdCn
FghPgEqRoyWjw4Fz0O2tPl5xvTQ0Xy/v4iyZ+rHa+KIBCCX/DwnfxyCMJruVbdkIbMF4EARtZuhs
XdX70aMMc/u8zVHHalfnqibz5qRaS/oKwyx0KybOPacM0v4Z/ZP+o0j+xnBz3bazPtfg/+exipku
GG7UxSqTOgxKAYG581T5v1OQ5zx0Xrrxwq39ESPMfNHRJF+l7Ha5lRIyZ4OZp+bZStLQAZ7HmugY
Abpv+v/Net6ZWkRzepqZegH9Ck0gM7MNtcj24QDl5/9i195ZWThh709Rl48syPTSQ9NMaPFt8Qpd
c4D3e7b4MLAp11nn82FSY5cJReak9PNa49XUE9hIoi+3F3TtVL2ztizqzyQYue6xbZKW1Aer9dqd
PzUvo+U/xtU4bfjD21+39G5KGCRNsM7NBfRLh1Cnugo7pTTP45jtZMiuvKZ+qi1pL0bmbururaY9
Isx2UuXWEe/jMbHDVjpKefvTirzvxee4M/5asWcr01GRSH4o+Aex5KaKbo/ezoDoBy84jkDqc9Xu
4o6Q9PPtDVt/ntmPZQowBBa8iIs3ZKpCaH3BxEBINkwg4Hjb5V0z7FTvlKnm1h17pYpmoivMMaWC
TPF/ObeuDkmBcnWsEHx/i6w7RlHTHM0QwQ4qOAjDdnS8ofmnCM9BKtttKnx4Mpx5vZmDkaCGUAOM
4+UHq4UZOCoUyrmD1G9Hp0ux1UjcQnhcCZ/ATZvYInaYSYoXsYxfCgLTL6F+LpXCzmqUGPfkfMZX
xPGq197Ngmrjml37PcV/OJRM6AxgrX0bInl3yVs5cxu+VwF06GDgFszyW5FSdBLjH0JpdRth73oo
FXAtqQXj5/TP2MXFtaG2MTQyoQ5yKJb3ZTbRn5OzI/AN8ltL/g0EKkKH1WRctUtOqce5aJr4qBV/
By88KXKhwJiQVPeq1I33Y6X9vu3SV2AFYH+RASDyAgNHPHn5kc1WYjTGC4yzb0oPvaA/Vo33wii1
nVtfZdIghGJ3et3eeXVygA4yVR815b6WzL3UufIWBvQtbr28I+ZfM4/ggWOde/2Xv6YXht7yPJrF
8teBwMJkJvqHBUetwxCX1v4O/5N6x3o22rvbu7A62BCGAa5gv3ld4YpY3LutHss1DDrWeeqy/Rh8
R2/XEfJnY3qFZfS2qflzX6xwNkW5GA54Orp0Uy9XCDhZTbOoscBN6Ps6f4H+2xbQZk3gQ8q/q59v
W1u5+sLa4hFWpM4vuE+tc6b/a8baZnKK6d8fs1jgbUOr1x5D6KAxvjbPqOJJl8uSKn0UEivwzok+
2iUPoxz8tNotNp5rVqhH0eQHpUgjdPGdxKhFcVqIPILqCpaInZT9VtKNE7EKjihAzShkOOIIjch9
Llcig0HWxcIXzpqe1rteywVb6eX0dHu/1reezAwvlQ3pDdnGAPilGYDylZAponAWq8eIlt2oaXYd
/0TZsWsyW/V2cgEYQ9r4TGtHJxMxOe6kaYBql1SqSLYIoVYovssUot1Nf6ymtrv2tyF9R+pjw9ba
06niUznEyYHV8s0uV1hGXRQL2RS4ffZ3CKVXs30S43YHMgMqLHXXb8n+rRigeaoo69FMA3ACtnb5
XrZVUFcTChuuyplK61+tE4sumiUA8hl8nx4b7b8eQq+2/QxyHr01kMRC8wB1zTGcmw3f0UgwCphN
rcTxK2rxW3wPVzYfCAxlgvlNJ2taHMZpnHTPCvvQNb3HuPAps2hoSv8tvO9ocW2ExCu2PjaDOiF+
xZQnbrwchQDR2/cenNtu1r1E2Q+v/zKNj6PW2Z5e73vpOGl/SsEOiWIZTsz+yypXhspM/dYVCswl
k2grMMY3M9bW30LnrU8YMQV+P9MYcsupC8cQkV8ex1SJXCkEOldn1F+TwbM2XvkVwTE7gItzmKmX
AzdcVkyn0aNcyJC6q8m+zTz1LhHj05yLFPAw+cJzk5enthB3xjdvyG3ycTmgpQzmKvVpACXfmI1z
BKLUsdiP0aF5A/YN0HNouzTcOpfzxXX5KoAtmwm338Tr5SWuBASPZwSjGLtt4NTZi5pXh3ImX9Z/
t3J/56VoM2xcQFecESwW6QztC7p6S5xrkMlSMhlm7FbWfVC9Su1z6N839SMAzY17YB3H0j2Y/2EC
EH02Hr/LiyDw0xKCTC9zg7w7AKGzw3i0K1bay5pd+JVLKoobert4/Cp52VM5dB9eLHvLICyNDBB8
IIovf0EbxkbRe6V2FgTLCcdxD/FLQtVCkpOjudGCXm8slIdz1wRM/RxdLgIqXx/jSjZD3o9Maw5h
KgT2OGjyo5dLoPrVWnXVdpPN+7pRCNagLqcBvVJdTIIpDc1YOIeFBHe3GvSmk1m+tJ8SUKDiWNdO
A7T96+1HbH3Dg2qhYkdLmuO8OmFSrndSIQ8CdQSzmpysCDUd1V4Ic7jh89qz69Gz6MGFYi3uAXCk
WwJzV1zrjbeZPv9MYwf7/+WHpcqRqlI/8Qs8P8jtIWFCHxBY8JhRYHa6jIPaJWm2E6BCtLM0hsdF
r+4Iv+Sj1kCuc3s/1uGJCXYJqQOkFWhmLUN9dJLRuDXFxA3EQdpngjw42KSxXLRbHawrpii9MSr1
JuJrLvH/WU+dtAqs2K0HRdnFMyxrqBh7KIdxi29qzaXAmmAdAXQH1zGX6ux87/KlXACfFbZR6haI
PTXMF5hlDVlg5XQPOrEK94Y8fOEcP3KJdOMuq4y7JkmPRX0wtNyuquEwpuXvmgkyeeOsrfOFmcCe
2AISJZBBqx2XlC4JgiZNXdGz0HnkqZeO3ZjuvAJM9E+pah1DOyjIDDXHxnhIUuHDXxwSJXMeTUKu
gftlcdi5XdVGzo3U9cR7NVM5c8ku3WowrA43YGO49+AzMGcBz7dQ8t3++2oLfRBKFcQ16n2gyk5b
f7KgKGg1lz7m4bYPrwPThbXFkjRVaFt/9HN3MruTWfa26J2KYfclgj4PMgPtLCtbkeIbkcvF8zfb
hLCDdGg+NsbCJuFY3VlDlbs1zAV2IHX5PpKzT8wc/arUsT7wWIUPURfCztum404Z6+ieYWDIN0Ur
3xVeJPwKMmGr+3lt36nFwpICPxEQn8W75XfK2IzdmLv0X/Ci0GBgsOkM8K/Rz6BPyv2kbjOsyRym
5VbQNYCTj7ILQfrCaGVGet3Xeu5mPWoKWq3KJ19lbrDsU5+CSO3fmb7P6yUIwk6PU+8BgdYfuWSU
p75szH8bzjBv/OrX8CvQMkZeDsjK5dEvRNhujVLN3WHK70pJt/1P1Vjs6q5GnTq0Y/2+tZAA2SHz
ctvy1b2fExWG+EV0KhYXuxWOTJtPfuGKbfOlbsdo75WMJsvapB6jTDQgvJuy37dtru7UGdTPzT2/
3hSHlte3JgCBEqYpd0MKfSDjI4S5ilZwKmD5+9umViHwbIp+IagqgjCygct91aexJuiRCtfwfiry
F936cvvvn71k8d2YI5ih0uRgtDTmpb67MnoJAYrEUgpXs1zDPOXdromdof48vgjaDqXe29aufKwL
a/qltVCe9D5JjMJVkxcN4WDtU/DLT19RbrltZxVvkEjOGQNs9f/z30s7JUolsWaOBfTcuxHawf5f
ySsv+i/QmznxUO5um7vykS7MLZzftISRwAVzE5Jl0Wu71cS99pHAKwEgYOySwGFR+LQE08xCip5u
Ile2UL/q433s/fPKk1Q6OgKEHbPkH18RqgWwaTH+AdfVwqJMkYbBBT6UmT0Egr9XUS35v1mY9/Sd
49WBCPGMiQUmE4R9Gvtwl4yUEW9bmR1q6d50yHQIXXkQqTFcWtGjZLTiMC9dXz8EUNImn+Q0swdj
A/t4zQHem1lsVwelTV7XsxlkDJvsPpDvbq/jmgFg6GB/IUhARXB2+He7NTT6WBDBlq5p1o6UPmXb
wduV92SmlUfgkrQAEMLibCZIXWkUHirXaO/hBW9VWz/1u5iYTTEOYvgsyXdoYg/74c6qv4SBukeH
PLZ7p2p3mnSg2ppuzdJe+XgXv2h5rLKoTOvBqNxBaO7EWJwdxM6Cf524VZS8ci8Rls3BE4Oj89DG
5fZGadvA4mjAAt2Pjtj9082HkPBBinxY1j/d/pTz37VwSeZCyILoK0BLtFRHGEQ9KYu0aNwWfkmH
0g4StnWU3CURjc+Pm8JlkIxkzp8exuLx6PWOUn5QN+7US46KmmhEnjcebxu58pWYAp0DH1p1HLGF
a2J3NCejadwUrsg4ZRA9jn8Z+Xhf9sXGW7/O4uYClTUz7lMcoGy1CP+ivuZWgkPaRVPiQaqPo4Fr
qi+K8WLEupOq0SGGFdMT1Lta0I9BskVtuF4ro30UQxmiAIkFvdSln6gwNULTXdYuPwQQ3d9EfvWE
3YCY5+09XfsIaQpwujc2NBxy4Y9waIcRani1KwkQSWc5/JTyUci3Ci7rZxI4DQui2DKrUC657xp4
luWsmxo3UyO7l17z6IQY96jA7jxmTqmebq/qijkKDiitAILln2XzZGgUpeljpSFs0r8K7QFkTVc7
YvtaOVMpbvVPruQncOL8f3PL+ooEUyJc3GPj6tl/Y9QhTf1QlT8kxIa8XRiap8hT7Sb6c3uNV74c
yltvFDYUGhikuPQQL06qtEIDzQ0R3lK7hzmZ9YoN91hfVzMBBUeNigrF0WX8KSVpUYy517hJwSwm
k8s9FRQvA2T6yTOKjfvqis/PpN8I/tAKJX9cnO+mo1Bkhn3rjlH2Z2J4PwKbUU0SkpdbsfyVzQNB
NoO76GOztvmnvHvlpF6MikYRW7dRv1h++Xuy4p+D//HeITkaPXkqUaSRVEQWZlpNRx8+Klu3j568
yNUU/6XS9oJwr1f/9J5haZ/CviXdRRM6pUr+OfPvbjvJekpy/gXMlkEFxrAmvAWXC51ED9bBNm9d
y0ygXrN7UbED/0HOD572PE27KckcFCrGANrB54ZMt7AetzBEV07jxW+YnezdZsty7o3T0LUcfgoi
zWOrJI8m6rM1/IMIcf2YxC1S8Gufl54cKSsdVM7/4vbOW7nuQda1rjzeBePfrAjsIj9sbO18BV8+
r2ztOyOLiK/LYBE146F1k/6hM0DDSM6gMX4rflaGY+KfKv1b+HLb5vy1ViYBSOFTNO9XkVMuI9ed
wvyF24aOgn4Q8iPZN0/bKmJetQOdG8w95PzAsi6/2KRbQZroSuuGkfWrR+TFDITfafRtVLdm9q88
tOyijgY5VDf46LJcNXWRNIkFpqwofwzjp6bN9iWTnRQud31i7PuJ5k/b21LnQTMxfBGzekOdeR3x
Xv6CxXcU6qHSQ2SW3KSrniO5+aIFW/t51R/fLXKxn21kWn1G09uF+XVfS4FtdY+q/n9cx/wj3h0z
xQvC3G9Vrk8523XS3ui3lrEuu863Cbw8oO/BGjF3eWmi7UMRQS9rvk3U16R8Cn3GVZ0wcIrmnpLN
SUv0+yx0VODNQJ7Psak9+rpva0N9EgsaK2pnq8Joa4ismP1GZrROXS9/2+L1SErew95k+eUekWLS
iU/6Jyn+whiEPejPYyVvxBhXPRfQDikS4l4Qn81+9W6/gzpua0XwO7dtPosjnUkrfPLCuUUuP03D
54yCzTQVT6lYHytNvEPvfGuM8tox5WkBnQI8k/dsESTqEDGMujz1rtBXNlKgtdzbSvWfukVdfM19
Z+56+JPBDSPWfLnSrGZ8ObakngeMtKg4Fb+ncrRvX23XHgnEWZilZcp7JtW4tKFANFzJRjS45VTu
I/HRkPdD8zwM3q4Y9lsqYNd8hekepkeI2qhpLo58arWCJ+vp4Apx5/RBdNQYs+GSKZvsoYsMu4Sy
URx3t1d4LZZ6b3RxCVQCfZAkjQeixL9BfDAMmtrf9fxEwHjb0LrN/IbigcV/hnOAWlp8r76D3jLX
sWTkvjMrlmZmddeKzStTcDsv/q1mP7LGLsPaDZlgQVLuqEs/ivBXLnQ/9dA8TjAq6FW2H6TEKRTv
UKI40L40JczTYnq8/WPXaC9+LJB0KpwziwzQ/ssPL2lBAOk13yIV79p8p39H8sUf9taYOGnyu9mn
/4WMsv2FQGLw/gtKu9tI9ea/f/GmXthfXJsQ0g01XX98IZJPpSG8mEO+FYXNzruywaCsyBVFDXRZ
8TCqUEq0shzcaQh2KA79NJWzrjVPae4Gk2nXwLbz9h+ot70xaVsbPDvz0jgMjXPHAIwX+fnlBiet
1qqK149u0lq9I5vjnYgiEgNhivcqhN1vUYEOwG+EY1jK5T4QEXNrjWg3TFK/sQ9XzrjGmDwfnCoZ
PZX5Pnt3Y3YCAXGTRvwSVfxR5n9Fq31GBczpBQDsP0VrC+d45d4CbkKbhAIjieAye4GNTFP7phtd
2SgcyR/u1GLfGb0zBIk9BbAU+fdgK8biV6p+q0rLrX61vnefRFusC1d9nFlFuEYpfLP0xbtpZrWZ
+PU0uk3mRvBYtIEtKw9GdzSN/dgcOsM6Fkz1Qwd4mkdzxPAgQhQl/c00f8Pbr71azIDQuKN3ArW7
uLj6OnQ0/VYcR7fOH9rCif4WO6uzJ5AvZ7nbG0+T+d3wNybFrxplHolqHwgzUJ2LM+YJ0whDSzq5
BTJLA0pgQQtxNbTrE6U90C0mJQfZjv3JLlAy9AxrM0VfP5XgKOnJg7+BN4YQ+tL19DAfKkNTJreM
vkEy9Fj/YoseysgqnbIv4WEuHEF0kNgC9VoJd35b25L/p8uyP0H8+/aNt75wYEyhogQFEd+ByZfL
n2IqI5Ivsji57QCeSS+nEwPCH6YvoUkIjI/JTIa5eU4Xj03Q9ZpSNZXoapHv5IZsM0H+L+leP74U
ZonYUeBTvKTzgX93oM0IpR5NKEUXCdiHXjZCW0nNjarAleoKc2Xkz+QjAKOtpccKFegShg5EN2jv
vQGV3vtQeGqic+LV9kRMpSB1GahbczfXvtKbrjnXB+23JcmnXETwWXtYRcFltGG6ifdoWW8BGa65
JVxKTJMCx55ZYC43MIgNLeHOEN2cv7+KvSPIhhek834VQbj/+Ld6b2rhEZOVJWKTaKIrqdO+G59g
/XT+bxYWZ8xEaUwpSxUL4gjqosxtS0k2ou71lU7i+4YhpMqMzy1C3iAKZaPSUnHuUsboUIiIuErT
hxdCYq+SkMLCQFN02Qo1grqTsCK7PnyiTXVMEOS6vVXrZfBX8yRTF6LLBmTm8rtbtSDUUZ0oroiM
ZpRU+x5Me0oL+7aZtXsRdJCbzL0cLvtlvjZUFLryZlLdEdHVWDw1U2hP2n0Yb7VBrxjicIJRnicm
ieAXD5whpHLXx5LqZk15iPTwufDMf0oN7rVJv91e0/pgwm5IyxVI2wyqXbYaSHWyFLpfw+VRsQPx
Z8HNdtvCeiJ5xm2B36L2TuMEEszLr9OMqpZNTW66huIM6WNTjp9qT+Ia7S27jtoMwKrwSwv7GpDo
kwXv9cYPWO8m3VCuBKC584ldlq9DgP/DpIaWG9RPbSvCSvukV2g8hBtYpQ07y2mrYez8OugCyxWC
yPHCyO7AJcnWqUt+397RdeA3LwgdGXaTXtQyEBtGUa7GLrbcwnoa5XtyatuDV6vNfkm+dGIE6/Nt
e+sJl9k95lwVQCl4dmPxBXNdy2JGygVXCxoVKai7WroX8/65MkXGkjqH0W8YMpiSerKmT1MS2LXw
p+gV3nzmpYH7hBsR0JUNoKs+yz0yEEuze/FQKvDUzZ2e4NnIhd0k/Ipb5a4Syn3oQdDbA4XYhIGt
vi2GmEqYZefog9BzufRhU+vRWPbLmTT2xRoh4hX8qtl1hvCvR8Tv9nZftzXfMUT1fGD50lZTtVUa
mL1+bk1tvA/r+otZozpRlZVxiDQlOdw2N18mFwnNPFQMmxM4O0I6AtlLc1WB3lFTabAqdruihZpS
P3ZV96Lq3le9i7esrWoF82zMjCelKwECR1xcbX5RqE3NnPS5Nb7rxreu9B9QC2lQ2c7Q0OUmcdR2
a0PXK8SmCpE/OQvKoMtxMOS9cyoJDF1W3QQpVtk8E3wdq84r7TQZNUezAKjf3tT1kZnXyamZwelU
zJf3ah9nUtHGjXkuK/jgsHmXG3p9zH1RuqNR+aC0XvQYxEJzjPPsR0627ECEgnZlMOkvuVUiL1I/
0/j2XE9H0LvsNgkqVo/mLKPI2zJ/d5h1lv1fo0e1m/lv8xwJqHunkGL4bcqgXPqysRVzKHTpYBiC
/I/Qj+uDgcZLB0sFqUNMx4fR8Yn1fp2aI+R1HcpMzRfgtHb4ovwbT5TDVPRUb5tePW4scWb+IDdj
2oeZwEvLdWWpQdcWkDlGSX+QKoYemBgwN4KoNbgRM2SBxE8E1mznIvzQLL/wqkS1zoZY6T9Hv+Xu
lwLV+m7IU/27bFIuzbH3re8TM5Kl3Xph7NsCd01xGMae2dg2DIzkLpjy7phWZr/FB3ttGyBiRqoN
zllaOPP//z6v8GsxbWeK8Gryp0c41HM7kMd+Y7OvbQOy2DOmEfAW9ezFNug5k5C17HlnUAXFw0R0
bNlSFdMkRpPI1ic9P8bGaO7VuNfOkgJkLdML32n6tN0LZmTsi1ZOEO2Kt9iHVnfO/+PsvHrkRpYs
/IsI0JtXsmwbqdjq1kjzQmikEb33/PX7sbG7t4tFFKEL6GEgAROVyczIMCfOAUM0s+LNhamZMWTh
4epyKGIxitPPqSwnrhoG0tH3ksb1fKl2gpA5CVDFsEiZ5Qimm9nM+6fw5qK9m0c1Z9YrAQa23P6g
DcW2CIAwG6m1yzox3MeTF1KPK/8YeaPjbUwiOY2WlgzF8PWXHsswgYzCDC6QDPe/kpSAuwul6jTW
iQj0Nmh/3F/abTaJwXlzZ6TjnNctXuJYz7Q2Cf3wotc/1eG1R6sLiqdD+FbIEP8H5cETHEHdYsK4
eSGRzsJlccgAkOJhFyfNDxAEKGMzvGSKilhjKfuHamrUfazXhR2O2Zbq3E28sbC3eJF7lAkK8lpW
aTyW/Qv6NjG4VY3yopNCzn9/T2endOUuefbnQIO4jlEaVPyuv6EgoR7SMtV0STUKORn6SlHHhKyq
/QON1j8x+tMbAcDKbhJLwTg4c27Ox+baoNyqqlC2SXJRwidpQnNturyN9das+dpRuTKzuIVSWatQ
RacJ9KX+ESi3kfmPkh8e83if+56T0MRrFfNUSOZG/nlz/dnQj+ub1//B/UHtngxGLMQXEXVAbXiM
ks/lAInKhb6FDTWmjnrsn3/CjxYX704vxI3KrUgu1fhJsKodajD+s1AcKsQC71ta+XZUQZECpAxs
kMUtNtUQkPGQQzm9qAghT114TMOvStp/muQtXZiV74d3h1VqniEnuFlOlppVZDWTHOeXMTegrdAc
9jEcHDjaozSCotrJ8sbWIpDs95d4W+4EDjwL9L1P7RKwLL5fX+Wh3BsT09p183c5OONk15R6rYMc
7Jv0LCWlXYlHKUxO+iaRyu3+XttefEkraSCCECVsD18CGGKS7JS26Cv+tbHGG/TD+xqRAKMcQ5dp
SXGYRXljRnGZXwTpUqOhmtf+cfCeIusR/QuqdYw3XjTh532rt25tXtz/G33/4h8uRjpnrE1b5xep
EXZCbHE5VCetzpIIufBUOYiyfL9v8fYqXltcOO4qGCJfnFhmV7u+mOyk6TmrD2W4C/tPyDkAXj3e
N3jz9hKM0FnnyM6FWyZlr+9+kxZZx8OcXypRdzpJ2PmmfEqzDR7o2xLHHPPw7VC8oMYBOujajOcP
GTljUF4ED1UmSsXdrkcdxlaUWtk3JX9XD7G4ywd0ZBJlSP8C35w6tW8U5/vrXTmvdISYwmRY6T2y
v/4h2eiFPJ1acQnVnqRhlm55ADsLU+bWxOXKzpKi0n+DP5A+4xLzlRc0uqjVFJe8He1MHC5os9sR
UNz7C5p37vo15FWi4k7NjeCYhtv1giw1jbWpS8uLmSXdoQxE+PraaUsQbeVcMqhBUwv6DgpFSyt1
MJVxFY7lhbbfQfP6B2Yt3ehRCMfvkmD+GJPpWPobd2HNr10ZnX/Uh+sX9P7Y5mZdXkYhP8fR17Ki
VFI9pEJnZ9VgG1oLEPE8FE4mCG9+FV7u7+zaB2Q4ZRZpoX2FWMS1+U42hiDtpPLiNRpqyY3Tde2+
EfLdf2FmTvSpl9JaWHpvb6KwYhVqeQkEGmKlWiKXax7GQv91386KMwMU+B87C09tBqHW0y8uL5px
lsuKaa5XKYO58ilPPjNYtgGPmf9vy2Npzvwe86QK+P7Ft/PbNo0DraouQ501rppH+tc2jy2H3g4E
6blc7CMp+nNRUEI0ut7cNiYjbvkPjIT6W6mm1UWLghPSuBldP036ScEtVl6glyDIb6fsKCRbFD4r
mwvtIc0vAB70p5YdV4kWr1kw1n+ZtBxRCPO1Q/10N2SxqzHdEjam4VgC/ar7n/T27s8VYxmjDD2T
yC+Cm5gmbpoIdX0ZjYqOs5QEX2tdj9z7VlYCm1nzheBGI0Wmnrh4I7IyFYUwVVlcOsanOhj1B620
wp2CiDmz5GL9kpf98DUSWnNX6q1wiEnCThs/Yn75rg8UP4IiBaIFUKHSLrm+jXpsNnEiWfVFqUrZ
RsiNwk9l/ZBgVTtPI8gwo5sHYD0tdfKkzfdoVluUBKM/HliZ6xiUyEjpKNgDebn+HXkNYyeZe31p
SYf3NN+b0xSl5cazvPZlP1pZxAGdWdHJCKlwwcTV74nfYQ0Z62Z/f1NvL+m8Fh7emYWfAceFFY/R
rjpM2VOpLR+VxovgItB/RnJw9H1fcwK93YBI3LpUDHJFMQkIk/tyvXlyGaaKYGFQE0eE2gLppyx5
iJH71ZbQ4O07T3Ko0yGah2nnnvG1JcpsBkMhVXOpq1/d8FVpf5TpW+Vt+NSVDbyyskhFM8qPg1Lm
zYX6EUTNcFfbAbpL0OXAR5apMYjrzNiauF6eDcIROoVzwx1xDdgVFksbK2YorFarLuAOeqcoyooq
baBuJIU3IdvSzGJtclNk01CaYFRNhAZlpvkR+er/9TpmUGvXCP4dx/oMiDz/wzOytLt4dqe+GBLq
ldXF0r/20bEZ34bo6/1zP/uKj77k3cS8h0Si1LuXDs1XaRcmtV9fjPhvuUZJDzgewnJ7kOJQGgJc
VzUbEaoNb708LDL4ZvwGfUsqF3Nx//pIjghQeJ5HcT1MbO1n1gfnyNR3JYqWumptxC430NmlsYW7
LJJADlJfai5WQkXjIGaqWNp1NooPVQfpP+L08fgwDLiHk5oNhr4X5KwOnKatYHvSDM0Lj+gTd/O4
XCEnJ6+sDdNJ4pDxCD1E/mtXdLU4nWQ9AQ6hFHqdOOXUTb/vf6jlLWYVINhmhQKqWOBe5y39EAGS
dvl6k0zdRRm76CjQBDjGY/AIwD46eWOVbT0yK59ovlm8dVSW6CsvznxY5L2SJkl/YTREfg7TRnir
x9Q462GPcKfQ1dzvYorB7tSdo8SFsCsKBfYyPeoc2mKyk0/yKSoKydEEQT5HGCP2Seut37nMhtmX
mdIHSdgZk4Avvd4XXxjVAXGR/hK1nmXrcv6oWVX9HcXL6gn9asUeqFntSz0PzwDhpYcKouQNZNft
HZpBMnPTE5QMz9zCC2V9phR5LveXsFf7B2oQnwRmN7+pVdHsQ2HIP7eh92b4yiep6LZ4Id8bUtcX
eG4k4HqpqZJWLtG7iTwmCfInwyXy5fJzlXjDQZOVkSZCMDkECeIhVhh3aSWhe7ImlI70tEM7srSK
feoX/Y8oibJPcaPITtQLEDwlWk9+j/KEgu6zHffopqBtiKMrKuMBsY7yMSq6+BMEOr3TWKpnk5FA
U5Z7mqOL44seTtahEzv/JHT6lyovO6cZxb1AgGb3aQMbfpblG3nfin+mJwcRG4R1c5C9xCllflwl
gRgOl8D6p83lnT+izxN8hc7/ZMbyZfAArcgHIrEv/ML713LlmlyZXrhoWoXwYo8ILWWy9kmLvS+V
Ln0brPhT3T3EQh9tOM6bAHQ+7jRg51E++qJwZF4f97qAPWUQk+EiRRHqCOoughYOiJ+TyIqdC42j
NPlZKAAT+Orh/lJvmjZL24tzrmZda1RGNlw6Y0TloGSyYJJ3XXJshR+pZziy5e3GjIFhtY6PfXgw
RNMB86kkWwixtU1/Ty/gMwMav4ydrEicOoST+d5RazNhJfIQd0gPjPVv+u4br/9tjAGTEh6X0XIu
OZRy1ztujFat1N3EBYsEOlCeJp20yqr+/BxBFDQXSRQSGMD+11ZMJUgtMzKHi55qbhcgxqQydPNL
tZg1f9v4jivbRytGBfuGv8J3zv/+4SnJDb+B7FAfL2FTnsJAsyvzazmeVSYLxl6wJWt60Grrc4aW
SUD3kbWOVmDnxqk2fmYgV7MqOd7/SctgGN9NpkjWDyaTythyj8eh8rSiDKeL76mkh+1Qw7uWNA/h
yEN839Tt58QURubF83gv01MLWSElm9LpEs+qMCHR997LlWx338pK0MFThDti2B6kL1n4Yo87LRP8
sJIusd81+yQJm3MhqrldmGp/7EdBdkfat9AK+v7BLxVjp/eqsYOfzdxp3dSh3OwZT7GVZwc/SMvn
Jk+koyH2hhNULSo2gdQqrgUV3EbE+a5bev2cUKnAtWhUQoGJL8eFuyJB+dyMlMvopztKBuo+QP73
t9raenHQDLsanchG64TJ3nAHRU/2bZrvXWUXW9W8lTMxzxDTbEIMBpr6+d8/nNKpzUVflzLl0hCK
ZsVXJJAqawvucRtVvdMNz5BAPhRgimsj0FF1QR2lyqWK36BoOURjvU96JGCCrThlvsDLjWUqmvxr
xpeAjLq2FCqQXTd6rlyS77pwMvblcYyOWXWg/CM8TLnTnzTJTreI/VZOOyU76ASBOoI2WBIIRX3I
5wwn7VJp+sNYjqqjabG1v3/YV74UHmvW65lRDejyXi9NkftQHeLKvDRSV+2MuEnssaqepibcUuRb
tYSzoK8E3wEx37UlVe4SefBl8xJpQrjTjLDZqa2a7qycmfb7i1rZOYbLRBDAUKMwObJw+6JSN2kQ
GeZFKFU0o6k+oa8zbGkZrC5o9nqwDIE4WloxhFppikEwL2mtVOeOeC3E37bRXw0kxO79Fd3YIkKc
2ZRpE5PxU4m/3jxD8IukCBPrUsti7saenysHQTYHLjVzOFuChjfzz/OhA/EPimKeAgHNcG0uZNLF
LAxDICpObAuCa8v721B6xLiOfZvaSjxdxvKgth0DT6XtV96Rv9p3AnI3/gba8uZb8lNmCdN3OglQ
kItvKSHPGtZd4rtjzvDzVFe/48nfInR9zzSubjiNB5FrwNQXUC4Ivq8XbDRtnjIMFLhj+Bd38qyp
n4Vv6KVmNcQpyXRQ1LMWvxbBp8wfHbl69mXxcdCdyrQ2ArUbp8YPAXTMxhMNg3tcfGhRSus6wq25
jRqdgjAB3141BfNkRmbHobJxUVasUXzhD8kH/cjlvIPgSULChG3klt1kc8SBM3U7EY3MZH///K4a
guiZyA9XDDrmen/xXkXcVl7kmqbwOE39yUqnfyIzdgx/a9z2BpLH4QUjPoNxFIhAyK6ubWlpoppM
pkVuGAWXofieTkex+9Imx274RyM4EXU7kqA8B9Q9USgBp0Zd2K5QRIz+1YXkcn/lN8yG7z8HomCK
eFRaCV6uf06WttJYi13sjgQcx7COMsW2rL6wiz54sBAhfhkGFPZki1JlJOUM7GlxcO47rX9kKwPH
1+rN6cGbBw0HLIGUnGd6ZqK02d18eJ+ZFEIQbFBj1+uTVyRtPsdmux/FzpZf80pxlPyY0UskYulM
MYAhcrKTrdD8NhuayWgoiog0Guj3LVVToVJNggZGfDfXH0mbPkWxW8bHQD3nxrmWOYYCjX4x3kjC
bh0p9eG5KsJQH2DF92bdh5VD/+GbZPKxS8xmhzO/afG7DbaAIStOaxbZpLYObIrnYRFBdoEvVhog
LTeUzMEpM5FUpzOF3cbRmp3Bwmshjo1npKEwC7IvnEURGaqnmX3ienKKwt2h0qjZBs05046KkEHe
MDpJx5h5PthSE+4q87FLfoHz2lUgYlThOfXijXt+0+zktFPf4pWHmoD/Uhcr1wOt0LwG+F0SJF8s
zzx3efVT6w9aZv0si84ZPc8WRlS+/0WsponHw/0tWdt4AsKZ9W/uQy5nUAShz/QuD1I3G0AgSsM4
HjQfFrb7Vla8GUPdMz4GRQ8KV4srHUVq1ktpk7pplzhKGZ7H6XVKoy9C+l+tB8ABk59A76gWXV/U
joZVF6g625nlSLydG3/YOERrF4K6FzPqdFBYyyIsC6WpV+QwTN0KzLJT9/pPb2ghaRSyremdtRsP
+oxpFzaPl2AZAcYJiJC2LDJ3PIqwH/T6IR5Pg+564UsrX4TxtRT//LbDwQNygeUBEFnS5BmKOaUp
wFw37mQNoZVOsC1BOYvy2/0DcVNF5JYjF8eTDXmyJC8PRGHl/pirUeaqymtzhhRapIhlvTXtU1S9
VHK5sayVe39lbhGeeVVkTMmYZa6o5YzEj0q3a4vm33AcEA/trOpBMf0t1e6VM49NEm/q/uhALVW7
9a6WPGnCZiT9O7XJQVMLR5vc8I9BmHgQmL1V7hXBAsT3S6fmeamgJnXm+qHTRNZBQlH3jcGTjMxV
JJ28/+XeOeoXPhRz/IFvm4a3uegweJkZQbKd5m6UTP6TEqrh3mvi7iLX2bATJ7M+9r447Bqf1lFV
yOqhrGTZMQQdfmQ/Hg4qBVMn1xB5qASlPkC4rzCdqlrOEBX6uRwGcea2DXZyr2t2FET5o5jW0sny
eiiEfFQKMr1pDxX+6hBaw7gvijE+V1ERPdVlqNkduOW3RJoMx2NTAMD1OHE/yF5idKqPVYrGXtfS
YRLKZucLcvBAObV4kCmpfq6nChppo22P97dsduHLHVPotM4y9STeSynRSua14R9zd1TT9Kh4UnYQ
0HtxNIOy5pAm0qGrjOrNStqtc39bLOZsIO9MJE7nfHYk1+4wmCylTlUyoJZZZ1VyOkk+mtO5D91B
O8ZVtCvF+bkrDl3anu+veu38M0RBmIxdus0L04VgTmbZRLnbmyaDG1+7sHCN2SdvvC1rruSjncUD
KmutnKMsmLteeVDit+yzqAq24X0zZ17M7p9mixpz/t3Lr/nR3uL8N4ye+iAucrcK/za7lx6qUush
Tqh2cXrub+HKU0MRBQTdTGbLf82P94fYK0c0FAiJlbmlHKrnzgyp9puoiPVJ8+99S6ubCL0b1Rr4
Im80M7wuzZMsZVFq95QPmmPSHdWjAJqkn5RW/wIqVG9V396ZeJcbSQmY2QtiPrhAFx9OsDoCz07A
QQY7qUBuPLDN6keovvZya2tJtPfTk6nFBzN3ci/Y9QTcka2dyErtWHjwW4coWw53jfU0ismD3qFQ
oYEpMF//fGuoVxD98ynm5tP1RzDayQw9Lc7drDGdYtIPdRHvJor+gtkfCq/ci2XwlSmYjWO9dsyY
SIE0jsCJat3imJllKgVKVOSuCTi77lInyH6H1k89eY2sl/srXPNPH0wtY8C2yLOqkvHoWqVU+GeY
laSkfzZ1IHbKJFd7pscRqUvSP2UpnV+uj4YXz/JAsyET6hzHOGRfJr21R+mpKIvdEH5L4l/3F7l2
wpmCNmduEon54cV+xkrWTnpX5W7ghXZRfs4ZyIw/i2a0l63wU588i9Ufl5dZHqq4tLJnaCmyN9cn
h3RHLvQ2LtxJMmpIf8pTpqWpLSml6iTIhj5anYbiazwJx2CYhlMTBPmhtDJ4AJQJyjU9/DX1Vrur
S7U5mVKXnDKv6E4y76wnBenu/gat+WvIQ6jf053msVpGzpboUR/jqfAGq2MGJ03PZsJYoJ8Lvj0E
1Ra0dC3z4drPVX5YQSmqLC7WlCRo3Xpp4SpmfZD6L3H6PdHOngeXxGca/m3+ozP9XWECad8oDr5P
bixdD1oViFUAS0ZubZGPtEVmjZzzwm2mYu/Fj+T3XxrFctTQ3Jdy+6WNf8H4oA8PQ/VSJq1tXabk
cdQSh5SSqLh/DMSjEKP10D90SQIf5oMf2amwRduwvkVzuZU6OsX05TxvoA61ZYkDv7Pzu2NQDaSq
CRMFSARMTlTJyUOAt7YHeShPjaaNn+RoTI+h0lo7GifyxnTxajRhcHsYdZirq0v4gdqWUhsLReGq
hb8vpVON+Lp/zoyHTHCmF8UYURv5FP+8fy5vu0tcIzRFRJleDQP5SwdMXWdsJjMrXDGUDmCAc4as
/V9JUNimr/1bFUPqlIP5d5wd4gzNX9N/7vve6YuJN0v45sPAo5b+qRB+10psm5vkB2uOheFNutPk
aBLw8utbXkCer4tDW7h90f9NfGU5Qs24tWqmzVkuGOVXYhMgTSeoe6HN68P93Xl/JZdHmS9B7R6O
l5kB9Np8Y7aZYGZlAQndBDtcOaRUyiLTb79bROlPfal7M/B+QgmG033quhJeHKtT6nMTRXJhj4Zf
PIpq7f9VZC0NUQ5U9zTIatHP3RNYRFMl/r7xm2e/fvObZ7ws3gZk+XLuWI9EvyxUkXMkjw+5hgB7
6dlRRrDW+/v0i6I/Bp4zVaoDH8rGs7p6hnlSEWSH7Rj/vHgHmniIjciSC1dPfxvec2DO9MovSfF9
qkyHDuze0m3JrD9ZW3HjbTDH6Z0JSmfKhVlz8vpDlUldZkbKMQ4BVMHlYAS/0k0g9JaRxYtqDolF
NRSfKrv+lNvda+09+71pd1Wxi6JTmrwp3w3tKaZMCBRmlxfkQBvP3vyqXX9ccg2ACnT4gdDj3Rfr
1EpPbca+cAc1OShp99qJW+wsK4UR8gqoe6kooUzBpbu2AaOo2A1VWrrSGDgx0PkE4VvQ6OcwfQp8
OJaM0SnFr7m3sba17aX0M6PTwF8yvH1tN80VE8XKrHRrzSJADlrPETSlZOrL38RhzudhuY8abxTe
g7weLYtrW9UgtJAHVqWboS8UNupzgWKhwUiu4OPdy+JURMKj7EHsZ2WXjQs6v/U3tnH0PM8kHpSC
rm2X3jSWA2MfrgUOj8FVXklDDHRATZFtMQs1lGO+q3UoDKO6TvbZEFaOOfb1Oa8reBvRl7Pv/6Lb
EJUPPkdT1MBp1y/zWA/noI29WLpKJn8Bdveidxn7b/zMtREF4uxkDFuOYv6Wyz2YyzYYheGQM329
B5rcMQrd56Xb1dHeCGBO1ovz2LvUSuVyRB7Tt6m2OzFch9mISo03bax57bAxHDLX4uZpFHXxA5QW
JDgtBg6b3hIWJbodJDoPLfofW2u9jf2YUv5gav4pHxLNqEnzKZZg2+7y6e9hiHhZf/t98tsvpIfJ
qJxK6Z9C3XJEdbSHOH2sO9XxA4PnXjyO2mkotiAla2unG4CIJuG6eEOL1calVcZGUrpM5ttiIqLY
CTNCtrHDa8uGLW8u0QF7Iua9XnasJvAqk9C7utcd60K2a9H6t1CLEzO5+/sHeM1lUYgBGzN/UFVd
ku2opaiEQ2tVrukJ+1IsHLEz3aSp7CGlBDN1wmueC1BolvGzHhzuG19xyYBaZ21aIFDEbounh9Jy
bkDMVQGiec31n6Ox8aCv7COJPCMaKAkzKrZ0F4UsZoM4tZXL5KIg0wCfnuXk2d/Cd6wcCpA64HTe
CyI0La8/V1WPSju1U+Um4N/FZD/Cqopawf29WjVCKEVNlT4f0ItrI7VohEkB3s6d1MopA9jhaYT2
W9Mkqzv2HyvL+rcYdo2utuxYlHYHIxEcUfldyj/M4L/5Mh/sLOMBXwzLpMfO1JxND3INv7Kt6FjE
W85qpWuLX6Y9KsPcjMNcFjmFrI36KJc53wl9YggOlI5Ka4rQLLAH24IIEnLA7EhkFbx1nXm8/9XW
9/M/1hdHIwmzuC8RE3JhgHcUpbJB/BHrM9YKz+V9U3OAuHgXZpZ9Rr6ZIZjhHtcHJBvU0MvrpOaA
6OJBKYXkKMgdpJ805pNeKuDPksVZlzB91gHR7O9bXzueCnwZ9Op5k9BMuLYOxiSXciD77li9gIQ/
JF1kT2O+YWUl8ZynkICRvBP6g4y/NiNIWd3KelG7ZSgxHVR2h1yRD8gqPGpye7B84alIT9BYnC29
3UWTctA04XR/pSsQk/k30JV8p4en03D9G2QDyhHJrGoXetLvhfmsgbpFSnM/WomNnk1Lyl1kAqoN
si0bdWaXUvkkTMopqPxDp71KwVY6Phu8+fIE78R9kLnc8E/5OdK9cPbUriBMxxGheHP8pFQ/TP9F
Epm23/gGq1/6g7U5RvvwJptBJAsJEB5XaAoGi9rYHnU3lfOt87x2deaU5P9WtQwzElGIiDVrt/Fs
NXu1zMlu5G/Zpoe4LWjyOWliUs9WIL1bxrOdWKhBy9CgS3AO1b6894MzxB12Lan7UdvYvPVF/cfY
4uyEaa6lmo8x1N8t67tvvtF6Uyi+3T+ja75g7rgxWQ50DnXr6280lDmP4jA2bkn8L2Y/O+1bB96p
H45i/Cr7j3H+7b7B24s5w63mvNki30eKaPGUh0o3yZov5ESlpRP22a7WSrsEsQwy1RJP8VPUlkct
Dm0NuMCfjvFBhDh31ecxGSAw8nK4zhx9P4xzSh2J9UbAElWNXXfyn+4pEHcoa5lPIVyCJ2zx6fxm
1MRJ18mT25fh7J9b/WB4R0l4VJIOFeENtNzNLVtYm7/wh1uWxEIbj6JWADZyJa91ejW0S3kLX3mL
D5zNEGHPYGO+nrU4KEZmeZFnmYWLCv08J6CXTmKUD4MvCjY5hnrplQj0MYnUKTWz/CgLsrA3k1Y5
VGPzyENW2lQW+l0wtwzvH6mbezn/NCAxc1YLqGhZGB+TCGGOCNnYOiSbKbKDgjdLNLuvxWfF3zB2
W365trYMfNpS86u2xlpSMFkFV6gaNQ66FU6cm89i3tkVpaAmCmzubmlIp/trvQmEF9YXn0Fo+ilp
JqNwNcGD60ufPCc0iq2O5HxCr94JrIAOobKNY9DgEbk+UybRgdl5rNFMj1NxirRTJzAQdE5pbBgb
t2XVFoW0mRBRglpn8UqIU6TnQSRQzjJGBMRKZ/Ceze6pFsVTmUevIH63kqbVT8h8P1IQOhECNa3r
5SnFGLXWEJeuxkA4I5S/jOpL2Uv7IkZJaVcZ0r4e+2buYewZw3bvf8HbPGreXAQHeEUgEqS3fG09
G2FuSSs+YaDCbp7/BhK9y9XmNdByd4iE585AKbj3X/Rpiy3t5k15tzwPDDB8R31rEXpNeZ5KWuyX
blOKxwZ6FuFHVVtHaIbO99e45pNACkhobSCAAoPe9RKjoIJXoyLxFxO0CP3SVJzArOj90p3ZuI+3
F4LbDFYe/qKZtnxZvO7asVPNXCrdZEomZzBKnSij2dJJWzkylMveiZ/Iq2j6LG6EkCQ675FRusFr
3UZ2Pph2nxxhnh0DxdG9w1AezPRTIny9v5HvLGvXNxG7HBTQ+rwpTAVc7+TQoF8r1SFpQSXToA+I
ILWBACcUC+EIrYBM902PmG+N+13PoDxDZegWWCZT1WKXvIEWhAjLr4oXRQ2GfZWJrxNsnKcRqSun
F/v0kArlofREohhVfMlVP3iOR0OBziPp4SRQu0NYmZItGEK18eFuIg8oNhjtmRt2xOk3DftpKjtT
SQJSeqXaR1WwB5t+yGFevVCPalGls+W229/fzrXDQmvQ0mGWoyO1DMg1MM+xmRbk35MF0lVkILaZ
xHKjy/ROeb78aNDJAt2n803wv/AvQlblkFvklStrj36Q/DWMtQM4c+bMpcxwbIpopwsWlDr9TkST
zvenT8HEnA7yDmb4U9FTviLTJblTUBeMk89FzzAs/bqi/HZ/P24dggISlwkrqKiJapdvWaykBR3M
tHLT+Ms0PPpvHgMv0sa85+3zjBHedurcaGrc8E7QNx0my6R2I3uXspmeorBz2kB9oDa5s4KN4d5b
z4MxBiYApDIdD6P39X3JPIvZ/7iikGOIjhyXJzHyCFK2iKdXzdB/YQJwrt4vy+hBw9WRa7FyG6gu
dlNuhlTsFfHEeO8Wx+Tq9pGszRIF0PsvE9lKgSxkUKXKreWH0BKhZjkhYG4n/l9+s7F5a1eS3gCD
68xPUrJfOLkwLEs/gpHFbUPhVzoTPAd2gIh8RQdboqYqFn+J5Ra2bNUobQJmEgBSMolx/cXyKfdB
PFP4MNqj58Hh14U2BD+5oxBvpMYxbn/dP/RrG8qT9L8GgXBeG/R6vSnSSWBDBU/4olnlj0BqdkVV
praR9hlz1oq50Y5YNQmnNeUI3AGh1bXJyij9LJoLAWV8VvcJDq6RgEkf/XRzjmf+Xy19D0xs0EzC
gDAfmGtTkKFLNHlI8cfh75Dg1InUgxzrO0k7B6Z2KMUXq9oitV9zq2CLSKuIGeEuXyzPDORGkfKy
dunu0tRvdtKfssvROWc+cx7snUua9F2vV4V+Z56p0lATM71E2d9DfUpADlvBnonDfeBnjhpsVS9u
41JMQsXyPk7MEzx/0w95lSnEkTpWSu2GvvZgfIvy9ii9JFA+Qg3wlVxk4zncMjf/+wdztZ+0huep
tSvWo+3BsN6VkF/E2Y9KeZbkx4IE+f41WDVIT4q+CRDmG2RG4ueG0BZSTTlfmw6+GZuEF2Z8RE43
PVn90OzzhoaCh9jMhptZc56EMnMFgKYUWdv1Us1KiSB70tnZup0jp6A++EaU7nK/SXb3F7l2MueR
hHkQnB7YMrnognIYKy9s3GTMy33Ty5lt+DjR+1bWntGPVuZf8eHbKdIkxaIVNa6eeHYYaXs1ePH9
NxV+m//CEG/OjCGBmW/ZptCbTrMar23cSiwdWQh2SvcWSn811pahlX1DFc2axylAigJeuV5RWFhV
3BhBhzZ7NO3FuM0+GZ4f/2kzmlGteShHQ3tqhgkufFWXeH3gd9A143LfwDS4U4CgkxYc7+/aynmj
2jOPiECJwNzmIsNMk8yqlMJo3C7MbPqRNrumSFvUHis+HnAec2iIlXAYlgNWnah6oxWmrRvoyGIK
bRY5RV//7gBVHVJGdJ6KXq83nMbqyqjIEMxQ94BR6/ozxVEqS6UQYDP8pwk+K+knIdzIQFbONgkW
TTGYtpgvNxcmYPOrBxNgjVuLND+SXpN3QgFqrEWRZ1cDfdk44isnT6E7Tt5IlwzWv8WZAA5hjXKg
tW5WW+VhbPQJ3gqY6e4fibWPxR2CERIeJRp+iyOheZPh6XHfUuCAdsWrnvJJc5QXqSwOZpK93De2
ljwyQoFLe0eBMUtx/ZnqohMDP9R610KT9lPQpNrOEirZZVZJOwkkXk5QWpCllYJ8SMRQfuhkvTtU
Mdwo93/J2rIBsjP/Rxwys3Fc/5BSjeg/GlHvSo2eHVUBwGolDTu9yV5lPf48crw3TuhKuRfIEGUk
BiGZuIBn8NqkVRd1balC5+pTyNsJEm5XSWF4sIq4ob9V5J/aJhN3xBbCJ96b4jH1LXJrEUi1aAhb
Ap0rwebVr1k8PQJViaHr9c4dGrHYKQh27zvdEhzoPLLdECvhQ1soTLm0dfsgdf4WJGPlzQWOQTAB
ynLmQFuYt8omzNM07d2Mh9aozL+N+rlJdWdqfk/ldAo8cUv5dHXBHywuHDljSha6jVhMAiQquu/l
W+xVp3nOAKol42kM/rp/wlbcBRVDZhMpL9HdWz64OVDgzNPzwZ1gOMzc3hpsb6RIsaURuuL5VIo9
DP0x0no7kaIYnaZBWz24EYyxbQnlRDw9ZNK3+6tZsUL7DhVpoKsUmZZpnglgqUrkfnQRUXlCwnbY
+WqyF5p6i5Nhxevx2qILByaMcbllZU7sG3+Cr2dyo04XHv6Hs/PskdtotvAvIsAcvpITdjZpOdIq
fSEkWWLOmb/+PtwLvJ7hEkPIsGEbEOCablZXV1edOgca7npXFnK5kXi9tzI3t1HBJQIo/HtxFku9
H0v49zpXCHMAZ5WtbuFw3m8YFmiS8ZYDM87T/vq0l4Ev+L6Hu9VjubdK8NCGETkI322FlfmRdv3M
mQ2RA9FKJrdbKrfGpKWdNDS9K45PghI8ljlUWVN0njtIsl1M37Lgt9f/Qoh5435aW+GMwNcpb7KX
2uJAKX4XSMyDDW41lugxNkzf5U5j/rnteCtfCiwupXeoAWCbXKo91J2A+iRCmK7ofyiKyG6nn7cN
vI9EfCWg4/zfIZfnBXD9oaSuiyo980W3MvJ+X0SiymtfH15ALO2ydNYLQjtjP/RaunEZrhk2qb/x
sAJJxJ1wbdioNSmJp1AE7WtCT3PQB/RDBGcQnbCjH51sMYWufC96fnwpBrmoyS2bQ6Hpxb3aBZNb
Dq0t9nd63NnDeLy9m/PBWXgjAwBUtzjD83zG4mDFFFM4runk5uNdWv8MFBUB4A9zWVjLN0y9D7BM
xvOwp5qG5tk79rqxyIZesaoJsLZ5GJLuPPX6rkdfxxCm0+1VrTihinYUhVI2EObORbZA5bIyQ7ET
3S5NLMdoxWBXVWWxcZRXPhA9GOb7oDbgvb2ko/GMBJJ3axBdP+2dLHEnv3SMLeKW2Z0XHwiwLfSI
+Dw8NEs1xDishMYTFNEt0/04oWaNGLufoIZ5VBQo71JvL4s/bu/eyocC6wXbLrw0EG0saQbBt3px
rAmi2w4aQgp1Cvli1E92rJenJrbEjY+14oI06qD0gZ4G9vblpLUnlapa6qXkps+VljmlYRw86cEE
XjJkWyPqa7ZgkZA1QiDP+CUQIm9lq6g9XXKpGYfhsKuH0Anj4EMhP/Qfb+/ie2oPJtWZ0oU6WUVo
lt7VdbxQRqmNqqSW3UJQj97wFAg+lE+VrcNqVog/x9qG8RdmA+mgZvlT0nl7Mcj2U1+c2kB6Lvzu
IHrWl9s/aiWGXf6mJf9ZqzFwlg+F7MZFuJ/C3eAdBP2+UY+p+dqqzcYBWWkYzpUvCl+gSPm6y7mm
ITAnWnex6Ar6XeKntqd8CqtkBx2PkT7HwiuNPKabDrfXuHL4uR6QA5nFzt5LO4Z5pfaNkUluk46B
3RvdwJiZp2xEsxVPurIyH6KLyomRqp0x1ZHkzuvKNYY3pAaK/Mnx5dFWog2oxJq1WSuSQMCjhKGc
a2sp1aggLjvJrdEThndc9p4YpRuaXVpveMjK4Z+fPLOGMgVmbVnZkLW4ED1fldywMvZa1MWwK0cd
lLQgCrNkq+i74o9UNWSiDQq8Cpfd9bpKrc96bfQk1+rrnaf7zwyaR9onqfsuCajT9O5t11h505Ha
Mb4AMxV9O+pD1/b6yoiTLKEzLlPrKrtPU/5HyRonk8aTpu2HXDiYHsye8aMVW4+dN2w4zXvWO+Lb
3KdAQ2lOZpdXRmQ0iW76Jecv/WeM/C8jbF9QvZ+ERr8vDMUegZ7ElXIkczpEkvijHkbH17tTmbsw
XL2Gh+CxODOleXtb3o95zT9LI95zbuYceBGq2gQxi9LgXZ831U5JsKm+VKYr9YfE/BZFwT6g2EpL
Jf7dWjYS3l0FajZ57aD/rMXfsNE+RoyzeNbWD1sLIPwwMJfAySyYRRbfK8mguwcmxH7xrhjRooj8
cReFhW0Y7d5vTXtUYSZIxmO9qdKyEkYMUhVKsLOsO2Re164ilX2iNmYvu22LZlwndCVAYWFLsWTt
uDFkApsJLAXzHNm1lb7XpAxQjOyq5eehj3ZaPVFlUA5etkXzsxJC5v8/OF0QR+9jcR2FSoDKtuxm
k7KLU38HogGOCt8OYY0ozP1tl1q3RpZsyqTMvEOv15X6g8KgPh8ujUzjUGqhtfeZhjsMcNDZA9WE
P0IfZH+fSSDABgMNbaQ3IPS10VDX48AwRpnG/GctM3agVfet8NQ37VHPtgoyK7gybhdei6TP83tn
OUOvVkHbIPoqu5Iw7XMEoFrID3Rf2U/iuGP42PH04k4Pn/3wh1VE923/TyHd9Qqz82O/cYDXvIia
BdO8PI2Zc1vs9qD3UjnJk+ya48mqv/Tdp8j4OG5Rda9aUakmGECeuHEWUULqRssYGhhFxSh5kbrh
SanS/KiZzU/P0rcAD+8hyMSkeVoDrihaBu/GUEY9SvOYiOWmNUXp6mjFB1DAB62O7wex/uiH56z7
VVj7plXtyRL3ctLsktTgv42dUW7xIa+snROqzq8JkVf7Uoxnyvohi7JEdfP0aA097BaprQ2fIGC5
fW7eY/nBAl0aWmyy72lKlgwxhtQHoQdL4ce7sUUN1RoelSz+OJpnuAAq6ZTJSG9Myee0FjZ0ZFbe
NUxpkmhwL/O6WT48I6ObCsBrqjtlnr8Pm7y786JKdHIVdPft5a4E2UtTSxgHSpyhWEaD6qa5+CgM
yacY+q/bJta+3DwqAKYLUCDvzkVQgG24SENVdcWs0c61TPc17XPhNCBzelC3C/Rr9viEFHl4FTIz
t7CXoQ6j9ZwetxuzfaU1O914LTR15zcbPai1vbs0NP+QiwxUasU4Ih6wdyWsCllo96Z7e+vWHIGj
Dh6OCAdwfP4FFxbMtkq6Qa41lz5NiX6nAVR2A2Kzdsypzf9rY7FdCFoUhphWGgaG/Vg4QX2yhPhB
8urDKJ4KGYTqVDxbya4dXiytu2+rD0X72ouHihmE28td+3KXP2WxoeLMYJuCMeCGTPa5XDvzpobw
11tbt/7qxnJJkchDRQ2i63pjR60eeTOysUkCiU2GwtarHG2UTNdyXWrMZHU0kefx9IURSy9LZo0N
zfXSJknsWKrJMwuNqqNRdbvcU/xHWerOnZoaCQjn8KR4jCHkrVE8mmqwBS1f3VwuZqb9oNYEYX69
ZNiQvLGEQsvNZdU2pgcveEm8yPlvW3thZ1GlC1uAWmJnaW4VF3YafVdh4eqEjURj7ejRVfzfYhYH
I2/9zA8qjLCQWv3Vm1tA37XdYqfQl4IclMnFxS3gWaBGRKvS3cD6VUkTgL9vk9Ly2vvz1y5Pb+At
LMKURkn1+qt4ELN0oZphJ4AmpUYyYY/KU7XP47B8Ysxma11rRZG5ykh7hYk1sFqLz2MUdVNFYqi7
vfhNrmHwN56N/iGrs+ck8B0d9sN41F9C/RjpdqoZd2Zz6l7VGOKPfbbF6rmyyUjn/f9li8besrTW
qvkUZfALuR6vnjQ/C5W3M6pna9xC3q+4y5Whhe+3VWsWYBZwF923aSbC3/r3VzaOQrFjns0nE1wU
PGN60uLkzd9RHuwiohxdu5p3vu0sK1ELJ+GNSD0HCMyycwFZZWN6RatD33CkJ2yHwRka2Y0gvNJy
1ug4k1eL9BD0d9xlXdEE2sjr3S2TaHzsNe9VgMRm15Ugi4wkE6EztgKoUFWtOEmdaR7jKYb3FQBQ
fPj79VIGARtB8JxBfteHQwEpOeZdYriS9WpoCGfqh/K/dGUAdzDWA2fDzMqxvP/CfuhLozEoIp8g
MVHkB6/ewPCt+fmlieU6Wr+IpRwTlkLNKJB+tMXXNgGxL23Ah7cMzY/Ci3whkIKBEYDScJXqWxyY
u6l79Vu3a7d6jlt2ljeb4Omi2bbYqU9Tr31M/fG5CMPfnbiRYq15/OXOLcKwlplJV3m5gcczoDfY
dWDC2P/nP7jZvx6wzIHDvk88KS8MNxLpayJU1YX3qbe7bWTekus2AtU8uo2k9DQlcOfrT2O0jacn
o0WhDX2zPRFJdvR4VPZVPllOCJY9CP3gLjCbrQrf+y2cZ/xBQcL6QjK6rHhNSpO0qEsoLup6ThB9
MGhyIlz496tjIA9mTNJuKNsW4U+JBsXw1Epxzf6HARirp7YePsbeqen3Xb4Fmntf2+Dxw93FBDJ0
/WRW13sp1lXZGfKguHQDGSGLwr3cJvVeDY1dARH21HQb1d/3/o5B4i1/z6/DpWagNQwVDRhJcfth
H7VuBcw+S+59a0tR8/09NduhPUILnGrUkg9Z8SFXzOl0uRVoG4cnoGkrvrQFm15fzb9WFoeqCHsN
IL2swObR2Vp9nAvngw+PzLgRjtZcj74mXWjIqyhrLq7dpE7LKIIYyFUF0Unz1g5zzfb0DSvry/nX
yiKj8Yey1NKG5dAOOvTxc6UgNCBVdqlvJPRby1k4uRDwZs8ZGnfxPrvNzkH52TS+3z5Iax6gz4Tj
PP658Zb54DROodYoHCSkodWHKA27DzNTx0ZfaC0Y8RJnwJxnMinC4sPkVtsn8tSobmt9NP0PGrOH
Zws6k0LuPvqCUtqhPAwbKfvaoYXJbH57EIvEJU5FKYs26lAVcOFb3JvVb4inphT60G7cIWh5uL2N
az5xaWwRIUxvqJOoEPAJ+akIv6nFKUC5XNtwiLUlwdU/vyAhyqEqdx2HhK5pJuTmVFfuo8/asJ8s
1NMeJT24a2gj3F7Rmq23AjyCMswGLT+ZkpRhSwxSmSILu+96ntq+8k/adPuo2Ni7FRfE9cAJkGeK
kMXPx+AiiZBVf1TNIdJd35uqU58gGxIlcfX365mjHAMjoJYIdYtTWzEaVrV+TNqVtYC8Os3tpMrJ
dQggBS/6qYX+19sbuOISAJ8haJm7wVT7Fx9Lm9RYB/VquAWnD6aWVHOMUntIaLU72ije/QdrgNje
6F2p4y0csIl7qD1rrI2NBn1S59Op3CFiMLTOIE/mTx1IxJY+x7yCRYoxU0kipARhEgdtEdfbNlRG
deKWEkqGlxVnSm0hO0WZ+Zx70YfK3+rzrsRDmSgCxJcRLXgaF2ssEWG30lpTXE/qd3r+Iw0GZxq2
gMqr3+3CyuK7ZUozlWVO3JCnO6WT7Kz1mRrvIP7YuEe2lrPYvkgcYi1iAseV1Kk9pFL+Q+8TGl1e
uaVMtvIIB9vBp4JKgBgvicudU/ogbyNfhVZ3OKqTK4zhS+l3Dxm1kqR5thRHHnO7jLO7yuzg3vyg
INXoO2hVTWniaGWpbDz65rW9cx3GVZjom9lPl2OHmZxWold4CtjLp8by/oyJ7ITPgX6cPLeoqXfH
vf8fTgjwgLlZBKEL/GbXYQb6CGaL0oISnCLbhpgduvhjOv4OIDO5fRRXvisFHEinZgZNii1zvLuI
Z+i/GmIjUMoZhWdTcOkYdPrG63/FR69MzD/hwkQ0jUVUKw2v/2kKj2amnyj8dTsvgkqAaJNvrGgl
Qs/I1RmrA8E4t/i1Ob/r4UcxPe6dPPQfLMrrtpJ5Wzw4a/smS5TtDeheiCeL82Ci+RI2Xay5fhOR
zUc0naGH2OTUX7nYaHWQVc/og1lh5noxtU4SP3YZNW51HzE/n2TweQg5zbxXcaiOt31hxc9n2D7j
0MCCaGotdi4FKJuoCRVmz+qODA05fbdrqp/Z+FonwUFEYz3+/B8svlHAzzIWkApeL6+wer9TcyyO
vvyqBEF836bKa101hsN0BHdQEganbhQERkHhkL1tfM0vYS2hvs8Goy+zMF6SvHii0HDGEHxN5e9D
G9iJVzux5d42tPoRmflBcYtnGVPZ16vUGfrS1YlKntAk+0b83Sg/jOrctP2h7zc2dAWSoHOOqdzj
MiAz9cVha0wjSqSYUpvZjYeoL199vUZK7XeepQ61K6cWhmPtey/02zfO3dp20kmnzYsOOSO1i2HF
Fvykn1sTTER6hlg2Wo5y7zlaY30wpfDP7R19r8GK4tKlscW3a9CUZN4e2iMdnssQDRRdFPeplhSP
RidZvyTAm3ehEuovVtzdd+lUPAl1G38f0VU7BJI5tbZH6uo7dSxvgdhW94FWrEx/GEjp0qejoJf6
wUzQYinzX2PzXfZbmALS76m32Y2dV7m4mKhZgISCehkxxeXYWuSV5f9H1nxE2GDaCdLOy4y7poEL
UrKDrLShFf7dDOlBln7c/gJr8Y/oJ4J21wHwL+VgGnOqRzA3hmvmz34ADbh8/1+eewqEQkD0aFVS
Al8kAomWNFRUqW956UMOGLHdmstePS1EHSbkEAUCOTB/y4uraZSy1Bw6dHNEwT+CNT4lFpolpuDE
kL+XvlMN4imseieC7fL2/q15CbNf5NxQo/HpFoGdohovzPm05N6eeYudVBt2o95DzbAR5eagvfSR
C0NvW3CxRCvphLiDsc3VA1gSOkfSHgWJyokAEx6ayZayUQ1acwzwEAC1oAGfoaXXW9oq1WhKhaW7
RaHZopUzAevZcfUfCndQhv3PzHLyW2ompY8mzASVYX5Ia6m/G/rhF0xFG5fiWjoBdzYzgKTzYB8W
kUaAMaakSmi4jeHbaRM5fZUc/t4XmDkFe85TGQYb+XrLxklhmHbyOUsC2Mm+doDKpDK8FZnw9zEa
d6N7wYgaH2cJWBuLIRBI93TXED/3JEZT9eBJ9pRtSQGt3HhXdhZO4DXD1KYRK0qqk2GeTVibWiPd
GbI7Gu1GuWbF4f61xTjR4t6x+hb9n9nhxEax5eFOMFEEV+/++hPB5DHj0njQMWGxWNA0Bp0F48Vb
oIBVSMlgUg+mypEqgNKVbGyxGq94HVAmCXej/8n8wyIVsxrJ9EyZF3LZ/MolHQjox9sLWt21CwOL
BUX+NIkevXVk9b7FyXOtBFxSp9s2VmIci6C/T10BhtllVT+G+7ouxsxwteYkaX+K6RFdhTq2NiLc
/FMXEe7KzCKIq50iCVXLUhI99PZalcdHK6V4m+VS6NT1+KPNW+1U6rn1MUiKjXC30hAERsPsIQVD
VvlOiV6x2sCbssF0tah25G68yzpbnV55GtimUt0FwUc5/dFqABm2NIBWIBTXphehSS6FcgoNTCvY
lJTmvqqmoxTEO0bD+l+Zmji+N+x9Rb3LLGR6vGSjwre+duS+6AzCQQOVynXg6uNIlMsuNsGy54d2
8O/HJLjntbpvaI2q3oOsBw/RPGYVmfk5j7/edq+1M8IlQ+5DzXSear62XiZqjCLiaLpyh1xwksix
E4riVpK1cn/Ss7FmeRjovsHcXlthQiDJ0xK48cxBMFTfojw59JBlRPA8hYe+/XN7UWuZLRVgyBTJ
rZgRWL74tEiPhcETgTeDgR0+xuYuz5EQvAP3fge76q7Rq91kfhK64bUo7Qo5tM7aqoCvhW9wHUB/
eJRZXOXXa4415GD9kSKn0Ov73urufLLr1t8Xun7yt2an16IEWEoeYFik0byIREZb6nHd01FPhqI/
mBkdnaRWtFMqF/pBNtOtu2kt8vHeA+JBFXCeqbxe3DgKvoD8L+8UC6yDqBWKTVUU4blI3mhXrK4M
dVheQzPqQVvcTGaXoAfbsbKxa+6a2gAL3ueSXfqPQahvXFArIHnc88LY4ixqDcCmmlTTHaRQi+x+
TPS7QsvN2AY4ku8mceqgPlHrneKH+V4a0r0mR7mtNOjUerloZxPw1V6BYqH3DOnFrItyPySlck+a
n90JYxSh6FdvZMFrR3jeGnpDIuxhS5K5gJaXWKU6aIp8fBUV+cRubQTodRNkPBa8HvPczfXnjoMy
G+mW6m6Y6L8Lqfw+iuMWq8faeZn7yMCsZ6rM5SCR7Mf10DQae6/1Du3yI+3/h8H0HF+qjo0cbPT9
1/yKquD8eqAFgdTx9ZKgwkrDHBIYd0p76UlTEtodo9UfVTkYfybD0Lm3Y9KqPejdZilo7jhrEQ6s
dqz1ziJrDBTd1sbpENa5XedPtZUdblta+1icF6b6WBi51sKJUwGqJ9Cv5KedER7A2XSOrpdbjOSr
6yHbVmawOKPhiwhQ1NqY68Wc+2T9MZbzU9PJzlTwPEqsjRRodUEXphZ5nKmFoTToNHIgGO12IYw5
tpnqWxQpayGNLJEHkQZaTlu+8eS5Ye0HIRAaD2YhQUcOJDCm7mBa3tZbZcvU4guBBunoS83Zdq4f
+1Q37TZETiYZpo0Ede1tztw+w5B0AaAKWLKpe0UzxLoa8SrKXqLuj2CAVU6OyXAIjdhGrHVvhS/+
FhBl1TWogNKxJG9FC3pxtCSrjKwIo1qR36ftPGeUv6iB+qDp9fk/+DrX/MyvO8vhLFwjKL1+7BLg
SKKaPCsBTRUx37gU1lbDs5WsFKwaw56Lq7VJfL2y0sFwu7I59VZ1iDz/cxGIj2jS/by9mrUQeGFK
X2xc0ptxOZmYitX6XtN/h8oXuS0PFoMnUbpha21ZMGtBN83Dj/nV+c8vShoM60qFlBIl5DZ9DMN7
2Wc0bSgdAUTI7VWtWKIUPo+UkP6R/y0s+QiVQnhPhl0UU+bwgvgqMZlqNtCFm1a59ZJd2UOyLipR
lKT4asvSCbBaZVSqwHKHOjxmk8WtDQesMwq5M8Tt71Txkg0HWQlPKDrPZFQKVUR1eXFlYIjKdsgt
V9OT32WYhk46CJZzexNXQgYjjdyNtLG4H98y3ovPlUpcjmbYWq4EVt4WI9m3az38VKja8bahtf2j
UAP/C9hnOA8XPuhZQTkFSmXNusp1dm9VwkHHWJIjMqx8uW1rdVEWReiZ5J1/LjyDzLIYrWq0XL89
g3bJpKe43chc1pyPd8D/TMzLvdi3OApCRvs79s1SHcq/B7SKIZPIdmG/xVm3tnPk9HMaTt2OTPHa
lDyEadmXrKYzfnaRcp+/VkllT8UPcp3/cKRoWNNogqSe4ufiI/Woe0PCKlquET5W9YNcPg5fdPGf
219npSQA9xlM8cQCcBTLihoDm0JtMsTg9v33Ovwsqa+ptetr1Eb8D7Iaw0i08a1WN/DC4CJF6rRe
M315ssBPoNupJ3tR+hpPL4wNdWW9cWjXXA/KMBJAAHfvyabyTpRGzdMsV1fduv/U5S99uTUbv+Z7
pGGzZ4tA0JdS9pMOtW4Kj5zbyb0D35CWoyyq/pHlH7c/1NpaGK2eIZ8WT8AluVsWJnUj1ZLlekET
74BeFdBoiulTJmfH25ZWV8SIOmklBC3MRV67uN9Qg55UD79TPouqZOfhObXIaDccYWWGGlQ4HRFq
XjLN53fRLm2QyBVFD45iLTqw9PpkSk3tVCrEdU0ZZI9SEn2BUK/aU22YnN7ohfssN7Jjm0rCh2iU
up06BdMxDRRxr3QxMAMFMh4ZjU+70SR9f3tf5jRjUT17634ymsk0rLZE/pSqMQ4NUxUugylPXuW/
ZMJj5n1Muu6oUbwfrW+37a3ldZcGlyQPosBCJM3z3ECT/7E8ybBnjsqKtyWNWjuMJZI7D16P2K7U
rZfTmrsBcpj7EhSO3rmbOSXxGCum5Yb9DxidbKH5aRZbr8E1T4OrcAYzk0bSBbz2NKNPTCVsIs9N
RyOZCf7joxQr3xq0em1q78VGQF0JPbCMzsyVsAvD3DX/nItrQuqhj2gCjqqmneXwT9migxqe9QC+
oWjDV1bCKvnq3NTET2B9XMRuq5hAnhWJ4DL0vlPz6BikoyN1j2PH0EjkqDHanPnWhbHyzUhdWSJN
OgbdlyGirATI+0dVcKNePnaAi71MPljxxtLeW5mhIpS8uJHeRDivd9GXSm0YCj6abNXoz6i2YnW2
rG5UhN7nW9dWFq+nQvUki7a05+pZ73hqvgu2BpPfO99sgW4STOyU1JYZqyfOsJQ+8xCQY5r7K0Sg
O6F5SruX26d4fbv+NTM75YXTtb2YekqY4+OZUD2EljrdS152l2eMN9+29N69KS3Td+EdCPc4Hn5t
KQ1rLrtOtmbwfOqZjigeDBr3UR3ZsbJxs64UtA1oK7HFSA2DCEv2rkoZmlQqCr5Pc0jbD+LYOZr6
OPapIyQHPX5J5E9+LxwSK98ohK1cG7PlmcnyjepiCRcklSzqQuO75fVPKXqtFDszJrtID4V+lJXz
FBzqEiBHaH7wXrLqIAp7wWDo+oMYxF9Vz/xUpVtzBO8PO7+IzRChMmb7l+O1gddpSkjtELj996wb
7FB3uvyekD28ym3g+BvfeeVo0MV5E9YDycsZvP7OFC2qhmzOc/2EUFJ1kPDC2rGlnbrit3NKCI8I
Iy2QeM9/fuG3vSD6U9/XbDOKyF68J/1AGPnzbZdd2TkAwkRk8ggNhMS81AsjuRHGvSAQJqdyOFi1
k3SfA/BT3DfFuBvHX6nxz22DK3cqokvUzQxaUbBULWslktKrTdZUgmvk9VDtS0Ga1WABMSNrPTXD
T+TtI9kGiZt+Eih4t04JsAqJprqx/r5zOTswfG1zSR9Vo8XitborUZ3WBFdKNbpxZfljQE9940m5
wkOAlTlU81ahUfLuFTF2gzXmCgs2E1uW05NqZDsGVm1lNB2rOSTZvm6eTCX+AJj00Aog6fv97U1f
cyVYJcG8gsCHMXGx0KIaY82zDMEViq+1+aKMGfSIf5208rxkQkSnFIoGy/JdNvWt1E9S6p8jH/5w
fRcXT9YUOW28kZStreXSziLIGujI1o2e+OcgAhoylvflPIZQbITXlVB+tZrFpRFOZe1resxqookq
5f3M3KDpdoYcX7e1c6seYsws2IRxymvLcdByYKQCtW7/POXfEmWfqLtIMu9Q6XvR1FNQJLuoetGS
0h5cSBdO7VBuIVRWbmIN5lGSTWoe6HMsAlovaHLuTap/np/vggKzmvJsJMFxc/JmLdwgzwUOC7T0
nMJchxsrzUwjCKvg3LyM4X0d/h6qh6ZAA87/AR2BJ4Zbbd85zbt+MsCw+6/BZRqYTVqlVmITnDNd
R373dylE+2xeoIdcrfiYS8gvheciieqNVPf9WwXDFHeQteHlS359vdK5cG+0E4bjqjjEpsZ9+KWn
DzGqFIWfTPSDbh/xtU94aW/xZsyblABp1MHZaiW7Ht0p9mxkZcdN1ObayeDu42lK+OY/FgsrNVkZ
6qwPznJ8p41fivoh0H/1Zm5XxiNgAnKe3H+S63muSpq+D9nHWoCYqzuG5UbAWQsElz9ksWIjDETQ
qnJwrrqHxP9ey5+DYcN91k2gmDVLdBmyPP/5xe2YWNEwBbISnAv8pPFkR4xzu+m2SrdrvkKBGAoL
3ilMmixWMrSyElk6PDxNsJPy70NRfpbSu+jcGM2P2Pz0945yaWxx1lGFquK+MQPyNJN8Qn2IpRem
wOV6i3V1zSMvDS0unTKVaF3XRnAOw3hXjL8lOO/UWuJducXkvtw/QODcOzPukvewxee6/kxGw2lW
PCjNy2xvReKhlnZFeQCQsgumveVtXA3vMu+lucXd0EpqBNI97l2VSE3RW852UvBzMn75+lnWpZ05
/jOGBy3caKUuDx5NZwboyQffxgVQ7b1epVxooaZ5iuhOVXlIBDWyVbM/V4OQOnkdn5pQ/HPbU9YM
klbzhJ5bF0C1rw2mUlV1epxKYKIsu8wgnhQ/G01se1rodKG/EcDWrJFVU4OYSWC54a+tyX1uQExQ
SO4Qh5mj1cZPLxMPXmV+bbsRARZ1K/tb3kUGx3qeJYFAnMc6MJZrg2iA5XUBuNWdxNiBS/wxU6bP
opDfM67rIMXyopTevim3dIDmz3R5Iy3MLrtPY2j4+hhjlmrmHyuIHUusP9/+cFsmFiE6YuyU90Tg
uX0s36dJc6DVsL9tYhkZ5/4ZEEMKgxwjxvEWX6sq/KBojdA/W356mAwLDl3pLqy+3Lby/hNdW5l9
5iL+Qi8fdl5CTikOsLujG5gplpNKH5MkPgU8PhvriRbAx9tGt5Y2R5sLo0mYenLXYFRpGSvxgRLl
0JhLG6d53qBrN2BpM1snOCKwEcaiPjXG6lQMGlbUrLaVCr7junf69j6Jtvr6q+uBvR4+P0p8QHev
19NrWTvUReafNegKM4uh53K3eVO+e9bhEFRx5sYtB4qS5cJKKRSiqQ6Kf+4HAyijL9i1wWRO8lIf
sjh4GwiKJT3ZMVDp3v5e770dy7gXCSUFCfivrtcHlapaZ63FTgZyStqBasQQqcbhtpWVXeShSD5H
FsBo5rK0p2eqD92xR34lZycGDO1G8k+xvkHiteIVV1YWx8oXAjkOaA6eJdNESPe10O+DpjgI5cac
27snx/y5qIzy5OD1z8t/Xu6Fkw9KESlqSsqheD/iNj2YkIxomVsMf8rqOa2/t6Jkj9qpH4DCdsc6
/dup4Tf7lP8A6bCpjBZc2wfACMbJz0LuL2kXaOEuG17Hj6Ait/Lite82oy5nPCSED0sKbtlPzdoK
yPEjbzpmnfEkdsKdob7c9o6178ZkhknllxY1Fajr5QzAQswkGMKzpIWMPRvQCn+oRaBtxUbxbdWQ
KfKsYNSOCaZFcEKypTJacwzPmnmsE/00iPtALBxj8DbKFmunCpFTCplwgcykPYsV+aUfZ50Ynj0l
+O75aWxLIgSKt7ftXSo107Brb90Ndg8vXNxUTPBlQpYV8TltX9PRhTFtN0nNKVEPZpwfzMp3Jggo
eVxsAbHfSh7X8XeG2PEXKrxvJ/p6fXI7iqavKNF5FnLXYI6bzKOoM372YRCmu9IIj0bhtOGDatQH
sSl3VfK1itSt9b//nAD153c3Dbg3z7n+FZnaF0Jk+MnZT0GSnqz8FHvnoW0fwy6+g4ozBskRPhtx
cTSDo5UNH6zgLofjlqCw8b3fn5NZmgeSRbQ08OIlB2ulhgyHd2N6HpNfSvGP1e3LfiPoLDM8Pjbj
5TNgBIwPwk6LmBMEiZbLVZ6ePU2zhfKhsCVk7rSniGrjbb9aWwzcV3TtkZmnh7p444yR16RtX6bn
vh1OvXen57CiqVvcdSsfb14JqSqNWpBfi4unmpoKsmQpPQdISKsUaeXkp+iVL+n4z+3lrFyukP+y
YfOrmwfisphghIXoj56cnmHBd0KUbtqvTcYcb3yft7UjjZGjqyRI3hbW4h2n5PzJLg0vXqaTr5uj
EGFYL85BX9pd/hqq98WgHpO0cOJO2BX8K3bgWlYI3e34h7RMr4+Ndb69Bcsn3tsPoVg8cy+B/VAW
XxTOAxBuk56ey661/ci3/f5T3p90Dq9qwK+XbnjQqr233BaAJ9itxcKNIDENHvwcB2l8VYtGreyk
yConLQf91CtSxNRilhyiXO3ubq907ZTw4LJmigsu6SXWLsk7YWBQG1Yatb3XE7JcY2eKu9BUvwzC
sGFsLQxCNWFxlczlHMgMrgNQmWhVWaE7xElJue7pOH9QoyLctYW3i4S+cNImbA5aqiLZZQXCMTeN
5NEr++ok5Wlw5zdjvDOHLNmAJqxtPx2mmbCYSxWVn+uf1TOukY1lkZ0rK3tUPe011ZOTkninsfCe
y+xDFQlbXdVVXzeYDGG6mqcNbbVrm5pUB0Mb6tnZkJ6Hr0F/7BSi71Ae6V6V/rErAzvvXnTjXpZq
e+6Px5+T+2KL8Ga+Vxf3Er0IkNmzigc4h4Wj55Clm76X5efKB+0/KaW5l7po/A/RHuUYfRacQnrx
bVznIv1TNKTEJxErAVdsKP+DNo668QnfXGexEkoWs3TqjNcDqXW9n3XfyD2Fhew8iZZNPVsVviKx
0v9Sj+aIwEOxU707ORBt5HYr/T5J/o+0L+2Nkwm6/UVI7MtXllm9xIztxPmC7DiBbhpo1gZ+/T1Y
972ZYXgH5bmKElmK5KK36uqqc069QyBDHCNom2V/huJH/gDK59gHotkKvCgMddPK7r8W7OFWMAFo
LAIQHlhB+uyYN1JL814B48ekw3Zo6k+uQ3AqqdYyfFf8py9DX+Jt+AlyIbMNPWZGq+R6l+NRqaPH
MLd9QmUPKMCgNQ7yByevHAU4bnhp5Eur9dGFmwrlNjB0IAwyWZ/+/2y50Q97FHmCjKwMsQL7YRQP
knJIyfttz7Vw6wL9jGjeQTZuaoR0aYWYTjoAEoRDG0kI5FO3KVOfJmsR/Vc6b7axkCSdHpkgoYLs
NAsa5dyJJCnBQY3HXc0TV4ofO2SdaweK5Wkg6H3Ft3QUeKEVnmOHOdnU8Ts0MNALPHOJfaAvhDzG
/abpPYW3LnP6bW7foQPkQRIr4frCaUbkj7wkqOcIr+bCUqQRVgqnm4esgKCBYYPO0fK0Xwkjl5YX
QBBQ69FNF1yL6SvOlpc7/dh3pp6HpXiP0VyeQK6vGCHk+ef2Al+nYwBpmTSeANCG4sucwy+ja5ed
NqwIS+vkACJG6j9oreUNQKE4H4I9ichcuYYXLsMLizOfTPuG0QRJ99CGmEiZ+yXNfZ7+UcvM76S1
tm6LhxQCBQArAkcIhNJsAyuJlmmjLopwGDxaCCzVa2F9c+oaPa8aLybma9ruq07Hm1x/KsnK23/p
MYT7fhIogPcHFnTuIxjgNkgzINIquAuZfFcmyX1kd5vSkr4JPvzMC3Q5arvnrK/daKzHlUthabPi
VCH/igogApCZw04GEnXJwHiYy5G0qZsy/z7UkrzyVF6wMsmRQfoWjw1cdbPT65gJo6xMediXtRUI
e+z3Ga2UlcBmYavi1Y/QBi9XGyHcbC5rySwdq9N52Oo/WPxAcmkbycpOIQq6jlqeJVA77v4RMQXf
CiQOIE3AC+PKM2fHsCoLs2qVogyztLGhwFxoXtfpa5pTC0cCBrA7wL5HMuqrmcbZYWdjkseSVJch
SNfPMgtI3O2sWHjE/J2VK+5rwaNf2JrdG1yndlng9RsaAwpfo35M6uFgOGJl518vFja9jJQQoPdA
8MxxUwaaDZK6zKtQ1jdt22s7XS31TdXTA6X8QSXVz6aR1Y1lJ2usk+s4E5aheDYFQkDCzkELDAdh
QOuGKhyyQ0HxgHEekOmQaOprTihHazTo6/mczKH2PXGFkPWd75BOBbjFMqswM/26O0rFA2AGKy5z
YTLxxcDH4DWPOsqcMVbBtuKwvAkVUR6BsXm0658pORKKfIpp/yxIoK2GN9dn2vlqcoWwGe9FkDMu
LyBRCbW0atpgyrixGQSdml8DA3b7+lmYPRAIp+4+4PZNiYRLK51Z5UxhZhtW1i8JvQWMArL0P27b
WJo9IMkh9T+J7+HOvrThiLQkFjfakGqKLxN0C0H2+tDVzDugidmflKPznF5vbxtdyMZCuRqtwgD0
xfMefy+tFiI36zRtmtDItMeicQCI0vZOF7soO5SJcTcS4qYp/dGmiW9GxO/oA2X1imNeyDJMXzF1
JZ6KjHh7XH5FNjJCo7ZoQsji+mYf4KJ0WxbUw5uuPSiS7BZF55UA666MfmFdL+xOa3Lm0dCIsRQC
nYzC9o+wfVt3UynkEAIYfeMhebWCIQl61EU018k9a+2ZsnDrXox6rl2fxaOBSxfWZSK/V92nENs4
1t1eqQN48aHeQaADvHpfx6V7e+DXnnyqk6DHEBCweG7O1Zd6YHEs2lWwnH8axl4V+5Sjlta6Y10H
t019pe8uY+ZLW+rlHEPWKk3xAsAOm3Qetjx6bPTXXICBCQVkyAIOpeTyjzdNPOZ1jHzDXeb8Qvmr
EkG/ss3WRj174OoDKsp13DWhmnR79ANDj54tM94z1b4bdLJibOGtMI0bqV64Jczn/BEKBV4LwklZ
E3KTqZ+2JuQDsjnO4I6FXP1px1ZUHhmiZgxS8FJb146orOzTqsqLjd6JNhgjmvFvZYMSTJwZ+ked
U85c0jPrVGS5ysEpTYURjKZKnnRaqbUPfdJU2ioy49k2KYxW3ve1SbWjLeXJI9FEviYXuug+kChB
pg4y2kiZzJwWARYY/T7HJmx+oNud7sZPapClx77/Nco7Wrauta9KP1VW4sXrZwfmFtYm2BpK9vM2
vjYXNG2TAeeWtMzjZhS5rZpnu96Kuu9WFsXhyiaWsUmvNvGZwfnWSfOiciBQENK+dDNS7lQAMCx1
n1qF3yAll/WvmT560hptYeF6Q3oesGL8i/TjXPYBx4TZXFGbkGSq5qVxKlyjG9c6OC25QWBi4X+h
o4nn1ewSkIymamSLtWGZHRvyFqm/1X/uEQSUIbIAf23MXLwVxZYcQ0c+NI0fcheW7NBVgQiK8k6A
uFkfgYCoX0y3Par1fVW+x4RtV9Zw2ovzNTz/gpmzz1Uxxq1IWwTJhyRu76saPfSq30kKhl3QHG2t
OVaifW7SNcbq0iIiAYLtOtEUobBw6QF5UquOVJVtKI22fCooogdgf6OX2+NbtIIXPdLUU8NkZzY8
sNtjdIGu2tAwCnnP1KrcG+ClreDS1Gmnz2cRpFEQv6Hkg+bMs8EkWte0nKhtKAhIWwbpUyiz9e1P
XZiJP3La3vFKGh/BebG8RFPyo2ZGyIsoNnrmEQsNa8e48fHGlx/AzqOoWGb2nvU5GuUmo9jUEphc
uhqVr2XqsIdCHtudiMkaav864ABUeEK8IteNSvCVMOmAp4BeE7sLM4knn1rJEi8XlfKtELFyN9Zo
ngz5KgZ2J4RrwaXnY3NQoNj26/aSXZ07fAWeHUhTQiAQyn2zR06rWV09UCZCPdX2BHTpKon3TbMm
fHC1MyYz2BfIWWlo2jQvdUrJAMiM2gocPYP9iO3G7D1eCKClbw/nyit/2UG6FVqEU7Jm5iQ1KU9j
MVQiLKGi6zMt+5N3UN3R2QDJflL4t60tTh70af7H2jTqs9hNpbaRxwggQtPJI88xmRSMDPqdFRIH
m/9iCkWRiQ6HlPXslsvTsuqjshYhEuRuqUYHlnW+RcaVKuXyOv01M4uUSoA8qAYJjDCxjWeQI6OD
2jnJyot3cdrA74RYnzr55JmbIHIrOEk6TButtrnSB2ZZHYStBLenbHEv/DUzB+W0jp7aHThWYaP+
brqDcAavo6dS7VfsrAxHmy2NlY7ckAwsjQ1KnYXsPgV/2WzWOp9NXu3C6yGvgjOE9BzQHOD7zG5I
7qQqSaNehDItk7fCiqAallRR5woZXTN1oHX9iKiDjz4La6/qhRFC+QK1KDCNAVeZO1zGoU9rZawP
W6n2bIaHkVkF6Ky88iRYGiFEyuAp5Il2PkcZJQrBrClFj+ROwPVQrQeXsF7xqgRDa20AdrN/xf4D
iI9W2PATgASi1DuvAKq8hhyQOvaAIGiZW1Zt4Voy/U2SAij5vhl2/7wlL8zNbi670rSOmqIPhRAb
xxprtwHR1eVR1vtGZK9clAuHGZol2DDIFoAmdwWXadQq1xK5D3OW7XS526LY869Avmn+zkzMjrLe
qgLSL2ofmuy7Xgu/lu5T/T2K1rTCF3fgXztfl+mZp82rFvhYVevDlH2HFnSgpOjw5gz/7pjgXxFZ
oDkFgAZzRXKnpbZVNxY2IDS1teZTqV+icSWOXxrJuY3ZjPE26UVeSH3Y14OXlKnXVsiURq+3N9rk
DObOApqUX7AaJNXnziKXOEC2VTKEeNzJp6SBMDdCMroruZIFUkXUBzMaxEoKeOn8gviLtCxKYECc
TUM/W6TSadoWTLAedVXdFD4KVRnObFIOw2YkevXLsIj+vSh6vhGJFNX720NeCqiAVQA4DBBlGQHo
dB+cm5fGUcokzKxA3tQed5J2ZzDkbbp9142uUGnYGjtHeLfNLs00yiVI5n/l2ud5I9OAWgEVdAj1
NtQlNIoGj7f9KcyDSJ5vW1q4z0CTQAp10oM1QWW7HB9JUTVJnKQPLQexoh1Vm6hITdcqMtnTIn2t
Ory0mtZEh3IQpk6JuUtzVpYOIpe0IRxirQ6dWvTENWhldhsnGUa0F6tsrXeHeIB6dWQW8VpBZmli
ceNAEwTwe6zq7FrV2ZgqeaeO4cirO1ES386cHWi/v5nUv8GPrrmYK3t4yOsGlIN1QCBQDJ9Nbyfr
IOoAYBMm6H04oC8hFLS8qvuQkl95/v6PSznZQqoRfQ9QyUBQfDm3ijYCyyTZeIkSsckBo0h6NB3p
4r2qrmzP61MBUyjMoP0B2n8CVDIbVpGKzqq1qgtNsw1McY/tutWjftNGn8zibtwiiZOQ59ZckzCe
xnDhgnSk4aecAXAsyCdfwbYy3HapAEmD8djryYedHEBa8hju8LcuMrbtP8d74JrhigDfDeAO6GvM
Yn8GQbCxyIkcVsodh4B2lPAntaebgq2R6q9O4pclSJ5DChMtruZDs0Hiq9KCypBx+A4dt3LY0lh1
+WpAtDCF0KkFal3Fix3F0dkRiBXS9+h4K4NGZz1wtQnMjCIR55ZW5TbQeeQ9/SiylahhaXDnRmdP
ACUGIBmETDmMa0DZk70cf+L8D9rHPx8BcC5RYJu0MPCMn4VCNG+SFkJGcph8ynLrqvTVVEtv0FZu
hSsvBgcGkA86hKHZKALo2aXAoWwslLRWQp4kb+qgu03hZ7ryoCfdXap6bbIm03KdUgdAAKwhNNnD
WxRxxGxgcafEstbreojTuBmbwdMKY2szx8tV5lJJhd5k78ktP5UyspTk1+1pvQZyQTJ86jWJWZ1k
IOePK/SZlArDHO2wqdttkzzkUFnOK6BDsqCQTw75w/s3Oj7l21LbUZIGpvlT+mb/a9cVXBeoK9rw
b2D84FtmZ9EZcrRyYWYUMqmCYLWZS0eBPATmQllL61377Yl6jfkG+RoRz1cS/OzaJ/Yw1cXU5JTJ
EAO5c6RH1N6GmHtR+rIyt9NXX7o0zCp2EjYsLuCrR7gAQyGzhpactJoZhzgufwhBlId0gNCJkUvZ
d4epij/IGvNqJo/7UjEfa/TQOqR5gySUtKZbO/nui+8BKBbZAOA18CYEXHLm2w2uoVyn4Hs6+7Hu
nkUugtTSNiujvko8T9Bb4DEBDASQBxofl5cVV5UIkXdHTj00atvx2cpOaOQOpbggVf8UvApUtXPR
A/S22avHy2QVHcC+WCe4vWY7SFZjq1AZxpaWcWAMutcYuf//Z2LmG3RDSgupbcgJwjVupH2SZK0L
8dXe/EIt45JHhIh69LwhFUG3XDNVYYHCc094Kz+xIAJbNnaIBgg/MzVeyd9cOe+ZwdmOYCwBPC3G
rKGzuJs58YGqH5X5w+TdiqGlrYd7HRA05Nlwvc+WpyYVS1WjJycCQqjfmZHkMkQYnrDlf4Zrfo3p
r6lpp5wdcKCRVSkrYGpgp0Gy0asichGdriQfrv32ZAahJtLWk8uaX+pmFqf9qEY4TPLvuFC2ZtI8
1Zl2T1B+ZXyvvQvID0As5CG11mqh1zWsme3ZncsirVKh7UVOuuWNzCO2zzdK61XRRyndl2gslu7j
zu0NF2Hw7TOwsGGg4QdC1YQTQvlsto5xZRBT6XC4ZQv0i3IIHb13XJYrTyAAroEXFzYNgBmAxcKJ
ABk4NwYYoJQKgpWsNBZ7eF2EksHybWdrK6NaOHdIrk9IBqQyJ6rL5ZbJhc3wIVhL5dFoT6UeoIkS
qYJsXLGzOCAABsCCQN0K83dphxlWouVEIidEcDvJeUGDBmorK1mJqygQwSyk+xGTATUDlM5s/7dx
WyVtxegJ/etHekfQZV5SQqoAjp66PW98bY3bsWxxUobB0wSvlNmmqKlRQtQwo6euPTjfOXsCUBm0
ZL0MVGMrfd7egWvGZsPLq0FqKBh5J5o4AY8QR8e2Z/W+JZ0yBxw8G0Fa7N22uXTYMad/Rzjzk51R
0ZZRjDCOgHTUn0vZ7cHT16AKrvVBGv2OxabCq9dYowFdwyy/VvOv5dmlw0ymyf2A1VR+oXnivgM2
XHop4+FEm7uuj+FKLc/uEs+hD23drUTD01zOAoaLYU/n5syV6qwr5azCXEOmLQ8Y78aAFNANWJnd
hYgBoS/cCgiBKCrNI4Yq42h4T3N6goaibrqqtWXFnqjoex5U6HQ9HsWK817cQ2cGZ8vJk8bIUgkG
q+h+Ah0aJ4FQX8GjGlIdxTOlZHN7iEtuEzgzYLCh5wpa0sygpHQFRAiwfwR/6MVGyf+wn1WxYmT6
JVerdWZktlVKLaZDXNT0FJVqtmlH8yNRKwWIDQAAbg9n6QLCik3tp5AumKDylxsjB+OkLnEoTg0K
oop1GDbRXrtr6xfDPMT0V1nthucqRX+QXl45il+Vq+tR/jU9G6VVq0au8Yae7P4xYr9r86g1Xl2C
bBS7g3ysVb8qf5nP7TttPb1+jfXEjX4xPrh1+WQ433V7Q/las83l5f37TbNzkmUQakXTCbgHKkW+
UaYQ/UZVzpcc/SSNawJVq1Mwu0aQo0GfAKuAC6yTTaUL+HnWAZr/ERvdt6YhcIcgQ3mcH/o/CVX2
wt71yoamO3R45QWg/SPc85Om7VuW+Ld3xqLH+Lsx5vxyA9lwwyymTzMqkKKHivi1jhLnbSvXCK3J
K0J9acoXTTry0wE/c0xS0kpN3KA8Z2aB7DxEA9sW3XOhVe6gbkrnhe1p9YKGW0f+adfHoYUEyB5q
Ksrb7e9YXom/3zH3XCBx9K2s48hB8KMYPWPT5uhse8/MAafiMTMfTOo3vHZVw0cjCbcv0AOsiwPd
ukvrJynatdI72Hh6uPJZV1mMy+mZxzO0G7nGTExP1yVv6IyY17sh2bHyEUFizYonvS290eSHiu9S
55dK39BViSghElODBsmnVneTaMeHTV76zCBAZtzHGUTLK+uoCZfZQ5CRtfTfovM6m8lZDMG0AShu
W0XBNYrHzVDbvauXUeU1llhrX3WlyYhSw+S0pvIk3BdaDF3uHpZVqBtacCG5Fru0yDySxXsgfDTH
5/KuSUbkW561cWM23mh3bpQ9D/FEv9Uzr0ZkYzVuFq/spOu86+ybZi4E+BRD4k2JqM2WtvX4pkOp
hlDiF9K40ZpfKbNd3v1E6mtze68suvLzyZg5E6Gpo1422MJJfCzyk1ZQVyOPVonGMY8F2SCpHR0E
97l1R9Zo80th97np2SnmotQsOsI0l6XvWAqJxncZR4PLH7a6xp5fckxntuYVQZNXDm3w51ShU48u
E7df28FLl8C5hdkjQtcpSJEtVjBThx0b1H0GhfARGvWylaxQDZZ3C3Q8IO08ERPnlMRxtJqq7AQ9
1ZCSZpBC8TuLH3kQqZWbtjtp/DGYaw2zrumv0xY9Mzo7opKJMkSNgvRJ7TJ34GgBu6tUr3pGI9jh
UMTExRsDmKmyeLKk1zpb2ahLDuLc+rTAZy4/72tmqXU/RTd2sY3xWvOdXodnR2+jtetlej/PY4xz
W7PwJgF5OS+S6T4vjuboZfK9IoPpmEGKzpX6u04QL64ewRGQVwKracffMjzzTEpv9WM6wHBi7Xrt
T4knlOP1btpEW2J9Ws+3z/7SNXE+zJnPSSXHqDgi7xPJHyp0d6Ot8GLtZ9RxL4lHxFX+bXvLowNe
Hm95eN55V6iul1QJJGj43b1R7oGd63SPi23W+PZJq9ayJIsnHi9tpF7BDkbO6XLDAJXcZlVk0xOo
2I6rCTK6o4Enxe0xfVGIrpbszMzMf6okBwyH4OKi7DHRXGXcWOVj2x5wXFy9d4XxW482mhSYuVsM
iauhZ8VaI/brJP50Ms++YeZIe+6w0aD4BoFmyVvtqCiujM7QHq+/V5/aN+6b6QNTnm1+qKUcJY01
AYAvyZb/fRKgU3M513HSEYm1Cm4vGcnrQ/zS5a5hv7Tgu2fbkm/0dNekYSru7KfiOwQ6HOlAGLRK
IMbQqXSbWcSt1W+kfBN2SLNh+/+1RoALXX5eztq2jBx8XiZvGd107UPSbNvmY0w3UIao7M0YPUnp
XSN3e1kafTp2rl2uIcAXkwjQXQIfFJtyEma4/AqmonGOHKvk5BxTiqydOgQ6+cysu7z5SasWDErF
r+zA6N5uD3/pYtIAyILaM0DZuDQu7fJmSLIyr5EQNSh4249y9gK9Vg+iRivea+nEnRuaHQXCxgbg
ohLp6164nAjPsF9vD2XJY51bmG30qCsNq6kxlNRAR13Ankdxl7JHQT/KfGN0azDURXMQ0kD7PTza
wZC8nLlMIbpkiIGcGqX0oLDgRylzs3rwI8ugXgE9E1+j1cpFt7Rc4J/LsAthBWAZLo0qJMuFKZCM
pCzyzO6IhutN/GQ6K85/MYbQJ3IdYAxogTxn0KIypXeDhpyEmbYyQj2p94lKipeKVHcqpJOeIIQ8
uFlZOneawppvemrQ/e3lnOZv7jbOP2GairM73altTcpaSk+W4utV4ybtvssHN7ePkv4f9iYQBqjG
6UjXQ/v80lQrN30ul3iYxnZpHzJeGS6extLKDbf4MLUQlmHhLDSqmVNorLorcCEgCLSGUxcfRPmK
TamNf8rfOSAV+pPSpi75HI0N/YhkXzi7iAfi0f64Pa9LB/H8K2bHpBgUIC9rBNZxLJtbs0D/zVxm
a/jLxdwkcCIopQLYADXk2ZyOrdlFNUVIxpJAsySv79TAkMDU/Bbh+WbYXmnfo1FO89nLa4HSV116
vnXObc+2TjP2wqqcKQPQP+boFRY10qEtsn0GFXv50Mmmx1MKlsabyn+RjnmDsknR0EJCXn/f1R+D
AV7gzlD2dQH9/9aPo3eJ032q0J1OMi/OpD0FT4B029sr87/MGaJooGuAyZrPmWmyvGoGxEAiC+Lm
o5Dvx9HYSRDmidzxNUn3pIOuFt9Yr7cNT2txPV9AdupgkU/9py/3fzM6Ti3jrj3ViV67nDngWGlJ
uR0kzdzcNrW4+6aGB//XlHppymQC6Sgx0lMPhF8A9a1xxxVlxX1NW/jWeGaPkQ5ttC2nkfEY4coO
7Jhq8Mw4dZM4OkXxeyTswIrttVhvmqRbRqeRn/mrDnh3Vc6weDb0DOPI8AwIO1gaHiEt8WMNbT+A
XjDHO7AfZTr4t6d1aQVtHZR5BHqo/82jZ2YC3iYE4lm979tALYx8I6WJ5KfUzP+DX0aEAjEhCNni
5puNUwLeunAaZ8oJZJBwbg+k86FYGcidGcT5038YF+g/cMxg9CL9fzmpyCyV5kCT9KRFSe2ijDp4
RNRQVcrHtSfB4hSemZr5RT0fUEDMsvRUNszcpnjkBGkak42c2cPKfbPooFB8+59hzaVr5TaVIpWa
7CTzCjr1jV01zI2d2mo3FenG8j4aFZENB8lA0sCThaZzVxABKUR0BjCCFKUEEnAwJbWdRqNU2Wej
FbfHxlF71VcJxc+xlmul1wpLyp6suCDVH0VOSiRsTLXfDuAqFa6RV+ZwtIUKwZfY7OtyV8m8rqC1
IKNDxjgkxdRWAbox1sr4l25CBDGItYHWAr5pTtgtx5ThBDbsVNmfilkdIJEfRDpU1/pUPknF7xrt
wxMJSTc23rVDfi9IoKfPuYjQrPh3L50i49Mh9eftvbYQ0Gl48YIyAGCKcaWnkTuCNT2Ps5M+qXiD
pZ3L+cZkQ+DwDRp/uFy83Ta4sONQ0UIwB9wmGk/Nm60UCfrXqx3JTg2kcr3Etn4nPHk3lGztyC7O
97ml6UvOfJMhoghNGmFpOIh01xZbpCqj4UUrCh9dxgvpPg8kPDiMIIKuz6stfzfEjnY+5S+3R/y/
fAjQhyBLoKnw/KbJ7JxbPCuzU1/d92qQ9h6T+8BBU/UX9UcVlmWQP6HZIQUrVR5cRsJcdZMeTcnC
2x+yEFxOxcT/9x2za6iyypGWUpGdwGh2ncFXyiMKH2PvxWvCGEtlgAnmNXHzpk6Lc3xuw3SQDM0G
cx99q/am/cBbr/dl9PVp3eqt6jxF/Gpe4/6Qg56nBUX7rexcZWtVm/FnvgZTWspI4Gu+ZH6ntqPz
Hn9ZPnZMLfE17aFn3Bujt046ZjbSuAPfNdIRhaDEeNPNx75FN6SudplEDkayImm2lFgG1Q164UCD
g/I2L0I0Y9pLitZlJ7RpfB9zMEjtyrW6gBlQovBV9AhRTrr0Bv6H0Na8z3RBzS7qSZ8PNyVE6gAr
nOUj5KSrcq6P2YnbKUpR9TGDrNrt7bUUyeEiBg8IdxbE5+Y6YQYbajQEkrHo48HkHmRYa2QG7xLT
M16rFwc9EKygMlZSk9cODLgOXM0TTgW533kmQ61Li+r6UJ0Y1DY0OXWdZIPMeYt9lhEXAvDByiiv
a/MQN0KaWZv0UaBUNosbDaHbGXCfzckm+wT1jxaazndC6K7Vc19K9yDMD8YKgmWK3S9XDzYhrDS9
gCe971lsV0PMoyyKojnp1DgqFDh0J/msOm3TqfzP7fFdbxSoSEFECo9gRKvqlzM785pRn+nENnhz
imv5DtqWiD/ISsh/7YcuTcyCDpuKnJtD2Zws8HJZzZHv3JUlNCoVVNRWDt3KcOby5fmQmq1BYKtv
9DBm6UaL1hApayZmG0LmJi2UdhoO9NmM2HBp/P32mlzvcSw+Alxw+vAvCMCXN1lSR0XZGQxrwofI
VZXWryG4PYKOa7AioKX448jVCop9zebsskA5UAd7NWtOWUQ9zSz3A3izefatAVC/7VAK1He3B7k0
jaAAgZ4ztWBDO+DLQVKNWrmeYxqNcTCDwaKGW5nyj9tGlrbeXyOgOV0aUQR+ZdzgIBm1HkjjyXA6
XAenrPPatQZsS2f23NRs0UTKUdwdcZDs+heHtHzNNi/SqvDyshULJX80osCZnXkGRS+TmhBYGXvJ
z/iWKNqm0uhH066JUK5ZmtbvzDE4TkL7Qm2aU5E7uRupcUigDIAa36tUFiusyOsgcSLoAhcIDiF6
882xy0bT9Ck1huY0lLGfJ6h8Kx8jLpDbm2HhwprMYBmgtzBBJ2ZbTghj5MoIM0l1H6PNoqJWgeTk
e24T10oC1Yofkkjzilj7YfAx6OP+n4NhfMBERwMeHizDeS9EEmfgUeVyc2LpW+FgmOwuTtYQKIuT
eWZkOulnC2e2EJbLEgWjdKRNIpIjk8S3TFptljW57ctLCsp8uPtBFcE+RLrv0k4UO1Jr6RE2SPY7
wlsGYGEPpVgZOOqKQu82c9n4G41akP7LAC0LaJcFbYGUVEEfjbTwVDJ4JXnmY7LiWb6c/K0vm80A
Cl8laSsL/hMhpy9VfhRWwEL9icYge7B2QgEgxrderAej25if9smOatfQT+3Krr52Ppgg1BwQEUOu
C7nsywlqGz23o74DnjZ1vET91qvKkWUHSH8b5mredfLP8zFD7QwyIqCFIKc9G7MkScZQ67ydgDgj
cYdsX6XvhRMYP+PyHRGxC1SFlP0G4XNllNd+HOVM0B6/Wp9D2Wd+u/MePC4LqOHE+mmYxyr9WDm1
1wEYDEwUEh0ZXTADZjdTBSXvgum0OzW16KC5z1NZue9SVELustZ2yBY/Ox+KZLear2f2aLlmWlo7
VUIB1r/9LddHCwyLSUUWgScA2XOFBDkd49SOkv6EPIVCfBCloJg0mDL3IaS7Rgm6dsAwhv4h0LMG
txpAr9n2kTIlVsu8P0mM7fVsqD2uwGf0tB/cPl+LAxeHhkatIJCg9gI3eWkt6seitWven1CVkw+D
GZkPvS5re4jX0G//YRZBHEUjJaCQEOjOTBFTTqFujIENYBcDDs52qlFoRy0Civm2qcU5BNlp6vg1
RdKzI1jZBELckdqfaEFqN1Z3ScoNoPJ6CCkPY3Db2AI+ZKL+4sGPUtmEhZzNIYovAqEhH05yLznf
nNis0bHaiEE+BufTGb3YGnj6DUlHBlmouNpYWWNVB1Ja7IO3HfC+VhGxHv1xle65ERnLXm9/4PVR
xffhOQi6J9QK8Wi7nPiqbYsxB9b4FAGoc8wsPZ/Av2v91a7nHJSZqYshXmgTY3EWolhjbEmlJg2n
EpjfI4gvw8GEAjNEhmvyLOtitTvNtZ+FQRO8RRQpQV34kj86u/CMjGptqukDcA53rDmyeqt8p+bP
vtr2wBbaethD/6Bx5T2niYdkpCv6pyr5LPU1bsjCi//yS2ZHduSmEfNeAzY9DrT2aL6b/F7F+7h8
pxu04ZRzw2Vbp318v72uC5XMS7uzbQ4VL2lEAm44tc4Pju4j6a4eN1m0QU7+e/xrTZVraYGB4J5g
JejwCR2ky22kdWigntX5eCKpiipDQQYgg6JHh5SR26lFtfLiX4ANICLEzYIQA32U0c7h0h6pGzbg
DhhPrab6JvmdErd8jvZvo7JrO9uDqK29uT2hCwcFJVJwbRHagCHpzC7TwVFqogl5ROxr1hsqU74Z
rGYNLTD9lssrG4zWMyuzeSyZk0CephtPdlV4lRJtC75t71MNeO2j7dCVB97SKUG3Foiu4rGFS2x2
jbKG5VThznhy7Dh7kBEMu6yxyr0i1dq21otTR2mx/w/zeGZztnKdUgkBTwSbckdRDOX9NisLe/df
rKDUgBQG0CVXGGQElOh9SZBUV/XmntnjD4Ga7IqRpU0/iRw4eK0iyJl7tT5FB4ZWRuZebfr4Plas
jRppIbPs3B8IGu/eHtL1bYytASo7xJ6miv38JkHCSSoinsmnEX7cFXbb/MI05w/ozlau3VrX8dVk
CyreSNtCyWEuzBh3+qjXkT2eRmiA7Xu050CFoi48tMAevDyV49euQZ7aEhwCxBUbDpZwzJWQYHF2
UZJA/yj0CETEfHnEJ1ilYgk80Edkug40tRuXaO0ArT8DofNof96e3sXzbQOKM12FsDbbl2OqZpCd
BL3b6vp6M2aK7NoVl1Yc15IV4O6sqSUm3uvazIsYmaSWhkggH2iJpzxNSwhGt+G/j+TcxmziSqeV
LMKw99NMUlzSNbHXOf+HtCvrbRtptr+IAPfllZskW15oy7GTFyKJE+5bd5NN8tff07643ydRhIiZ
iwHyMBlMqZvV1dVVp87ZxDmsRSpk4CBt0UBNgdTt8vNYhVXbWjXCygDmMcw30HvLnpxDPAo+TxmC
bIVNnYAkFkYhdQIcTTKZrhInU9DNvAiMTHJCTjlxlW6a/V4ys1PS6qWXlhB2vr0ja0cHs4WoDgPf
Dk2yxV2I1ktXO5UqA+cSxz7IPjGgyjBI3Odl8fpvTIH6GY1bEK4s+XsgdVQntHBkiBb3k6eW6fDW
UDASGxMabLdNrfoS5GZAtSSmbs1F6jYaRpaVVIMvyX3yOENnPNBVJv8bbzqzsrgjGKk0K0PEflXt
Xg/Tvm0OZtnru9trWf1CQr8crVFR81n4rK2W41CYifKqVNBRyUFOGbSzmj+i7mJuHMGVVhBQJv+1
ZYjgd5Ybtjp6m7lky68Vns2o2dukHo7KODV8n2iz3B+HKdMmV6LzQMDi3lXTXsscNK4UkI2hi1Ua
PepAYH6HvIJBE5cRA6MtjZ7LzP03u2KBAkYGbTkY5i9/aS83vcSUWAa8u2jvFGYZH5PMaQSObWej
SC42eJl4gAYUgAUk6UCCLY4IWv9Wy5xCAYpDfRtn4xfp1JfUeE0UgDKRPYteJNtIqdY+OoaYxR3j
gMJkqVpNUn3uRgqbnAgRFqPrvVZK0xD9xC1q3LVMB6RkQqTXBJ3G8qqekA4MStMqr2leu9k9M/0x
DgYaEr6RE6wdynND4u/PnCuO4wKUlo1w5Pq5SjOvTKqN6srKxYjrCb1MFHVAa7MkWeK6eE8Kr0ho
clczussx5egavPKs5u22A67l2SDHQMjEHKpmwTsulzMNJHXGAcuRwbnmqcngmyyFAP1IxkdbJ5LH
soYfGdF1LzbsBxPKku+VpLUbu7oC5kZNAOhg5KrwFei0Xv6OtsQwTjLmCvqWpps05cOoY/ZK/Ubs
0gWY0+vudIbx2ET1eYtn7GQ+0rIP+nJ4qprmINXJuHE0V87LxQ9aXH8taRyJq+K8pJDOy0K1bO5j
7EI/cbfgE/iMjvoW2GnFt0QPEKtHOMAbaxGK7bHV5TSjsJlUvp4/yyBMvf2911f1Xwva5TaPeHI5
0CRED5qkcViiB+OMrz3P3shA8GLPIO8aHztni414rUpysbKFm82oXbYlYcrrVH+axbv0mDgok8zT
KZf1XZNnbsMgAJ95jtYFmAd5hJZI5mww7620ArC5oHkH3TvSbGdJ1lbPNXJqCTECQAUtBqOkxL3C
MsAorAADU1eosMV3ucnCWBlNt861ozZu8W8Jt1mE4YvfsHAri+JGcSbcgwQM1z9lScbLrx6G/n0c
kCnNIB078mJQ/bmq6UY0Xg0rZ8tfXMEmt2slE8u3gLqU7N/IXj3d+jWX/7xiKvYZKu1oemjIXhZu
TOIMxLUQ7Hk12VHXXiUa6tMGs8pKuL8wsfDjYVDLcuIdwoX5u4xd0Emo1c+E27hfDrdPzPqu/Xcx
C89lFTe4acJzq9kb5mpv2JXbmM0TNAluG1qBEF1u2+KGRhI4tYmMs9mjKtgVB1KFJtU9Tf+jojsm
pdxXFE/Ktee5qMLR3rUDf0I5i+hTOA3mu15pf4xM/rz9q1YDxtm3FNtzdt0peCwplYGNtpXvaeZD
vcXV5zue/aDSU608aenrbXtrZS30y1DXM0HYhFGAhcG6z7McRQNc5INLYhfjGlP70/ysVNdWXdK+
0C0c03pYOLO4uHqqZpanUew7TeOg7TrXmp1dW0TZlOx06WdTHHmv7tpGblw6fDPYRo1mNeifmV9E
hL7qptSMewELcsgutZXcpUmXB7f3dfXAoA+J6gJoUnDTXn5HJoGDS7LhxjpoPicQpve2GkjK96pN
fTZ/3DYm/mdXQe7M2OIbJj1rs9nBjrZN+4P2Ze3ZuaK4VVkW/+Y+O7O0+Hbcmiw+jbA0GyyojKiw
A6LtqXkEj3Xbzh5qNRsWV+PBmcXF53IqXuXcgkVrqHd2vJ+GD1oBOz+Et/dQ/H9u7eEiWutEVUrj
64ORyk1feb6TGXQ79MQtss5Xqn8sPAUqfaTp/+cgy4JaPOp5wQysC+q1FNSJegzBa3kjs91wjCWu
qlKaLJ4yeKHKnQBojMKZ3Vh+u71zK18IPVhNFZUevDWX6XPFHa2PwXP42hBiHB0gRF/ixpB/pSPJ
/YQ7xj+vY4mmODDPyNYdbYnc0XPNZmkHe4O1m4z7EaPWklqHk2Ttby9sLTZeWFpcrNyRG4KCmYIJ
3QBqt52juHX9kPt6952WTwDToPL6z9Ng1MwsA2S64gW3HKODfoUyNlBAe23rmR9k0pYvQBnWoYN3
WMB6eX4B3W2JiSldH/fJqG9RU654jJDmwfQSKLFAXLoIJdJQMrNBgeSVZi3wjCQoGeQkJxZsbO2W
nUUgqRyrabUGdtBu9o00eeo720/s+a7T7lqmeAXoIYzKkFyMsjy13DnYRXEnp8WuwJNEmbYmZlau
3YtlL6JMBUWOJOUGlp3Mp0S/U5r5IQOd96Ro91mpe7SWAynf0oBaPTlnm72IOXmRofXRwCov+5CZ
SRhj3rwAbyMbpo0N39jvL1c/yytGqckdiysKhgwzl+vzh0UfZx0EDBvfVSSCizB6vpFf798zO8OQ
c+grYEly9beyPgZS3oG31Z2VBqROSLNKaZ8irqJfETYYv0Nh1zOLdmOxG1/zKwM5+xEGbYYGJXfl
VapaN+PGnT2SRz037w02gDinP0DBJGDa1h6vPe6xeLSmhdQuuqSLw9Plg9mh44BNTm0wm+DFkwGH
DSDcCE12HCpvniGQZ1jeqMkedbb4n9YKcWDMg46hLrBPV5hsxykM1g228lr3HKIP+QPH6LOsDY8z
NVGy5jv04/GgNu/pfNRp8Trlujtne1Oa3X6LAXX1G5z9FuEoZ9+AjAoblRyOoJUhl3OPgvrKt6Yg
B9UWeDGKf3MpCDQv2m/gSVw+5eVE6kpqSnjwjt87zeNzqOhu3W/kjqqI+FfufWZmsSqq2LTm4AB9
rUsKXH2VQfW2JSwF2Uc+SBiuhiiXl3PMwWAwMvYqY2xdyloeaHbj+NSeizvQS8Q7UAuNwaBO3zNr
hCakQ+O7qq/0YFZnBmLFZvYzqg+PSYVxwdsndCX9FeU0wf4JSknFWMQcjkKAqeuJ+lrE3RMjzWvS
21skJWvBBpRuAg8i8ETL4YzMzvvBUnLskjlN+0xLrINNIf2MdtAWgnINDoAKKgC8IHtAHXI52NWA
U40qWau+WoX2A1NqGLTZcfVR1XLXcF6LTPVL+WfaoW5Y0MAYm8Srgdi6vadXyT6IKlEFRT0PN6ZA
El36OkDqc5xZlJ5ko3VlzIHqWezH2t/WTPxEfblt7CpRtQFZQvUa4w5oJ0Lo4tKYlEmTrkgDPQ1F
+yp1apSNTZi0rHdbsPtKcwu/l7m8u231OrYIsxhRF9yLgt53UeRPOonPlTbSE52n0GbDri2PpIhw
0FDXD9n0QcpjK58SFgzKsOMUzBs73dgi9/hi47w4gPgZwOoDPCX0hjCheLn6guYpn2yHnubsbX6C
cB8EAMphZ/VubLh6MO0SKbDqY/8XwsxTe5+ZYaUEfdS2QWrcQTpF5m53TJUduDf74ghJEKXy+/Fe
Kd1eeqKvWwSuK56BSR20kpBLoeC7bDhU/dwlDsCoJyDZRrPxevXdgsyZ0iBWIGpsfKOry1f04yDI
CjYSQ8HnWmxORyceA+ZLT/nQ7q2anOriO8Z8MYPIdixJjk2BaQDFwPQo/8ukP739zkvF3/gRVyFS
/AgdqBVMotn4Z+GfeczUQWpNeiqAAwdM9qB1eZRERuPnuupNDGRTEItyhiDuuOUCZ/ix8QNWDohA
zmAeB90vkLgvUss4A92+XWfspOfvMWcub/6ACf+gVbXbW7JrtU9tkR7Gb5QcePvQlsmepCD303wj
+ciUwmtVfWPU5Lociz1Bz0nDtCveLWBMvfRaFLaNvqs0dtLAD0e0I/A7UrIbkReB5LlxwNvW/83G
nZk/d/Lo2lUbFJq68RYU+744ORr0bGUA2sUZWqp8mxx0QyCq6U9J0ylu7kyai4nN0dvYfbGUKzOY
Q9QEA6UGtbPLpaK/McmyMvQnMF7SxKuKoLC/Zdqj1YFE6RQ3vtz4ff+5YfXa6ZwvXnl8drgeJOMW
Vp28L+Qc7TVIrMxVOD1Oo6ePg2sY91AWxV3omu447ufNvPrqgAudbBtvJRCR48QtRy/BwsDUMRuc
17Q52epDJ4FOn3zP2ocSRfbbi7z6gJDMQYFXjHhCnQ+DgJdrnJV01nqjk14tNXW7/Fe1JXp8vRYc
Wsx8gSQfXw6ws0sDRod2BSFDdtJY62oGde02tB3HQ4TzlGRL/XHNGlqwYE3CvDkqIYtkWZcwHYC3
AqzZAGOh4dZ8V9918Chu8QatGhLeCCgdPH8Zg0t9GpqaadlJtTuhOFCdWjw1u32XbRzzq5QXMt6I
OGgkouKHp/vilPd4uBuWlOUn6xW0426ql0ETM7eTvBLtFVkNxm7jtK0tzUQvRzA9AP/ydWmfJdlm
DviyKZew6E4oDluejnHn9r4gr7dd7yqkYmWWiF+AByJ2LD2D6pNp1gXLTwYeVHadutRD29u1lIgf
yq07c9UYHB0jlaB5ti1x1s8WNXIGP8/0/DT0jpvbe9bPPuuUPbitBJtQtQXIuHqFY3Ho0gNtjnwV
dPgLe6pdOJU0dMWpoeahBtN5Ex9MyTpKW6+H6/fhwpK4v89WRvoO9+UIS4B6aWHShV0fxtZ92e10
X0LC8iFvgQO31rY40ilxWk2qW6ytn908fe7HxyEb3a2a+nU7Gbc9ynEyPhpyYUxkXK4sq4paaQop
P6mWT/r7qjwl3Ec6mmqFqw0Z2KxVd5rvB2nPd8UrSu7tH+r4t530eq34DWL2CCcQIdkUr5Kz3ZVn
nhqKlBUnc9oT6ynO7uPuQVV+3bZyfeQQfuGYgD0hEUXP5NJKWSYcIgNjcUqlMH7QH2mxn2IhC/9P
8SOC8B/9eWT6oHDHk/PSTtsOGQH/bn2SMIM725FWPhjTk957DnkTjOD5xu5dvdkW9ha710qDNRo6
7MnxozqUvtbdZ5vyXeJHXyQHuF8AhQFEBdUOJKmLo5aZyaRZRE5PlPySlfd2K/tYWQRGpBGfoJeA
u3jJvzTUTjMATJ2eDOtzZM9SvcvircL9dTKHgAvkhg3IIZB6aOBffhkkc7UUt01+UpKXZixdO39W
ygd52jXGp62GzUlP7vWj8dMZKg81n9vut9xBHC4k+Hj/YO4cYzpXLPgzzyh0zZpTApahwgBmZIuX
crmH/2sBtEFYHqwsr8uiGbt2nPLm1MylP7JjmeJ6Hr7dXsaaEcRcUGSgyC0GJi73sHMK+IIpNyfL
yND6+OzMQ17s/rENcB9BXhrCaXidLxPepJaKrpEkcsIoU146royuUbJF2r+yEJFaoI2DCgDmbBfO
UGhlpQxQsj5lyiHHAESR7oBhdm+v5Pqj42YSeR/SagzIL3fLKB3SAXGJ+oIF4tq8NCXQwpVl8P+z
sliK3Es1b2RY0VOgvBu3wQzUbQtXRQRsExYi0IJImgGRXwRPo7GznMYw0St3sw44hhOaqmeas5s8
gzx9Cpk3NB4UYiTN7epDXW/AGFY3UsxRgrIDcXWZrSuFWRhaUtHTODDHrayugtLlpGwtc90Mmnto
4EDtalkrAddOPE0JSjRE8WUDBJQeaLsh/qZSF2Vv9UMufgzzj5766eArW+QNy2tQ7DEqNQIMjYEd
FKMvjxbkJlEejlEhaSeyN+T32MyDSf1G8y2vvHb9S0NiF87uWwVl0Em0Zk+sxjtPV9yhfTa2DvHa
Vor5PAHPwoDZci4lnRujqpSWnUCDkb5gbNDx5zml+9uOeVVW+to09CjBQgHWCyTvl2uZeTVyGRrT
J8h8NOyX9T7Su9j6YGlovee6p6QI8zQsOpcqu1qawa7gBJov15+T1qHAcAThnmk1x6yQfGgjeJg1
wfRp5eDfzi99smvGP8YEUWRouzV7Z0uGe22PEHnwvhGsXfj2lz++7cEb3Elyf5L7nwP0WBS+NXS1
5lMoqBgCIwJWN1P8/dmnBkW4bo150Z9Smpd3I2vqA6ltAgZzx8HQgtL5G99DJALniYL4HsgkhQwl
Osqonl0alAmdDaeveuRybmHf5xYqRS9yGjrInCVXQqE8qt7mndmewHLYf9SF2+Bx4HLL70BC7+s0
YG9afq/8ZSDfU385vgrmg2M8+elW3vT17L71Uxd7o46DLKlx0594tZuKHZobjfwLlY+EeEJ+J6LG
nVNFFX/q2tnV+D1kmzL5VwvpBGhWIz0GmEGTPmbbKx4s4jumPzkvA3omRaADOaLfcTWsuCfxv+2B
cFepXUXakeKpKQKo0DhFoIBnFnof8XNOXd5SL8ZUAP7DkrrDn6La9Ue7DWYz1A7Z7zzJ7m0gW8HS
NcZbQW9Z+MEnEyBKZCWI7SDlWr5+Cakw8DEhtlqHUpZ/Z2b/oL/nPy1pbzphTdjJ7r/l/5jI9Mus
rqJugfsEMV1EqTPX1JqsjAUa+cQNIG3o3P3Qc+dDzpMHJ5vlDb+8QgQIa5AOBZkpmL3ES39hLSdZ
3ZsIrqpWAhV7ogb1W1n3LWTk5keuPUHjgG6T+orws/AxMDeIlFYkG1eSbdzKWl0aULsD62TmOnao
5onP3jD+CaYzILaUAPnNk95uZFArgQUPnS99X0g8YUb6crXgIKx0Iif9STIeGjUBe/JWbeaqfSM2
9NzE4vRIaWer8xizU6fsWmxiWmO8Md0NSVhId63XQAjW5b+GXcK/3Q4xX03gqz0VyScqsuiiLOdt
QMQGxjQ97U+tFlilF+9o+VjtC/m+gu6e6sZPchfI/HPDqkiirq1CgEgM00JdZHHR2JIc1xpFYFN+
jwcT0IfE1X/Iga6FWXIovFh+VqYjCOD7V7089dSVfNVjxcbbcuXmFk2c//yIRXTlFBLUqQl3ssue
BymmwjyeaY03mO377fWuepCY/0KN0Mbk8MKSk4yO2rQG+h+gqWgeZMK82wauWNHgQCLXEWNTwO9f
CWznNVreNUiaT6x7wH2cmmRn5G9EfyPdvGdj0DSntnOdEmU4jPTLe0DKIUDvpujFNHekijF9V++b
OoRoyu1ftubaF79MVBLOIlPPiaZAMwaV8HyvdvcGCv7Dc6p+rwtfnx9jKey+s4f5rsx/3TZ85WIK
mnQoqwrkIeLxsihI7JSzvtO6CM0vpwhb01P15KWfnqF0Eig8BpxnqzR9ndijMCimKPEFAF7FF7lc
a5ZQfdTNlkap9JRMUexI/qg/1cxyMcs2vYOuTDOPTR9qHEqJPiaS5P7P7VVfteZt/AQ8+XXMNoKO
DkWgy5/QtHaaZg6jUW8B4+BKzJvkHyX0idNGDhVD8kwLl/JjNh3K7mClflc9q9LfeQImfuieHOjR
fiaSq0HZTdr4IMuC5tcvQ9MHfFNoXWpXyaXBeoImNY00mvqDfuykv4ye+PTBTGevxVuTFFenW2yE
qUOlHNVTVPMXFzGI9yWA9TDVBKpaT0/vnTHzTPp8e7uvvXthRWRwZ97dAJddTuD6jHj112KDy5jl
O0PnQyvElCAOXYS5uq/jyuv6fT2/jVm2cb7WP/jZOhehFAM0hpEAaxGB2TRP650lMfB21Z4lTQc6
N76SeXrRQp3QrYrv38fuqBc/GHsD6DKIUz9u7nRoZjr5M9p9SlJvvChWP4KQ/kEP0gDh7OJANGAg
ysx8ptGMAk2f7MeYeuWWct6aEWTl6LNhKhtU7gsjvW1nhFkxjQZb+gXCerIvrLnEtJ+zheu6fiDh
c0OnHYUvcbjQB7j83FTrUwbpABYNMvthZnGQjA9zRn2m79QEelM6ctl7RdvXlU+1l6F/0cY7o99n
z919Hk+7tmLHuXxNISqPxsiPzMsDjuY7GA2G7tAMu8ZyOUB/4L/vtupZq34iLltRGIaS6pIiqBkL
054di0WFpNwX3AgkDmngdHrJEtPVG92r7GeJ/o3xoVJMH1bWL+SaLs2eeYaOQ1W6RRmqH33iO6z1
S132JXj17dO0ErLFACVUx1FSBhnCInYxJU8Mk3AWpd5QPfQoHErjizZFg+kp9U++2S4VjnGRheBr
ioo9+hGoj11x7GQIVngmJH3U/2UMqBgw/rxU8cv0zEfiIgvYZ8Y/nBhGDEQNW8E8JAhxRcHs0n9G
DWXz2gApCF4PM0jVeBo4iVp4dFu3SKSMi8WJSGvhKQJ4E9LXS1Ny45BUmeYxAkDCb1WIpDmJ13T7
PtkYcFo5fheGxN+fhUBlUBPSMnmMBrazytZl+V0/bQGCrzIosXFnq1kkyDaluO8oVsOL9yT/1cYb
efD1bgFNJI62jIFYE5YuF6GrfVlYoFuKmiZrdqnRFveMy5Nvz1ODVo6a+Ldd/foyRIEC6AO81oBD
AOXzpb0ZhNFDoZIxSjJrz55KAOzjmAYV2MLA5UrcJN9CpFzvIErAkK7B/DhkIHDILi0OOuDUg6yO
UWk7SQDWB0D6Qf+zsa4vKrZLt1MVBa8ZlJqFLsMyQk6YYk7tzMBGDp11IGVlh6gEqx6X28LvIT+6
HyWp2JfEpC6d6r+D3U9BNlqDm1RjEgDbnLgDKYYQlf0ksIux3GkJJnJub79Y7NWvFJOu4jEJHo+F
O2WDkTmdlk6R03LXcTJPrkAcx23f5mG+yQa4tvUIMf+xtth6CjkAQ52QEA5d4yfU2Ou03mi6ry0I
1G+gALZAHws26MuvO+Fl3HO9mCINzYT4LTPgRg+m9k1WXm7v3BfF0XLrQIAEahcwTQBgtAhhRRmD
g6TqpyhtmzAtf8gktKXWzZk3PpFnKxlDx35Pbe53o+Kl048sf6mSXQ4dHsWHfEA5/Da+15nl2gIZ
N27kmNexCGi4rxopJrJRiFlsA7esypk6PkVdkRwzA8V0p8PQbFqXG1fV2idFQ9LGiwu0qTjCl/tt
Nr2lcolN0Wyzx0Qne7VK327v9KoJQCWwzSgmwdClCUvSe6pzrCVVUuTytWJgMfK8sZDrAoAAEKKF
hhtCYF6W46lTYyodMY0pamJQ98WIC7vEUphPMJjvpWLw2sjosK+llHjVNNHAHI3qjhFCvYrl6kb8
WPuAeLhYKmRdAMBZMsSUJW9akitTZFDryYDjlH31BJDx7vberoR7PAkBTQdGHTjpZVOsLC34hilP
UQYR4hoIvWKuA0J+TlsY/LVzKRilcLlAFcpcJsAQQTPVTivmiA75H1I4fo0/XBQJfXV2TtCC3KrN
XedQeOyeGVycAMbURLN5AoM923El95T2t16fSvmQta5q/9aG4PZWrjoQ6IrgRSZazQj6l346YxCp
qtDqiar8TgExoqrcxdAlcQfmJnhvJvrnBIaPaU6ewO93oHWyv/0D1s4JGFEw+oNqJBjoxY6c5R88
VzoNM1dzZFnl7BEtaXeSqm1pz10xfQJerVjo2AlOKwtPjcVxnEgqVV1m4VVvFXul9YfJJ5mrMj+u
TDd/1awdppmAhd+1EuY4+87XZvUe+FqK4nZW/ODmPq+6O8K019vLvy7Gih8GaARGzhTg/q4Gz1TK
SG3gh43Sk9m+oD7hpVKgQoD2TWvDzPjBt8pZa4cUG4E2EUBrgkXkcsdVHSQIha7NOD1JIMVaiK7I
oS63eAnWDqnAW2HYC9QMoDVdmFFrZyzleY7GcSiBI8sV1CU6AtpwwJh5+nl7H1cyMmTCQFSjdANH
XhIDs7QtnJElcqQ0TN41WfFml5IBjlmNHas6r3YVUaxggCDMRgRe2U0YxqSbDgQgSLEW2UElV5rS
5jDsQKiiM8wQ6n5hOlnP/3x9qLaKIQEBC/o6xmfHZAKtkh43zRSRInTMP2haekSOCiDZZPtEt+ZI
V8IQCJyEg2hgMbuaBUjSVua5Q6bIksvAShM0AqHfZvsT5thl+aVuUc+OT/98hUjgReNXkH0vYTUq
mTFmCUHYiEBdV48mCeMWgVFjxCkc8g0Y8Vo4wPABMBXQ+hMwm4VzghbEquxOn6LJsQKrb54aXvvG
mIdxbh6K8phLAUEnij8bGd/VM/sm4REbfzrmo2x4Gaqv0WR/9vPv21uwcmQuftUir4UIBJekDJf5
mADoZg8HNec+B+IenNcbKfTaeTnfgIXbxjacVu7xOk9UvXRp3buqmnyiiO468KmcY/PJhsmVy1Sw
/2KkS8NwztWtPdUJtBznDHGHyVGc7NpYDpz0MJS/DDO4vZFrh1IM7agIPYhASwGoWJmLgWjNHKHJ
2+95bE+hpONBk2tzd7htaqVqjNY+1gTNQ6wLVLWXca6ZTJrKcztHBQR81G9V8ae0frMnO/ez+ZGR
b6X0Xrf3rPLRbef3LN/dtr+2VFyf6JgDaIcG1yKay7ZEOcjRsKv6WOxAAPLbzuYkmCn0F29bWgsK
qJ0hxolHF+rylwtVU6tzJgX3Bh+96kV7baYn7X5WM+BawyTdctDVdZ1ZWzgoGec2kRpzjoyOuwxT
0rOdBV2fbLy81LUzhxc8ZjTRpEfRapF/sAlpZgJW1EgffLB1gNDLaSPH+V6TFvqVmTu3QW7sB4l4
PP8k1I/xxi+eY83Ni7uOHjo1d/NjAvEYdX40xlPW2mD6sR7MLa2atQOL6hp0N4A6xPN88Z3jsdNH
24jnCGgS2dWI9txj9t4bCqJ4TgrVMYpBZ6+x2b+odQBrhLoDSm2gVP3awLObp5toSy1Mo0TWR4EJ
f5X6dgL4CjS7R796v+1iKx8duQJoM5ERASezhNMXUp9MeMLIERgtnEBJK3DssCYLSF9ukUd9vakX
L2F0MQwdUeJL/kZs+Nm68tzh3LS4EtlWcjJLufKbGPlfOSqqN09Ehj4jEKQjkfJwns0qmI1ZCXsi
V/sEgeyFZGN9LMwM/Du9WdzbyOFCaxh4qGVZ4pLS6R9yVa99u1TIsS0aO6hJ35bubMbKhzZAlw4F
TC1A87J6Lic5fRnTxHblcmj8sk/SjSi14uWANItnGSpx6KssvLztWZenfa1FTX+sGHmopmcbuhN4
Im+8ANfC4bmlZTwCuVnTQVVJiyornEkNIMmMHIUEad3slezRKjFbMmRekYIbLwnzH1N830PI1Bql
77d9aeVhISYa8bKRQcWKcv/l9+3R2iGOgx8iK7VPddRst5AFV4BxnIkLE8Kdz1yISdU8OnWhRYVx
bzaPFmlcCbmEYH6xRkgbPlqyr6A0WE5HZoL3kbhlLkTo4/zl36wVST1SGlx6S2ylUtCCMrPTIkOW
jpo0eFaRbTxU1rfzPyaW31UdgHosK5jIht4zoKAEUNLtRaw8hTQAgx3R+IVE2JWTaiNpZ7uW9IiO
h9H8S/V35urTnz4Oq98diGfC2/augw3MAcmJArsIAkuWCMrUmaRGbURwlDCrn8ZqL5db/FnX2wYZ
adnSAM1ADRE4yksXgb4HNQuMqUU8NZk71QwD1+gb+LeXIo7vZSwDhhuxTHQL8MeS9FOiFUQNJdOI
WGh2zB3mo+SBl40YH29KvjXasrJvmN0S0sCAfoAHYXEzl8UALtMsMSKzq44doBeSX2vDxpD6SmsW
g4aoSKDWDSDWVemFjJbMNYtiSXFLQqowAtIQhjFHeSqO9ZhmganPdtgVXNnz1qq8srfSR0tjza5T
oVvHjSLfcBixsOUuAwyLKgXuYNxQixuDzDnmQ4bWiGhgWx+QROz039zYG9Lu9te8DtaAvcIzTEAG
MYp1NcvDZhPT5lSJ5tQ3ZM1tfptjaExboL/r7wg1DrwpkSQDR4wS5aVrpmIIZapMBU+trtxhAqtx
VaI5AYo0ZH97RSvvLWFLnGsNnR4AGy5tObjRZIMaSqTM7xl13rUxDyByUhRQdqbBYGVeb1EXSGJm
zwC57DJT3Re6C5bGTAIc5kR0vwDaYfi8/buu6NPQTQG6Ho4sdhpZrfgUZxG8MzHRn6EhEnGMMrHY
pT1/brsP2s2/BhC4dCiElQOmMRPZ0/InaEOgm/REuvdG5iewr7pmrX5qs73xDrw+zkCf6NgoREOU
j5dBQxk4J2DxViNFurOqxuVT49bUs0kaNvO3UXLb6WNjI9acAYkXOA6xFeJWu9yIkSe1kuNvoupl
GqBJ1cV+3pS5m8iFJzFc43Juu8Nj50AzRXtKeSBD1j0erENC+o1j9lVyvDxnUJ3AAKzAAmNEdOn/
dtcUA59SPeIkdiC2BOa6DuyK+2HqaNTorey2jRQDm6MPbmw35l7SkxrwcD783dgVEZ2vfgmOu2Ig
cwLwa/G2KwitzETK9MhSoNKdBpb0nWEwgtqQhCoCVj4yT77v8rC1gtuWrz0AW3BmWFwrZ34ps8LS
qI4tKBzIUvoTRu1ZhYelVzl3UvFM041n0EoZ2MBQqTgNKGHhQAj/ODMY25ICyAkxo/TYpCfwlWLC
fSdFOQpqEndrVoNK1qWOFsrtRlN9JTbANMIduDzEoMESTVhoVSwlQ29GoJR2s0pzHf0HjwnYDGUf
zKZeVkquGpI20CDM8hthoiFBW+6duN1P+kOWH5KkDBx73Phd19Fe/CwEe8wQ2UJc53JHIBDL6lzn
ZiQZ6l6jhzbBzPes+HVjhJCBuv29V647CJCCaQQTMjpcbTkXPaSKzjVjsqK+dOPuSDBnK8pu+RTm
+euUutUT4Q+Nfkjz6d5SNnK7lUQWnNY4/Shk4PsD0nm51p7XqLs7gxUxLeCYjDVjiDwc8/61HD7L
7sX6NgbMrcd8Nwt49jtwMtO4MdUibpvFUbv4CYtESU7BsjBm3IogEKpIoVp8A9IPVcYHm93nGIK/
vd/X4e5ywYuDrdnKXEvSbEV4jZoeb8GOZbUTJlvsZuv9vPpp0XVAHogsExXOxebyms0pq3QrGtPW
m9pvKfo5/0Pad+02jkTbfhEB5vBaxSAq2ZLp0P1CODVzZjF9/V00cHAsShAx56InYNA9LlbetfcK
6k6YSLeTi9ZFsiBGNV8zU/+QsMf7/bwOJdDPX20vRhWyTXHLt5J2MjQnKh8LH1aX+37l8PjZoYu5
A1xAwjYBdRUElMXhgbq4kjepFJ9ljscKqVIfEqOB5negJ+VNXJlGLKA62VYSgAJRmyTFoWqE4TUq
g7KCWifX+puBb6L3ClpEr5xhQDAImfv8GGcDSFZdMUKGysAfhucfnwLX3EVh7m/aJOYh3jqlkw4d
FCAnzS7otW/WsaikYJsXGY0GoX7WoYL9JocjZDmn+XGOXTBpTixluN2VftLUbcICjtmyXCJrJ0RA
YFEul+cf2nIp7ZM2fW+nBrJTIOLl20HyoYCV1oqAWkYyvPY883szj9QO7AlJyChEgGFkV7SVltNE
zYq3WBuYb6ZKwcFerxdF0qDqptARuob641Ajdv8WmgLqAfA9RUIBeNvxo876JidD5iv5ccJZ98qg
iTkRGbDnfSKkaUXL2s9MtYj7xFSYDjuovmq5/cRLQUJ6JLwaU8XYJCbMDPsPVQ0beNJmHapeTBQL
w+EmRQ7eMwPS9YRnSlHZUSGD5TxmRSc9wyIu3Y8+MEgrqfcbO292JYB006zwDszO5VGDG6gJRdiW
nEH6f4yR0wuSd04bVgK7+XBerEgk9fHzITKkAr242HOZkoGdGRjxmVOUV85vj3ofqStnyI29hVrM
bG8EShG29vz7v69MSegCeeCQCspi2kFfvN/qxmDWnfef9zAYYZBkm09oA8yNy3Y4yW9Bfk+Tcxsj
HxWEth7tZB/w32hlam4O2q+G5qDkV4eGATEg/BnBUWo//Px5qp/vd2Tl58uLGLOLSpAkxyI5G1ry
YfAcMVT2n9FssCz63y4sA7ZA5ToVKzc5D2C68XD4IW3E7MGAIM39vtxYxmhoBgEimzabPl+OVRDJ
iDe5KjkzudyPU7UpM7EiCfPd++3cuBaRaUd4hKc2+rVUovGrEvVSX9NPOPYeJzEhfqlA507dju2p
zf5A6melY7cmCQXN+fmBMATO9JcdA0su95GANE5S/yToW+hl/18aQEewmoEJlJYvDZHvAKoIOnDK
jL2sP0xBvNLArSGbxWzwilFnKZ3FMmZKO6S15vunohWpLzxw00iiJrOZBMm+Z7ni11IVNyLFufCC
/DgY9bAcXzQoQOVUEquQm2O3bITYp2yy6KXuX8pudKG5O1QmY09GYevjC4+EqJwR37CVqqTxmjXD
9bJEVmZO08/EZBQKFlusKLqkAPOdOwFyQaV6ACQRVKt4hXozd+jydIWw6k8dQkfZhP+JeH4dFJo8
5nKopNFZbfEuh9RwNTn5Y/ovjAQ7yO2IX5nRG5lBDWcfaoc/SRFpeZxrHA+3qQSXBsRpaBNmjmy8
Gp8K0iMCZUK6nbTwMOGZcH/v3WoWCgJ4liCqEQECWpzwsSYVhQq/xXMDvQETAOzMzhAlW75U92fg
QXJXM/oBkUkfuhBYFp6NJF9zmLue0dmZBAlKAGQAbV3q8XBdhvxNM0XnMhp1kCw1LOa24NxS8dcI
q9fTOsvizS4SUAeBwdfi0oQuk5/mXZyfNQEmsBDqJci/kVw/TVO6g8IYKIXW/RG+1eL82AG7AO8O
nHGXh00XRJke8Wl+rkVUlchkkFzaB4ZZMNrJcJjXVmZ0rb35938tXEnJBSlR0J6smxk/QWbIEhUL
epY4RvXUE8/3u3ejGAKNyv/t38/T91d7flpOURKhPU6gevuuwgae7UKA1dpyk4Gq5tMuctuqwFaV
aXhqIwrVtPvfcON5DXCRAk4Z7NKQ2VmyPbMm5TuAo/PznBlW9vV47Lh3PzgIzMuKHSs/m/LDgPvl
v0FAuRxlqkKgTZQSaYh2SYFAN8i2U71G974xE/gqXKCaMifGl8nHuE2FSlPj4ixAH6mF0xdOKmco
cb8l+yo9aCuvy+tYDYMw2+OggAn01/KBmzMWqzVEhM4h0HTJWdRxZ2fPQbnG9L8BoEbQaeAlC545
dEGWwoFNU7djDNuXc9++yzLQFP6uN7GyM+vPv8oy/kU+fAe9RtlrUQGs/a5aieGuk2cizglQHyAY
MjOYl3gyRR+GCkld+QxVZtI1T1EVERj0lIKGfz1qcIlQ4wdjzIna+StL7fq8nNsGNwWSnngKIn91
ub164FtDLkDbqnCQy3dZ3EpcQSTeRYpcKs6tYuN9s7Klry5fEIdw2c3KInB1RYnlss0EYNQkSBPj
LEIcvnNTblfJFMw5aQ2QcLMhIIaBzpwvveXAJmMKbJafGucx/OefQGUfgpqAMxHW9v0de31qzF36
1dLi2slYHTRwwDLOJQzJi1eIgSqbSiXsXPP7QabG+CKGf0NFxshuWAYewJr2x9VumSmo+GXowExi
TBfHpFokeTRxSQIvqYQMX0X3NEK/aVzV+ryKNWUUHlANQHZtlmqXxMu5CwdAa/sg6Z90LowfGGhw
plihZnp/PK8mDkaEACKinji3hSTXohW+5ao+zGU4H5qdYik48HZt8TjJp/vtXN3UczsoCc9YbMRg
S5qwrIxpGnNMhojvXmjxzOZopP+538Y1U/inEdDogQTBqP2snV83So4aP2QcJ/mptYfkr/w37wgO
ckP6zPzHJHGVciBpsuszCuAyEU4AdZF6Fgk1FKIicb1fFdy5ObpIkv3PBy0WK5ILQjymgvxUvWSj
VUC/Ipb3fSrasAS/3/er1YLUmYp9JyAPD/Le8h0sJ+2AspGswj8e8iDlKzJZ9xu4ejgoQMShrock
LBiuAJdfLhQolaGuDQ19r0GVxKsLHJJ1P0BrOdRiW4eoJAVrQT53Rrhm8Hu14eaWsRdgnYkrCtXi
y5ZDKQq6CQQaTytcnW346mA8/h8Icz+t4FLCrYBIerndfB+4zjhG/5QqBEzFguk5aVFWih25mVxV
S8zUEdrA+e+jOlsxAMuFtxGQRJd9k5C8aIHSCDwkZeikQsxOomUOxdjQEeJPCTmt++1dbUOIpyLn
CYInauHQFls8YDkxasemhfJiruyb+HFUvvzxPz+S0QZuG+xxoAxRGlgs+tFoAwkum6mnAroySB1J
1jxqrtfiZQvztvu1z1MWx1Us1qnX6Qk0oI+ZnlPovnKzEuEZRe6VQbsuhKJH2uypC94NUBHGYpZi
UYtZo8iJ10ingdGWw5vOCvozJ+3lXLAUBBN+xrsFoC21YsfNSHKZmUV9Gsq9GkK3prD/+zRiRwBZ
je+CFuliGmsxY72ISMpTfXiy4jwF4RJWQBaAne/3W7rSwkOOAGExiIOgQ2HfL7U6yyRuyzaqMg+Z
5BHqzkVQfss9izjKQq741lqghc1Qa6e9pGnN2ygOowoHR78/qEILPwidM2LspoZLP8FzZNXKBrou
ICy+bzEUoGCPQVC1mZcUuyEf4U7DkXCS3YCPTDH9KgQbGO6cjAFYC8/hgIirX7naro9ejJAKQDjS
NSAgL3M2Ch9xfTals+gshICGDvZs8prw9402AN5H5gnAc9iJLAO5EiyUAM5emafzZekgiA4ohBCN
lWV1a7IRB2izd6WAd+fyOWT4g5aPdZl7Pmr9DwZXi2+AVtQnrmSMhvP3EYHvVJ2Ig1ZiZMtGCImI
xz1U2lUcn06rZ3A/bWA+iexSaDThyhdeX/HQdQOIB9UiJB2Q9ZsPuF9bv/W1MSh1rfP4kuqIMcM6
6mk1nargu43tvrBF49x3bixGT1xokIqF5th4AQspHGUC35Q4C2ZGpEQVcc1u7mcSLjI/87fh+kV8
KGLwlqkufuIrCPfVvcdBejgQ7NL/gB8tVKvOcJ6h/rQZ88ZKlAoEdDviItfvUgdqf3lWEa6g2dtg
vKFGgdC1SG1VscJsk4b/GMxc9AcYCVv406w+wNAjQiHCAHAQ9qLq2JKitDjN4njEh+UbJ9uNcqjK
BsZynzlfWOEx+s466El9qPGbgTI1Emz3j4jr0xgI6xm/AozIDExdnI44Ctq4E5Tey6o+J7naqRbP
Ut6W4+hfI1ezC4b+1TEuWXlR/Vwki/HGMxl6JPPNiYBvcQ0Ika8CLa/3njK8+gpgcbxdBG6Rn8fi
zEePkkYi/8UYXiJOogjPS0OwygfpQ3VFbpvt+adYM2MdZh7HAdZmAVWEh7DBc9uVd7JuK6opHMZI
M4XhBFOT0ooeRcPW4paUNRkOheoAqFlJz8a3aJj3B/Q6K4GbBnktbEMdrDNoWl8u8lxpes2vud7j
E8gFQN+0lh8MGSZsVJOdcDqwCuCayNROCoXjTfCkaoeqHogWO/oxC0mYrCX7pPnOXg717y9aPHqG
Gvj5MfR7r4NigmD3FZTyHhMD+u8tLQ3Ioqn7MTBl5G/3qquG792LH5Kae1R4MCnfuM7UCurrGyzG
wxhak2aK2SGXcTmYMA2R/E2SVlg58A7YQfUqXKnzXgU9yBCCSAa5HBT2wI1cvLwTUYvkMu8TL/Y5
xR2AAqb1NOhmD7TPyl64OqfnpoBOQTAJ2BQ4D5cz1+jwR0dGL4E1AtJ0uBUZFfU2pvcXyE8wejEd
aAYbbaZVzM+3ZRgHkfcy08SmgMruwG3yQC5EWvKRnzhCpRYKLUYNufS0lWtnShmraSqnkY5i7QiU
elcBPEi4KdJLmoObO9LcH+FS4Ida35lDGTWxEzPWQUmHg7c0GZAyBz1N8sWnqpQMTCTEpTqaqWOT
kpJNY05Bbe9xJgGRFNnAcvbvqcHFvs2mPJQowATd36iIoZLO16PGrRwD1xHAfOiijAkoCk4B/Pty
zNlYJ6UUhHMwdGztvrGRVul7wuyms9r8Rd41XwDKAEezMtc/EoWLWQCkGKl3JCSQP1zKUQeImPhB
Rc4sC2n6VZuR2ZRWZ9ahk1mBvGH1rqhoB2zKFh7QkAQYzE6ivAWt0IAMf4qMaLOx9gSl9X/ZVrOq
rWQDZqjXJDvoB3ELiF/wXSWkhrzNRy0B7Uvit36fw3HGh9QFRAUPaWYQYcO/+7oDWwL5VU9oOLzj
yohqr52cLrfi1G1V0gUr+J9bg4768YzBw+hD2WTeCL/uYYUDeSysWjDyAfdS+s6WpO9RPhnA9Oe8
WUPJsDbVbtO3jsHeq7JbeY3O581i6OezcWZ1QzP3ineBZTgUPOzJPUl3mualZI966yjPfPrMMztb
K7HcbA1y1jg+oPEEBNJlZ0fke3Ijl7HdYMu3CSDFSHz20DeboD+uUZZ+oFOXXcPhgfo/AI4A+UGv
/rKxPMnayAgUKHFS9dwA4lc8n9Jza6dQitt/7dlGp+NuL720CtUOITwYQbGJV9f2jQm++Izly7QX
jUnroXjhVcQ1DeIOJveRkK/EKmiz4Yhb251pA8hRERllruPBDInicpYb2jt3pIGJ3Ir08aAc39qc
MnHnDSbp7GKTWQeF8FBTt4LS2kwb5rw1zoPOW9KnehLwXHDkYOs7xl7Cq4mEOomobg7byjmgCHEQ
ziHNSAAZn8fURUGxfVT/QZXWdLGZ8AfgqbUbCIzXSOWk+9d/cIgaTP1Ym8JTk5vxY+e71fGc78vW
Kl40u6AtPpf71N+VmMA+jcDovnckezwPDS32/lYjmSM4oX14LHQnpN8H3m1tp7S/DaKYBXGxyim/
rawDNM9olGwGM2YAJFKfKh+8Ne2Gh4p0Tw+6FVIzty2DqjQ0Sxtg0Te3InAFJdCihbYErNxs5BBd
W3EgQGtAVJwAXkvg3/K+dzbY2WcAlCxLQ6ozORinYFfmJCAnfZtZCfnb2yXpKIiCeJJBT9SENoXx
re1EV0ZJIyOlc3wMzWIgrhqhZoWIAcrPJ2Azz71vfim0Jzqperp/5z8yZ/ta7Y6Vqbw8iJ3VkafA
wo7OvJxKLmee/G35rHlwwLJ68tXbuL8t7uRbTk+gDQwDlmPXmzBgsly2fS7gXkIVJzSpztzIjWzt
mBJqtYCS0RCALvhlEKyRGFItk9lR37XKzVNPJJcn+b+v3hQfNl/P/asiERJuTZT0Xf08WMFWJuGG
1N9qT5ytSkQyAfx5oAS+7gG8Maj0iWjJ0yRi17bvxN8aNdz4KEPskVhPoJhYlZmY+8LuqERfO+gh
Um2bmP+YANu6TU3crXSg0+kY2TwRzvVzSFLiZZhfgXbHo4v/2e4JRO17QpBywLeYAcXob9Svo0JK
QnX8UIwER99CM/+YHFslxxz/KVi7jNgIe1651Np8+Vbx0dvIRpKMyKQ3o9IyUuu4eaXpt+w8FLsj
o+hplVKNpqYTNZbmlY7xKAg72FiZyfO3C4ErrPy9v6fttjx8ORvQQUryxW8AoNpMmr110m1BzsZX
kJPwX2SOb779rD2+F3b5zAoz3xYtiU1sNJ4M1kDHDZGcrcvlJqwOdBpajOaHo0gcqny9J/QM6tYZ
gC2yZWbTULJJCYb20wb+2T2mSH8/NLvUqhNCNq4FjS/TMC2NBpb4CK6FmTyUZDNSH2Pz7zskiYMw
e/f89ZY9vMB3+xQe4nczH+xpw2MzsPSwVdH/+yHTz3m1PFbneuOsmjiLIS0urBFCG0Ij6Z0noE49
moVmiT79E7h8Yxkvo29q89q73+bVwwg3BXgCyAmISB5pS5HwFMwT0ZeBfBtp88zYC6KAoDTV0Or8
f/db+nnqLHoHjCGYXGCfglCzfIPlYSeWaRj0nj6YUfQaSVilcBvWervoNqHqMBAlJDNCOKiQWHiI
RjIpNISkBE/TzPJjzDJge5AIiUMznrZ1eWoqhy+fVj5zDsWWnzlbGyAVBCUbBMiXd1uXoFheJwVe
bGCCSo0lQcwP7LOslEjHvw+6rXIGHBUgEA/7lOLop38ybjNq73EIWGO5LcAXk/KuIyrocmFg6vza
Kpk/4N4HLt45apx3EtIKvSc9cQ/VNm2whxrI7yJe9t9U1T1OByOnULDrMHytya+9pa/BxjoYDWBe
4i/UZCDfdjlCapQmWdGI8NFy2i/Q5MKjqLlNYeNXZYWb9DA8K85kjaRfQ8Pe2iEomoBRA6ET/L0s
bEmJCvUqDa9OuERhJ+uM6yaQE5PpQc0UGe8GVhitiYfHKOFRWkUVadNaAOt11Jlq+Uxs/wGBIXze
XzPSdfCFEUHkBdEcBYaW4mJK+CnhCqFPBi8VIQtOBYYc4zaVyMBQQA6BG4LxI6SaEnOmIcT6OZ4+
odVeSSc4wJbpG1w6UlxKSvWRouKTE3F8NabCaupDIf0DLI2CnRyJH6CrJKBODCgYUgjMjo0b40Gt
roStN04E9AUJPFQZEDUv+1IoMa/1Ujx4ZUpj9bt7youQSO/Jk/R8f9RuT+b/trQ8eypNCGpRREux
a8gUKfEw+BiHbSJSHrP3NwqdeKJlv3LiSbf2DxBIc40dqh9XgjU6StoJwsYBtRqSQD+FqKM1WjUk
n5+i7bQfDNK5cHuWqfImhm4aOn6JeE4hKSqCwwZPiYaKUN0H2nfoDzyDtgMmeQIw3NUDh9vikdmp
x1Q3Wbkx1qBx12kCLPqZWCSALwivt0Xg3XJJmY2d3Hty56dIaeMoGqI2pdyEF8396bm1pn83tTgH
+9GHiR9D5op3pDfAiCrN1BADcRmkse1JXmntOlGGQwU1n9mqFfRXsEkuD5W66huJk9CzFLKTU0sF
OTRTaHaEDpsA7zbLPLXSryE7QCGQMma2Vj+9xcCH9sljnG8l+WBAasNPSb6NGlcJAgKENahNPryK
/jLDS4udryI/+dmGb015MMKvKdlI+WZM7DB5lAM4JPek9pV9Lz/wzTEeNn66gjO81m6b+4hqE2Ad
c1HkyhgoVeqK15GhGp+lkLScq265CM4CFPQIlX8rHmHNFv1pX9p/1QjuCJ7ItuFNkK8/Qqc/p/Wa
RvN1Eu/ng6A+DtslZISXd12tqpkBMXnsdZNTLF/j8QrvyCC6goYI92kIN3lFyi3MAaCJWCEGh0FO
ROttENvaWr3o1msOowM9cIhoI12xzCiqE+M1ucLHDLWpvw9sVz8CVFXVtLVUrzgpNnwwZLFbWXi3
m53Ltki/wT/n57j4lSWALqvUNQnWeZJsmuCktU/xVxZIjpRZOYh0/F4JUeSkslK6a1WZW0ftbCfy
P00vcqh6mUe1PGI99MaRY6jjkmE0DWU3lqawRha9xvbMcw2UBuI8eB7h2L3cYAkDFHKaE7a4uKWY
DgltH+TRabPtOO614hnwvfsHyK1zFsB6uIEgsIRGn3TZ4Bjyid/N+dhW+YJOw3P5N59o92y01UrI
dutQhLISVgwQU/DeXgxjL7SNJI/J6LV8J1kJ79dmF0FGtCt7Y6VPwhyCL4MvVcY1D1VrRIlLoUdF
HcF+LbPBY8VOnv6mPq4Fc4SXu6X7ZsI/qhBYTtwZBmPysnN/QG+1jdouaqooLqHKuYwyakFimEPs
1vAszXKOuCnvtzBfH8veocqPqwXgAozm4noJiqSU4wGOEnkPTiTrqYJXd6BuoHyxMpA3UkgokMGj
V4VQgAgM4WLShL6pJR80RU91FJ74WxBAAR59mkzsNYMYHzChhUI9Lfe5gScJad+DzxxQmIbI1aF7
idfIgjeCkcvvWQwu104tn04IRorEUDq8vSrDFZgCwxO+xKO1ETTUZWuhqjxj7PTjzG0Hp7ZnYkR8
GQ55pJczKPrfn48bmxbkBNTpQLcxZmfNxR5SRh5I7a4ePZQ9h21eSoAMJZWM2iD4KnUM2rWvZ6Hd
8VntyGUpb/w+WZOovHFLXH7EvC5/nZBQVo26oNIHPDhiw01zCqH1TqadzRRwomz/jzZScK1SWr5k
JjwOElvRUdqjyprSuHAdk1x+yXwS/PoSBgAOSgUaQrfK5PbyQAvJ0YqNnFDV5IftIUYJdTxqgRu1
u5SKDk/HD01auzGuj+3Lr1gsXXg99FUiGBgPkSDIF4WS9J0VuY1GR2RLsoTI06NgvDLjK+5sNTrD
BRrw86o9ZQpboe79bPrLLYuPAQoXL2vEY3iQXQ4J148JA2EfQ4IEoYa0p7HRnrT8b2tA3hWKv7aS
2l3ncHaWgA0PmRtb0kktPkvClouJlL0izAgbG1VXftppJdKS7aFN3LKmwcoxfWPYAP3CiwJgZmgu
/yBvf01eIkijUo/D6DHxlHMNSY2jXAuEtSgOwR25XGES3VgrF80tZqlqAjwFYzQnYWA4XSNyfmJz
KVUokL589Q1Gy+jl/n69PqGh3/G/XVwGsQBZZkaa9KMXBjXAHqFZj+Hm/6+JxeNbhrb3KKZoImMR
zesPFE/+Dw3gfYGAEFhETNflgjK0ognYPE16glws3khNsbKBru9rjNKvFhZLNpV0JgEJOHqR+JcT
ExNvXRIhHXq/H9fhx2Uri7Oi4VgZaPNAKXAp1Rle1T5CntygRvqpNCvbcK1Li8eSz4lDEUfC6PET
rJekz75TwJb1V67nm8vr18AtlnSTKrlapfzoIRjCezRAelYVP+4P2802Zoj0jMHDqbKYfjnKGCpa
6ImPF7EufYVsrTJ8c6x+tbCYfpRhKyXW0AujflOq1zy3Vj3Ebx41+PyZCAOzk2VECONQBXbo0eSJ
4vgpxpHJjIEGQ/PFKr61hARveL8fV2bnZr8AqYF6DzQAoDh8uXHkCgJvYItMXl0d/ORYt48CtybB
uNbGYgWwohWiokknL9Y/CtYRQ9xyq/y7tUYWoZBspH7KG/HkpUDMSpLblYJVgRB9f6HdnKNZJQpY
AzyClnOkTxw3ML6evK48ycFTn1d7vnz2FTB6OtwK/hpV6ebCRj0WCZ/ZoWkpB9HKfRBmY472xO+C
O9eyd78/az9/HtVf11sQ9TJXdgWmJvub6M8qt0IMufXzYZKAFxW0A3ljmXWtYxGM+1adPE0t3qSw
fjOK/yyFC74l6DXggAAwABD8Itrsk26aKmhhesicEmN0mfJSjOb9YboVaEPSAE9CWK4BQbQMA3gt
zsSC4YDpY3CvaW9A1ByWuAbyf3IvVz6oNk3k00yamLBTR8OAQoigoY46dLJPoAyQ2lVaTGuUievr
AoRWlOpR1AZ8Fgnmy+mDhFibMjGHDxOjqf+nJfX4gERXKK1QL2/kG+aG0HPUd8CiXb7ixtKIpJIv
EAZlJg92HoSplU067FPjSapM+VDJTt4CHkZQw1oZ+uuNjabBtJFAiIQr1xKS28dpzyU4Cr04Bc0T
TnodtPwUR+xcGaVEYRuZkrrz27dnbnqEam+vr4QW1+Qq0E1/f8BikKcMXhKQNxw8OXJ1HiithDJH
/KxfGEAnAA1WZHC24tewmywlfIPe2soAzAv4Mli+aH+ZYsKLNoWFMV4ytck0c4SK4Rlotdq3OqS5
XoxDExK2KdZOnuuTDq1qAIMi8wLlseXSSgc8DXsxHT24gaWKVRWWgodD7MblLltzoru1jDXADIHL
mJGn8nyK/DqFMPFc4ffy6FWSE7UO51ujy78a7Uoq80YeBFSHGa0GH2WofS4B9FqcBDWIarznn0a8
f7K5Iuv/y0xkBsPivfdJMJl4XwCJZ2xHeSW0v9FJFfLWKrJYM1tnmabgGMeAPkTj6WgbJO2Pqv/O
77T/rOEEJyQQ8KB8jjAI5PDFWKJQkNVVqvFejdetYI3naDi14nswY8QcY43heI3gn5sDDwcDipoa
pvBy6qqSF+seaqMeoz1crDblY5nRsgJy1jDDbDdMVocMNcz0TGxRscS0SrFVrJXYbixWiNNCr2Dm
nGJqF1tUawV+HLBcvZpteycS7RZitY6e7HVtBZN+4ybQIKqIMiug+z8EsssOF1zWFJk/iZ7SWnz9
ksSONpCQozVAq4A/wg/TFM1y8O4fAtc5LqiB4foHJHGucC3jgEDORxDRa8kzBAjLWwVgIT3/VK0B
ZG+kbgD5RSIbYrjgBqHUdNk7uHQYgd9NvDf6zWSlOPr+BElbhiQueYP0UyTuC90YN5EBdyO4gIjH
phnrldvm+sTHRyAiBT0bSgoIsy4/ok5hW8JxIu/BFDFO58q0pRev9wd03gaXh6qOiwwHHPYjxDSW
ghMaRHD4oqlEb0g8iNORiMkrF9fNFoCKBW4AdYErrnFSiJGSs1KEJzxYlLgllWYNFHtjoFC5BecI
WcC5MrOIeQNdDGRWi5InyYAhdJsO8KrVl8+NFY/4YsbFztXHuYZ9OR2xwrfTyGeyJ9VubGxYr1J+
nzQ0PgM5o+7ZSJlGxLVI+/q4hAgaXoTwg5pDbX5xsAhMHvgUchPe2Jl5aEbpbtjJbqSsJD/mIVqs
g4tmFmstbuUsYPDtQzmXTZbBAJeAIvN7O8xYs5VNfCPtBR4odOjhVQMYgrzMUnANyDpF7xueZEok
d/J9NpiTM9HgmXto3e5VcZrnGLrFCtGUAxwo1dwGxStglLnTufybkrqFo54XKI7/fX87XB+gUPmG
6Cdiu1mdVl7MMd8OQVaEoe9NFRC1+1bL3EIGBBZaASxNbU0177d3vTnQHvLnqOiADINNeLmmMiBC
k6k2fE8GVjpW8aReOUOu5xVSEjjBANuReR7kocsGZB9i113Dy15CAE/MUfmgikagr52oD+oabe56
raKxWamDh1aIjoLcZWP1KEHvB6ATLwlPYrbvmDlyVOHIylq9ZtljS/xuZx7VX3FS1haF2PmK7LWw
Ayof9H9d9gxJOTLkVuONO6ZvV0VQri+eyyYXN6uhj13eIPr1on9vTfpScFumr1ypN9YCAgfcbKCx
AqD7c/786lXAVyW8jSTFk1VowSqQy+k391fbjdUNkj645fPzBeS+xTnJQ5++hYuc4oE1oFfHzN9O
72HqGOaauPONCNPAzYXTEhcXAHFLEVE89hTRBy/OG4HKe89KW/S6DR/SIHuXgcFTSRGTp7FypMi5
38Ub+KbLlhdrQ4/7QE1DRfHKT6g41p4suiruTgbPgBygzz/6H8OgvL+DBLoBAONTv/JM+cEBXJ6k
cC9GGc4A5xYv0R+40a9pbApNH4y+4TwdBuQD4Jeap3/UnFNHj0pBfKHc9tKfYtIIylNZYSfsBJuR
yBhIxJekFIFlPyhxTWIMU7pt5E0S74FKyfKHTqfd4MLgBowPr+aO4WTBuz39hv7ZyhjO+/ROF+TF
qTSWxdiWas15gDX/k1pXhKtf5jLjgLxOeeJc5EY75q00Ov/Qe40uDo80zLQwNdBoznDgPyUpbwaP
qnRGPb2oalJyZzFfIxnc2BC/52qZM6lgiQRfh5LzFJFWje3rFAhxg313O5DZLOm7ql326ZNPTSGT
TBKzgo3SSrfnG+Wi21gniDFRkwapB0n7xQGt8MWgqr7oe9WLEREdkg/dB0/bjyoza+OJ4xlZV86/
Gup5bYLIglgJ9qYILy/PzxFa75zPsESbdKO0rwMPvcZd/xQIBJi0fs+59/t4dS3gUYRiO14mKioS
ENe+bC7joaJsqJyPpwJqbC9lvuN03OZHY20J3RhLA8lBhBb4ByQn5gzCr61X6BXMhPKE8yq48h5j
Y6v6lkgHHX7eny2FFljZ/+en9Ny3+ekHqjtuiCUqSBCKhHWVwnlpYLHypVB3fPBQtiQ0bGY4ekrV
4Rj9QQK775xmjU57dWPMjeNvIMog3wTo1WV/8xgqITBT5LxCeOgECEkW+cpRcF0+xo+HkiMIMCAL
In+5WCpC6QfDyFj4LOpHXH80i10pOZXcmyrDUiG3OZpZsPCmfvCSS3/0nTRRdHYst4q4U2IL2pkr
B/x18Dh3WMHSRSiOkP+nzPxrkmFZXxeRr4XPE3cKW3eoTnL/PAyvDS4VUHYLKlYvIlirUvPWicAa
w3dsItNL3L9rGv1/nH3XbuvKsu0XEWAOr4ySKMm2LDnMF8L2tJlz7q+/o73PwZZauiLmWVhYEVCx
U3V11agxBuAAQfgJfTmzyr650YqhX0pKd1R3KDUPI56vi3mrq9CBfjBVMMVjDkIHLLFXqFUBmuOG
8AStt8AW3OxN1izNBKkz6SEebekSxEm8OrRmuBzIkYQ/94/fbzKecTEQ2UIHGYW+oMDJBLVaN4KG
qlaiE+hgzeoRKmKdHaGRdj1+gEFu/CAdGlvaF1LthPq9qyoT0D2E3p9lidY6E0wItuLmslm4emcB
540GGNkpuQ9yqE+5YQEyzasHBMmxA4oEXnHQfAwIqOAFW0O3DBClrNXXilhkH6/7AMQTEFO2y02k
ukHmxn8D3G3HbofuCjyuc1PikCW2o48xtJPg7/2JuEYggMAN8y8Cggyqa7TVXZ6XXIxkLZxlbGay
Q94rBkD1sQduTmnCVQ1kyi4GfDEzy2cd/QvcSgme0fQ6HDrV6pfgQNcQGvotgOkAvmcgSGLBoDNq
wQWZk/jU4VlRrWfBzj4wlfW3krhzOplVemxCSxSA7dtQr4zG6oRqjptVGDti5nIglbGK1BGG13Gp
WnHj1KPTEX9g08JlI1ZkJqpKaoDo8/gUrbk30N4Hj22y4n8gbR7uA2Rb8SIC/Jb7It95+ifhd4DK
ck/oDFl4vFwHc5gkCihFXZ4SG7OcMOU0qU03NvEpmx+NZ+xTZZufEEb28xNH+9aJi0YdBHfE5nWv
ftaGBfd+3faAD4DGKe0l4CmRLTMRMTRmGiHikhOUcKfBaolValb53QavpcPN/lgXYPUZzKbf4/Lk
msNUunXojLpZfoYPqbILONx4bgvxgkPXWMrj/Q199bhjvo7x/80UtUSiX4fyC1oGEmCaSvg6tBCU
hwBw0M6+b++6BIDOFugRSuhyUZGSYIX76ob0M/i081MibqvIVj/4wOkTu+b9chcELs5yfOSblSCZ
0alMLFJDwWAhYKJjunRmVOYeb1poByMjf7U11aqbgiQtTgX/Y8DN43m5MEgaaF5bQN6YXudgJWFm
VQjiJFXDpjgN+rp/mnzJ7Xxjg5A8bFalLftcv7DL6B3KGgTrBmp2APKi7Zrxz6BY6ThJispT0PwA
Jjt1L0P5r30BoMWDLucv6TNK6wYzpsDIQ7EbuvKEKwea4SIxi+Qot47wwi1BN67zZIwtJmSohjrJ
FNKWJ+1rBJMB2tX8KNqmyQvXPahvbW9BMDMrnfur9vsmYScRJRpkvcHbIYAv4tJlJX0tFUasVacI
TXcE9wwE04r1wLnVYEXSdmjtPHX4R+mnBucRwvguBWnHinsKjS2n/ImFBFAwswbNZmmqICZPQCBg
ZcVK00CZ8dK3awLZmXY9xGig3My4wKAWNiOcSKyyfw6WtK2udwSSpXC9dBMi6mJl8Soo+kTxONan
KLYV5U9Z7OQlnY9r3wET6BlD3hcQziuxt6xoAy4wSH0K286cpucGnY7xgYeizrwuntTD/eW5ro+A
vQPnVqUMNpTFj9kUaIeQZp5v65MUoM/HBMf7sI4aL+r36FK1m4NwUJzKNNIUYclftfa4hQNwa7gG
DcBwBlBdYw9A1Q6BJIxdfVKIXQXmOOleOkl2ZkBV+iPuLKVdavVSrl9ZGDIKtXj7gGIDOfzLHZkZ
UhfU/VyfBlua3BKv+wJcgYLo6D/1S4/EKjpxnYKzAt7OCkeI3R60ArJFDpkI1WMfLEeU+umjTszO
EQEtT9DNmVqNDvU2q8ksElrt4/RdVNYErrl+XVWf6FTqyQ7A/yZfqZ9iaw3cCiWoCuHcY7mQS7ru
xEHsDVwrHpIo4iEnTod/FocLkxjrZFDQwiqZPLpYsuY1ya2wdpt0tqQRhAweD3aUyE3fZ+UwybY8
PkvfGvIeij0mVmGYLQGc0THyVQIFkVY35WaNUi4RbR7Ru2gl2gqE7pHm94JdGi7+o9It3Sa/SOVL
t3E5Csb3CnVWgVJTbU4gGIgNWyPPkrYDVbVBtu0P+UQWGo/wwCu+y8wM34m+ThJX0LxgtjR91SbQ
Pt+IvDfbs2on3WosPIM8ZvxW5kDG5zaBFR0U6aF81P7EBwkUL9JrOEYIFMxkdsIH+asLHK3cZlAd
eJ04v/FALa4aTxri4O868aB0zsUvqeG16UMquIRbBakrKlazL/FMqfZzUoGRq7bABkU8ZD0j/Eq0
4dCBqVqQr262bY3anCsM1jw+Rp+gKqoNES9R/Pk4IscYLbF0XmdmsSnQM0AvaCoixGYz5qaU0pbT
mhOPRvCi/YFqkak+FwfFwzeiWWfhMXgjQLywx3ahSQWv5tiHzUl8Sl9Cf1AO5F3ejbrVtmBcfCfz
Gn69tKEWWip4X4jP993ab82H3T4qhUGh8kuxUExqQ8nEYsxzjNfw6w/1qbUmv7Ab4ooqYkIfvEto
4ASzwhq9sv0P/1qhSciu8VDfd3/5xDK+tFWe56YC+oFycKAVF5jA1hq1hUYtA5IYmLP0AXRPgjeS
bWB1Njg096Fo9p/J04ANgc7yYIml+br2SdcQlC+QWgOmBpS9zMEe58zItbg9QYYomnAp/qilYelF
turFLc/XFohW9o32z7EsrOJuQKQPPXZE/JdWdX7IlVgJmpMgO2gE61+mCV38fyI/HJ7VJSzmdX6a
jlGnrI86Qtkr9YhaFpHk5JL2FOHN1X5Hneiq3a4pX5FqlasVSb6UAfSMgGGEG3QJFtlSs8ZV5pH5
AJozO/OekAONRr5M25OcrjOB8lCA+iGF7rO/yBqGX7raomdDZbYoiiXSnMsYKp+uBRBfJ2D2nhau
9xsPRtxweFYjlEDt5+ocqIXKB2oX/u6ZpH2vlWOmrJSHPEVFVDups1/3Hle52mwCgIHXdw1Wscjp
pvcJxbzZ4+MFSO+Nlwr9IA3RID4H6Tnmdqr1MJsHFfOrweH10X5yIaUg4I5B+0MGnZbK4kAdpQOA
0qDz+jFDf3q2KRTrvn+4tcoISlFKBHUq4g4mKO2DTq1qpcMqy6hI124QvZDyK2g3SHj8s4QTdhRq
bhqwSkjpyuzDqK7SFJK6UXdKQOn9BbfPIYWCRzISXEit3B/XjRgfxpAVRJUKasHIC15u30hrh6kk
dXeSRl8X3vQfbhCBN3cFZMlDT1LAaxo6dZtuxHThsXQrkrwwzZwcQa3yKgar6an5Ej5TSbKk2ZbB
SNXpJmS4rdbsZbt8VhVv2rcyUPZxCskyX18K0W+6kPMpYM7VIEMRiRfa7hSAoWW0U3FXc0jbJEix
PXVQcO8t0NrzgqUNK+1oDAs76+ZNa4CG95dsHC6TWQFDIkHJdX136qEGm1d+JTtybQXTruoUpzES
qxXMGWQvgXpcWPvrfCaSrmeWmQWYC7SstKgknpIWJFhUr0zLrRx8pTxSv99pa5Puo6i/8vm57X3R
WIfzK5By0/vCZ1AzrF/DS1OQkQeQAPpgrqkojXupLuHXhvTPvBtAXuBOOn1YzOOmcMgHV/qpvNYi
K34THnQo6lVLETC9kq6+AIV7vCmA/sLBuzwEoprGktjm7Ul4AyrwccR7uhPBksU7fOwnTiF7Qeuh
0NdO7uwHZuMFGZhpku8OAdqmaUzejt84b9pBak6ZLC32UPMZ/rlNFW6Bogv+9yOpizq7aKqgFo1E
wTRBHnlGhzJag3K/rpAMD61FdombWwM8opQSHluEZQnptSKNFMA7ThAHs0rEnVGwLxI70Rbirlt+
FVA7wJ3BYU7VCy8HlRXZoFX90J70jfAwhhno9pzCSvqHbAnYRz301RqfWWLCEoGMlZFFsNQVwPuM
Bae4YVu/LuxlulfvWWH2ciglwiADp3HCq/TEfao/Sb0qRleUtmph8uU62rWBfd/mjRQDMMTgtUR/
mQLRasZ/9GMcytqgAGjTRU6CA5pW74r07+uEJaIswiCDpgKnl+tkNEo+5gnXnrLxNdbANzQ8gWQU
HH4S4vNxmP4vYzozxyzWGEdZTbigPdXFdw8pwVL/rNJ4wfPenDjgSXH34amDXrjLMSEGSkinYky9
YaVAzYIMIEv/GcyPIwvNKbg1HhhL3OeXRiph6rk5SfpTGIDpTzGnDhipJT6KW1cp8o0GUkAUJntV
e9ZSYvSFXPQnTTjEqlVmPjduIJlio5k9lEGchSYVrnVz0PFK44a8iZ5qxe6LOi8kZ24cMiCC0RUB
yVnAHdm0ciDV+pDyZX+akC4mwq5Dt+793X7jsqC8BLQSh9YooFYv53MmclvlpO9PEkjDcEl2lR/0
q6x9lAP3viXWNSEjAooPZNYAEMT7guXoHbI+gHKv2B/BHieO+aYa+V2UGKCx754SCFKlS1gbdvL+
YxAQL1oogewWs1XUmBeTrtH7IyfipT1ox0FuF87VTRMULEBbD1DoZrc8T7IiNeIB9B7IjooRYAr/
eKh+BwFiKUpLRBPVTDClGhFX5HED8iyiupzxWEupCdbthXH8ZhnP/Sw1AzIDiE0jaQWeEsaMQPSW
4F4ZjkiDxCtVtvXaBAcf56SCH/ErfiuW6/6z9FtnMWJm3QZMQ/2CpgrQPkMV3i53YM9nid4YYBlS
kRmJnXlX8laZ7PtDKj8r7VHu14O4U8VHBZSa+waMZ/e3JXsAfs2j+AneA7gsoFcZ80YV1UlZT8c4
jqwavQy9fkKuqJXR+LwQmUkSfouZZQD00KylU2g42AgubenopRrDsIct1FabAApoT/IASRrTgG40
LVAhN6UNuQ1+ecSOXi6D7ar7G7SOKjXm3LxG7SatXkYQvgEzJvmp4JUFKMTMqrNUYQNcwbPQbdQS
rYAiYGzygjO6iqz/M1X//XxmpZQmGLlGw1R12lqcEVGayMeFh9T4yVLTkND6bGULPRG3NiamDCgB
cI0CKc16jTiSgzSKhumY6nbXrkBc1vuVP2xE2aleS+F5zqzeWA/pXnnvUYW9vzduWwcUF3EsbgJg
BS4XLGmmTuNJB16M5iBDf6Bp/WgOwMSumQHKy5JgitWqoLyx1ZpLHNCnleOLoC+pOl67GaiG4r2O
jAzIlIFWuPwMtBkaiBsnHtTrKWdVIojEs3QuFpwAG6OikouqIRAAyFrjQmBThnUpcvOk6Og/gbaD
lO3m2R35RyFx7k/q1T3wa4bqp0OSij6RLwczaAMPoInBH5VtOO3i0ani90GQTOUXeEAWrF0lQn9H
hfYsQLShvoFK9aW5uVcnxD4wJ1THWlhp9apFa66UW+ifj8Ft0JFqFcnEavNql/T9R1y3H0CVW8ns
LXZP3Jxh1IdBSUTrmWxSVCIpVMzot0xgCAinzCPJDlTdqbQ4ajqJF54Gk4w6MNrdQaMA98pMMlFq
GSngWDgqrSPPT8VRLiydO+QHkWa/I0RMzWyH/QPll0a5y07TfCEdcWuZqTY94ls8Q+RfAMHZ80rV
g0qDgLVwzMYfYnhd9iT2MMlnjpxB6WVJuO3W1GJawfuIliYcFWbAudSKRgidhGM27fv2pfFrAHlA
xHx/7161OdLdhONBe8RAd4V/vNxNxYg6/5S2wlFrnfaUA8WaqY0lIaWQgFNKhEq8iKv6aSDvuVZs
jMcF87eWVUO5EH4QKGXcWpfmQZIWoh+mEY5SBNpSICeaVRNlKCA9GcOfacxNPGcnSAd2CgSyUlsC
o2BOOwTufwYNBtjNRaHsIg4UJOXYApcGaF0ayZNwFFW3BK/riNT0R/Uipu4wnmLcX/fN/ebVWXtA
ueDcoLMJCUMmOGl6RW+rVBCOarlPhRXVewedXTDsSWR3I8A1RFlJ0CAOXCOw2+qUvCAQNdXUm9Qj
GrzVcKsq1lTEZkIc0KejbyJvPlFsy9bltCOQs55zpyoXJunKZyNfj/e+geOHVDoc0OVS1aPWSFVN
ZPidobIolNBCt1i1dEPRFWfmBiK86PxGAzjalFgcTtOCn4HoGjlWbW0q82vSPc+JV8uK9zplscVT
lshiaQNcVUKw9ZDjhAeDsh7+rjMrksldNYj1wB8T5Sf8AMnXoHsacbPp7/y3C1pLi5am8yqxivga
241CW3D/oRWUCbXTfMg0iWBHVwRFwUxyDfLSRvBjSF2HhVUNzTOeza0MjvxTJC68XW4M+NI6M+Cq
q/upHgTQBg42QeKmRiNxUMZmJa+rTrZUbdWkog9Yz/2tf5Wt/x01+DeBhEbXDc82a47Z3OuzXiLk
mt1s2HBaa5KSrATUN+V0H80/jeEmISBok68oLaqY2gHvVq+DVMDwt+sXTuLtRQBik9a/KNiUCWDl
MBS11GhAy/MF8ljSPNVkVXJ/hh91QMH3GSSe/WpacnrXNwnm/swoPWlnN0ksA0IgyAg7ObBc6ELr
gLZrmLa1hh6XZDXPb1wHsM5aL8fP0p6Th1EAhhQMhKT4mOVdV5wW1oTNbv6uydn3MCebr4cxxu6f
aCvUXPhaKphG6agFCidPofA4m2JS2osx4BUu8j9maRcWXg4AqTNzT7KxrIVhnI78BhpEmnzQ2skL
RbSEVX8S/V3S3FrN9wmEIbhnA7n9qdxV7Tola2nYgX0srx8nYTS76CjNnio/6HG94PGuLye6Tv/9
QGadhghIl5bH6yYZpbfK4CIv7iOfK0SycBqvimrsVDAroEEQhQP2ejqG6K8NnjVoNwhih6pxWrmc
etSQ+J9tCSElpiDfNLUlBjuuPSTCU5M9C9AADN8X9oR45YYVyldF04a4qJBSvtyjSkwqXQqF6WhA
7WNyirxCW56cyh/GrBO3UOrvDlmYh0apA4cXJp8DVYyJfs+PMdPzhXfa9c1Dv4Wm3bFN8HhhPGVi
cFORtCDUy9ICq60UMihc1WzBF9w6ledWGI+IfHYWSxlGrLwlozdAT1YweQmP9g9ufFuY3Vs768wW
W7NUk0bKOfCEHFNuy+Xvev5Ngj/qH7HYxpIVonAZpatkX07P4rwHK72yMNQbAQhmFC0oAuJZ9BSw
0fSA/6m2ijgddf490x86vjbLYnDKZIWulDHxNRWs0EL80Ked3ZTvavcxQ/6JFGsegYeOckv0DQ5p
NXflye8qVHjJgRRe2ip7nQtWrT5aFffYdjUEQ4TNKI+Qmbg/g1dJDlyeiNiQcwAwFizlzCOomg0l
VUQOJKQAa8h2VdaJowPwDaRw1SWASsyQNiJzszBx4s1jcWaX/v8z1z3VYafKqTodWygfBIMdI3ev
VJIlB49aZqUyOP25V6HywmGHV/wYQu8ZcHloAY+KHalveVqCohi9CDi+hb9E2HWdz6CzglY05BWQ
frqSdst0HEAygHevkaFCEf/Nqr2S2RmSuskaMqXayJnNJgDh7v3FEG9dIJQ6FGk9NGfjEy5nJePk
UUlCrIYSDW6iApCj6r4azGalQwQABOxhmIEwEiTOfoNmX2FXVcektQXQThDUrXMi+VroFurjXCKL
uhhS3vg8ZGplsOfShC3y+ZefN6hjAeQt8qbNtEeVwqzigxhZE0rG6QA5ivkYghlw3irr+9NyY49C
8RDlSgBQ4LTYdG2m1UWmt9xwJPxLK5QeUb22rN2pyB1pXFgC6pwuo2Z0FoCUAilHNJWip/RyiIaR
62MoQ5JAnkCJHZnD+IL0sypuB90HnFA+3B/arfARrxeKV0X5AvEyc3cPMldAkFYajqA1LJ+nKRSd
CnZd7BKwbiBzJGH4TzEW81kMR22TFcVSAH3DX+tg3ARtLT4CWrXMkCs5y8QmNobjQQelf9/LJl96
Jfc3I9CoWpLS+VWGZSdYBT0EVBhoOwmLKs1QP0HeWgX9sDoXeyIr3CHTOlCn1GmIaiGUQjdTjx0v
VTQP0UGyrEAHRzEbvRPPRNxyRK+/OVWarTnoc2Q9ARrstUS3ekTifh/rp1SMJFsTAQYlWqquhqCC
OgCoEW1UjTpHavQPqE5UHtdHgsuNWYw0SCebPVLArszPSm22vQR/o0g1+XdnC5JZdAKAcAqNRTJz
vKeIr8M4T8fjkBWvitg9ydynNj4N9b6VTgsb64aD1fEqpgTcSPZcbaxM7wBKi8rxKAeOIa+TMlgb
yEIWETpmx58hK+02z1/ndrRyjTNnkpkLH3Cdd0FiEi36CMlwjNAQcnmSqqEPiQYh62MtuwGwwz00
fEXcjxVayUbiN2RdxJucAxZC/uL757JHs1StghH6rUjChZfCrS0OvW7kmhTQCQJWdPktSkGUQVYq
wAKDP3X/NRsP0BZoVFMr92WxMPBbHgRldrzLZPR7oBh5aWvWUMCNin48il3ySUDklWqqKZD4Qf0a
uAoyrFYvLkG3bi72mU1mrkFNJFbo7wfRdcB9QX4rCbyywhUabsqs9TgCsG0/uTHEGIKC2CK0vhcW
+0YchgFjirGvwWbwm2s9u85J1XV9JnTQm4RQY7Ku+62S7dL+gd8JnRODtxbCUU3lCwlcKLGLHVlq
obi5wmcfwBytps9reaa7Dc09jpLl5qQUbvAIfjWvj9O9VsgLoefSiOkHnY0YV7iaJCqWOZmF/SS0
6zo3tkqvLvVz3bpzz2eWiaY54CdKI8HMzly7ElLQbNe4eNV1DORUoaFpcCamPkRuopi54t1f1tuT
CnoF3L5IVbFsOlzQ6NzQYoxa/l7zqy59LjSTmw8SQOoLAeGtkAtsfEhkSNQaXiiX8xlHIdDxfDMe
x+J7jHdqpFkB1d1GD8o2a80ycH/K7uf++G5lLSgFIGQ/MD7aT35pdCi7gu8GnBsw0cz66EiuInsZ
xKN6i4MshrLS+24Nwt7o+77h3xz31S14Zpi59qva0LNSGXFeyFqIDnEwnQifmrSTtIFritQK+iCJ
ycegzQj9DH2nI1Bq+spAvDVCu5LE1TqRj1H9WPPPItRIJ9EDdm4KkGcRoe4tr/Th5f433/TnZ5/M
hAltPXZTX2Ku1AH5UR1dUeG46rilsvatqUFVgnaboimdKsxfrkk0jWVPpBbJAmOnuJEDbgOpBePa
S6B4aFzMIJMR4gDkT9lnezKaIwdCVSD7zNIIHkVuh7eeWu7QO7Np9mr/OBFvlFYTXoL3Z+PG0UBf
PooYcPDgZGMp2dCaFgkVR2fDy8lmCp4UaV3HULWRH2pliTz+tjEAFwELwgXGM74miMmUcrmCc4gW
5GIVStA+g7Rb+sVDw6MYlsgsFsz9xqxnri2ZFKUiNY+EatZaNa86c/ERbkJPQWtzBlnJ+zN5K5NJ
KQ7+d3RsoCBXUpcWg4wLM3kOIP0laq0HmdR1ATBDI3d22z1AiE/r1jo2WzDxgNejzKk1D03QbMS4
20FBdWF1b4Xl+Cao66K+DNADW8hQikGEtje+SeXLR0MLKmRUM4jjDp2oWTo4yFGYVCAEGmobAAXB
HKwA1bkQtNx49uAFgh32C4Lg2XZnoGV7I5Kw6lX9FIkH3hoDyE+GkNQTFx5Yt/zghSnm9kzqqTQa
ScUGq7WHulh1bzVlIorbLc9t4q9GsROgr9FrsVRZpk6D8YP0lYW0Mb0w4f0vD7uUBkHTCBDpAAuF
bnLGKJvGlCyRRDIbGrxUKCrrEF9AUUpHKMxYAT+V1hnRKG61hwInKDIRkYxvZWWjGfz+Zmac5JUl
xnlNAkEdUxpE0GA9QEBmPWR2sAhCuzKioBmQNn3QJjmUkZirciZhw6ciWthF8SmfN0NDgQ68slCm
vWGFGsCjCPLpSBgyTge7T0/5SIm2wps6fYDwX67B6n/4x/nCex4YCnQYSogfwf5zuf7lJKsJ6GSi
raRB1cCLLUHzsyWQBHOQwA0K4gt0Jgu0Doa6FDMSHYLJNfZzvK1sWdwVolNzK33+boWF3AGzmWFH
hpwO3naQZaGlWMbOGM15VoV1tDXmbc/bwhKzCBNy0t8HbwpVPtDxF0AcLydLyqDCIGlRvE06Z1bR
b4eIbMHx3TKBNgX0MkHczQBS4NKEUAdo74zbeAtkEagTZ3epRnJjjsA5jG43WiOnqOdLA4YQVxHq
UPG2GDz0ZU7/vtZAzeKhB6E+KunCno0sM9K+mbt4iwrwlH4cC92u2+P0j/SJdCngTUTc/QCq4FXJ
DKOT9YzoXJVsAQuTwx2vfyyyF99YCopYwErgElDxjGdmakoMKZPKZNuiWsu91Ohb1RfqAdcHA3G9
TLt+0HmIQIbxVmUylEULspLtpK+LYTNOmwwMX/ukc++f8ptDQdJQAlgVPoWdLVUc+mxq8mSrmSny
OEbfo/lhIbeyZIMZS8fLiaq2sCEFG338EABcqf79fEsShOioYKlA4SuXK1KmcTppCMsBGnBjzdT5
hbferSGc/z7zKJBQv8bhwO/3zX5Gl69qj9xSduKWDZmmUYG9wZ1oMDbyIE14Lh2TbcTvp4OQ23gq
//tiI9vDixTLhJ4qJpZoDRJUSdKkW3kjBFbx5x/pV3+PHljEkTxEUREXB3P7NQNXdkpoJNsif2ji
hzZy/vn7wZWLaiXQ3QhL2T6tYB71OkwCfP986laZckxO9w2wbVB0BPhsDf6JenSAJZh9NOXRGCp1
tk3NHmpvjfddtdYsAllnzs9aBeI9+yf4WDB6dZ3DLMrhAAch/UW9+6XRrAijdNY0lJne5M2446Bi
HJ/CU7qTH5M9t2kgDt1+zof7Vm8YBUUHEr2ADwJpzdJ0VHmL01RIxAc1Y+6QwOm8ZIl85GpHo1SC
iwRIUEBqsGzMfsiTtgDsuSf+uOGf5r/BwnZmExOIfIBoQWIC/IS0U/OXs+DsNTQ2PVCVxUB8eaO9
1S9TTFmdIN2MbrVyvaRGcj0YJOAxWzQXgUwlCyslYa2riQploqDcj9wP6BYXOTPpQp+F3BgPypT4
bdrdBAOsF+t6YGnTMAbDCGdRFWJkvaF+tAdiQH26v/pLlphLUk77WJgHWEq4zTeq8KFkKbNTcd59
M1chBR0QaH5l9JfghmFLKCNfdKglGsQHG9mqWTis1zv48seZMeSy2IZEx4933CYtD1W0IyCZGJz7
Q7i6iOkQEJrSziKBVgYuD6cYctFUxQHxi2YVgG6W88E1kCCuH937hm4NB/EKypoC6IjQxXRpqDCi
rq6jivfjwlEGUNP5SeEU6ct9K0wK/HeL4bLHywEJC5R4mCMZGqkEoHvD++EqE/YomKqzOzgBZxfe
Yl/trREZaFZGRgcbGjDAyxFBDDZDMYPnfSgQz5B35K2gB7xk4WpmEwJ0SCCcRLMIJR+TZTb25ue2
NSY1GPzyY1hn9oF4s/sOrcz3+zN3PRrwZtF3MHo0KfM3c3lGFRJskpqP/h95/Sg93v/x612GjBXi
bjT04F0HR3M5VUWVFEpZTqM/Tg74OtCxNCnerDjDUhB+ffCpIbRu0Ec9Gk2ZEkiQ6UGOh/Dox8BB
WOUXLpo1ytP3R3O9yWAEHBKgr/y9AZhIppBzUpURjGRryBKrlv7QAmkPOdx2IbK8sfaXlqjTPrsB
+jZTc00noy+95V7/HbznlvQjr2LdbJfYVZlsP7bZpSm6P85MZSLp8CCAqeSxeZR4k3N6N7dVFxK0
hanZ92fwxma7mEFmsxH4tUqbYGy28oOc2OPDuEQWw8KirwbEhB0JZM8CraFz9xA9Dp3ZfQ6vvR1t
eLdfg0Cqf70/pBu39eUE0l1zNoHopW3asoC9zm1iF2yLnuTxW/DHrIHqD8jCHmTbAdnhsTyR8dB3
RswLo4/WtTq28hWSS6iwEV+EfPEGzg4wN093edPWBif6s7Qz6R6/vMsxWvpCBGbhF9l1OVojyfOY
43AGQp9IdvndlfZUwpQ7jK6BHum5ximPnBnyEqv7E30dqFxaZtZV40TU8lJYllNHT7xI8XQyL83u
zQ2Kewq4XmC8wY1zObwq78OkG0R4w2Ite3ja+aAUUq3kAWT2am+WUKHl0W75JDfW/dH95jnYiQWk
+D9EFEiEMDdYIsZR10AU3k+2irrSI8vN/GiP6vSK20lP6rM5riXvvs1bThNZKgTnQENSeN7lYDVk
DeveyCY/OIHRatWZxn7aREuumSX0/N2xwLbQtiXgXIBcuzQjVmNeEBFmsq3qlKvQaSGjua93ysaw
mtWwmTbaY/xJXNULH6T1/SHeWs9z28x6anmhK4QUk696A+ixIee2UU/3TVw/ruBBkZgB4B2CCcjg
MzbyDDA9uYWNxhZMstLXsdetUk+zKk8+QBXU1RdCA3prXm2VM4PMPZTzqTx1FQyOFrgsFo6AeHPK
zn6d2RVTE8zBNODXuWe3PlTH1gk/SpOsB1Nfk1W8qe10o67r9eRlK/Et2WvvwX7228eli+mWp0HK
i7LDoFSDhPrlttFV0lYSHaXhxqfuWd7oTroaVvG22bfr/l9rQv/ZpWfmGPciJWpalkU1+e1PuzKe
O+xVyY0dwa9W4+P4Fu2zj+f8eYmgjUUlsmZ/b5ez22MmlD1TKyd/qMEyZetetVZr0yxs3VZtYdM+
yyZ6DNJHiFpZ0tOwETb6/8Gv/rbaARGG9AnLURIRxDpl201+TTx9sBAzz7yzcEToEbjasbSd739s
MJNbxtWQzDps5E9g+CneFahzFbtiOEDI+FvlTWjjxktCjiwy+3+m9r9GmYtZ1UJVyLoWRlUTujyf
ZDt/6F6z4kyA3Xb8F24P9StZbaR33JpcZZZLd+X9UeNBf7mD5a6fUqNt8AHzA4CVm9ZS/6LBth0R
BZvAhX/01cKhoWfz/z/P10igthn4GNyryH44OufFsdN2C87nZryDLQm4oqZhb17pUwT12AZtPfnp
Czhc1oBYratVsKqsxkvdhX1Dz/jVeHBFAT+OHOhVJx1knSJeBbjeB0n4gzSg38SU3sY9eTVCU91q
m/Gv2lvBF+WOM4tw6Uq+6YHOrFNPeXY2wwB1A3S54ErOLQ30hj+U+38dfqeiKWaW/lz/Rb/WEvSU
bRL9z7Y9s8ps2zJGxpQIA+Y3cCDEJMAV1dZ68Bt/TEyAkIvVtsrt+GgsXJW377H/GmYjy54z4gi4
n8nnn4IdpcnTHMOqnNHWzdqeNo25xBx9M/44M8jcNPB6QD9mI7QI3S61jH3g6iuQBdcLETqdMHYT
KVRMBVzZ0G1huejHZkR6SxChyJSaOvSfCoerHLVe16jXlBa0oe5v2lu3MwoOwK4jRYinIrNrkqoV
eqGEObRhW8WCJ711wM9/nLkUp0hJ0PGIH09XYA994xbe6zej0PPfZxw1jYuhOYjfF3e5+TQ9TDaw
SfVT8iE8hcfO+sG/LJ3xGw9QiKFqEAoAnSGQLUz4VCtyBfSuJPp94c2tW3vRS/tuEDMGAexf9XNx
fW49EC8M0mN/dqy7jhd6MYBBPBXNMHeETy41sw/1GWrc0kf4GEo2pcBfGucNbwIeecBSFZDdoYTH
hMFylWpCM2iiPwaPAyBFD+lO3Q6y+/9I+64dyZEkyB86AtTilTIFS+t6Iaq6uqm15tefRS5uJxnJ
y0DPYgRm0EA6Q3l4uJuZo3mIcKt4xmt/37C0wDe2PqB0qNuCsge5OZE6YVJTRnrXcMJRaA/zK5oZ
ELTDm+qr3SFuvev7fiNpQYr3wFAZKCECO0/tzaVRFWPBnx97dE54GmZX4K1B2o/DDrSFvLKb5O8v
WOwZpJZJzzVIctM48oET1L6rdOU4hXb4COkDMJ0qiNOEZjebdW41n3+gJHN9mJfH+yRMAn0OiLoR
EdX17lHieO7HfNaPvAzdtNeZpZZ66RRloAewT5BnwmOJHtPUj43Mdbx+nLjFDH6Gh/5OWryuAk6Q
kYy53BywdErJ4z0PkQVqQxZ5quRQMALLoPwICugIWX1oZ7NjFehkoPx1ZIJ6DPKLcIxAOIG0vp42
1BiWphNbhNPxY6UeQIJTElZkQuKptaNHSgKH66SYTaCdaxviyAPgj8wD7pPGX6DfKO2izPTSZz4y
We1ZN5YJZGpUG0+FQZnurS1UvVpHDWw1gg3K9uSioCb/1HgCqowH2cYynVuiK1rhNI5pO8CSYurA
WHu95tx2i9X/jBkDf3NxuUBGgJRPwW8H1AAF2/X8zX0hDDW4DH7M76PYCUHa19//8vRQJsjpOvO9
XG3wRTrOka8eCrd5vP7jl9+POjMJSfFsBHiNbmEURV2Jh2sc+0bkV4pmqq1XL4xDQ27v1R7TZZRR
AY8+5U0uEDcCGmePXJ+Vfg5MMoB572PboEkY47RsWYEqB3rUImpBoE32xNk0CWnQCmlTln5rojFS
xptRtNOG/fXpIv54PZQTCE6SwI1BaoZ+YKtBQPi9Se4bkxvyN7OFfg1oSM2zgNa0HRSaIBxGXn7k
0YB2c+vBjJLSjzMkoH3S1meHyH2C3mZjjsy3NH3+AVADFRpIHCwPaX9B+ZhFrStO5ILcVzVbRpcb
i7vrHWQmIe0c3euHYS89lkAqD2abuVV5u6RmzQJsXFyC9DdQZ6iS2iZuQi73O/t9dCIrdcz+vbtl
jfW0l88Xj7ZDXUNx03Fc3hm5Xzu9I7iD3+1lR3g23PKQ46/0IT4sx+HY7TTnHkV+l/PUHZT8D+A3
3v3Z5U8QNzf13eChh46Tu7HLyvTTHfZQ7DnJFAGfBviNguZX1KqrXW3UhY62oY/Q1d7fhVBKeFVL
63djClZh6iY6dTsi0ldvH6HVWKktmopVQbkODfnw36lt2IETONe3PO21SUNKKLChDglQJviO9KzV
elsE/Fj644PWHWqrQsu4yAre04jhtC/3/NoQted1sS4SbYYhNL+Ue5urvEF1lWeelTamL4fTgE7z
C7kZ0slgPctJ33ByoE+lP2tWiGTx4EKkGr1twGNzpr9VnsCaYlQq5F4QwuIxRctR5qExcMFowPnd
xkfon4Oa8ZLe90/op7uwXiJbM0hEkkDm4hG/6tRB4he5CiQOuvvj4Q49GEzyD4Q2zPfSdEV0WzhU
X/E766l4kfwkI8TeADMRnZBlBJXr+RRSQ1UbLa59YizcdftwF+6a/YgjFrYmWgzsq71+CI/dPt1B
3gOKNzdh5vP25Ix+xIL8ndjx60MOdiRoImC04Rwhhb7+GiPUOplTq9o/amQGXjt/sBU0KC93Cv7/
8xvpZjOyQ4jq/uev1Po9WIs124KD9vCWYgESak3OjPOEFuOMFaLvKEwVWHaqgDUCfgCgovXHJdoo
VsOwtEALmqKHClQO5THGMbo4r+huhYIBRMsBtQAEjtregdz2E8TvIz8CK0NxwFfRDDdw5ewzZAkF
X+w3yhT5lLMrtxT7vEcOIQJM1AxBfX0Pf4LhoP+lxB/p2IXOJnCJgFEjgUZjLIe2azSFEyK/1Oyy
dfGMv9G4e44RPxD3sto4sAIMJ+J6HfVWzNx6MDrWRszaJfZjM7BZnSIv7zjq16mVR5QfFepAfr0x
lzd0lNv90t3MUc3ddW9NkwROkwU+KbBQ5ErHkVwPYxHlWqlCQHejew5HToaeyFN2nG3EdgLaj5oD
i5h8eobQE4eDBkk0ouwK1OLaYtoUbVO3fOyLDyo4lEceStEvoQPQkpMe80/lQXYzEwy8L+2QhOa+
TlwW/e7Co2Ny0cOdNBkm6noXYKkgFdQgMWIfrQ04uKDQWXz9HtJZmXV9di/y42Qrohc7ah64O0g6
dz1WTjeydkLSz5+d6Ul+LR50FOH6x/BhfFT3sqvtFi+zU394aCBO/80UpboofdD2qdWNoRRlcBLs
QzIFz0Fb+TXdTzZkIB6QqIg/BW85Gg7ngHA0BLeoLB+LfbZjVe+2jj32FvRSCCUE/mw9CUY8omqd
Jok/H+Jd8tSLmHRmVZmMhN5VaMkG1VTyose/1kbKKmyCtkGP4Jn0akwfysQunpL3pTNHb7xvQje+
gyz7R/nEfXAfIyv+vsjYnyZa5ZEGgsD4pfyXJvYgiSgAKqsP0z5GN5JXdHCq34P7wKyL95/r22pz
/5JsPWYTsQKt+q21Iop2xgBI8Ze2619Sq7wDmrw9sgLMTS9Emm/9P0PUVa2KPVdCwyNBpP1nkq3n
wO795Xa4HVku++KiI+cE0DJg7qH2haam69UruGUMKgJgdqdvyQOo8Pv6jNHP1tPy/PP7OrU7BmEC
sjnHjElu6h9URsi7fczOfp66C8oiTlCuwecP7uwEX50rIwLft6/cu4FyY3hAigQPzPlX8KF9yoKJ
h6CbKaZYe9dHeVFeOA0T1UwCZEfkQA+TSyLsQrJeix0ePrTdbCnH7i22ICzyED/VDkv3YXvbnxmk
NojCNYMh6XPi24tooi1n/iB7S2XXvpZaSnXfMNsMk3vv4pifGaTuRZDnEl4OMUIoHDjzg+GGh9b/
WSy8eJ12HzD89+ZBO7NGPTFKSR1w+k7WKl+0ZGABhj+K9ef6sm1u/jMr1IUo9ejFqjdT4uc7/R49
PI6sl+xFvYveF5QHhtB4UUQSLPRfKGuY/Q3qpU7lJLaEemLn9fbkzY8pi5VwSgZcWyzqVC95ga5p
EXaH7KEFQvqJ1rl2a7dmitA5PRgOCMD182xH9hvn8TvpA4LMXrnjjwgEdhAEMgNrdllJxc2Pggwt
iBIgdBGQ1drVIDCp5DQG00BzBw6XA3Dz6Do1/GRe5k9P4bHwDcQfLWAzrV953Z/yvfXyZ8npnH7f
29Vt+KvyWAHJZhR2/lFkI55FxlIgxmE24aO4u8aFWIzdWh36CEdf5L0uu9f320V1hmyHM2u08u8s
xhXQjwFxV7IVWzEefr8KM0fKIPNmk7Ovm6NlsE8h5rk5yjsu4oy1yDG43inscTe9/whuhI0Q3Y1f
0h3vdN/LW+PkB8UTdsFdBeeY3EBhWjTHXeh1LzrBZ3k5XmSM79qK4M+/i3JecYbGKQGP77L5G+6O
28uWtJdAYkInJoBxnuNdioKOtCu+OEc4qNBgMrWHyAHm6Dd0PVsEUc/hL8ni73kfIMRbVpFi05mf
fx7l6tolV7gyxSpJeIi+1uRvzfpYEJYffqeMNWJtQJpMq4dVVssJjPEHKHKZkue+C6ZsJs4XM1Lb
cnfn46KcUc/xiZzqZPfBFUR3nDkgTxa5sxvaE3JUkpl4r3+uL/WmAzy3SR16dG5PjHaGTeMpxfN+
dqRd7+QeWlxbnDU4wOO8F4eKNakkqqD937lV6lT3aFwajQs2GO/Fj8uut+IH2c7d2u4+r49v6546
M0RD8yHhHqh8j+GNjuKD02IaXuKMZvRw3cxGFEUk80kZEGAxxJ5rLyUAp6EJ5Rj78mh36lcafAes
Q7nxVgDXg4jN4LEA9QByZs8coRA1LcdlcuwLncVHNxCBQn3Bhdby9ZFsvBZQXARkXsMbVAY+Ym1G
LVtxrDsVz2thD9AXb9VQJVlQeGd2sGVZouaMk9VZatGQ10fbRSF8aUITzWwSZ+6OBSP625y6szFR
7kxHM4OyF/STpbRw2vigF1aQvox/2TGH+HNQDIkmL1T0kMKjrnUIa42xKqRACRo3afq7Ef+W/HUy
AKovhK4kJAjot1zT1nM3qHXsp9JkYcbYFjZcPwo/KNaDxQYaOYXDub6XNuYdTR6AqkAaFZm6E5r8
bMtKodHlmYS9xHF2vDjKsR6ec8mOWD56w2+e26FffTz4CsrYa7EPrdkRDbICOwgONav2zrJC7ddW
06p8jrCLcpMP7t9T7TWQGBfvtokTzRMLfFEUqyMtSocMRwJ02wk9QHwjdWoWR2HDV5H1AGCBqFfh
lFMnHLTCOWtiuMTKaqv79mNkMT63LQDDjpIA0tk09zLS63SpIMaMBvCjXUWDzYWMFOPW+xuDAK0L
ynKiBDY3NYg+05KSR1JDPeSGk6EpqmIF8m3fQ76D20ss/MzmqTgzRxbubCeXS6IbkYZETXRv9gxW
+uain/025TTAme3EAOwCv0T2S75rDsvH9WPIMkBdtkUmSZDtxlwF2QHsW33y4vaGF1/+Jys0lbMv
e17IJQwjeOlv9fv4eWIABDbui/MlpzzT/9G4ocxqZMsQLAuxiWbceriLvsfOMZLX60PZ9Fv/rIhB
3xdaJIlLDktC5gL02esOXC0kYnlW2n/zoIDXDTwPioJg2663VcuFRVlAo9iXeS/TEVyijULNysFs
zhtedQhOoJ9+AcMy6iDIyxIJuDZ3kthBla5EI6/cmiOnYmUhNs/JmS1qQPE4jAnXwxbgUAC0RYxj
vzVfIliPgOThgQq63Xq+EqUlZY0SXPjlJwmfJ1ZxYWuqkI0WQBlEe2osyPr3I0HPK40nYdxLn0J7
19R/+I8guUtZWb2NsBTSVv8You6SaZAUKLTMuMf/NB8wlU7m48I5amCzEu1bU4Z4jlRpIdl8AXDU
45ZMpRD7d81Tvx8ZILjLXycS7FgSBTwJ4KSp9V6ANm2rBNnD/FXNUM02JdG7fhbJL6xfCoRND0jQ
Sfr+IobgcnFUl6VN/MR4EZSbFHwkhwne2BoGEYlA0IMc9UV3ozKU9KAlubMC2cDMK9DHg7V1L6hz
CINARlX1U2kXQETq0apm1Vg3bZf46etvYPEPja3438FH5FavxqF2uYN6nz9pz6F9ff42EpFru+TI
nl1ddT0LswLZEz98DcF9li1ZNiG7x+8r8YA2AshtFSxVnY1HJWySegZQd0Swicz3mU216YYlFzDW
0uRK825QvciW7+uXiTcH1eweax29SKBVbo5v8/f18W7tF1iFjhkoZWBkU8NFV64lSnoR79k7jLK4
kwqHhVS7dHIgKCE0RnEcejJY0fXoavBwU66LU197E5DN/vuyM6qmEHAinYNJ2YbyDYpaQrYixs/3
fyTUayZzHk108kEe8vpMbW36czvULce3WhrPepT6ovPBm4z88EaOBho76DaNe4foUdHt+ppQrdRY
moisiAlcIlImlvEmPGtv6W/+V/4jaDb4/u3fdqbHCwxmsf6wjSWCLtV6bfQhkWtOllJ/RrnW175D
wRV/DV+82aMTRWten8HLOAHG0E8Ror/oYnfB+27nVimqpsdGML+R/7YOGcP5bc/imQVqjea+6UGG
g4X8FQz2/KHbLVa1k5yfCH0dOFtHZuj6kC5vwPWQqL2dhb0yT2RII3Lgul3sIVIG2U3GxJ26KNJe
/XzmKAcB5do8SFqYmQhtUQG2BaIJXmyGn3APptv6h9GO7bfQQW8BpF3rfXg3OC+/FyYma+sQoOUQ
qK+Ij1Bno8Y7N3lh4CbOfKF9mKqDrO+NlpGC2jABMTZIWgEUjHafF0TXdsmyuhwB1HGUN9BqWY1g
N3YhtA3Ao4WgICT0T6yKM2cL795XcTllAM566O897OrhBmdLZCnDbI4D3AXEC4RKSwOco9Dg+KxX
M38UPKW9GRNHY8lBsExQri/UM31qEpiYGqctDjDBsTJ1G/lcEaEd6LIEQA1kF2VjSdWOy3oERIGn
HAM3caHhDzjgvPt5Yd2D0sZltLJF3flx2BdcTWxB9tv4pQMKeQxvB59/WVwFCdbs+C3sOhsaRU7s
9nb/lFjZrrbLl94rbOk4u/KucQZShkAJ72l2K+Y5vMzDrieD2v6F2lRod4sPfBVs3plAtEXXUyTT
VbOxAvutvOeRjHs1TJbo1KlbJeUAVjNDNvXZpp1ivZTRCADZTLs369v+ILj6XrUkXBOlFVnJXtil
t5W72NpRtWtLuP1sD80+Qk7ak2xU9G3elt3SBRL9iS9N0c0eBGDPoh1YlfhYCQjOGNxnVg6WTAf9
1UhkoQuxhpAU53n91ZURzLUoR4hrgBrdzSx499ZJFgXIiOEygXYnndSY2ybhRAmvp+p+wjqEVjru
Usnsqq/rTn5rW0LEj0jigCGGIG09DImb6jlF5w2/Sv1I2QMCBjSyzkJ+bE0WEWoAZh0JcQQ0ayvp
nKdBWGuoZvjGN5r1Xh/D1q9DLplkWQGdgVtd/7qSpYJY1jyyWAiQnsbd9V/fWgmQ6IC6ICJikJxY
//qQ58MspjVu9tlNmy9N9ovQRsrOZhLCtlzeuSXqBI4DgMKciIUQW3MfRSZAXdeHsrXYMh42eOWh
eoD3/3ooasbxPd+XqV+1TpA6ZXjQCm8ZGMmZLStg/BqgQ0GXDD1a11bSpQxQV1ZSv4kceboxAsuQ
H1LRuT6Wrck6s3KR/haqCkA9WBkHX6g9dAsV1PvrJrb2FZLVSCsiOypC0Gk9kAYdcCZ0VUe2xNEc
VoVvI7pCfRnBBvhwQL/RaoRRrKqjmuBI6IXHA3zCmZLgGK2bzBZ6OV4fyNaKoEAAdhp4CXjTUgNJ
oFje6ALWvW7MfrQD6NEph07YX7eyNV1oyA7ZXLyFeJzE9XRFU1sgMY6DssSmYfXP1399K/6FP4T3
AHYM8CfaIy4dFyzKQjbv4iKif9dvZnMILXHZNTE6/z4qOz5PLL73lBeGZeKdaFevqfDEuKbwyrvA
XfEjBKnDAQMzTGG4RYuV+tAUjsodetXr3ncGY6hbWxu5AQM1N8AhMdT1REL7tOzwckn9DuL2kYc8
B0tOd2tD4B2GLXFqW0GXQtMqJkVXLfV14VB/ZcFRyBzW82HTBlElhDIZkv8K5TfLHu2lujRHrPuJ
fE1/C2RAKrOaUW9NFbrpqIAU4rDjClhPlYy2k0lu4GkJPhqS2XVzo8Wv15d/46BC0ROahCRjhuoC
dbuMJS9lfchh9csPZDAgG6Egd85bWWb/uW5pYzAQpoAF5CwQvqtkRs8CoZAv6zwtuswHJQS6CdCk
jQbGA2RjUUhGAQY0vMcvAKATeLHcNONN3PVW8VN1x9DYhayS/tY4BCCldUBMkbugYRJKgvp3mJWZ
n2vH6hsC3Sz2zIanwVn8xwD5gLOJUsdqltE1OvMlAHYlc2S1ct2aJQFaL2C+AZd8oUmoqoEQyUZx
enss/UEpD0V2QP3t75cb6GrSNFlChZ3eu5wmJ024QAsVJoLxgYOJ8eG6ie2B/NcEjWFKNYMLeb2B
3GpBLvx8tJbaNVgNaLasIFbFVEHOnHCu18tRDZ1eKpmU+bKDmlKKVLlkxRpjKFubishng02H6YL6
3dpIJpRNF4JM4C/YvMNryyOHw8hgb1QSkYs1oAEOcigiFJrqE4VaLMpFlpEILwgPM6B/D8qLKpoz
MGCz3YyMwJV8M3WxQLeTJJvxAgW/hLox61kuol7HmIZ39U/2VCD03kHHr23e/sWVQrQCkX2DjiOI
H5SlaWyqwQiLHAWzoLa+G92+vtG2Vuf896kTWRUDpzd5lvu8duxLH2FlODCisS0TKkgY8PPgVCp0
qrWLFQWt0DAErve08gCpy2H665oSlv3MBNno536llpJw4vOcZICQcMjiG21ihGKsUVC3iZpFgdHo
MIFRIP7GKOTy34wC7yEAT3Bl8XRypspiNVG0GuxT/hOjALjl341C19AWCRUfMJCph0QWIIs250pO
/EonpiZ8l8bKlW3du5oM5DBuKTgXukgSF4uhtZx0ssGJplyb0ZP+PEQ3I0usaKsugjcwckCkUAB5
JMqBjaKSydhwMPUHKnuL34oQ1L2HyvEcmNmnypIJJ2tMHXs8wEQCiEDYApTteptB1a8uI0E68U0a
7ljv0VLld5UwnMupvEGbASsOgnogoaPASG01IckqMcwB7qgd2Rt8bgd+HFpp7qv70hq9IoEWFehL
JPdk5uDtpc7Hy1tjSYeXwVF24T1S8gCX7jWvsFKkgNJ9ar+iQGQlXrYffl93H1tVIvCq/vutNGwn
GNOwkHtkU8QH7V2LzX4x209IOKYv+t3wFbx3X9NtDUnJB7hHhumt1cDKowmlBg0PKKOsV0Ot4lDg
BNQty8Uaoe9k4pJsb0IzRpvV5+6PMdnCZ2LOoTk/t8+6dd36xg2AywwPJgh4QPWahsegyK/ovRim
viHaeucuX11mhoMV/9Jhj3G9bRwowidDmpO0TxHobGebjksedkBlTIojTg9R7UhfZeT3utmzai9b
c3puivIPiSqmVQIpfBAQylfBz54qBJqshdt4lq3GQ51auYyWFGwYYNRF+7MfzSpH3SVZ0KgWgD4m
rHNri4IyguIAnqB4O9E9icYwrmZFQfRRqY+xGVulnT6ne94M7kq/sgZXOXBQRWfBEDZmcmWVOsTL
NCVczsPqjFSoZv7WPBZibuNGguoeT3oKgGh42YeIU9MxTPAkqCSz/Rhqq0uc65t80wIavRJMLMpx
NI60ryv0U63w2oT48lASEZ7q7581iKP+sUCdYV2qwhYEZbxnZ+vb6NzgmLO2NGsQ1JYOlr7uwwiD
CMQPNBJthq/lX63E2SioDT0scxHlDUwsFWiPiuEYu+sLsbWZgBUVCeOXiJFSFVG1miNjjvFaDoEY
7SszqG/SYD/qDz/X7ZBokrp5ZJKHRWEc4mNod7t2qXqgGKU2icgACrYGKTXp9frvb9BToA9DsKl4
OoHap1M3aBUsZVmJOtb7BvotPr/TbyS7c5XjsBNt5SEF7Ul9im+6u+UbaW0bKAdw0TkvdNGyBthy
zUMLucq7/lFbCarzj6IvEhQLuqCVsQm5u3zHoWaRHwJXeAt2vC/6idfv46frFjccugwON+DFeNOD
BE9tyZzAj7kIszANT2JtxaWD85Xuwn3VPV63tLVx8G4AoZpwgWQ6WYncaNdNKtC70V7fKyinWM0D
s4HY1q45N0JO4Fn0vUQDYjNViX2Xxd8+yYvRG/L8p6nAvq8AcKjIT89OZudmepS8BOyUT9nufP53
+1DcL0fhXXIT0FtyCyUXcDuE6aUDOlxgOMMNoo+IVlz/zCV1OAy+gbM18C0GFBOO0U9kKe8Kao8T
LsvMCQ6SL7h5jk4bEHLojpOHTtzpvXzMPyanvAt+5Xfdbeqi3+WLgVCB8Yw7BdXXJopsubM1GKKF
D6IQC43d6yDPiV3lhEjcOTMUvkNTP1QfRmcCnmhY8z7eT9zt+IOKJWgIO23/v+056oxrIETFC9lz
OS7W7DW2k33095WKs6W40EXl+KqLAGSLfQjt3UBp/oYxndd39IUKaqygO4PCYal5x2GJgl4/kkge
rFeqkIOxVMhKqYsF3dEFEhusd9FJKO//vxsuOn0KkF0NBx02bPRkEa0/0Pz8SOz0VnSew+P4Etfm
b2gCi256Lx5nSJN66fvwku1YzeW23merdaJ25SLwYVP34LvIeL+Qgq7w2nnpTX/HjSb6GjIc+dZN
/88BhejLemZHNFOUmgwUggJE67ee1bCa8fN0NCSpUduEZDDdz3zLWdNT6mWIvGZTtKqnMTPjXVPd
juXNzHp2bkawZwM7TfPZ4RajppyFGgMrzco28C8fZORwJ360UNEePeO2UM3RZzaMI/N1ZRediJZn
Zmttgk5/AbONjUzB+7BL96ElWCwcwaYZtPgg4B1U62jAbqb1RiUt4GQ08KvQl8pNyQHABo3ejwHj
JbUFHCGaPP+1RUVqmjyPAR/gYAQ3mb1AoYJ3JV/34RdjqHyxckabR/3MGnEzZxOoz9KkggkGNwXc
Fx7few1UCs297m5Z00edsTJTE74lQ8r/oDe9V0FwnHuReTD0r9vZCloAM4DOG967Org668FEA15X
CKOwTJDPmXCjNJXphOL9NDIMbc4ays+QnhFAbqGrEGWMCqs+AezqaiiuTp4oOolshqy89ClNT29v
pO+RIEKKCI8banXiPiqHmXTfEx8mf96ph8gbb8LP8VEbzf4hf0C/cjP+Bv1rgYJ78TC7JWLR/qnu
TTQes9GFxrw+wRfSucA9Qgzynw+i4qhuTPQ0JB80W5prOCnIuKXXHBM3fZHd9E76SB4WZhaFLNu1
WaAirCibpRHkAkKNjbzk/juwG4fzFkvwf+X3LA+9tbTnIyR/fnYgtKbLtYY7TXnh/oaCm8mSN94Q
q1hPInUcllaGwOoIE5Vd3hrAYtwareXLdnoU75vHGirjPYQjUlc4BB/hvjn0e/6NsY4bgKzVOpIT
ezbKLAf0QCUEimyv2LKXHjoT0nW4XVmec+tGOptO+l5o83gRxyBDBswBKluyWI1PT30Pr2yOkzs9
G8kQLo2uFhiJdFeDUjzhqRZY1Yd8QPuN8lbeQ1roMHnSk2KN7mzHXlaYslN8J+5yO9vTbeQDGw7h
b4jxfUe7wmIqnW9kks5n+vSyO/u+qQ3V/9BiRGu0eDOxNLCDdTvfi6buXF/VLfd3PtfU4VyKoc7z
ClPRO8q+ucf9D23zmeH6WC7gFAmcDSiUO2ngSdfRm+nnPt1PZmsOzoCl/Y0C+d64yxlBDWtU1IEc
hG6u4wj2Olt1DOAXybhYZEXiQq7tIupIynylx8YAI4tgcrfLIYWN64uzoUS1OvW0QrsyxAKGARIW
KvB47lR3ePaUB9FRbeW1uuPR7cMaborb6bWEe+t/vjSWH916MYCooKE2gLo55A3XZx5SmvXUTgWg
8iIKnGilXNqMIW5YUE6tmtH7FqA2GoqHHtFClyoANRGSDhpvfgRegKYXO7RufqqeQ6TePf1BiBzO
MPnagui6Ejk8f18EubUrzPCDpfa/4XxIS0aBSFKB3ENfn1JhgD7RR4C1m5DnBJ6H4UYvlRShXXtu
gDpxocSNwlSCQ6ECLpp/QZPSE97zneZGvzre9J5L5Iyd2Ve86FGxJMmsnfQ22adID9xljMrcVty4
+hbqnEzLwBXAFqT+DeEkvN8sjT0vThHb433XpmYbkb+vL/hWWgo2IXlOiltEFH29pcqGk9Q0IhwS
K3InqLOgxYGAUNKNITRmQOOhDcx4jhlmt5YVpVTQ56BSzENkcG2VA2x8iFMCboiRmHeL6VPuGAVh
8hOUP0DJGbLEGiSQxQswvaKPcq2VgMt05UNtToEtJBCyL31C/2UoepN1oUyhLzjqUyfiJGQg16MZ
y7aoI6HK/aa2kWZLodb6xncHoKYYi7XhSImUGLwQOkQAf0IlsuNMDoYmQHm4TXZFbIp/qvsASarI
0tGo5jHE4r0t3vRHjaFRu8sSe2LM6YaPhVYjSgFo+KgAZ0EdllRFn8QhmHP/sywtIzfDxMxYcu8b
k7myQfk4tUDFrZ5gAyRUVCFz4FIKC72MeRY5i2WIujD4dpjzoIQh1NpB6CDEXXSOKpEoZZxrliFq
sweiWnOjDEPj7C08OiRWn+NsqwvjTG0sDmlgCoACQDBo9UWNp+IadaoFI/fDOjGBdS7bQ9/cMPOw
W2aADxaA24O6iEGHg1UoVEUC7Ty/Fm7K8UHSbOxzpuTHli8EOFAkKiZEV5aGi2pdpES6jsoWPISY
2OoXBzVutEfiTR0MCQjBcWaReTUkNq+fsY0jtrJLbb+5W4KQD/jUbyOUwZG/UkEhaPcsbM/GPbsy
Q/bMWQgGScIsiUIBRa+Dy8KpbP82FBTBTEbjCbr8URpTC4z1nPpgBIo+Cyt0AgZQ3g6f/t+fp+n7
ZasOQpChfJPt5xfZy3/nB8PKnqC2fNc4h5KzZsfYdxYLlLoFv1rZFddTlhtt1mQ57LYmmA72ZBLl
IdnMHBYReuPmwI4DohfIFaQhaG0WruA7IUyBHQ9u2sLmSDvotLVBR9VvWaY2l+ofU3TJLRQjDmcA
WF4wpdLO40br+m7eSuoBugAhQ9wa0MKmnQLa5rZBEaB8q0mW4T9Wx/TAOdp36bXmL6kGwZbfyW5s
X7e6cbuvjFIOTy/QemDQYLSB6PNjxxjThgMivW2BuUUiSEUhcb0PAi0ShCgB4lYDASqezO8ap1TO
3etjuLSC5gyiRKBFiDsxg2srshirvV4gQhkEA0re6FoqJTarwnC5/EgWE/yzAqVJ9B2g7nO9ESv0
82tAlIt/9PwmmBkLcenM8PtolgF9HgDuL0AJizyWOdqSAQk7mHG4h7MUHlu7s+rx9/XZurzi1oYo
dzYkHPoGKWAuNtPvQbZUH82z297M8GD43wxRi5/k89QvHUaUgA8fzeC2xvbCcjVbaw8kKUgqGiRN
AVFer71eoue4kQN42TocJP0Ei/WO25yuMwNkX5x5/wHphHQiaNVqL9hIskNAkGckoU/g3bWbxpKc
2aBiNY7XsqmUYKM8qOaLDLFIEMUO94ZT7dDbILMCszdbp7F+CngCy9ItFDhrB92bOcaXnI7KtS+h
NkdalU3SlviSxhdnsz3Wx/Qr+iX9aSewFRuncgdLQU+kR+5JB6eRVVHZqKiuJ4LaMn2qR7mAxq7I
qWjQTIa2sZkfIP6UVxaReeNAYizd3EdwkbxWTmPG2FLgGt/FruAVX8ur+J1/C46AbA/LT24eTw3b
zCA9mi64A32eSknPARkNDUdbQdDuCzt1r8W762dm4+YkfXIgEImrBJgoGlFIHltBG2kArP/qP/G+
K72qBoVTeFxembjMrbNzZoum1ZddIsepqJ+4v0VNwPGKsOcVRml2o+aHIWE8oEmDeYNmSusTVAJV
vgxCmiMBy89m5kfPIlQDhu8QXY9He2DRXy9vNGIOlBtcophE+uEj6rVchgT6m2c7PH1mAr+5vkhb
FhByoGsFSjlor0z5nKrIgPWWhNyf00Mpmw2/j//FjXZugXI6XV90qBWJuR+1N2XqDI2VB/uCpbe1
4drwAMYekyB4DWYM2R9nri3MlEmROLxCgP3tG2sebnTUhWu/YHWd2NhoIHsB7Q0b5DVC+TdRnHMu
CTi8qgQP5IWkPAy6/S/YitLKCjUcrVJSoV1gJRcOSmEiJSSizSBre21MGnrtAeKJ5SdkQspDhpPc
REaFJEyZHfjJ5KQvAu/S7nvG7bkxZ8DwAWMH+gKM8dSpCeUl1uWqSf33zvDG+rZS32dWunwjpgGG
FC4A+C5C8aTcbcFXSieqCP5mr9oxQr+teQLbEqdDhWzLRSsARRjapQvwBOjaA17tkLs1jo1+/HP9
KG7NkoLkBjBTyIIi17LewtLU5EE9pJBJeATPapZNsTmwiipbI1FksKwAKkbWiJbW49KqEecANoR3
Tf+uH7X+pQ59ENSvD2XDjAHpAkJWgSIaUP/roRSZMbRTHyBhXNhoESFBysvOjb+OMtFqkDCVsDQQ
S1CphxmXicsiNthVohej/XMIVWzByn5fH8nlowxGiAwheqyQ7BO1rfIgm/gkjMAiAtZkIckn7ivh
HKJO9iyzkgAMYzR7OG/0UgeAOPMDiC8s5oJ0w2gGmYV8VwN0fMhYpUvfD1EOcN/xpkETFIAW16sk
h7mK/pd14dtcu/sW0v31qdv8eeTsUDlAAh26HOufH4wRaE40DSeMawhjgX3zL0glGAEhY8C1IM6g
X0tqBgBvGwqFP5eOIRMTQ/F1fRSXfgVd8/AiM8DjJ8r8lL/vBa5awl4tfMH8YGVjLk/8+rfJn59d
WrGaL3JUaYWP887JN8g2tvkNlEWuj2BjHUSAMSGXiqZ/BA6wtrJwbar2fFL4U+cNT5xweLj++xuj
ALoFCR+I98F90WW9VuyXUiWUGFf8I79/MH596+tBwoBsMUhQ6JVH3VG5Cv2iuksxR4Nitr8TvkcD
U8ZO3RwB8i6Is0B6u2CiG10v5aDYFX4V2t3oxfLt0rzov65P0/ZA/mOEsN6p45CAyTuDL1iQKl5n
uPH41CUME9fGQUxQNwivJmCs5BgHgiCklgv5pgIHgHUiWAP5v6R9V5PjSM7tL2IEvXmlE2UoqXx3
vzCqurroveevvyc199uRUozKmJnt3RizEQIzEwkgAZwDymwoCSdp40ikiA+wUoawWxbn+7269x/I
spCzAEHaZbzIrcpmYYI5mAb2auIPApikgAYC1dMvOXj+Xs7ahpHZWahEgWIQbuRWjjSWi1bVTXFY
dK9KTtm+X9w0ZQhZ2S80myO8hmKBt+HCNHN1yxtVXWptRF40HjpT3AaAgSQMpMGqCIQNmDCMjBuI
G6l1zH2P8SHwt62pBbaM2NT6fqNWBCDgxQMEKSN0R9EYVD6cKr0PDSS/oo2RnNR2WwSv34tYOQuI
QMYLFUHAjuhqVtqLTdGPMTwtv1FzgMzfuxeeRZG8Ys1vhFAxQ9aWUTGWCUmxDGfu67+tgDoFvuiM
qODgvhdMDBX9xRvAAiExqjqrJ4H8IOp+iLBQCLk9ajVEjX4WcRJ2wR+F4VyyRj6tbhHBm6KcA1Az
TfkaiSU3ZCrynCnvpZbab77fpPWfJ48NhFOAgVIn0Ef9ZKRCiCgXpsPvn/7br1O2qcdo6CWboEQ1
WncY+Yy1nQcynpD3CYiZaG4lIerGKFdaxM7olouP+XPKgnqv7Q2q0yhxgtwe6HtKgYp0loOqQRKD
Hy3kpFittitWFc8vFKdRXgA/pEZtPa8glo3lsDxExksTmEu+TTAaY/QkVp5xZafIfD0y9RDI7rvR
2VOC96YopZjPu1jwp1puGiOjt2fFWijoGyADABD8I1l6ew2qME/UvGhKNKPsZnGX/2pBpsm4zyvL
wMwENGoi+Aes584iKUFSlFrSHCREsNryMgwvDed8r7AsGdR1BrJbbKUkbTDlTbI2NdATQsqwGPda
hYoSxthdykqgjqAiqDbR1G6WhhIkV8JsdqzDZv08edRcuTe5VuMw6vHzo9NaPSMyW0m4IS4zkFEG
xw1m0tJFsWoa80mFnz40g6XjaY/xOi9DDbpr8NHGhS/806nPQLtecu+A8hPmdpqdVRj0IggDbTik
aHXI3LFyR8VaQp9TGR6VbMtNdhoTEkCGCG+HMaHkMU5tW9Si4x7sEYcsc5Xa+zWnm8BrJWuUnZhV
7rtTMpRiwGsD340wBMzR1GXhC7VMpnaRDobiqKPVBpuRZVvutABVMdDp4rrjvKBulBbMcRz1Ul2I
B3cBrO37O3Jnt8hvk3EPhCVMhS7cblW/hHlQjJ2I4MOpODvBXN1zlO1fvpdCNuH6QHAQqkKIUnV0
YBNW4FspVcIHoKQq1H34qlWOi4lGzuAPP78XQi8FQpDNFWD94LvRSEfM2tVl4bS078VS0/cphjWF
ts81j17HYj65Wwkw63gvIbGP5D4hQ7gVkkvytCiJwmEYV1u/DJj07vGCxSWbgMUve5fiB4BfgSOB
Kb6MiKTz4VWL1hwdkSGhU+/c+libxcfc2Lv8xKLvuSspQxShiMcLHEE0nvuUhsnoZ8njEcQBUWAK
8lYIgRjf8rKZn42dgMlA7+1nENhu8FD8EdLz98dGX9a/ZCMFACNKJmNTstUiiFpBBqi7z20usNry
sDyUgmkkm2k0a1bhirwEbzQRtBIwQoR7RbsQvd+enx7EoZhoAMEDvg38Te1nZm1FKuAxrIDjzrxC
PSRYPKwPGUHQclD6mCDJ3IxNGMN4T4dgp1qPqgzOLQ6VKBbd26WUQC8Lzzodhwh2AYQ3t8tSk7mN
y6LF8NhN/Sj94J0kMs1Gcx/qjwzJ5zOrwfv+0EgM8rc8YrKu7lqqzG3CtZCHyS6x4+YK5j43D8Yf
mTEe465niGwi3CpogMDtBx2lBNWYjFlpOVqAtZNwUl/1T9UG9o33GivEn+818a6JmghDcpi4Qvzn
HrY+KnxYtAtpatYfkrO6C1FXfMwfh2fhUIMStQRf+uz1LJ0kcQh9eMjAgIIIdJOoFlDZCy0hgw0I
EAeoUHUGamQ8ZwCGtlvJYeEoVvfzWhYVE1VLMgkZB1mjZZBB3q35htc/YAadxcrA0W6L7Oa1KEon
24YXu45gCVtHwdSt78+Kdrv4cRnuEOlJDJxAioFax6x0FaJtHlXCzJIcsWBSmK8YCjh1QjRHJsDj
WG41vGyzHtMg0Lirp2bxWeu2+kf/WaE0YUel8495ibEcQnJIcAJItwPffisty/tmXkYByyF8KAej
N/lNcdKLd9HuP4fUnFmt9fd+7FYgZXUrPmnkISUCn0UgpLkXNCU70vb7Q1pxYZgOQebHk8cEmQV1
u6wk0ctaHVAN11Uzd/TiMXUxwVB7Xf6EqQWCFYY4cibURboRRxmLpQyFSOFkwq+2X7TMm36FaFob
nQ4jT1JrSPdx4raV3de71P1e9F3sgfO7XigVRlVgSssnAw0Jql9FBxA2f6JVRv/4b0IohwJQzRKH
GnZzaje/kvf0Jzpbg8fvZayEAggD4bXgJpGMQorw9sgiwMgW/C8HZFTCGMzF/sh3k/kHSJLQKhwF
kwhZgzDv+tWh/DciKS1Z0nBO5THO4bwGl9+NDu9gekxnnkFVuZ3ARqTY3y+SbNStnuC9o6LtWgO3
C1grKIFyb2Qd15fgy5otoXO0/rhUR7VntJDf21o8QJBcxysdD1yS3qO2Ui+FAoMkhsPwWxYfZGsr
aGa4LR7LwQSvN9iWGNft7k5f5EEN8SZFXYUuRuh5qaa1LgzQD6v8Azphs7Sr3l448/vtu/eTlCBK
EaVeTsTAgKAys+vX3JK38R/DAVjNia2XL95OXcb74e56UQKpqDsM46geeAj0l9/nyBZ2LNd/pxFE
ACZWoJqGiOKuA5pX5bAda3E4LL/LGFzipWg7jE27c4eUCMqh8CVeJ7UiDYcofkxaO27Osmx23iEY
zCozh9fwbcLYYeWTc/+jYMoqVkodLlkIwcpJNDD7BZC7qLbeRlfiPWX3s3kHHJch8s55UmulzqtE
6JvnZDvTCBP5ctuILPlHhQnHdvdoFJtAZGgkuUk3FxryJORTUUpEbQOX7vamtREa/5IwHg8iZgBu
1T2rq+veRFECKHcZSQLX1nI0HoJpW1XbcnLq6Ci9j8/ohTny+5f4BPb+h+93cXVRyMygWwWPc5ku
PFRxIeZZgUUFkyWaCHEaVry7ppLAfqB9jJQG7mpzUZEF4oCk/WEWfvEkg+EKVmNG5leG3kH5F5bE
kEi26e6c/k8gqaLdnlM0pFPXaESgVWFEcGxpH51mLgC3LyjKM6z8mjn83+ogjPJkvNqno56UIzzZ
/GWY5vT1zrDwKxLQQIYgUUNnFJ4N1JXOymSMY6mc8DgZnlugFwSnqq0Wc3tyhmm/j6QM9JEZiEMR
GwIuRM8F4iJ4fiUepkOHiaxgFwnKDc95k2ouQExsS9aMcqY8ymg00zQas9RNB7E5ChhLZ2mGNRz5
3I9ak8NkYNYbaMXC36yPXIarB+UYCOo4Kv0ERPLgtlZyKl+0Y20HQHoLZGSv+ZmjVfuf0mORIihh
xAanJY/0Gp3NWeomzfpixK7atV+Z7zuWwt8/zG8lXJIEV+uaQzBnVjLODe2nroR+3O7joOzmHx1m
vQdW+fa9ybijPfprQRcgB7oSwLlwu41dI3e5PGIbRys6j5thiyuNedXKpkXSTbZB7bNvN41THo7L
BD3i9so2t0v38/vPWLkX2Nb/+wo0kNx+xZzxTRoO+IpsWz2PTvCzP1RAJXwvZMU83gihLl+ATGOt
oBP+8Hy2WE11K9qI30b3Pikqg1uECnBQRR3mzoBe9PymnWzQtraG2YFRmcUNxRJE/v8r9WjURG+q
cYZ6uCNnbne9x+rdW3NdN2shh3UlgpvEYUyjiei4aCVQB8EFZsCO3ocMlImY+p0wjPx94ovoPLqf
0TUE44i/u5UozZHYLL0wHZQnznsOEMYDyX+ubWMbM/R9fXFXoqhIXszjLKoniAKyUHCfAxu47c3R
gVncZMcDi4V8zSrerIzSuaKOiwSx93TgBMB4LWGx1QP3xeV29VBYrEn397cIpTc0aSCJgic07NPt
NpZtNUlhKcyHH5nbORa4RRhR06oANBUh8AVcBS+GWwHBzKPjOpTmg/QD2MIpsZA3P/enhDWt5Y5j
DEhvkN7+LYhSCJHvZH6eIQjOS7S6jxBsa978KmH6V7zTwGEXb1v3T+NoqlkjzLGN8/jxpP5jZ00+
QlfQXYx2PLCh3q7WAL38pDTYTlHFU7ax5D1nBwzVv6MpvKwULcyklIIflCk3xglZXHW8Nh8mELbp
Tud2hMfDHHe6NR/NxVIcNAGD/6FxCmAUUpDuqOauMHcN8CgaPudfHDEp8SG1iB5OoO0pHZqFXJaq
tkb+GYy+zwGwvfsAQ4aN8/e2+A5AiOoXGpDRhoM2OMAe6IEZ2iguWlqkC+gZOfNUbDuXd0pngbXh
nD+9K0XWfBCYqL4V73ojli6RhKnKjUWXL4fut/4yqlZSepzmep3VEObHyYw5TAth3Jr7DAlZK57z
pNSPmMWgnMOSLWI1d9kCasTS6SK7jLwKcbMTPEWPxi6wnvqn4iH6k7Js3f0b9YKbRcMsYKBIWlCG
vNKkvNSqckHpYnBVx29OKUBG+LOVzcD8xCQUJjvgvYW4FUmpj95LYEoZq+XAW8JetrUd5kWZrFTu
HfPORXmwkf9/YfTMgkYLU9AQQkrvFCfRel7MyFq80+PHYP4MbcEqNpKVbUpgeCSLEanc8X8Q2agQ
kyox5nrxdKNz0SgBMKiQPbl4o74u3mRWXudltuaeClPaCZiGprrFTgFJ/xvLwq8YxlvplD8Zw74d
uATS1R1S/1YNKsrIjf3G05BJmSx8gBVYjS37ic9t5T2Yqk1W4E2O8PZJhk9AcQpuC1MQwA9yaxZz
sFOUYVvjCrmAxp0mV3dCV7Fbp9oC2SXYqGnjiYbwR0TF3iyQcXQYtmNNydDjimKSgAY7PORvvyBV
pLkdomE5lK+YUZI+Ns/FWXzXBrs4jm/ivrMka4C5LPbjiYk7Jb99v/q/ZVPPHE3J9ELm+wWM6bU5
b8RNA4qeaRt8DYf2Ae5dtisQg4bW+8/KelVgonvrczYT52VzfHnRwQltWI+Z+R5aPzfPGOGFyeQA
n7WW834IwVVzODZH0VWsbvP0Mu7VR5Z1X7MI1ztHeZt+yTSxzLFzOXBm3T4/ZCxEDjn92/1B0wGg
OBiFRR64tK3LMGk1kCNFP3SydQahyKHYsTgbVnwHir9kmi40AHHOZY7iVYAai62caWMSHPSX+pV3
ItCltVbmThbviluQKphOBET4yDCnKzcfYtGUgG4zNFUg2X2rdkrED0UrNsHBrSJnectrczt8yM8w
5VlrbSpz3spvc2fygQ3uNO7M4t1YsXqQD2wA8A8YDgo++Fv5XB5KY593wWFvZJgILb5yx/RX8Ql8
/9b4ZfijXT7X526TeK0Hlpozf2RBYi/EP9ThoskR3Imk4Il9pxyK0FWCUSpagMci5qye4neQ5rnG
SdyMjuLGj62ZuelGBSp/MWPz+VG1Q/N8fFPNt6Ng5edxC8InW3QHUCsn5uKIuB0My3D/xEN2hYzj
ASgQdMf0QyLmqyzoJs44yBvOVX60m/KlctCj9IYeu2P5VGyEc8QKVldi/FuhVJwIKpYAEPQwOLSP
3X7ZQDccMg+hsFhdF2saaACQhNPXsDiAt241ICi7sQPynTvksxn40XnYSnuQLvgVb8pbfht40REs
RS/yPjwFR+7A6oWgLT9SYnhagD+AiMcbgLK70xxWDSjaQr95PumJHfvqNoWmY7EfjHNcl4TyPSly
k9EetwutgGAoqojDEpDoPoD11M3sxG72CH/BfgoPC8ywCcDuyTi3HkM2bcEuqwSmFClOaBIM2a3s
TJgajIDAKkHph+D0FOx6P30B9kfeApt3SI7Zsd9WfsybzJwW7diIaLTXGWQaB4HnUa4VPa0FaK6q
0FdMofGT39Vb8LM6YZaNhf6a3SK5oH7iDtLL7HJbVkfIhTfo+nLTwunLPdb9rFcQXju9kzsYM3vK
31EHtVI/PigRRoC8z/vB4Z+O3HngTGbTGu2bIB8oAzT0SEhc4llEnblUjGCe7eXQb7+G3WIx+i7v
oPDk5yVkxQk2DVM86Pp/BNwBwjbMhkm2+qZy9d1i57vWVzyfc9RPoGExIXBn2ItfPSQY2BAgdPQ8
vIHwIMt8A6mI79XsLpLD95DJfcBGorcRbQnUcps80uqwnGI/wsA4C3xbbx16RdDMEZmxjHZg5DEr
Rz5NDiK5r3nP2xirXe6D1mLo+0Wpbs4dz3nko1FvBFkttp1SOkER6yrN6snPzRLRSGuB7AaENyJ6
8lVr+YF//evj/HO2U3zkYr41qMlEaP6YHBDm44Gqmn84azDfFhTBkKL0etOwR9h3y+ZhBPehXSEq
BReRybS7l9lX9JcjAuWBOcPge/T83N7UvuPGzIii2Z+tX/5+sD3rR2Mvv3sn9BCbixamrL/F5i+Q
uZs/ZMc8uYW9UbcK0P+n5xPmNJrm9tfz9vdgRvbbgFrk08ODZNq7w2D9/MrN3ejKpmqec6uDA8ss
j2RUjsIGf9vYX4P1/tU7qamARWG0vtQTEKKuhH/8JH1iu9Fq3CfdnCzdTLeZeUQoqJzwHNkcpM3b
aP8szJdDZjq99b1WXZpHv9kS+n3LDeXYy1o4+3v/l89bYFN+Lc2t//lru3n0bf+0bRz89+Dsdu+b
w59m88NjuOALmcx3X0BFSXk8Jfko4AvUX53dHFRr++vk/nHds2Oj4FuZT85gblRzYzqeczxYr97B
Mc2zuTM377bOTGfcGXMo95WK0FAZdZblUFvwNSlI+35ooHH6fsMvLc/fLZeKqIshCDCWCALc1wKq
5f84lSiY7lPTN6BnzygiWRbW/cN1Hztc6cPGOe82h6c3sG3sXx6gB5+sGP+CFKU+Cf0D6HYiY50I
8d3ttdA4LRkVbsn8H5w52Ha3DfdgMDpmp8kudFPxQM9u1bawaTx9i0/qNnpoBrgkdoN0QO1+JX73
UkyMJMida0NHz6Vxn8fsVxDlUbFDrRkoyBtJ66spmuqfDQBqwbKmmyqLvfKu1wDtqAAKKJg4D8gz
gmVq+bVaaNVkVJ2PJ+kMKxA6qaXbgZ37+RZO1Qpdli1fE4kyMqwopAoaBvXd7rhSLZGocWXv5+/I
mFUdsiuKg6Bs/lT80Q1M3jMSMxLcyGDsKq3eyNOj/wDxEXB5AF9cQtOrl5CAiX0dN4jJaYBP65ym
N3vVazKv6xl6zhJEHZ8SpdmEpm+g8mSr7U8SoG2z04iu2jDSC3cxLmqjSPzipQNcD7ob6UmR+RwJ
TTEMy7n5bYBr4efyKTzxOwPTL4Cl24rbITT50TTeQXH33D+Dss/9/kbfMdVcPgBtsWQ/FdI1eHuY
MrdEs6xPy3nchY8y0lhwx9xRwWtm2VSvx/icI/oytq2X+LnCOM/LgV3fXSTpUFkE3AHAJjSM0x05
VW9MOZ9ywrmE06p346YcneSEiV9J7WbMthwSyt5JQyFfBXYHvRB0KkeahUiqlkA4C409qm5ia7/w
gshc/jC8TCxpdExPRoyiOxKAB3DQYHQtZSkxKLuJlsIIHyqQNoTwucC693aOxsXKlpnBAf0SBGoR
CTp0NqEgckHc3J6iYsQBr6d98lC+Rj/L2tTP9Z/6ZXL6bbbTve4lIEzvDM25206kxVD+Q2M6ptgj
qKMiKX7GgdaSuvi91TsjSGSRTN4KIBM65YxbcreXkEQ6t8nwdLQda9Re5kqZa/EQ8r5kTva05Y6x
pbu8x+pioUNyAFRuxFAx6mxoIGzmOCxoN9mpl4KFkRF93tXj/hJhkK46DBdDcuP2nIxYy3lOjnm/
2+KOI2Ggm639OzxbO5BQHz6/P6H19fxPGB0dRYYUJ+WCbUu9yDYs8cCaXHBnJi8b9rcAyvdkQTJJ
M385l9EBI+tBtFlEG3cVe2rHaGdT88bSjmPE+9pTV5p5bZGBII/TAdv3FpwwJh4rG+34HO2j4/jb
eAjQ4IRBjq4Gdt/vt5P26fSXUE6hU0KxzseE91sQehOxxi62mTkdsmc3RoraU8oej5mitznR9c4e
kXNVXN2Wf5sigE2s9azfqr9Pj7pVZRjk/ZBgPbMV7hMQlGsPoschg/v9tt0beWpF1LXislYumgIn
CNyzvdgR0vjitngfNix1vAAvv9s7yiKhX3uslAGSggfjwqqfeoIZPqQv1d44ilvJql3xLeDxZGPB
nlg3gXqbhVUbxbEIySKGElZ7CTgW5j6y9I+yHQv4eep8wnktruHmkyd9BOfUKsDnRrrSGks9Gme5
tYzeDpnru+tZuCg/eb4j3U0iFipNVBfgOFOijKglBibvMlvc1ra20UGkyTxGEj/eHeOVLMqsiGIw
t4We8mhn6p3ZST3NC+zCizzJKW0WwfS954TRvxJGPuYqpizAarC0CRa2ffQeGJrPWghlMRo5bWsp
xG8PcCexk0PvR3ty0K0Y2sxWjzV3jHhDQ7oUGXPwMdwuxJCGnOOKmvcxVAj1OVAS7dNz5QcWs3+F
JYkyUTI3IGiUIIl4ydYMbPQp7gpUdlm3at10XK2JMlFCkkt8TdY0OsO2NdGe5fegmGg25b+JMK4E
UTaqCngxC+eK2KjJli3iLrVd99+3jrZQRT+XuoIFDfawnbaJjfa9LwsjqR8Zqsc6I8ogGdNgCKCs
hja4pVkj0WUckXSzZI/VwbfqRa52jrJKfaZmRZBiRT28YoaHJ2JAq3vgGQtaNX5/i6ExYEHF9Zh7
ifVMNnG+4hZPIYtleVasuIB3kK4Cfq2pSJ/eXqFKHzBr3bgodmQlEDIf8rd/fjA3MqiDWRJZCXv9
otKtmdjISJhkRi7LW6zs140Y6lgqI1UwuaMhx9ICwcnD+Y0e0xKQm05Z6mspdIdUyGdzvMQt79ek
bd7qULsQULkovNiaReQBSJ80Y/+IGftOJOUc+rQBp06PhUkn9YHYVc4qvCwze5u3d18su7Dm98CG
beB1gxIvkvXUPgpBFybloBG/h852ANwm3CLtPbYzZjx2nwsAwPFKFl2KGY0k1aruIis/DoMVPgIZ
a7d4O6IV6iA+BSfBKj8x9mDH74NHprFdPcy/l0pnkvK8bQwpvIgnZj2zW/+v21y7g99YEd55jLNc
iXVJeU0hwGqC4abuAip+QpYMOjY3NmWETagAIIEoofkss1hvyLu2JEQw5LWKBnE8zUGiSflHIarj
NFYTAb5EtDIbs/0+xMocf5L5UZWlo4CIfuMPnmcs8q7QRMulvOUyKVwhjZBL2kcMA+17MTK/y2E8
wqkdxFcyRnQz9hiBFpy6d9Lm1jKKQfc5HrJ00r9NevERGlBKPAgiZqnMGF7Q75RTFdnRc/wYPxIT
pzkteIDn0oxRFngsjqTcwbISq3p9JZ623VybhVGXpoIfAWLT2X5zkHfdIfZcVzhuJit6Fyzha8G5
M9G8ayqN2hoK+Cg5SfjrrUEXlLEU+bnFmT9gupTX+hEcbuCROyyaIqo1LJW+q7tdTvtKIrXVvDrM
oRR3mBMRWSqM72hpT+OGxBOF12JMAF51yJYIprSfMGCSvCIDD9SOqhn8Dn4j8VW77MfJXSsF9VE0
5X7CxVHHLdgGw1NO+gOyXw/9bnFF9JFEdsaDN6H9PdvDpkJ5a8BrumbS49/ljOlPoMz2GMRJX8r4
hMnO7AhhQukHZ3G7WKA68TlcCO6Z5c3v8IW0TCq0x1upVbm5h9o7IOhJPenyym3t2VYAg3pigSXW
olUytOn/tI22MFojKaOkN4L/S9pHCIoJLKmyUEz1GHZz5V1xI4gyKd2C6YoZj4VJuE7lsbU4FO0w
wDwzgRRiRkVrSasbcVQU3vS5ESxkXSNK5RPOLkEtecDy8nMAe4EWxO1/XCAVjuORo2FWGzk5XBby
BkQDu6U9Ft5sY/gzK4RlKgoV9xnaFMhcAOUE7YWdHw33r9MbAa/hdixGmbs6Lq2WlFGaOmnmeg0m
oocjGraJbhruYnc2Z4YOKPq8AEaAe1AQ31aWBuUJ7QyJJuYeE0tEB1LX2kpZKj0U47BRcar9rrsk
ZQIUyoYTMVayzfmC1Z6JHTBsjplJu6vZUVtAx40qUAlGTm6m/hDs6iNMoSOZ6jF864ACqrDrJ+TY
Tqi6eIYFnO6wy15V1LqtzqkHU9v1doa2lNCq/mUC7lrb6c6JvB51QxmgDKXz2oJWKrDPG+WBzEBk
KPla9ENAhQLYkTCzi25wqzA+IgEET/BVoHa1i8UYdgOaChKPmUVlyaI0vOH6UW3jgQQhgy08TS7B
Pg02sf+FF547UwMehLjFBBdaY6aPiErf69rfS6VUXlvKPo5DiO93BloukLWF00v+KUH+X1r1txRK
oxNVCuKiwIaOFsJmqzjFD8QsguXg9K+eIVeHR7tU2HphKsBIgWwLSWoOz4E9EO+J4xNN+d+9tDAb
Cly64JwDnzHlPzMpQ3ZnFv66rQlgBAvAIaGDw9sOuA+6y2LrXo3aEDKCLg/cWpBJnVk+aqBzHTkB
HUTz12SLr1K3fSaF9PrAzU5cmV7ll27kl3jlcRuFFbOuaSx8KXp0UCFExpFKOPZzYBh5FYm+gZuh
Q0MJwUIMZ4MonZH8WXXc17Koza17nc86FbSZ8wbPZd+wJnQvoJOX/Qgh94y+CNeSqJBEjPOplROs
CnQ9bvs+PGvoTwgw17L7at6LY+1iFglWODOyJ6vh17Vc6vEDO5PU/YAVNnbwUB4HxKTKHhOJvzRQ
BUh/eLNDq8C/sG8gHCNoXBVcobSRD4JASBulF+Hn0JlxKnchOkOkzTKZ/J71eF0zMNeyqBMU1LKL
66WDtnikEhn/abfDhlUfXPOY10KowxsUwKPSGgsid56YToT1GwUB3vcbxxJDnZXStGMQlpd9S5H4
HnajLZqBozrfi1lNbVwvh4oim7kStbwYRFRVh1P7IO1Dp0SaaNjIbzGDMZO1JCqC7MRR1JZsJKIQ
/2O2IcbLTdB21gkx10QFjjF8nK6gcwM+lcT7oUPM8oTBP4Jf/5tM3vX+UT41zbm6FEIsqrEnezzG
ToTcfuQhePuPCkFZ4rJYWsCasCgQox1IQojYfSyKZQbJKdwZp6sLS/nPErQU4PnAgvod8WmpJ7/P
R/JI7VCk7vFsWsqN8cnQwpVENdpf/mclaKJTaQiEro0glNQ7eSRmcmvZzXYDYM/3ktbibvSdYjgY
OAlABKdT56XlSx9l8iyiRjceUw+dBAfJ/t2hBI8OxcB8f8FFc+qnp9B+eGBt7Yp9upFNHWHLYRYm
ryyiv/9RnUUn3YPPAQ2maL1E7xR4gxInd7MNa2+JpaAO9EYqdaCdVkuVOGHFwO9YYop3RoBzbA/5
eTqqCDKl5++3eC3Hdi2QzvS0nT6ICvB/vmb6gh3uK/e0PTvVsT2/eJ+MPV2xKTeyKJOfLDpmqiZY
XO/IyGTFSJEmJvDhjMu3FgfdyKGsvjFNcSc3WNOP2qx+8haHmvyy3f4hffk/f4puaV+oRwK0/zJ2
cyUEwtQBMIMBBoM2P5oPNkZHjADsF7mPE15oaGT0q313JPVrZtuBvKIq17IoC620qVQIFZFlXfKj
AAMk6CLqMG1u2KBaaRsc+wVErDGtnyCWAPwWsFjQr1Oers/7NBcSWfTlzYDnL+puyEhtH1O880QX
CTqbh99jbOraTbyWSTbiqt6rpHIhwwyIvnAKHvLHHn2svCPZz4N5QR2/ZiDX7o6SM3oMwWv6ei2Y
Mj8BRogCiiuI6FMOdun+I3VCh/eJvRtMjICzRzvypmM0onWAqUmsRVPmZxB7HgPRJPECdkiPANJg
pAh3BM8WJopOZKSg6koYjIfrwzIJLNGUDZKFSiw6jVi+D/9DsglQarM5I9E8bZ4A2WcZ+bU7c7XL
l9t8dbyg+CrlqsAuz5a6ATlbbZ5+ZfYWUGcYWxWWviHvs/1ofv7XTb4UAq5ER52kDQKmjQHOMqPo
xpnL9vS8OZNX9XtpK0gGPrCeoQyduiR+r0TKjahNqIURCwEGbDMBILBH9pYVkd5BEPGyFsEiSRpV
CX2qTtlareHiuiwUoj9ZaSZAWJ/cU2z+ASdB46gCAXh+Ma4LMat3tuFKJGV2pU6QkjjEbqLwhlp5
uauRNuh2zaPqVRazQrJm/q4XSFmiSZi7PqqxwChChtP1n8PL1RB/8L+VHWezoG2rjvJaHmVujQHM
j2Xw/3VFtsC77ZQWdpPoZwby1q8ejLvf7+jqRUSjrSFgShmaqCn7w+FBXXecKvrFjxBjzAe7ekOH
Yy05KotnclUrryRR1ibty9GQakiSBDMHZEbBCzeGMf/df8YsIqZVF3IlizIvvNo0jVjooh8Ddnx4
HCuAmf7TvtEBatuGi6zGWE3VW5Nozqkpf+oGmQNfsUwIY+NoPKcSh5miRRp5vcS52foYwlXNphRa
syeyDuniXO8uGGgvAFwGuh2M3beOUG3Hwsj1RPLbGtVItTbz0Kpjk3d1/EGi8DS+sVRwLdGOuQwG
z2tApYH8hrpmCj9mlZBGkj/OTu6NsMcy3G77uwZHoog3mvGTJXJ1S2UDE0sIbSGAdrerbJO6kfsk
lXyjtvXM5GW7UMz4c35OXibWNIK11yeY9YGLAIoMnK40u1QZtzrosirJ77/Cx9wbPO4oHafX9Dl1
ZY0RHa4u7H+y0P59u7Bx6BdlNApsJdCTpSk8q5IZPoefpf1PaVUvxv9KEmX8uRDU+9oISbpuKSAf
+z19VbWZie7392wtR3W1e2jQv11RKjeqmBI5nMn78S/EnyruWI6KZHqeveal/dC2IwjlX76Xy9pI
KiCMQC5UBRnElo0ZNGjPdzVUwc/JY7Pjzv9NFHXl+NgA8DCBfnBP6WOKfFhQmOUzuItL578JIlbz
Ki4IOJCBhl15WZP+KrwFnBnHJvcghJbASr2tlLzJyEjS5Es4JkGUdCtMQgNQB/ZO4ISdeTNbuWOi
UmcnbrgJHcHmnNbWbRQnzWaTI6QH3nOjuiC6dF+ET53BYbRi1MDUCAODIdBAuIJx5/ZbZG0I1azV
siO/UX73mwX8BIkzFZ7kL46hWD2GYFXOzLqLK/ERbBnBJZF5k7Co1H5rbVqNeqRWx/h9cYvzB2eN
ZxnwSEfHisU94ursRbNZp7yS0bgVSznabgo7GdTK1ZHzeEsCZih9EbfxZtobTppZXYKIaUHuKwJ6
nEBSQSiN9hbdKd/klmGNVlpMbj+FsrPLXIUzX2EHku2CWQyYzQbfj56HweJ/GH59SLwvr7C4s46p
0t/r+kr2HlgKsKkB+4JK2l13yyLxOTrd4voIsnbUMEHjB7hpeBIZ5aU1Pb+WQyc3QlXCnLMEcgY3
e+6eF+QDBDM5cU5tDyD/4RwovB+hXz8AN8f7bIZPkaN7uVts+o/wydiyoFuX6P7Wg4OtC+oOMLMO
eDVNpmVgIrTQ1B1m2m4xqQF01KnHO7Kj7CcT9CqqtzjZY2W9jOjTfsmY9Awr9vpWPBVQysqYN30D
8eKueOZ+xOi151AmtTdoMz2gMTwxy5+MnM9KKwJkigTRrpE+JomyoEqo1HqXTvXR8MRd8nuuzeCn
ajdOC/asYK9+hHb+wVAvsoy7Xb4SSd1ttM3IcdnO9THaKr+lH1juK7gZPop9vJ1j09glj6T4hi4P
1sv5PjNKyNgIuT5IAkGQQK+1aCM9RQBzBEca8OnuOcOrecfCz67aLlwcokAYxIyBAbcmM8OsXE6a
MRkZFfgNOsddzkFLUIRJIwcJ5eB+L30SftGvhIWQWzPWKA39T/LlYl95qSYvZkyph2QFWN0Gb3Tl
MdvLp8V6N+x+rzH28+4cFQnkSbgo/4+069qRHVeSXyRA3rxSUqlcl2/7IrSV915fv8Haxd0uqreE
g8WZGcxggEqRopJpIiMgNoJmFM8cVyGQo1DuhnI3PMnQBTbLQyHbjTETxUytoGUJlDAgBAp6XhoT
TeQpr1Zhk4MxfYFxJSklHnI79IT9GTuTbA6u6Lcd5nCArkSp5Bp29AGen7f10AkTpx2JPjei+ocl
XO2Yu6UcR1MeoKrwvBHwwnaXWgtasQ6JPHNrTyIw8AH+tsBc2o1aGKGvwAIi2UUBCo5gpS+Oc3HK
FIgJD8lDP5IeAOjpstF5CxQmnyftgA85FYn0Ep3CS/ME3s9DZSbg8YmJdwgOOtp6I7RFRPI123H7
YyuRGEBZB1reyIPYgm5XpypfV+W4G6Ab0IPNJj9TyE8PyF1qD5uBBAcUUkJnPN/3YfQw3LgwrPy3
XeawBEnQpDxXjLsX6zBTcJvmPMxvM+5RFkPMSZf4bYPIzke7qVFRVMxjBH7H+4uYUIiAeP5mFcwH
PJQaB+ksWBrMj8QJgSDUV/IqXY5O9VJZ79VyAAuSusN1C4YR9LntbHn/Caa3D2ZrruJsGA+grHiM
q+TktOjUJFR2feto6267A50heXzfnb+s+5Y0umu3bwysAQqdjFaQnKP2duuUtVxStaiT5F19iXpi
Axd9MsztySOLN4MsPp2AoIy8wn9qO84ybXu7fra/yfv2/fHcbEBU8uWT9fJsO9vX5fK4XL5cfo5n
UGNYG8vbvWwwqrM5DnPvZ3q6b5+ZOWWey+d53WvybvOSgSgLmQCGAkYrI6ITgxaxIOh72T3RgWY/
eESs19UWx0SzlNl691X1iN0+yDxiAFkQwJrI1jYGw0tBGBGru8VqxZkrMCZ+q5ZMPjVbM79d6/sQ
gBICxGmgKSDnpbaKX55AEUeG09dcdnkNwu49CnNqK9Xzh1TDoyRkWCfk5cUgH/sPzOOQcvvysbis
dOs7MUFJASjw4bN7ScGmkBP4WaBHF++UeiZaHDeZ3Wyemlmhj+tIAfN0+KyozIcswSWxVYQmd/1G
SHh11y8Sgq6dRp5C5wkAYZtODaE8aO498q3ZzulweD3o1okMi5RsAZ+2zA6V9OXPPNPNNUmbPBTY
cKkuMmiMNGbLaokvmwA0QrtqPayBwWswRVLj+RQw/DYgCihfNqBOWb9IoCvCUbt8Z2jK4eGhnEOQ
A2Tm6XsF1sFopSIDC0wZtX/NdH1AwWTQ3kSr8Al6ZuS5NasF4Qk6hsdZXzUNA8BnAJoKgcoGUsnW
2+/Xi3WlLIJE273Q8nWJ4/8UoCwfY6IMSTD6XDHQjUDFgG5JB0b8RQQkHOwSy0Sx73sSmZbU2M2E
rCSI/pEgIaBkNrPsmrziQknbNWa76PFHgXccQGiH7xJJA5D/p3TVW5BJxQvf4233JAL/VmtThqOY
HDzn27PJNjArkfhAY66Px8Y0ZmTMJOrPJk8JGjsqs45aJFv78cc4j4fE0BACaCReRWByERa0iwJ+
GW8pWLTZ0JLPmGyzVY6OPcXZdYj5FdMneJ6ZPZvel2DolcAcCe57ZFfsnoFVC4IqKZ6mxL5k5AU1
KEvD8UuIRPDCUOQwkG2pJp7q5G49+/tTJ5+flD6pwMaBi5r/pCdsAMPxMbJS0PxgqGKuZTtN/6B+
CP0wHpKOkNHDfXR7xgC7yl3Vy3R8uyATBjGqb/ZLDtJAPTno5DnFE9BxDnDn7ZCMWnMDNRMuIEya
gtuGl8HJgnlTjNDe2le5FnrFVajvcqrYtwpXPOhnKpAheuCO4+DSLgY2zxexeRkZ0d/98KDnom4P
kGulgIvHd5ckq+0jenGxCXpwfIuowIFX6vHr/vsU//oaKT8nUg1e18GTcfukXdmluJ1UZUebrzqa
6dAZWuYHaYHyFHmTMWavon+GIiq5UMrgllwqc9QsvrbTuXHjP+IlStcDiU9ogaNGxRK+dFJo1Amf
abv4peatj9EjkovUFZDOk/cUv91f+RRojW9epzyaKEmD15v1Q1SgLWlqV9s9vCjEGuFERQfkXBp5
eXv4CK2PDKf6Bf/0CNylSb8sGX8cNTbbx5lHoS7v9hPHmjGGhPE8jF9NWINUJa/LIK2MHYa9Thff
FOCoPzVTRXWQMymHJsrltkfeRoL/xFtwypM1bCi7Wor+hxnpMxnUNMTC8wCYiIk7kQonMsc3KH1F
CEvO2A29rUC9IHF8fx7wOUniQaD8ywoLY5XHQY7GHFZG13ShKSg7nmRGj58ayD+aw6DNLOqPIBn2
dA2wcpilmc7tUVe0kI+FIXF3EeHOPPyUfwF2F5/lBfl1jXergY0MblRb71rErfff8TSRM9D7AKEP
Bu3wkg3mO3Ox0iwqSxceARNeOfaUjIPpCphoU5qZYJz+FnucIGiLv8CFB4Ydxhbk+VJIuYfuLvah
ymvNUU9PC5pwaHCtQFujqo0PiPl9Ue+KSuUFbhduaVG3xxg1R4RlhSaZiVlqR18FNpfYYrdIzWI5
51ynxTWYxzaiZEGFZ1G4uH2PSeCKXpnnxq61CtB9V/BNAdHs3H59zBER8su5S2/akgacHY0c3Hhg
2QLgiAkU0JirvEaK/X3yI4MtktvHK32d2NFDfwJZpHv2EKmiHzPb9plc/ajF0KIeCho01WFL9ukw
FHU8wG5mg8Z22R2hsrvyq53kqHOCTsYkGKK2NBGiUTioyA+YNXqcokO4pPX3m5c3kHbb+71AQI34
tQBObQHnCFQDOdknJFbkdAqtxTdwABmiJN+6fNuHyxvofb9rIAO2uFHXO/N1Zx9Gc+fbXz/HJ2N1
3AzmUkOIukaA/Lo8H7+QWhzN89G019b9L21yozELYZxXnOUoCtOFeDv5AGG5JTg05+pzkyjoasOA
VDSIaUH6wX4BRaq2EVf6e34tWOn7TCl34n7x8aAKg8ONqX4UypjoRc0gaSi4Oo7biRwoOOb+Bl01
zG/8A/19JBG8DGFcdLnpUfhVXOxQQY4F1/D34yeuFnLRrcvHHnwpESBmYAqkcW5L6vXz9tXuTftL
N9fkfSn1zv3HmHa8ATiV4Q0BcEOFFfRVt48RjZrG1UYT77uBFAMiSBkyWDuQaYfABFXP4uzcxoQE
ByThIlwHVg0cFJQ8mBtAEEqubXQv2QNBoFu1C1CyZNa42+kw2/nr6yfZd7NU1Ox5RD0EapES7bGD
wFi5lnp/7bYwDo3qaW79AAZjF6xFEMMmibq6v5n0wP1+pSg/SiA6A1scxFIQStAj9dtI47VtNIYe
mCzIvyKpMDWEews4iCvLOvLh298ecjnSvFzzdvlWHO2HHqDnxFEedXztwswdPfHtBlo2kLyGqhyK
++iXMr6dK4M60Vo9QiHLWGRrKEesim9MJ1PyYYTNkL8U/HUx26RkAzBqFihLfMooLOFYMtUrLRaz
IVGimIYGhLdTa3/6zEFMjg7VTAI1KbVeTUFDRgV5O2yyCZTvymOjqFm8S1cFHXO3OAGJE8ZHT+ne
34uv3kN3qO0ReIyARKh2pL1ZJDMeQGBDL/oQCO4wjotziW4w8yFUfBkMoZoA0Anws4SuaPKSiCTB
eOUXZlC8WSZONvqBPXTjrmq+IKoD0Or2CCVZ7OtqUWS7ILGeDbulGStKXbvHZ3tAbeKpQRNWnVsk
e3vCKII85BIajbmmiJqc86UE/Cu7NF6kLeQZDPBGWlm1hK5CYglgApzbV9ZxQ4YEOR9dH6iRcJUy
jrsyWpDxFTwEYSG77B3r8FgGZtnNdFsneRI1g6wWiRJSSwlsLLe7KWAqDEwfQr4rt1H004BIH9LS
0WcF2WDQBTzOZCdXB3XrW5AegSZAReisQ+uIMRcpsZu5vlbsopKoGqaOMxJ/KgFJfbLKOuI2JKis
cU4rZ+I2MfiJKwr9WxHc2MikbxcpBjFEMxNYTQYVBQ8QRHVYnmTNRAvsTY69FEDUKuMSpxTzLP9D
0GouZtPDcmcMT0q8DD7duXbUXxbgWqDRjXdF5RJuF6JyiQuthrbc6U4LIfC91n78q++nZQ6I5kED
XIfWJ2MAwLi8qySh3I21k+WOJL3e//0/TjW6UBBLx3HDOWDZsypNC6WsiJtdQEbQ9Aa7OHufeQuM
CaiDoFiDtg/gdtD6RtRzu0e91PSBNpbjQycuBnA/+Q9t+TZ3j7HfzdUKqgqCQVmHRehq31qJ5abs
K20cH1LRkp7di2wlqHSLlk7McE4VmDm+sIX0C6UyFfUnfD3sRRZA1izx40F9CAO7Qxq/24nDc5bb
//RqqBW8ewUEx+A2xZXJ7Jsmy2nSoNz6IBggcei1B22t+zMFSOb8/rcNBKOUKASmrmHcr9CiyFsl
6WtZffCBgDR4s1da4o0zIS8Tv/yPEfR0AFNBKYTVu84FlfO9RFEfVHjmcTl747EHTMDp4iG5hZtA
0Gjf4/bVS4qnRjFoYB4k/92PHznfVALfvP8ymEsOSnhITKEWgTvnCktgLjnQcUZGgWGmXVAuVGFd
AeMVdOswdVI742cuN/Z4Cehw446BLVSuaJJ/u56qzHglxO2wa96LCMAt4m56mcyl2pMVMVaYXQvk
JAHOHFb4I2+2h+axDSFWZnwXwszWsWeMXQ49Hr/OmNCLtZyMMCRlRLb8p/j7/qthAUrodckUeopc
GvuFN8XczEbvu1HORwNqBoOdv+oF6YE/Q/4qk0YmkQqaEJDRv6JF+Fw63Dp+AxVm7QQLH5pe3/13
fszXtFZ9/6muBK2/blb6VCBdQtcbTlVWFZbAVeGSJuDFDs3nl4eALB7QzCJvqJwj706uPSZQwgw0
x0ZhxbNXEfjL8S/EX3x8UN46gRaU7cPpeXvJXqAv0Nq0dOyjuC4CUZgtcijQoCJCAgzJHqFgwWE2
6myTk7Pdrn+OGwBXvn7ur+gKMrq3IubElIbea+CkHdGsyFAy2GzahQiOkhAzwcYCqO1NvQz3hu1u
Vct4q7a1oyhmsK+P5rIDfgdt/qVEZlwLm/XRXcZ8twivgusd8QRzuNxa5yNXyXiIEWdoj6ObYwCK
FaCD8/yILiJPdvJpZhsm7oYxSc/7r/OcBHI7dgZMytKralLOSUpDk5gX9EsK8hbg1YFc6kVyktXO
/NF30soHCFG1GzrYtRBikOETERzLi9eunjl0bOwPtBTSXwgjAc+E/iHYvm+frRhBONSMEb41jFY9
uT/lvke6bfmiU+jQFb6/E5ONgDEJJxvpPe2D8PT//9oItfNCANADd6eJVmRYKBEm/kafQ7L/uSag
AXCtozKJVh7zikuEFV2swcyIvuxxXNYQMEjAn4RmWWx65/trYrEOdAfh6SkwBym3BlTr7aLqMJYj
zMtyO/exPAgXWVjowM9+o18xDIu1elJaWwBSRZnZS7YMieiWCu2BEQ4CChAcZDeT17tOq3Ix2ytn
jTI25VZNK279j2T2+MpXGSQcFsJcxkrrZTefNKyi/IkMTsPYqMROXgicr6iguM33IlRGn8LaFDRS
FmYKWcW5szm5b6grBA0baOgQlE8I92NEgKEba/k++slX+SGCDqpVgOfo4s8ytFNHxKwKITnCM1ye
INhjc6go89rai7CqCtI10HAqzBzdwW1A1C/3kg4k01chugFzYOA/NhMdLrRV8A5Bgc9uJgYs+Rjl
t3yvAAB+ieWVBDbBaBmCXaNZ3D+mkzsVOG/UMpANIu5Bnsh8Ex6XQTRR0CroMob6Y9xt87ma8SQI
wYwtfCoo7uFI0BVmPUnv9qMfCvW++PGOlbzT/MVjC77J++uYuBBqBYEV9ozelWz+1GVVb3CJXO9l
R7K0U7MNH+8bmJ66WwNMwRixnAEOEBgQ0b1W0XxToc4DydCZ98Hm0fh8UYxAKgCILnR1IYzIuI2B
VzvZE5u9v0ItbdV+8uvy4jn1OgLFifvSOveXNXWKjD3mEuITlwMlttDsISW88tbiRV7ltmQrq7qb
eUV/Lg3AUWhHoK4FbAeztGbU4s6v5GafLyT0C61aJznYdbNFA3xsbAWYcADY47Va3l/iVbf29isG
nFSFTzJwzUDUi7GbNMUQRBy2VFoGbxWG0L8+fHSDbOg0y5jagvvftMsYThKzMS+iR6pl/p19oKSm
4jaGLKtOoGUffgdzjuzvDdGQEEAe+wp1uX3XwjgaWiZhQ0KM1IJdgPQ+oC6fYr9oWtS3o5U4E3L8
8ZVAJOV/DdL//+uiDaRGSAMVBod1vALqweykmetnagFVYNTSIFCtGxT0emtBiFLF15Rx3Mf1GmWG
JH8QIK3pWvdf6SRJh6IsnUVDiqZpKDyr7EKyNmlyreT3KWg3TQMTMg20dEUrXdcP6dsc49w1e709
QWh28ajDgvQChfor2vDXvhl6LWqQKuX24hH1ee5FqcnKrU3vkq7B7PrALe4vj21CU4U3GRTx8PwQ
tEHwxexiVdd+XFVCcOiATW6Xhh2DMEewJLT6Y9BWcQjxOXPR4Wy+ip/JoRFMJTW7ubthmg8BgYWi
BJ2RUJC080yuOgxBr6VZlh1amI0ey7PyER0hHoRhDSpNmzmqmWyzBb9JQL06bDG7YsfOeOBP4mlw
6oWymivOTG4rCvvFTQIx02uxid7Xv99DVQC/mo1AnoCQBi/ibf6bZP087kGaKoMqDIV3KDoyzqIY
E3SNwZ9/GORFuA8exVf1Ejy0a3eb/kBXcQ2oHFBwUAZbxd46nG130dvw90lDoxBTBCDIo1kfRG8Y
86hQaJyShNJBXatmCh7FQwlK22BRzDjFyZGmhihpDETGMZ8IXM/tVkpGB+Y8KZUOEnKNxC7QogwX
n9La3UCf83z/PNOHvlkUPcOo3qGuCaUAtLpubelFyHWcofvHvT2zjLlfFm9/mecMyG+iCXoEtMCc
SwnZ04ZqFvqA8GVgJAXOhW0E1r5u+KGRZMfc8ipAcUWVZKXJR0in+RUg0znJGuJj4pE0Mxv2l2Vc
V6jVQQSetupul9XqYx6PXJIf+wXA7XPMcJMzhnVBDfk6OYJQgyWmE2KvyqJezI/CS7SJAVnSwQ0X
Yhn33zob+CESuxYdUUnBEcPft4sAcqrLBSkpjqq6Gct1Lziy4YSaKc2NDU93C58LxbkiYaUZD2PI
l5smV4SmPJYvkiUfmsv9dUzPGH6e8sigMUylmhgvWDSeLgxNj5+3ZDKzR389Op3EUlB2BEkgywvh
u6qe9V5THYOYjOiWtLFP/HHmhU+M4DJGIi/KtPCP3i8TuhqFXkV+6+ZHCNBHX+V4QVzzj1uEejyG
WxBaoA0D58z45SzllLYO1OLYixZGZYvCuv/79AlvHAh+n97ymD5CIjZRypLczhji0SuP3HPyGL0Z
aAUmljIboE58P8xgoApIP4o9BnqDObEjn4lcqpZHEdI6MWdBdVFeDJi1bYEuzwCqKwlE8xzprM+L
1E9OGW1pgMaH6iSDXOsap/+62nKvwikM/OqoCFb2Vjxmj8NjuHeBA9WArxheRNTl2tX9bWWDNbws
JJi0GIKkScXI7+165SAWZTeu+mP/GaDfivpTYwlzY0N/GEFFTYU3o/OlyGlujSgYsc8ge6kc+8ZJ
m01bQXG604/3VzI94mg6/TLCHEAUdJMgKmFETRyxXwb+qY1mhqz+WAfKUyBdoF6NppjMOupAr3yv
UI+luB20rZZsOhCfSTOvZHrSQeSENyFQ6D5G++hCfx2DdIg8MH1nWIi8UNx3CSVBvll2zTqsZ4LM
iXvGZwoPDXeAco0BbvdbS0YlSFqkJupRINEDqlJId+Zob6ZnGhogyL0QZ4D+ZqKhLAfpoOaBqx67
yHbizr7/zqcv5PbXmbtfcRVOUGP8ukdLak5kxqMTP/67DfSCEBQif0R5mHGdwdB7mlAU2rH0baU1
B6CehYegmTla09OLX9eQ6yPqp8BT5qUPqptF1dDjaKmOj1jvPPt9/PGyEVbiplEB3gPkgO7lr2OV
V00rN3ViHB+8euHyy7Y0dc6KY+uftwtoEZosoO+EwIn51uM+b92x1rVjl9kev2kS02jtmHP+f1aY
6GgU+C4EbkY7CqCHH085yCNdM89mvo/pZYBRNSA5AQ2hiAb2aq6SUkm6rjaOZWOKMSlXMOVW9oj6
wdtsi/YvY4CYU0I6hP1IAG7fT1xmqtG2gnFsAxJopl/Yu3AN7FR39ub6SZPcGYNbVHf2P7bos/w6
C0Okl95Q8sZRAD/vevwQamKcghUELGwusvU5Jd8/DjdqY0jXUY5GodFg3lYu12Az4kv3WIJbABVw
dK20y/0D8cfpRlsMXw6gE8BQsMAhN/S9rM0499j1tlHZLrxN5b17cw2EP1aCqABJ+TWWwpu63Tg3
1QGzzTX3WI8gFYqIz3mzJFPTpQDXBvyEivFnrGgCqge7MfouqXvUUqKg32IpjuH0/T9/pxqyesRS
cDvI/66FqV9HQEk11UOCwB07kACUz27j6JWpzCWz07sMVlDJBNiQYjZYCHbD1aVQepF38ppTEDuO
1j2GmTWcM3UmwJ30PKAPizExoBsBaKJck4wDVRPfQwBVe6enAHNDYHIgamclx2YTaMSPULTHF2WW
rrk1k2LG9h8vjCbQMmV1Qwxy/dp+bWUhxrrvtq13QgHPRQ+zcmrwEzZOP8x4venpwxoxhIbSGvYU
/3J7+kZOFHROlbxTXO7z3NYbx+9e739H7I0K1CaPOiQlK0faC6HoWxOuMaRcNKTeqebW+Ih63u4z
J1JmFkI/k9/BPPBHKHfS6wi9PuS4zF1UBi7EyAI3OmXH9DTH6cHuEn6ctk40ZAuCTjHxt0sIxFFo
DXC9n8qXotkLD/Lc00/3CJ4GDhQTzIjOUMW+NVALciJin7KT7oRm8xRjymkmGmDBn2j5XEcWkLRR
rBaKM7cmqsZAdq4M9UkByjRzejTDJSrhuObtfAUiIpF0jaNuztkHmOeUlaXNYHkmtSH6ACoFl9Oy
zRSM5pZt6OaR1JwGU1jI7zrqfBmkF/Mn4KB36WyXjfUT8BLAJFMFKwhW0X/crjcSElnwhyY4Sxiy
+9H2rfWBNf8EZveagXwI2lIktiHkEZL+4M4hCCfX4dU6utyAuePjQpB3a12U+rQdfFhvX3o008ES
a9hBRtqfnOSPs1tL393N4adr/WWN8VRcEKdiy9fBGcpGkOrmML4FuVFTaCwMNOn2/e+ZBUrD8VJr
iPHRxFOB/2FOkuQaSeN1bXCuSL6KNt4RWd66CYEB4a3yoVtyl9pS8pliwKTzDauUIATTU7hakPYx
a4wkX/SG1A/P2U+Xmz7mP1NLf/0WvwRMqxHRIOqymgPVTs/s1Sgw9EiT8WkqjHsU0hEjBJCfPo+S
mfxkuwRjiZ0zrlQzj1ZJa+oz1UE2YrsuUoMjA2QfCSEbHiaIgSuDhz3VHJehD9CISqKUDM9f99/h
1BvQhf0yxCyscAFLFQUYCp6Gn/ysbfTv5L3xSGfHeyGhI73S+nUrYkK0N9MThfbef4C/d/bXAzC5
dcXLfTjUMV4npmBPQ09AmbfgF1C5utSOtrJmzNHTwXwhN+tlvse0Q/eo7WEOlM2y+SZ+H+Q9OpKY
zXW2xsEKv+cIqv9+kwC5AAiJi5WNHiu51EvMVoZnPtmIqLr3yQpcxo/egZ+riP4fW/kfU2xdN5MN
X887mDKMR1Gzo22LAWMJtSz9OVz73zM7SV/MZCcRK2A2EywYUEu/9WxdLMdRKvbhWX7M3uJzdCwe
Eqe3u4v87B+jMzdX6fnLlQILiHICisq4Idm70QtUSCLwWF6V2iMarNy7ZuYQResf2oc5toz/w5gK
bgBUr+C9mWPpSVGVdHqLvYy3iIe8B+GkmcpAVGC3ZCs4D3Ot+T+uKUQViM4xd4LGHM9s5+j2ctuJ
angeHMO3Ekz4Hs/xHGqf/gj7ziTgd1SUS8AyqzCJ4NhFgHN2Q3B2o6fG/0kuO04la74m3vDFgUzq
4zhzSCbxDNwL5R6UkbXD0YhMNhgKnJZzghGc0Y//5M5Zb2H26JCgFL0srOhLgthyay7Hw4zZP+7B
32bZ0mPU5yM/FjDbmDFoKPbem3TiF+Mb/8zNjeH9dR9h6Ola+cZBQZp4+x0YQxIHhShFsFXYHyPI
wr8hoUQ+PRO0fmY058BouMK8QpTwkO4giqbuhIlvO7XLq4ELkjMQFQJJrZYzybf0Pj4258QnM/v4
lzGKV73Ce1FpY76CsEk0pNcwVq7ac+I0BWmf4rWZ7MN1MXPjUcfLrgsXHar8qE6j2s+YUvNU7QBX
TM7pIjhmczzE7LwwjVXoPfqfn2f8vuYFw5C6RXIOBlPLrLB0wugSxmTYpN/FRwYRs+8xxPvin4dl
+qjvOnDbezPb+ddlizAJwzLX2bIJxVVfuEWp631yBrH9SbZBjzR+FE4ABKZ2bO1Hw6lN/sNAyJ8t
q00zs8GTfjvdAgqDRAKL+gwQXrcHVakkkDHzY3LO0e7vMGAWRCReANNkugPGLRsrOnBryX5d1Xtl
21+c9NTuwHi/VH6QVhP5FHzcP10s9871nfx+IMYb+ehZVXqGB1KIuK7e88UHFRgIvyBXDGgShOwV
iEB2pvtdLI/ZBvgVUm6402cFWVTPMR51NE6CVb30HmLyKtm1g3GqfMQEfXMJZ0UIr8Esez5/Pyzz
mddZUXtii4eNEcbHJDkGqhmfa5OzxGdbOCl2s3R3/HOzqs3l/X2aRhBU9RfTFSg6IoYwmPeWS1Ha
FmVen/VHGG5Xn0jRyqdkVgXuj/gB01XgoVDp4BhqxYyhzivluBBgCMDuxxFT1dEWxRsyrjGoYPUz
Pnp6390aY15+UKcZwPZpfR7MAcxq78ZbPYCZ7On+3k3DvVsrzFtLjBLLdGGlX/gX/2kODjt1WqDE
wTFF84EOvjIZ0L8+6u1vsXkqn4jgi5GHs3qUPkCO9Hz/5/+IaG5/n8YGv0pJquh7Lhfg90XfjN6i
jX9eGRWJwBnwmICNaa5t/pc9NP9QZkAzS6VV+1t7RVmEnuZlwlk4xxBNDCFoMWokfCou3V7+mA1H
p28a02Eo+KCejuwQOdqtOS3rkTOljXBWdVN8XMmwRMHQWxHaaTHiQ5M/zWwo3bBbj3BjkQ2ARc4f
wq6shTN/rN5Tq3BO7le5/Ax3RWS6c8amNzFtpNJOEepDKAfS5f96e6LnhzXlwzgnT+FXUZH+ouy6
l+TAb1EzmSuq/+EJqDUMi2Pw0cDBZqx5RSRzWsAJ5/y1rwlK+C0ZzXXrpEeQ6nekfb2/ldcw8GYr
aQ0BiA6ku5Q/lq0+YrBTqqLCrS75SvtIvgO7xZBJYo/QV6s3/KG0JRivluWiXnTLZlvaybnb1Na4
53fDMrTvP800VmCehglFuEyOOD0wqosIvcHCrjBu6oH1JgRAg/I1f34PYNr48awZPz8BbGpA5KK8
iClhzAlNuYe4sAf2sRD1s8UtF6uPAHx82HzTVDczlljeIXTlby0xH0ssKrUilLA0OPm2XKVWT75T
AN1HEK/KZo2Bn4WAEZ8a/ND+srUDR7dUkIQLdmD56wSQPG8xHuYyZZYWcPJUzKnLFKmhpRAdkfQA
idDwS1+nqxRqJpTJWdoIIL+NAZT4JmDUAG15hz88lHE4R1xoDqQfSOxEGDiKZ2rwk/uX2Swm4h5j
iUctBpvVmQBPADBBqbvoHNPMsZvciIwd5voVqszIsvBqJ3ui3EA0vAfDyefzOyXeqrYuQFRf941O
wxpqFJAXpBTXwWrmJBg81yVKqujncUFlWaWlshyXgSmsw92A0dQSjHh7EOFZa+yrc9/2H/sKjw29
NxSiEY+y2g+d1Kp+GeYcQnKSFWbPEw/1u5yg7ITZeH6uvyZO/DUEJiBqgV4roihKBXDrQvUoyvIw
8sJLDeq65uFDXg/mD2Sz9gnGsDx0+DG7xlu1g5oChtbm0AoTKDyQxJhgoRwAgPmi80sf75cH1+Wa
r3spDi/qIxQ9wEKeL6uF2cxc8yL9SG5cKWOGcV6dUIRliErlJSGuo4A/bAB/mm8iMRVXJeJmmfi7
BoxwAdgOJULpijxQfN5/s+Ik7WcegtnqGKgNrQrwEPmLt+TAZwElbSQYmYm6DYYre/DyYBINaugk
d3SC4x2byh5C9+b957jGGOxmgIkAFSqo6lBM9+2eF00TZJ1bhZfqPbJRUlkYYLpzwbEvggtPWyQ2
nmqRg9yxh6Dix6kGWS1Egs3AybaKWUIHE9KKryppVuC+c3gH94H5g6weIrDI7KHz1lNd8Fkc8nV4
a/LYOibVaFsTHybz2H4YtmUkyuGlXUggr19hxJISFx1HDDKKoD4YTB6i4PmqcCDjcDw1i24B8OiK
X0igdyHvCYDqfU/OgcUdZom3pq8WuC4eYDkMngFFzpY7erHP1JKPoku/MPbSa2EnP/khtERMhmpO
vSxtsIaAnHQmW5j0YNHj/2UWUMnbN9kBO+9lA8zW28aRj9kRkpcLwx7XDYrF+Vqz8G734sf98zOZ
7YBVxJI84nvakVPZ7g0foDCSe3x8GbfV8YWS5MIfB3a4GJGMnpzDdvvsfB++v92Xbh/tuZy0c2E0
dfq3R4GGfJhHQMsM5Ads+ThJjBBt2yK9uG/pgnsX7Gj2a53GO1gl0Fqo8yDywDYzSdKQC4Xbln16
GdbyU/MG1qo3nyoQL7nT8FXb3dl9xpF6iCCEkluzsuDUIU1WCOoAiq8VMYrM5D1lJ9VJ4UvpJYfi
p2yPG895FtCUS+EOELjPhT70oNwzx7hhYYjaOMI0IULNZJkce8FMTH5l7MqNusIYwlKyikdlVy1q
G+UYJzinj8bFtUHo9qxBcXHHvcaPc+7yj8APL+DXFjA+mzeCkMsN+kwWmrBgLi0cf6FAbUy0soUL
yuz7x/qPM4UbiA7N4UDRkeTbb6lXEqOX1Sy87AFotk8iqWY0uSbjzvhuflmYfK1KnyWiOMCC/OYV
ZvcUfUOUcxN/dJb3QKTlENryKsB45SOgFHPC1n84KKwLcA2UuWgyyHgKOU2lRkLyeUkS0uHqW5bH
WUTy5JOBTgFwe7CCah4dcmAuuLRxtdpLvOySbrsf7hPGnoon8T1Z+2c0li1lHblk/AG30aG78DNH
eJKd/bdxYO0olktEcej2/bVlV2b6EML4BRz1z77pn9VtbHOH1Al8MveBsmEptQZqVmj9oWAHZAVz
GYWtMRaNzGc4nLq6KB6jxOxH1E27mfrkJEBiDTHLKro6SfJizC4SoC6mt8ke442wznf6cs4JzJqi
X8ivWEwd+VwXgce+cBv3IV/Fe2jDbP0Tyob/2nG5LgrtMfDKwH0DOHJrCZwiUuQKQnbp1rLto8z8
kT8bjyEVHDoo4SxbxqTqAnsoEKDAjMAaLWmZ2cQSSVZOHepF2qNY2J2qo76PLv5G+gn2c1/aHyfj
xhazi/XINZ7PxcUl2gTrmrjQ1m6e51j9WWfFLohxVr6q9yBUgBF/FR+kJb8HPnrmg/pzHSipYA4D
cStIyW7fUeC2kRjlRXEZP7t3aed/SCURn933+153Uv3HStCCQJkD9B+0nss4JhHcbhgCzopL/IJ2
8+bkLBb9huCe27nk2TwuqTzyfZN/7N0VPICxLvDoYvjgdmEJprAaj6+KS3LywO+/r4FgnsOcTLJ2
VNwA/aDDV+AzAsEgY4RThEz1M7W6UN7iDxBs9B/ed1qZKrQfZKyOB/dH7iy1DqIDpXUUydonDVEs
mptQ5eIzZY2/v+5Jqnd9Jh1wUDoTPq09auMw+rrO1UiCdBD4JScL06jpQthAYcBBJSteqhtUC8CS
b6xm3JhIXf/vAIO1zcQzTdFijMWAbTDSPoM8JYS0U7lS1+2+WiA8X2Sr92yRWE+8pS9ie47jd5L/
seYZhxO3uSQ0ntdcxgU4IRxM+SNq5Z185cYECc9CAeJLMzsALPKTuO136XquXvKHd0U4g1olnTBF
k5JVnFO6UPWDpm0uXm4G+bbybJXbcMvqOX0wtnNn/A+PRznTdLS2MEoHiBez4Gr4L9K+bMdtnony
iQRol3WrzbvbbbvXG6HTSWvfdz39HPbMfJFp/SaSoIHcBNAxydpYrDoVaTEXJw38k2Lsw7OyX2FG
/Orrvkh9U3HTxzqFoWI0dJdrKRcCZliGO3GjnJVPYes4mKOuHsuVu1sq78YSvLStcVrrdvhhc+vH
Rwxqen9skJk655j68fWn12xy1tPfRKlemVR1WldxcxGjbdXupdxcAcUDYaRO5j904LL5GjBDI8QA
+3JpiifrMWbRZX7fDqiNAVUGbtfoYkRESd/MKr1q/VFtqsvr+8MP5Io4o14XRnoEoXxgVLjvkzs/
bkschot4YOEhf+h2+qZ45ZBLOxw29oY3Nh/x6kmyMaEMFgOj2XzkGgdcAf7vX0em060f75/pnKqS
BmjENKiu5W8CqUIq+FIkiV794Vk38qOMuZlnDH58Uq0OKUXJxiANg1vzloCYjltX23RZrHxGiDDj
FzDeA/culGWjnA3JsGsrreahqKPEuLmgCdspMe4c2f3vcQqYUoCOKcynLiFBnoUZZhZrEsbNvRoi
dAVOuVdR9tKx8f3mIu/lTXvOMRHL9jbg7EZrsC2+It3fLwtn0FgWmr6G0bjUnbMD5aG34Nz6Utkl
kig+Ib1A5jHaKci1Swn8hmtkTor5DPpFM0RGEexN0QYFT/tiPXG9NpMAz23zHXfQDvqpf9EO2r5f
Nj/0o79n0Zj9j1MmQ8cQuKPAmjrlEo/HqteHzcXtjeQ5OuVn3xlXupl9gtde9Q3UxHBv0uVc2byH
ki33wCrXvI1ycNKkDw8GmdD4UMZCl/JGCzW+vvQ7UAyslMhA4+yTytrZ2YOdwFABqDCWKUqMBAxG
+pI+udfoFx7qd/K5eEgzRnZv5h50vSJqS8chzcdAAtQIzqr3EXu4j0FThnT1lt/1e70z6rf7FoOe
xkdGn+BtBv+opIEO9STXuqrxo5AUCeQGTD3lm7tW35KNomw6C2OEwZeAqXjJi5caKouz5yZFQAHT
fY5yxXNk4mJ9keHKy5261F/1bbEXBoP7SpzgyKwzIm7zyqwjZYqWB7AEEPoQhHbXK5WHISwSpasf
i87yBSRGshRTZmLXRlFhcdZ+Its2MPzZrSsHnz8KbBE1gCdPv2V5dgU1CL2xR5eqIWirtjH9wUGi
FlNLVAuTxdrnliGu5LyuV0mmKqFNgBAIoQmbWiVC9oU8VD7/KJxFMOF0S7EzR9B8fAkNQ3TmkBAf
I4+HB1Uk86iwUE7iUUfNw/C42MdmCYqw51OmmCg8ZfIy3ig6qclEbxnCclLMQU/xjr3Fwo11YQBf
IiqJcONc+Ia4zRhx7sxhiVAHaDqabxAAyJQqhGXDC3WdS4+DmUpWrC4TM4tNbVluotIuXCt+Zeje
TWANmUAyFqQFeJMmDJ3XEpkrQ4bHpASjmY3FvsTLJP6Ere+oHRJ4PYZJmYWMMIGBemPPKFQqvHQL
JeYkLotO6juGpv1yj/I62jU792X8YwEhy8PsA5RLyKhxpZZHOiZqpGEx9jDG4wTGa4udUYKQfpcu
UZnGWBUx9tdyfw1Grar1lTQcQ4Dli4fkozug16wqrFjHbF5lU6OkNl0OhsWM1UmQfA2LgURIWaEb
FYE6nuKujzDmCq1w09A7bX8Mp/BVUTfjUuntbB18yphomgP0/kJvbsCkWh98qGgQRu3+Deem1g5d
K/BhetLOXmU4PcbBVqx+lhkMaAH6+VF3QmqAKMfalHEULGQ9PYE3lvN26mKXvAkfkulrBo/JwmhG
KJfKvltXjrhjToG4jStAUQ8dBE010CUs83pLh0biAxVV9KfCznfZIV7Lj+oj+u7AtrVYj4/6u3/q
LsrSdWQ85upr1tDMm6c+QpE/xacsaJl7aY8TkE+ima5zJ9oky3qbrsCxiewGeuWX3lp1wpX3oKzF
R+kYOZkjrjBycMl6370NB8hMGx3k5+DRgNmj24MLNc/7IiiUE8oJv/IMj+fJ3tslO++IUPKB9Xp9
a//QRo+bPAaiwRShQpySZX5YqFUjcurpFenDdxnUrOCPf8j3i9EYQ2bb1m3kgYGWqEvBbYWYPgBf
n3PVFlXZZLF+alcgFHtJz8VefHOdbrdYRQ/hsrL9XfqLOTj8xpfAGuEOjxsSCC1Ja+A1qpvzoTZI
vXtqFCMA3yMGIHjLg/p0X0tvrBGFQlkjIXbzpAMn6CkxnJc/NuDUx4lNmuR6F03G8fyAjzeHASmq
h0t3RFFjbqAwbHl/GbdBGoECnSmaXuGBwUV3DVXEodhzneSewFVcGtyn7qRn941fS4oRBqb7oh+Z
le5Eva4sKrrt0X2FVjrC/YwJEteQ7sB7cqMI3plbedugtTBcXrd71OicmxX/o9wvDtkLcm2sSO3G
KwIW8gA2CTR+EPKla1ilK5TRl33/nMhOzBmVCbYwCQ/mKLa3C6dixBozUgjaLFBKQbkxTopOMaJo
Wi+6NPDPKR5/NTzrSHiycjG/9P1PD5D0RIBFEuM2YUmh3NfLKjNXLbzKj88eiIuW6q8SCZwX/4WD
RdmBiPmX8rNnPJXdLI1CpDayF10PQxa8+Cx8png+fsFArmqXgjSQRT9z46UoIEpQ5K4vPN7D0gIy
W0c5IagWpdX9/bvRYwqDslGD2GKoT4TFtEfdRurg/tdv1Yv6POVoQQAPri8Jn/cv2QGF4pZ2iNRV
84o6JQVZpxCFiizjQX7xlXpRkJR3a13J9aoRkJ39o3uKRTRUKo/2osaI3p+PrsQwIDd3BAqNnOHE
VOl8O2olWSBoABfIFR/DxkGx97jXjzJrFN0cFui/4LrR0kz6KK+xBLHRC6EScVaYNYryRpBCfw4Y
5briMH6I2X5BFOd6H+GbERzBMMJZohfoGi1JRrkoul4+v0YfWFxw8p34JX1WP9uP6OW+mNwm/9Fs
hDICwkKBYllwa1xjSfnYVHykyOdtZ2Kcr7dCr+aIDkoffNu9+VZdPj6QFcWzA6tD7VaXr4GpGxHY
e9Ko9iUZhfqRimrK8MNb+wwVu41yrlaHV+7r1fFyiplVowiQfX7O1z/cdbTUN9wa5Gc2qyft27De
HNt/W4lSwWswtCP4geBjK9tyxWdm+6CdJA9p7noT7FTMY28Pqmv9eacfouXJCaK28ho2zkZ95ENs
ZPQsXURUpAa28KjtuT3KPe370nLjPykoyizqeRELIYT2bBWP6/aZY10OWN+nTKIm9E1Uu4J8Fh8x
5ygULf84JFYzmh7GBVYYJYU+jo36OQ62HLDs5YzSQb3B/YrXGDI/i5LHXOK63kt95VzuOEPburva
dh8gJ8tqy6KPuI2GSWrxNxZddRGic6tQFVc+88t+F1rGJ4bGlXa2Y7WN3JSWQDaugCiRrPxglLlA
k8/aubw4EujGt/ybfEy3KAgDb6hklk8o3kSB7rFi9W/NOKBrbEou26KXBjnR5TP4mrytezwa45J7
V5Yj2M8932ACzhiUq7VSwln4uheBd0xGg9SIIcKgal2SkcH3NeA2F07tKCWiSY65Y0XPyahvDtfp
sdjjrdi1SmyoZLZP/qZ5YXEm38Yi1/tIeQMU2pXoxYNgLpaZsetthk7f2kgFd3HUWoDiRlBAlE+d
U6DHCQmVtXP+yn9pDnpPNJurMBs9RuyDCjqfFZrcLAi5129qQkJIg+JI6qBqSfJLaRB9VNDxeD7x
1oL95+UxBAN3Ctw3dVAE0fQpCdcHetDKaGNay5t+16NerdqBRdZmlUPcvglRSNT2uVIxaJGs+JfS
4VbcCrOPN8W+XIHpxnZXwmOwRnX4pmTmpMhnr5wNBUttYsSHQdONgO02/jFYyWZ6FB7f0E6zXjjc
miH0NxcYCowS+tRvRo5D4cIlOly8yJDPI8gYw32xYtWvzAjj9blRwl6IvOdi9od/4VaLpeZ4G/en
YisbATWFPpPbeVYQJ0JCxatdspD8OMWygsOD8JKi0oC1npu48XvjCHm8hmJN8GNf++ZU0mMl4iX/
AnpvW914q34lLd0HXFkYJ3Rj/ABECkJJ6SvCRlrekePJ1Egtg0tmo+4ZFfOxpWzbrWpF69EkjLKE
Hr9DzcwzA/hWNMhMQtTqo0UeZEJ0ZNxkmN3l5mL4Lf7eSUEOK/7SlvKWVT91WyihXCNRpyX3ILCK
WyDVVosib7QE2C+SXW0zlkEk0nytWtdARGwmFwu/ywJ3JEsCM753eG+Pn87CUvaD45+8N6QFWVEP
awvJ2U7w8iEcubwG3gBLRThGG6exkJQQ/lyNsTC8dYCel7Rh0oQGQZzIBWZUhajDbEjHqnBYPAi2
jxcq1jyd28IaclgTKErwswAlIMhqh5fCLnexU5ix9d5iKHGyCux+1eXGcBQfFg/FWjF5DBYeTv3n
zwLP2OZ98WT9DpW6AIQJSnuLGr+jA8u+AM2od4tHpDt5c7BTB6/3y2DdOc1rtI6fw4O+JNNlI0db
M4XqJrS93hCVisT8RbFA6IAfghkwFp7oKpM71S+fb6FR7kvMrXJt12YVo96mQQGKUnXYH4w9BuEk
pTJRImat0kGyWkctDWnnm+MWs9sXFv9Q7OqPjRk+5vviRWDRDt0a1mtcSoMSECuh+A243oeMijJR
QDad1VF6a1qvMSit6XM/IGV2RGs4VM38UC33nDh/TP+PTC5GfYFYCPTjKF2mOehzV8jLZkB3Cb+U
N+6S32BAHF4LKifAE0WzdJfVslwJmxGlcqqToQK9W7F4aG+vC/gNaAkmERrK8/B7rg1ENy4Wmdrl
yaX5qg4o0DN33rr4FJ7CvXC8ry+34S2hUPomiwI5NWmnuYbCSyKaTsckvZSgPRgtAQ5rsVYxhTU1
9A2ywitmCQT58ZS1BZ27DCZUZGZB+kV5/BSMY6DTS9NLZRS4unq2bh7tD1IDeWS5kBnDDigwxuCW
RwZYU2GMorVFXrtZeonMI+tqfHtIoHEHNTmqYkn1KB4gr3cu6qK8H8U+QmWnBfLBAYNDLPuMLn3U
x9w/pBvJJ0hInYPhAIEFOhOukQp30cbFOEaXyLC0wWlNZFxLwjlxH+ZWFoADehE89BNOODBrXePw
cpl2iS7EaF5CkdpBsio0WmA8rh0ePuRVDBIMVhRzIwsUIiV9atu0Y+uJMZoO890+kDZJZ4IN1SxG
h3BHuCfmM9iN7yWjkOAK8fiPtjcw1V6vUcgX7iAESYLKKs2QN3tUF61re7hY9/fyxiBSMNTCYs0f
krqJocFm8vR2/mLlq2+DIwqAsriVnvuxlwPAXWrb2tgdJDs0zD9/yaBgKKPLa+2Y5xVZB/okQ4je
wjj4yA4y3PZt7oDCocIHJRjdSk9wLLXTO1iS43iGvF4YnqltQtT33T+dOd3FQCwUN5L+WrzQUhrV
lvyiDCQCB6qXei3+qixw92B4MotB7iZMJ+uaAFHi5vdjOHR5kFxeCwO9W6g1TRyGqN1eoQgGCH7x
wIXLAKT6WqRR4oIL6ZABw3nAtq130e78yIwlZ1T1CkW8RgkXRYEKAqCAU1AwHGGFslXkOZ/QIvv1
eP945jYNiSy8MMF0o6KFEoZeWKAXIPDSC+cbr1mPqpnQM1ar+yAzRpVw92GqAWk+AZXD9XqyUpcK
WWrgGwz3XXpIwTvH10uzYrTHzyrqFIfs6yTYR6E3x3EpcF5H19D3hnepY2NzZlI9z23aFIcS6SyW
ekkPgOM+iuAJUh9wCbQZokas1pXrhqRNMShplgsf0z7UOr1sXTI9NP7Zs5rvZjVzCkHZNa7SslZv
KmxXvBaXvMnZ3LtknhlPpnOu7molZDcnp8KPtaQEAlYSovfAKXeKkS7WWnmSU1RXP7Fu63PeYLoo
SqAFAeziQ4VFJUb0EQWGyap1Jxt/52Do+sdYTgW1BEnYpV7LVrhhHPusdZ78froJNU9lUmePz6sb
NzcUWzUOpbn6OaBFvni5r5YsAaDfzrVS9drSR0vvYDamZiQbziysZCegQ4AZ/M4FA9N1Ubqp93zb
Zm1JzgWBgCOGRuQEDmcxpI2hmnQYGnZqz5UjhA0T9s4tKQI0A8tjHRJLBijlzOJ+6IYIG1d8hY68
/qVv1zq4IuzoPKzErbj1rOf7R8VaFhXjdCGnePkAQCs4/Up2mxVrSQy1oRm3MjfmXYkHwKuM8nf5
E5QM6/tLYCFQZqDLC64ZeSjmYr8dnd5A6QtL9xl+hnZmvuyN6KjG4XeoWyyWpY0GL99geMzZGOC3
JKPI69qeDU3MiVrVEkkezHZXGMPPztmsFmgL+Xl/yxjGAK2v11ClN8pJKUFp0JYQ6o87+wlcrZ0h
v1Q+GlJYxS0M/4mBENdwjVR5As8R0+ZYygIP1TkYHOJNbrK2cC7AmW4hZQw80RNcL/82BgooXRZm
6YyWsiq3MuZlmmZsMvaR7NP/ttko3rlemFct5KyUiPpExjtmBYNDaPcUPbCU6L7PvhlqU7tF2NUD
9g/TLeR1Ba6OFWMh960oaqqvF8J3fC8GJWQP98X6vDj6W9M2F6yeGKYgEF2euOw0r+qOE7AQ/svA
bO7RNMkcdZYVvW8RMHHsGqVNJQGDcxBGdSbSPwsTz9EPvhlg7GD7kYIORftqdtwytVkXunlc8jKH
lAKmYFGbGHll73GcD+uNjp99RRpenu+f07wh+o1A7V+iBB3PZ3F6Ec7ZCcPONxISWOHyPghrGdT2
CYXSlbwLEMi0fuqclXT8NwAqlOLVPkDyAgDJaMTog1p8hk/3Ef6HoP23UXQKGaOGx24YALHvQOxl
jgdbSu0N5g8xbqFkL24NwG8cypC6fou4Ko1S5Aj4ZxDQPzzFNkM3GWdOd39C1hZyUUOqOhBmofPn
pbc3+Z4B8j9Ctt8LoSxnmLfKUGohTAxaahM8xnNGtKys8BCvWOpJrP29PaOMZtyViZTUuBqGuy0Y
UJ2FBEKit3GfmitWcmrecP5eFRVPCUXddqESIE+5ecXQ8TNjKbcvFd+Xqd/fpzQ+1atAKBucjVBt
NEMQLUExhAN3qCzeSJzSAFWQb51O0a/A1HpDRHTFMAjzgg7Ca3RT4LmApylvRaVVcr8h6VEwUPVr
wdBWeCBBX4XJ8nVEAm6ObYJEmQUUkzZxriDLLP4qwPyMlI4Pfqhtv0dPLiPYnr/aTbAoC6ElaZwE
LVY1oAbLM7vdh2nHq83Xs4QoRWTI/mzQ/RuMrqpHbqwbUw5g/to/m4Vz3xTNWtPJ1ykLsSj0zIWB
SC/PpH/vlHye739/1jwgFUq6AjD9ip6wVqCSQQHLMDx3b1nJCkMPEwOR1X0QcrY3Zz8Boc4jz8HO
K/SIcxZLONLlEwqQ/g1BooLfkkM9nO8hxPZfQdEI0aqX/IoRHs4e9O9V0PNo0R76/6Le0/KRIbGz
pzz5NBXhikOAt+cKGyQ+g1Zqg3HkK8Y5sxAkHNEkdMrrXI9QOwtThvfA2j67p39cAmWWXbzMLTgd
APGxRTO4zbxCz9uqySZR1hiNU93gaxDVxk5OPzLzCHbLXWky1sGQ1W/quclGxXopAQkow+PrD/0D
EebPf1IG2uT6YL4QGhEA/gXt3EsM8C6X9xFm3dZkoyhTOwx1kil4ybnEa+8J7CLMdPPsvWUCQOnz
Isu5Iib3JHn5XFrSFv2TsBkBmDz+aSG0adXkbgyjAmpRHDwjumAy9p/HX6iBBu27LKGTVaOfu5LC
xYWiljKELbiZZ+bgGKnHkqi54OgKhXLzOSrWdfyT4cFJcn4Ixjpa93iqGVjh/YyOX+GQ/5+IrpAV
ac+T1eD+vyYbNrBkd0ay0H2MEcPg6MEVha78iWQp9UHUluEm7oA9CSR/BePIbyuqUSc4haA2a8QI
k4XAAcJ9x4ym54fcqZ5yzEsSns3op28wtH3G/V2hUVum55kw1rmaXV7dvcMXpozGmRbRT/nrviSz
cCiVBJNwV8cVwUFdDEb4HEz3wLp4sTAorYQP4RS1xc4NprrElER4dNT7oBn9cn8tM35wumd0pjmq
tU6LCI5VtkbWMpMJM9YFBAy4AKP6AQUCPLVXet0JAjdir4LnDlQfi3WwxoylEJkllvrPJbKuoKgt
c7lODTMRUApKsjVcWhwfbIeQAN8eDP6FlfCZPaHfK/v2cBMFrUKpiUKyMsXQHc5szUPkfDHcy7y1
mYBQESMIS/qm6QESGeF6O9jjAXmSJ0YsxEShIpZBqXXN54FS2PJyH20L03sSvp6GFwYQa8uouAVz
aiJUK3xvWfMhrNSznb5/3ZdncSZ7hX5YwmKK+hdQw1GhS9YJXdlpMrkiu/vokK+HTXJwlxfXCvbB
HhUJu7f+edhlFsoR7PvYM9EGxmaD8wxd36j3oXWpTVN07ZcCboCClW9HxXgKLOvfICh5aDVc7yS9
I3lh0XTU3ceZVTA1F5ldrYISBokT1UGs+fSSlcZrAe5gyTNSBfngR1YH0ZzGXkFR8tDUcrZQS6ym
ssN1Hpuv6OEuzSI2yduDtmax0szYuis4SjR0XxRaLwHclv/VBYbwdv9s5tTo6vsEf2IRQLoR1yNa
Ny/jA166tdIEP0tqrJ6zlXi6DzUTHFwhUX61wOu95AlAGpaiua+Wi8/VvwFQrlSOlDKU1JE8pPDm
D3B+MRYwYwmuFkC5hR7072kaQlWQHl3LdhkbH6svRjjAUkfyGybHUXSB2DURBDlArawzNPYgrVg5
l/sHAVaEa4wycks104DRfO2zpWzlz+6fcraQFqD/jAqGPl8jRBJmgLs8TsJ9ArvJpdMNM7NMhp9h
LYPSebdQW2FRYBnbFsnqp+5P236pNVB6HgtVD/IxvChkxj4wQuuk2xFrehdrCZRyN3Keen01IPfB
42EutgqrZZTtzcTLVydBqbfLYWaXEBPzEWx0E/wWzLmb5Cyp1MoVAqXWfRRUousCgdvymz15OUC3
au88gQ2NUbN+XzcwXfRaqnjkqcdKw4kUhbEwTA+v8cWKad9nfPHVeigtzzMMs45qnMkr7heiydua
Wey05w0jrLhv10Fhfr0YjCHIpFTGYi7r2mAF4oydosM8aKashzE+zrcWiNAxrmVfF8yEKmOnvl3L
xFZlSSJXnQ972JmS807qoVUjOIasK999swu2yuudcmXNV9wMAqYYjsOfzZ+ZzTC6swiYPQACe7C+
yTfxvrpAX1MrQUk0VBRlo6E8Gt1PRhQkkd95oygTFOrEq1QaA08XoSgrzbCqeFXgBu7UIEEBHU0G
Mr3abJc86lszBBbRQV2uarTQNC9f9gf/sGHlEmdNz+9fQ4sI+GACieOx5sjI3gvrDY06jF2dFcIJ
AuUEMjHLvMIFQl0buskdtx3U9b7Hn7VuEwhKNKK2zFMxBcQzjk0FSuYa9xFYi6C8QIgHEk6uIeNx
aTmBsdj5mC9vMkSDIX/frwkTRYobvxC7DiCK4bdGZbeW/uCEmpVd7i+GhUM5A7lZVEFRY7sG870c
Hd0sR9NWnu6DsHaM8gdlvwgqFady2ZY7B/V5VvlcmvchWLJLOYKg7foo6wChPTjtNlyxLBtLrMgS
J+dRqVqmFxXOo84wdqQGr875/gJYAJQp0NMRb7uw/5fx/KpgOAiztnjWNP9WjO8L52QFctj7UeLj
Qglmq7VuvEaH3sDTXrzxnPsrYRzFN/fVBKjppbyGhqSX9DMzHqDpwU+Gjt8S+ZNAbLIWSskrrmnU
RsBpF3YN+lXeVPC2Aq5ZPLYG6BRpS1N7tEvj/JNVEM6QZJHSfUX2GzAv4ZQSQ7Cq0HjZdIby8/7+
MVSS5owaxiIf8gIY4bqzF8+fwhLs17/+zb58vwJPDqlfNHoOyk/iqJUMjdZgrH0rD/8IQum95BZD
jHZJ6H3xDAN2SNZgxTVZJSpzL6tX0kDpPgSlHloicFavL5sGKax1fSleI0f+sZVXLLjvM77jtOnX
ybBy266tIHyv7U5Q7WC3vwx2fox69Az1G+nZNPvewjqFyP7iMvMvMxsT6adMRdh4sSKG+AEoD/VW
3kY+L4yzZi3+5sb2G4Z+vpTbvkt94qxf+eV2+C7UGDwr+3Ff2ufzNBMYKiYYfS3NCxen18M1oBbs
54drpkuGTs1l8Kcy8h2JTeQdg73SQfOxZ6in7GzFt9yFhVQaHld8cY9pmrAerJ5P5sooYxG4gZYN
RMesOjWy0PhAHi1wVqAW/MctlK+dk9+FxSAH2ELcSpOnYPnykZrakZVRY9g++l0q5jlXSwTlu+wV
RODr1ma1UjJ3jDIYaDPrE6UHxD5ZOU74M8WsNRYj6ewywFNLqkswG+WbqmQiCRgRWfSYxIJIAbxJ
bxlIH9RV8DeGb4JBaWgeBSonxMAoRSsCfZGwkV+HLSuJOusofqPcePQCcysaUSWxW/gmPaIWnRS8
aoy1zKcDJzCUgqqLLhk1xG8XazD9o45hk5hvuakPDKd+M7YLDYQgGPnvYL4ZoiYHA9LChVdnwIny
JSY+vGP8LNgCDNMGqcl6c6gu23DNOYtNZWCqGjQWPUvsgmWikzfGffIjKJ3NQN6i5gFZrJhtvcdG
R4UVfMiLb3DLxGL5knmBn8BRmjv6bt5zAwRluxdLVPcKLSkUEZeMzAIThwrzgyTrkqzSyNUuwfa9
tpa3Gb++7tshhmbR5NNl0saBxwMErVjF81bsDNyM0JBxH4XYgHsnRHn7oNd9F2xaKEsh8887MIb+
Vaw/ORSyzokgDmniD0VLBFHF2EM+YGUvWCugrEMg1mjx6fD9Hv0Qh5T5tE+i3zs7RDtucVEPQ6Rg
h76fKp0fnh2szY+QPRyTBURZBr8TkRXjsBDyti+aDyOZi5OeSmYNPEOyaO/d9qqbuR5WlBhg4jIb
w398btAoyz34RxCr88sWL6NoXdEu92WNYWFpnk5u0aXkKZbcwvUz99BeFhgxofqsGcKzywNJAKl3
Q6E1XcSFHqwS9lWH0Wme6220forYc2pnr38TDHKWU6HugojrOmBs1WW64zcCpgcPkvnxd/fMBXpY
wTMDjgC6K1zUwijwgiDDWT1jBKPDP2P4ogJ2D5bxnL1nToAom6a2SVMVPAaqwaKByhQdcqxS27n2
FfDJ/F4LFY94qTAK8RiRUhwB0emAqdK/ehO+3PINVpZ5VtYmWJRd6+t+ABUy9q2NzAPYOHCDCDA7
hOXN5+Xg95Io46aPizHXQsC8jta4O6oPze6RyTI/axh0HvzWOqRZVikLV7XjEIdcSp77Wyf76D4Q
l2Iu65AZsiNiQMx9LZ2PUH7DaWTNE9muQrA6c3yOcW3m6AzPYBcxjpj5/SrYDA8370cnSJTFK/RU
b0MFSDxo7B98SwYlcYIFsYRhVrYnOJS29n3acFJdoJwFXJgc/Bz3F/2/uoYqBZCIkjZt+pG/6eQ2
6pIS4gYWGNUkcQdJN7Oruee83RSI2rLUdXsVszeImkaHAGTRLUbH7H70RmGJn5CIaldcavNvDmqK
Sm0gz9WuPA7YQMkYXxPcK2uw/rXICbGA5kR9CkQFjL3Qcv2QNNlFQ14wfpPNyjilxmiXh3xzZsg5
C4uKFuOQ99K6wJnVDiK4wRaIVjkVBjLDVjj3webM0XRdlHVVhgZCqOLYWsJyhZHyb5kF/kSWOWJJ
B/n/iepqlaTnqg8YDFH9ZgsDH9EDqEMh8q1Z2yDg9mAGmWQvLFjK2KJOVNBqvSIGasT0JrDZWPKH
bKN+t7bjQ/8uPKvsoRRzSj3dUsr0RjFKeKP6WxPGzGieB1tzNEd/7T5808NDmbYwecVOjsx2m1k/
NkWm7HHQSv1CKbHcEruMJi4z34LNBJxP+ZJJyECEkI4+f2PdUN1KSayKsUwExxEJ4+HOEXaqmSi2
MZxZ0jPnzKZYlG3BNTvkarSKQEjjn6LtGZ+d1azd7eN9XZh1MFMcypp0Xd7VagycKjZ+JLbv/Krt
9CCC1fOPB86TW/AUirIn+hjlXpcBanRkPP/36CbDVGVU/jGDm/nNk2UF9JeYKkw/N8daEJR+NZDC
Pw1vMpgqbNg5btysYSzzYv8fzrdPnag4Il6F85pvnOq9cwQ7Xf5FDaOOWXYi/Bi4BzFs4dqKcAuZ
q2OtJ3KA/juyZ9xe+WAT6BN5omV7AfoPvJVjYCvmZ17jeJ3OVZ4E2a6hR06K0zkqy6fI+cmQtzlD
P8Wh1qMI1eC3GnDAP/lZGa0RrAdHXwp4/PUsZsHpnCBM0OgD6gNZTlwRaBhFYvzot5/j84bF2PP9
anFn6+jKgNHtysInZqEDC3tiYMrYQ2upmJCHK/bDabQc3B6P3lqW7f4rXG30NYu+dvaZYLpMSonj
gBeTlscvGNuNkm2fto/eocHYwkO3RtizMO+f4ZyHmaJReuyOTaRxI9AUdL4jkdC81h/3Eeb0aopA
DPFEr3p56CGkMOreB2rbWt/U1vcBbqfEwBZNEagYQBMHvlYqrKG0REKsMlopapE1Q1knxuvee8Rk
MaNzjrJn9U+29bFJzS+WlZq7Gk9/AhUfNJymj55CQh70vEdIpIrGF4sTkYVBBQNakGBaBgl1mud1
btf2h2exljFbIjpdB2U5iiqth4XyLQ4aBm9cAiOwXatFtccTv9WP9w+OtSDKfPgxL2QJMR/Sg0Ng
enPAw8N9DPKNO/pMJ59rL3OroYafQiJG/JCNBFz24CRleHiGjNNvyeIwikEfAKWD2PWQQN88fP3b
QiizkMp9teA4bJYVINg0InM0I1Qsser6Zu0BhqAsVLDYyQp9JdbDXMiyFsPL3yVnXEdHeXV/Gbcc
m0RZfwPQl+Cci1IhIIPYrdS3HXWjmj2ICDCQLDNKePVDWppM/nhiYm6EYIJJxV+hFHuhVsDvRjBy
maGiYZhEl6rVmrxjFg//ukbqrMQiy8sowSYifpZNDlMixKfYiUz10pofPob38qTJsl0ypPDbA96u
k/R+QIcxop140ImpbTuMZy5UzINHptEK3yrT543ssgl7gxVpzvpizAH8/0jUjnIyjNEgAUnBBEWj
djAcuc+scdmIzJYWFhS1mZ2mZr3gi8RDOaEV7XcbMrmX+QpKPnNv7yhHiIGRwSKRcGZVtEK6FmOH
ZEP+FGyzGx2WfLCwKJeIgDbNwxhLGp0WPJ6hD1ozyaweHgO0SbByNLNvyovJWVHuseqUNAGbI9pN
wAIk2clOL3ERr5fkVoCSvW22wnOV6S8Zik5E4HZDCXO9huEs6nekNRHGKNd4jo8kZBwe1g4K0Lr9
rkc91d+8YSId+R8MtTpelnIQ3skkb6MbjWwI2/xd/cHSLNZiKP8e1aBIFTwsBlVuheG/khbBnWto
z+C8u79vsw5rsh7Kyzd8zY2VjmsIbyf2r9jYkUsVK+qbvSlOd4245snhlHreeAU5HCve7VMLTLLw
vZLNEvR5b/L7cGgP72oyp/qASY+W01uNXT0Va/7cf3RGaJZW8xd1m5NV0S9KXFxnWuZCr17H1MgP
OeodUybz0LcVvRFsGYOzQE1JZhtRVlbgQEnpF5A4QrAmOK+BZT43gRmtpJXviBfUqq/bU2y7LCGc
lYwJLmVzURAgq3kM3BI5/vfi6VgcH+/LHjn1eyujTG2Our5QqYCwdfdoSTNhaRknxFoDZfmUtPSG
ggeC5MSWcOKNdPnI6gsjGn+9CgUz1tDNi5l1oGamU8ay7NVxpsvNxVqznBH5efc+fX0E9zf7Nma8
/pnUZitjM/jeKDXgvqicZN85JutZkLURlEvrQNbbeTI24sfpyKqeZH2bOki1rxO10fDtxGSy0M/c
Qq63hrbpns41goKPS9apskCsYu88uKjzz/Pz/TOYqWy/RqLseg7rxLVkiyJjDX7ZzthCic+qZTjm
+ZQut+8WdMC2bDTI2Yy6te/n0nvCRFl6F31/UdlCAPbOe/cUPC3sxPwFmuC91T6cfIsDlbO5Cs62
2Vjn1QFT203P0dc/7+8A6xwpR4BpNiHflvgRzgkZPIYvuzX/17tLmf+mXQyYZIqP98YvlpbPJIun
H7/pBVs0ilJ5ntJcniObOyTL/EdsgPQ6fLI4Fj//fbWnm8L+ZcNvxniKgjuWikg2/Mg4StavpNS9
4CrXDQrI8j9/mSBPooV2bCTdJaYKLL+swPu+AKr08L6B45P/Q9p39riO7Nr+oStAOXwtJSfZ7dDx
i9C9u1tZVrCVfv1b6oc3W67Wcb07ZwaYvYEBTJHFIlkMi1Hb46sVQghj7Or3tj79VkeoK9YKfq/p
o3Zj+5QpkQTbNJzNmHetSb4onZfHnrgL+/u/PAjqTvWaljccD5Y6YjJ+WmIdMnWlugKNgYmK38aj
ISlJsj+7K3u36cnBtPZXslm8m5/H69p0rRH/aiXFVsmK6hifQOVh79+Gn8zIfzaCvzbXR6GAdv8B
/KzfrgQV0NhyPH9ZEZHYX0BKv0+N9eW3N+S/+62R1uROdNJZjJsCH24dGFHz7xjpRml/3nOTXw6D
Wqi0CL+Mbh6S2MpWAeZpS1i7lkQWHcr3Ab3hzNUp6Lw4wKIgxNtx5pt3CmwZpZwFcOqf1jZPjk8L
FjQN48r/pIgmDAZJXQrZaE6Qg2GZE9YFoftmNb0rWm60J0/rxnFC6xSj/JGT59MSK9oPZGEvFXf1
FBITKJufvbkKLFaV56d16J5OU3fUl8W0vHTg78WyvMPnbrcoyeupJM76TDIbtXfHAfjr2cTCKd8C
Sj+gMwJiDcjpmd/uvjPto72S18fUW5GHyDp8x2SxXH0tvrY8cc1niXheiIU8C92+r9Hi/YhUpdNH
nNHUmPODRxWcnW95S89q8alvjrKoYU3Q45w5EtlgS8d5x0o8M24mnUCNB6HGxgmcWmbaLHX7gTq6
cx50x67ahnlXjjbGOgXEW46Sdk3744RKTkjQuJtjuaP1GcFF9AiyMLxGFMv8c0WpGxaV8QD6QUC9
9zG3Nuh/pEJNuUTExwCy1lq+HJ6Dvbx8cT1rWZr6w4XYC9ckR/yJhktkw1Xbxgea7uIYuzqmKxcs
bWVcRjpNw4WarjbjoQOMhhFdz8bxBt7IWKstopVLpngVwz7ILpnWIDfjVQKWabYv+gLTBZxVM/ed
zVmzKS3KHishyqF8pzawmhGWWf7xyXE8y/tXZCZvokhTKqM0J6ar96Ms6VQFwACmlxw+MjN9RxMc
EzxzZnLslg5lm41Ur8+GAjoauq1b+036qICmDKCwHJiPHDq5QmTL7cfvyrnPIEuKVMB0rWMkJtMf
KWLX5JsG33PU2n+B6n3LHhUhhbHRD1EB9qzUJ1JG/D8ZlCLFDbzPzmwAiP5OCfs6jZ+9NbfnpYRa
cvY7vTm9eAJ6fuEPqgUHNOIQNa1qcUFTXIANVNoy/RoH80rGZZ8zqFPqlP4LhVT0UTlSvx4O9TK3
P++zN/sGGicR+HGFoaLRzo4f/ITrDVwwz8CEubqK8Wq82INt5o//JSXKp3GaJF2lGKxY/lM8WLW1
SqzEui7GbXTMvcajXGgbOWGLdkRAQsyrJgJbhaWQFqtzBOIveTSbAolUw2A5YTD3u8QwquM/YqS9
TyJ3Q5AJYC59HRbK1jVFZA7DVXC8T2emueCWDpXyEfyw9uXIaE7BujgvZEtqHM4u1sjGi+sMewZS
z4ePNwuywuJVom5LjbAu+EyN6PYbKJ0MAWJdh+NB9uhjS+zLQt8I9rH8+K+FShlkP+Y4DBjhEHtA
gaMFEIjgzqO+/RfDWLcMUSY5FsXSaPofhkYgkgyzcq2DJQEuk6PRKt1TS8ooR1jp2acdOBrXHhlA
P2gwYYQG6O3YAI11hDBfCYnQE8+kzFJQyiznPFdhG/F4zx2gDz2oFucGoCg83FfQeev/9x5QZjmW
w5wLg6CFv74+JW4K6Lj3iFmQmplMvT0xypZcJd0AcjxOTN63oYkpHKiG6yH7ViDINEzfiYAW5Ta+
+bpKPW4Z7OoFqyQ8wymAw1RZFBGaAD2MEmjW9kV15vAJjfNSA32hQkvZkeV9hFEhKIW5oULJU70a
wxBg/dzpySChmXSkAxRWQGpLRK0ltSMnOPYfTKoz1vOGKiVeOUslOZOhLI3zE3XhNSfYxNSdFRPW
d+ZGTEj9aqKsfTEKyvFGZITH0IFii9aR1VshsYjcJt3/BwvoyyAAeg665ox1/po70eqykO1ybxyG
faqPsyEoZJoFXPl58V3txcUGNjUnq8fCxWACevstjAVb/MJgdk/NxWk3AqAt+jnr83w8Ycia183S
NFAS+vA3D1/F+rlAaZeoi55wy95H+un+ZZ2z5IqAKr8hoytSwya229gmV/ggiWPc1t5Ek7W/2bwX
zADqZ3TolwpPiFDuImvjFoV+ECntbGts5d31MVipy9JV7GifYFhi9FTb3F6sO6cl31fU9b7zPWfh
bz066FjP+7kA/IZpyqsYidKVtYbvqRxPtHmZuJ3dbC+o87HmdpjypRxLxmnFVa1ByvLdMdUGcLnH
o/HKelPMmqKJhCmvwqORIlVCkPE+gtWDDpVpCWvb5uwVmtCgzJ14LflS7kGjePA3lS07e7xyGcEu
iw/K2CWqEAf8xYePih8i+w/nVnik/BtPeHP+lHFDf6YYVzw4Ke3aPttXG901cLoZe1vbXHA9JUV3
KqWB0Clwhy1g1DDLu5bWga3Z27NzeSw8Fl9zaYEbYpSRMwY0ucgcpCfshBcehsRbakR3BctBF/eb
vOq9YJVaKuyJ9Xpdmvm7sjibnLmxJZnAtPnELJer0JPQGiNirMN3tqtF83rf4sy9pm4+kjIGMT5R
vVy4BmNF/kp5DtbdhSgZcW1+DUizBTZogvLHZ4kRzsh5YhCf12FVk9CWhu23OiWhTlV75RxCQr3Z
vr+EK0w5X6wxCotWrZfqGAwazGIgdnSSd3AJV/zfhLRrw2ItQZ3LWQOGDA3hiB908deSG17kpIDD
PhjEgXGDHK1ASje3sq9y+dAtIjR/viI3f4yJvEbfsMVqA503gWjO02RJBvAXT5nAXKp8I2zwipCu
ZvKFdUHZEtrPGlqYvc4TKpT1C5JCFfIA4ubN6pMzk1ckhFlIXvMmdkKEsn0phthFPQYRuOgnFW2N
ER4/7Ykn+/vKM/MQV4CJ/I/IKPt35Uu+kgvQAUraQTxKePAs7lOYtxYTEpT5G6pMzy6jesJbNLuv
13Rxtr4ZNGaeATdsUMZPUjAMUeWg0Zvpp7Ao1s2q/jRjl4XcOnvV/vLyc2yTLFcQNoBs+NEwaHe3
5A6q0yA9cp+budfwlJsfPZ9QUcNY47gI3HSO5DhnQHu/Rdtx2Ci1LhnRd6ozrvkzlqZgryLcdkby
hEmfip+EoZaqVMY9enoTMlNYR6cTQkvOvDowoA/nZYF6u/RgYIY29xjGjHWHfzKnU96zMOZzHbTL
nrydDCB0RqZP0AHIUsvxBv2K3yZHSRkLng80QB3CZL9Yke154krali+IlRSsmP//eKiORvgeOdpq
6Jd0UCucaVGQ51fhKSZrwVmwm0LH3/lNR8LKXGSW1d+Z5aIJxcaHbzYIJmly3iktBTCR5wfgOMTA
Oy8fmBsC/oOx+kuTEmVSxtcs0EETxZs8hKnC7t7I+W4ZRzZXhsG90CQZu5XhXH4qXBPdiGQ+yq9F
0iKTjSlh/8lITGl9Ni94x+lOujBfx2e5SDhLRrJIearcT+v+zZx/1Uy+gDpFGbuxL4MUtqeXLicA
BQpWzdqwy58G/Zjw69zTt0CUwh7B3GU+X8dr9/to/7JP+YTekGSuS0C8u2Lca5kTf2OTxraP95mc
a/1Bj5imKjLWeGEJPcVkFIdXKVSqFr5HXgHrN4Ktw1is2eXYLOJFC3lVEmWwLs/XmNQn7MRZFyXc
OR8D9kl9To7476Jg1fdnve7koyjmUX3TBjVtEKhjA0GamPLpEdC99fN93udVWRckNOYKsiTQqO2B
oudRCijwU78aUNx7NR+ZtZ/ZG6ojPOJ5FV2S9OJOH/DGXeh3Iyf5i/q2lvfpTl12hy4jOTbPve1Z
zUZzaSUFw3USjhO5XFmjDvSMSTiF89P2FH0nT+MWtTHZH5kb5/nPFoW1gGiesB9MrEMO3SJmvcbH
2JdWW8CDodili9gZTq+m6c/8uYv5rEWI0aMvtDolNtCnNjxWkXXukTXzNDMlpoDZv+SocCM6C0Wk
J2WLwXGgPJdbpwMYr096y+RchQVsMhvxiqLKq4qm4brQLZVBXrVlrkNfKqtz4tMlMwPNVEEtXdjm
5vV1wOvj/MpjtorhpGea18HnhDIV9V/8wT9HTd3+X4Bb3403YyoNC90+RUckJRK9jFBx7gZOCVJR
QdBL/pm7gtXQJ560SYmSEt65MIKfeb6Qu5E0bTxGlTq/WjxHUjEqKzRVc5JVQALvy8ds62tg8ou0
/Df4WJAkbjxvqKqhqBoVPIYRJ2l9DMYU4CptDgbaCjtzyzGT1fP38C8hfYxiJ/5Lb6t+uIwSfAIC
KVqVXxIi24aTHwVgbK5kLLm1tu/iujCvOYlXxsPFY6UMZx+qE17pt6LUiE3Cl/iE9Yi72Szbr9Ir
nvP14GbLd0xbYBXpwo7tRez6W1Zebjy5X4ZAVlXMPAia+Au4bUh9MU2LHhmKckxChvaV2UAzM0SF
s5zQoM5S1lOs4j2Dhnd5yBNzTE2t4JbdR6R5CXp2OIuVQZpX2L8k6ZqcL5RF27dDi8q3ss7w9l4k
nmE/AFg09DhLWJYfrO3SP0HwHUnSZTnfT4rej+FCrHH9Rr3HdkVgY2AkB1rDHpqeNeCKhIVWiiob
sk7JlB/SBmjaMhzW0ol4M7cwpq/u2s3lLV71jFzZbPyP0sP/I0YbVP+aYc64BrEnDakrFKMFrBkQ
MUCfsuKceSlOSFEGzbimvdpmIrIVjkZ2sWgD6hbdEen+gk4MJWY2/c4GF1PeRkFP7n+Wl1kCcOsx
bxYLSJvCygCTg3B4CzDCmLkYQ1TUcfuLpGuiSkVLCZ7DfWYoY4yBuVs0UY1hamf+Ea1FaLO7CeY5
w6gxogxM12OA/5az0ZgHmh536BYX0BWFupFkri7MzPNctmLcEYaCvoFlRBrlG+JOGngOlcZThK09
w7Z+YKaQ5mJsqITES7KANhKF1gmp5ZOswGWurOzbazhTXRbAJrbN4qvxeCbw55xJnJKjNGLI5bbi
5HZUwTE28k45xvc1+3lMdev29xHpOuYzYk6IU5rUa633la7Gy7fFnj1ksHaY3D8DC1ldZhi02yTW
2YL/WSis8dlZ5zclSwWheXHNomEA2TNw3zAptsNwlQSoB7mFg5et0TrzixZdXOX6vK6s2DvbKFwx
HnBzMcz4rEHji6ph3Rxlys7K1c/0mh/ruB+ppdmD+Z66LIzp2VfihMrPbZnc8zxGmBSUUovbUJKP
HUeQFTex1uJCLsdkE6+1kpWymXVCU5LUBTxfxBTj3GCst+Wv4WQ5b1azka3goXHlRfIntBkGZs4n
TOlR96Tjch7ta6DnFcAijwrza9gmWAyHHPsYon2yEm+zWUQFqB2yBjwyHSX9WwsTXNTID2X4BQte
qD6cV76FrPZBXcfM3qE54zklRVmZa9NzAjY0j+XDcX1xXxLfQl0Vua/ctuojt0S5lCXP8Xxojz6l
SSkmXw5dhObHMQblzes2sP9crQFF45xZuJx1e2OQpEuirmsQ560klfqqn43YRwiIakpArtsQXc6i
E5ihXe079/u+psy1HY929B9ylKZc+IHP1RLk2nHAvCOempIMvSG2ZApP/MYWX7cVNklUxNxopv04
5o2wpjqxUCO9/yU/PV+/ZDz5EsrYns/nXGl7Djqra9ab/pXsDafzyUEr1ubj9+W935j/H3W5WRM/
oUqZWyO9XpqsAFUrODgZqRcjnohohzlpvokUm2KDUb/Q0xgTHrOWbkKWigCQQg6TugZZQLXkxOUd
HTmZggVVKo9ff0+m1LWssf+ubiqQaaxkMPMlv9KuJNgivfne2COgo7JrUes5jBdpIJqpvUVu5okv
W95xX413zFu7qNCZzTfvtNb2lXckc8+CrpmNTqCDyAmIKqIilTp4P82SJOeDMTppkKIEWJfd4F0e
MAFXmJSow458oPQWPSgNjtWhwT4lycPFTBxWfDdrLiYcUc5Uk7GRw4+j7nStyFuzLNYyqSOCzsPF
vwAXgugmpChFkvr6WigpWFKxxfC6vXrD1nDRwAG/Se5f0NlkCigh+B9T1zpt440cUzCiBmUqNp4+
AB6iPggoGHoPWk/Ozre+QBW1XsbrymsXjMBg9paqqohuUV3mkQugjGKAuLZrQPriXFeDlV5Iucys
z/sMsohQllc2fGCEVjCF4sp3jXVKUAfIGIyMx/HrQk4YoXR9MCpMlV9Bo7SLT2klmBLLVc3V2nCJ
/hEVpeOXwRCr9AIKCrHKAzp5oOWd3bmJc19a8zHNhBCl5H4h1XIqgZDuKiJ61/sciRHzVUQT6NW6
Po8RMitVOps9xLsJNgKFBrx1KW+VAQ4iAeLl6K0AL+9/KxEJXxP7IX3Pi3Vm/btH6JQgJc3QkKUk
b8Lu9PIRdAT4hbKFCmm7qBfdw315zsb9E9YocRo5Evt6bMARKc8RdlMdfLP+34OSwlRMaNDGAgPs
8mW0tPx38hhiDxZQna/rwOIYN2k2TTAlRPmdLK7Ey9BDbNH3S2bnzrIEui/yBGvGdZq36BqgkAV+
1AeN4qhHV7Cf++cOL+lkGyx2mvmcnTDYcP9s5k3fhAzFTyMF8iXWQeaqED00lRRZ+rOrnp6Tz4ud
vdQcUTcb7AptXG71bYSkXP/v9zvi6CZfMBqvyaOlGSoxqBR8QYwwDXnk2hFcnQBK6z6n8yc3oUNF
uujLKy56WYwCDc3Y8R90S16+pvt28S+adqcc0TYd4Cex5NegdLaDbWge/EWC+UlWWDkbaP3lh86o
Duc0jq8VqEjH8KQiZVVavMOE5p83TBMylGHiQz/G1mKQ8b+kHcBH3ezLsLECxeH2qV14yDYyzml0
FL8cyYQg5UjOWVEHagaCzZgdO3uXReBKqy1aSpdrFuYoS4aUEeQTvhWuAWgZiwRYqh1R7I38wjNY
YlGhDKASYU+zNl5l0eOuqGkGhD9qng5sLYbo5vy8KiuiAuwdVN1+5ksnVylXhiblw6xDxStYNw/F
ziisGBUMzRVsbLPziYrqzFr3zfDtX4VrE9o00oumK5gWTEHbSXfhzg8fGvv6zI8vVp+ZLBuPhVaR
KS1KJy++lqdGjXTc+dv31pZqti5qicAU7OwLuk+NPUOuc7HNlB6lkj2P/Zdo4u7GYltgv0Q2Z/JL
ZZ+vUx/vSdSHvs++yZoGng1D1LF+iuIlzyM6vTWMpe5H1zgdTfPBc7DCVzYP2InZmOjoPn5zLN2Z
i66m1Ch/E0lZIgCxsTulVr8t0EfsBnghrYae5arn7veUEOVxqnMQJ6qadydLGqzKFgl6URbfvq0C
U5NxbqMe/NKTiQQp14LFMJUQ1eDpJd9oABGX36UMCb/GZikIiyfKtyRqFLbCKLw1YC6bZ20dLS9v
C4yuXpnJ/DljMhHfz2jt9I4HgdAXPUgFT0EJDHTOYtYLZ/OIUxrUe6GvwzRKW9B4as2XdbJ9k9D0
akWPwJguiHnE6/rp/kn95H7unJRM3egh0IGS3MB6rHe1mdgfHyVZAoRFCu2TbMW9fd2Y/PoYWAuz
80wAbO+V5SczQT1eqHsfQV1zP8wSyRfGU/QKJwnMYNn1xFwsAudz0bCa7WbjkamQKd9TlZVUXQew
3JsvgFHeqZaKmlOMMjOr+MpSGcqQKH564csSlBJiRVskZzHh/skqss5sYUIEro3FEfRJ4S1LGRC9
LdK0rATca/n9sktF+/rafKhE3OC9dJDQQL+wjvXuaLZrPK2dHoUGyJWVn5g9wslHUMbl0lXCWQvx
EU+WV23CB8Fxru8laZaH5wwtEiyou9mc5pRpysIk56aqtRj0CusJyPqlWf7ZmuaexdesY9cloGdh
tkRRaNlmfV9LBRacYVHhSbPbJcASWEMP8+5mQoMSXZHEUX9ORxrZe6ZhYNuwVWsjPK4wce+dY5P1
LJxN4WFHyj9MUbIzLkbV8REI8m9vGhFXSYB64eFwGEhpBqvM3S1PoVUGVrEqj9+L/fljjxqi+WgC
57mxAzRImcc9bB9LkUc+f1mByWdRtjxN9FJNSxlOQ3W7db+8b+lm6wkTrukaTRqeFS0r8PNiRQJX
Pq6wjXm/Z3jz2Rv/l4cf2zNxElmjCWWlg4iVlaZsVcBhglYyOJkTFKacNUEzFFkCpORtfIJuPV1P
scTi9LJ+41Xz3BLJNveG9V2Y6ZfFHBCc9RFTetTB+Lx0rhvJB1MvPSaQDQS0T5gzsJaH5UEzH+zn
V6TrTMVMF6uL25MsJ4tgB0yOz/t8/0SytIJomPDCfLIoKZpMfcc58Us119v+9PKCVpoB+PeAZR4W
GEjqAJ9CNsR+jzEz1LhHJL7d7wDFRKCYMaTP+goa87ARy2utoqyAISVJdSOiYXT+65CZoWPY8oML
OI0j//xdvSV/zAob775brMweGpvVmTrbGzuRhkLFCtdL2FzLpoM0LA/b28guWQGiWib4FI43AY+C
bbqAE8a/36nXkq6xWaIQfofnKrr7RAALavI4Qkr57TZWw0b2L+2JC0m6EVfNJrNlrKhYR5uLbeBB
cHFFzPyxcna/L9ktWcqB+2rVDK0CsgrxcQD6cqOTlL0r7fc1AxldVXikplUVuAK31yzTYtHnNVQ8
x75CDvhDq4on0lbcoWnrOzcfG++ImvXzfSX/7XBuiVIi5SWpUX1NQMbYLR9rx98dEZYs7tOYk58s
yqKB/mFd/4XaiYUMLaeW2ii/3k7s0FJczCxhcvQ+mZlAC+3oEzqUhqbZJarLAnSu5sWJ0N1XPQvY
KFxgaRErefHTonxrG25pUYclJL0WG2fQalf55mRkZFei+qhZYWJLyxdcjBUwDbE727yudfNiqSsR
S6Ds82HpBqEVvw8YBMQa9Whj2LFvafsWMGIKxtdhTTyL+WQfFfTex1KHfO0SOe2vqDdLJF2Wtocl
dZotLlWyKlzfZBzDnEZNT4G6LRU/KCmaI8bTHm2mh02zTIZ+v/dupU8Fun58HQxOhvTHc24x/hwA
TUEzOY8DTsv/Pv92S4yKd0utL8O2/ZHeuK187TtYclQzAto50zaV2mgcJo4cnuaM5icQKT3BRdmQ
VaKcv4MoxmPoXtTwS7e/nwbtpe2zn2rtLviy37/r9dP968eiQInpWmNNadKBArqw7dgqFvoI8WKx
oraZSHw8jr+cUJLqr6pWcYBXPSnO7iU14Zod/bV5yhxmoDzai9/X5i8lKu4JfMwodOkPR7vIjYFv
gUgD087sptL5C/qX0ijbyenXPB9LRglKtR0DrQyBcUvkowo8EoyYBVa5Zg1SzlQdbqRIZ/H6MiuU
2IAUn+p9id4ac5vtAsu8rxIzMfAtFcoix6GcNIaKao2CJVofocW/+thBjBYMzUoYjozJEWWRsZE3
5P3xtICgYWOpRf85dlgv/p3k8PIdgX94WeQpY6ryXFAr2DmBl+BbsId/LjAdxFkJT1gdFjMvNYhv
QooypW3eaWUi/JBC5gBzeuGzb8UOtw0whuxmNVq+GAc2q/ITipSZqNVADIocVa942VkfidetBrSs
BA7Q2O5TmrUWE0KUtdD8Oq/lBJnW0n7pNII9WanJ6mIeLcGv+zuhQVsKrqmi2Eg6lFpfUtymdMUQ
F4sJykAoZ7HS/AIZznU6LsAjyRLVC1bn1gwIx60WUMZBkAblyl0hqvylQhPnW3j0ahPdMIg2gP2x
4k0By3YqQOcVaIARP+XXcT5EdnTHflWv+Au2aj4ky5WybAPGIY783REw/cS9Cmp4LktoiyevBjxy
sUOGCek4g5V5wz79xDW6y/WSySDy1OTEe/PNFDELZigtT3/wZQxS8CS0t6sDwSCny2O3yVfqMi89
46R/DN3EQAMU1E8T48eQGYT3gPkF6INi8Zott4/meQmwwAMrMp8hiQwQwNNQEtaws4xSLiPtamxz
vGIScACYpnnBsNj5yIg65izMWELCP4ok6DzNl9YFaeSPHRAZ2qoFq3CaNXwBBplSOyTfPmvGbibh
jPIKhsFGJAEJM/SUQyiTXOb6HLq8rrHxD48pD73BjYWANIiw6UgwMyt39UN2ISywKnnGtN2QpvwD
J+aRksswpuV3Y3FIPXUbPbbGL3gJPdhyLGIg3LYEvL8ZWprZOuKDfOzM9+TYbeU1Blw3WDk2al7g
pK72wIieZnoHbyVDuRVRaSolG0tPIwKFgKdDgq9R7BaYa85R39pbf6ssWWXRma6AkaqCdhSEVJia
oTxMrtRVmUewYBIojvuyky1mwAMbbYMasPq01bEl+YqzFKCy9cye4pmw54Y65W2UTNC6yke+mndF
F5gywgJRvN2tCqK95e75mYWTMhePwHGPrRaIgmVDpZqwEr9orr4MdhVSLQXr6uLdQJQVB5TfwGG9
G8TRh1HmUVaFcbuxaMCGKZThrtJr1yQaygx4cmlrB6P2ItYfxbtqDcDTLecWtr3YozWT2OYrYCUf
maHyKL87H0Czi6DyHF7GOscFb08BkQOg2teJhwTedpWXRALazZbZmz7eI5qoxqMXctz/wAt0nqgb
1CwsJB3ZO3HV24AXQMpq+4AKY/DnfggxU4hQ5Skl6kbXisbH0ZgnTBYd+hVSuMDBKZGak0Y0i+CU
ozdyMIGIY3NvMRb4iQEByrW50E4Ce65jJti4+RgqoKkuYnLFNC58IZi2sN/KJptxfVtjqms4qz0r
qz7nHqbMU8FNnlVyrOfaeLZnON/n1wapUIshYRZTlAYnPKr9aT6eJdZpeRkZriaAIuKlly/jZfU5
ovIUmhUtNfdq5eRVcUXL1jOTOSEm/i5a46iRewboFi8KCg24xfkX3leioMdg48ub7r2hSmlgsGJr
EcQ6Y7wzolTcZ35m0u+WJmWRCz/G/EEMmvxegdoIx3Ey3QZk6kOIbv0WcwjoK/eZ7fOzMld4RUdv
NQaeaHy8mleRZi2jHntasMDMNFZb1sOWRYGKLIaiRjK/DftTtogtw0y3pvF5X3Zzlk+b8EDpjcBf
e4OvRh6I9GF2LutsZpX/n99H0wRs0CQc82P+LF56cGCNO3CL3YW8mv7HfR5+fB9lyLDEBkP0ooZU
s/ATO02IpOUIFqCL/aleia5sK6B0SDaG+aWiwabZM631zLHc0KMsyCBfMA/DgZ5xHBOYSCjWaPZS
l4HbYrOrhg57HtXcE4PLGXOtjJ2HaD7BtIb+E7FNuAywtS5EObfHc/b8dHWvXoZQ80+9kTCiyHrK
zPgjBcu6gJeH+qaGKb7bY9O5CBuF/b4/BWg9DK2WcWIzkyDqze9TEkwFTCUOmdCf1mvvp0aBVMop
/XM6m2RJ/mwae5NsyCvGAMzcXh0rLwem8ydSEQzLIc3KdMInpf6xEWGZMfavoL/Ac9pDBDCNgBjb
jsTHw0Gq4Zw2mBomxygn2e74rR++18bpc81C2pxLiUzkodPXROMuSdNlKNnw+/ChW2aHZicsss8A
GYszg+c5ZwyAMgG1MkQ6o52+PVsl1iM16yH7yhkXwXq7YXnKnVO3xjPJde1NaxVoALog2jkay+/P
J4Yaz4SSgBQxgJHAK9jx/HMkEzUetGK4CsN5+Mk0rXWXAzQYBzzTnHDuGaDdrPzFXHCnCBriZqy/
gT9Sqdi1TYZ+XHgwwMR5DUIdgzSb6iQ+fezOe4eU1karyGt1yB4q0i+PuckC8JoX+OQDKGWXle5S
Zmk9nNYvXUQCzEs89Lb3UThOZh4is7Tsq1WUgKuzVyIQh4Cas0PiktWi95M4pq3kVA6jVZsIvpaH
QJXqcjg9PXnF5q0mH/3ZDIjLmS6as4MH7EBvsO9wXKMRww8wzp15DNRV63jDxwpikF+j3NDbbzvD
+ai9jiy/ItO1Y7ybKvN8PAIWc8+85rPm7O8J0CiFyjW5ZqIx0l6/6O5b/PkmPw6wbEvA8jV2a72u
3o+rdvG9ArD0K2B0HmPCfMDPOQ1sGwWqBAahNPGn92Ii/kE26jhWBohfcVSTT9FZXR1Pz5mIycyL
3QIC5XjNiMbwGjMoD6hQyoBYEFCIxcgCdeqR2lY58roCrhsnmiHqSk7pZR72OsQ77hF5oJisjBWG
r1aLxXXxtGDc9hkDC0QUCbM6mLbiVRowQNKjLAuwuQIdAp5sRqvSgkH/3jOUa66gOCVDQwWUelLp
ygAugcBKUGjI3io7eGWn/2fCmRs6VFbEV9Kwz1rQ4RawnN7uo8PMoDm4NrSXHPcL1qWdC22Qv0Zu
eTRhBgDkby+tFARl35SKcNJy2Opwt3RxWwCYY6/M+yf1O0OoQTvQp4xpaIP/BZiop6pYRtcEgZpT
k/51Yw5M9J/fT4NbEpQh9vU+79oqhZNbDWtib1bbY89wbjOKcEuDsrVBGQ1cqYGNEVSlNJdk01s2
Q1QzyYlbItSdEiPY8/ACRtYckV+3yGv+7JVima2ZqOCWDhX+czwqp+cadJ48CY1s+YE10sI6dMom
+/3lXFyr8dDrff9yVA/Wf6VUPwxObJ6BVSPDcMbv1wipcoJ9usf7BGZqjDcionPOkdQgTdmAggLE
o9iJzHCxWHyyToIhJzr5GhRDVjYKDiJ5N94xlsxqDpvJ7t6yQV3zMOayy4BWBcShwKx1IaoVtKon
e9Zw4wyg4y2lMTybHIkSn/Hik0Fp2HkvV/Pl5S00F7uz+bHznALdfh3asXdww3vGQf12BLd0qcvP
F0FVK+PlF17eHhpssbPtmDwybuZv8zwSQdORgTcSrCV1YfJYvUR+dUYHFjLEMMyI6Mjwep+TGfSK
WyLUpRmMUuRqIf+xlI+H3bg7a3E4BN71Yh02+2SwjAIQeMEIG8OgzGBPph7TIfCa/EoE5XBzPSAR
v6kBnuFELvZTQKTCYUOe7fMS/fuPKH5rr9/BgGZM3ZSY92Emy3Mjg58U/kSLCk7UjIqHoJ/0xyfs
WyDOkjxoJmCzn+2tyVLa/2AI/zlXuhe91msjCHOQK7EkDNux2/Xe+lem6i8J6gZ2sorW1/F1bQHF
/Gw+Ayw9lhkHOFNUuRUbdfmMC2Dx2gsO0LMcx/kSH9yHjT32gcbmEwsmg3lG1I3rtFDT+gJCw9t2
cHaOgENyq0W+2CArgiVJWJXF6r/7HWff8kd534ZPq7ZQIMRhfXVM43Rf//+Dlfx7RpTfVZpcyvus
BkcvydbDWMIJGUUSLootVhswaI2fevtaumWFMiUJCn6xeIb0LK/DxFbsoBPLJPYxQtnLsFgOYKZn
85YcZVTOsVz7vAzNWK8zYnk4ruXyoTHdr8vigOhyhQkEA11nLMf2H+Klf0RK96z2fC1nOQc2s8BU
3lZQRR3Vq3rBKF/OO9C/ZKi4+YzdDArmOJBzOBN+qe6sRctMgf8uG96IkMZr6rM+qoxw1HfrxalN
lNjxuMWWYiyHOxYuWrpZjw4WU5TJUPqwTfqy7E/qo4LXnLPEamLZctFzCqxQkyVC5lFRxkNShYt2
VqAiOTDDrMCrX1YYv9nvGUc1U9+8lSNlN4RQKrAyGHSghrAZyIehXO9iw97CANwNc9CI5U8VymjE
WjkYPMAAT0/YgPf240tOX+QPMlF4U5lYKs3CXmC5E4WyIwbAgyI1AMWEYH2jVzvwKTuGP2HZeoUy
ILGP3Ne1gHa8WCisncgS2TX0/GO4YK3brHs8k125PTTKftRJLbb/h7Qr223dWLZfRIDz8NocRIka
LMvblv1CbFs250ESB4lff1frnBPTvRn1RZKNIAkCqFjdVdU1rpJMsBSA3Bvoxd4j9kl7M7dE0RJ6
/bU9HETOdu5Jcy/LJvJ5ALBVb8HryAtAZ+cZ/j0kxWhJtQd4y30bLE9q9Oj3GUkElmIZah00WiHP
aKt6e9vMkbHBOpMWI4M2xsB4Gk019g+jPyLIiOIFY0ySlIAgBTbEeD8N7G3PdHlLIqiq3qPDCGCu
yaLWtTg4DQvO+pf7xzZRDoMsjLhgJK/WT4Uh5Ldjc8zfmDxYSgtg8PnWA/DheZI3aQRHxBjBa43r
We+EApWCHGkDJMt5iYlpe/RN4ebnjKQsaiOhMlKwUyOHtIFZ/6TmCMkDzBzybN9kimJEi3mnOuUK
JMAQF2N56ab2kfUHdu6B51xw9OaWsxtx1OT/u35ll8y02f3rn0g3/7j+m70d/Xp0Frs2p87yM1bp
0jL7W+Z7T8fZfIZM63Kwe8ddrwun8HxEeTzWJvKNP6kzr5RhXptGtnCCATophnkuYejjhFkToAPb
53fgjPgHf/dLDLh9ihxBvFnIEdtWKZRZBMSlJ2NjzjVkMzmyMe1Pj2SDUdqTNAhZU1HOHCSR4X1u
EPM0yCD3jr24+v8gYfzzJBk1PnXAqQJYFU1lAQ7S8/5j/BxXsxfO9r7MTGe0RrwxWqxZpWqUJrQY
hs81bGn2ai+22+aVQ4ajXmwv80lTjTqjR5hciPjaoNIQYhOWLRu8QItjyFlgu946NnlLI+XAEV3N
Dxeb4/5X94aeR5794z1SbD3rkkiVVBwpqYI8H0mz9LQlXnsDaVpMZrvZfsENhydzKd+3xSaFr4Bc
AvAObgvZIuKcsTHvtLNWYkfOvL7RaS9mRIpR5/NRbgsthVYhKqFBySdgCOBUuLb/FWx540fTyakR
NebBF810kLUQjDnI4a+8wkVBeP54dmavC3dxJTsfYUNwuC+U0/4nskWYHFRNwH4zNl/uLnpTS4gq
FQCBbOrd0xxxgzwn2HZo+5gh+Prqb5k4DtnpR+CbLL3kkb2qY0WoTflGdr/fYFgT8H8unG0bu1Xh
bNtfVk9qdAqJPsolAseYTdQVqHH5ps7ELknbGrl8aq7ouG6W6dPbak4uNug/rde8sfq/0ZBvWowM
pUrWRNoAWsEzoMZpvT/BlvkZ1ncvYTtdOMT3j/ZvhPabICNGx0jFKiMa1NJIEGYTuEK6M0Neaquv
ObS40sO4jEphnXXdoK+tONujAXhFndTQe5m5698uvFTX8Tnc0V/803n85o55hzqzS9ML9YrxwpIC
IoMa9uz3acbF+/ubt/ybEvMCHQvxXNcCTNtz82EQBdoxn5X+AA/8BQCdA3bVYt6bw97fPLPfRJmn
yIjP/01ynt3GCWKU6s0lmaExvrXtgzbfRs7hmYszQUXw788UnUQ/lbFpYrWzqI95chxsllsZ/gYd
RGfnMms5/P2Nd/4//gyRNTexURQFjTHerE3ozImKXLh9i3R5rRYKPap7XDEmpkl6zEXFNCh0PGdD
XefHYuYlwRuSj8iMgL/l0vUl2975DgAS/MTZ5r94qa3prN1fpsZgx3Bg0o3iZNzeYjTZPCUEeRIy
LBDXc8+Wnt09hhlL0wkG9jecqMBijAld2aWPwNdcc14MnUeGsS+mEin9qQcZMyNWjFbV/dVWPgos
08sT/Bftk4fbfSbz0sRnzD9ms+XrYoF4Zee6ZB57ofPx8YJ+yD26nKxttbQPIYLZxcJFWNtWvDB6
OnE0ugDGRAl6eE5DmnV2gIdRzzESIcBt2HLM0rRv9y3XjFlK0LJ9CWkyoEJ/vi28iZ699Xmz7dTi
3LtgxiIZUlmZEQ1th/nRCQkFKbrPxnQiZXRYjPnpIrmRzxewkREk9bZ79GpQ0ItH9AmTBqq6du3k
AZgwu23AhZea9lr/OkK2XJrWWmiJNHJbgerZtlzxw15EDcc55ph14yYvI88jM89ZeqG5IiCyUB8L
3uqsoyAJ7sneYYKMV1rhmHSDLZ9W1wsi0hSpsODtSOc24GA9PgBNn8jkawEMz13KiYF5In8rG49Y
bOtLLA63Gp2+CHsibWEHtB7xhnNfXLiEGIvTxGJ9bWi4W83CVzz3gOv0d1zBuO8rGmyDaypeMlO5
QDCegxoDk9ZafE12ub29+Yb3OZpoExt7hhg1+fkUdoIcJZpApeN5tZLw5BcA4Zthe4qPmu3O9hUs
9+WcIuedYnuUMs3sJavEIQYxVoVi9U30tOWZp/teE6B9f7IVAZqxwToHWnpLsBTytCn2X8cXgLgi
pODiVt0WWd2xUzcPdSR/caP0pVRC4i+e8xagDX+1eZo/JqvPp3zziJ6hq0I+Pwmxz2iyBOyAtQx2
2e7q+7yT5bjCBps8S8+ITkuqeicn2L9tvKeHrsA9IvVjzHOb4wzztOEWCYzYvirJkB8p24Lv1TEJ
fcDPUFApzmVyXgE2f6YlaaQBjJVGbDoW063Mmgy5I3Kk8m8Sj3+ZYzaRlrbhfwshHvaYoMBt2Y/E
/r1AbR26x3NBOTpwC41HRzdE/zMkwQoV6PAB6BL3FZvneN4Uf0Sha5DlOevQsuvMQUJpM0+9JviA
1aetvrymV47FYrNxl7zWBvMCSUgWn0c+5i9PAhhnQ6sLJTrS2raDPlb6nKCPdubSm0FF7PlfHhxj
OuJL3uO1BC8YW3p7Qj4Ta+Rv5YegeOelkziMsRmysssksZNAK+i/5NfT+oujOhNDuj/MO5sZa9sk
T0vquxa/V+i9zezZ3FupMw/y8BjNUJslaxfd7lhTj+4jjghyiTMBSS2gN/Z0BneVu0cu/+nNcwJ1
JR2d3h5qN2y35sa+vjhb/2uXr9IKtiP4lyaKzZ01baoPJtoIYDscQJrBVUUvRI4/HF6ni4zfjuRt
BGKkbqdSkbBch95k8hs9VoYt79HSxaHCExcmEkFolVYXGkweK7v2dVI9Xa8cEhzDpDD+wDU2zETM
0NOB0DhZGDOfZyo4uSiD3QoplVaqRWdQ2K+KtWi/kRqJIcDpzYQ5R5M5VontD2sVtWn1DpR6G7ix
y4hks8fZw/r0iLI2h5R0P1K5xeaj64+yNut72PQnx+l1MqDBmvxGOjHmeLocAVCZxEUuHNsmGcAR
IroKQFSIGFROlZeT4gKg10/XSRHE2syvyFT2NkZRnQ32lUTkE0EtwYDOGgvtUaM/A4OfB7E4HTco
gN+3sN5SNm+CMzpDOZJCI6LvvOU/e5n7pDufyJa4KGnTlEWLwev7lzbpI47oMdoUXoT4nJa4M40E
F9/6lb3f//3pyGtEgNGlBmsuc8xwQdIxA+G9vSPyQkkuJ+R1jYLVNvhnUjgiyLyTpWJkZhvSEyTz
+Sz00FJEQvf6eJ+vSbUaUWEeSLMuykuVUN96cIDswDPZk5mF0c9TCzUSgzjK89g6UlXSt8ksJ7e8
PMfK8WSNdZSBx/pfj30fYK6edo5/IiZe2ifb3yE9w+NpMtT/5on1lPtBMeOepqjj5TuuxsAWpEDH
fK7lSK9nXjls0oSPiMk/D1ATrVKW/0PMWeWe+OE7PH4mzd2IBFNPyPXMspJbqlG1pccXpNoRJfJ8
5AlYQTgvIyrqT0bavDsXiYJTy503gGF/XjCwTtxkjv6WqHbvCzWXGGMNjlF/vSomiDn7/WlZkKC3
VbRNeuqraG6Oc//cehyK9PP/iBpH7LHm4VjKAL4ARbosrpoRpGgJqha+NudJO++6GLsAwHr4s7Tb
FZVsTLGgX2imoe67RMUCsaE17zGG93yfO54QMkZCQGdFWTVUi9UTETIMZnDrPrzzYwyFklh1Z1Eh
LOfJ6hJY9gXNtV/UuUvxN0fkpxMl37fFuurtcNGPlgVqzysk13GEQH1yHoEjgD8o/9DhVUBctgSr
IjlHOV0nHZFmXuRMzoT0akFQsJoSCWds2kKysretXb2JyPXho/e6xbBQVlEGF9r371/kdLPAiDpr
TrJj1RW0mTN4Kz7PngYJ3ZruM3fMmiOkrKuuDtdIrgYcsEJCgFCusVBXXi78XcLLiE5nSUYcMXYl
kRurT1UqmyvaOwfsxwy6sEBxC2C1nNOb9NhGtBizohZKoYkxfICTs29d1JrwMDcEsKiYIUMdhkON
o3V/eO9VhLVC1PQ76At8j+C4zR9RjUD9HgvguPaZ81Kznryma6HQXEGttVdHErnSDPDQHL2brieN
DpAxJAYYao80fd0u8iWASr+UQCtIhG29ayBQf3F9KB5TjFW5tKEoJgbo3WZHc8d6Ex7u3xLPL2S9
+CFTKFMg4W0KF5mmjnyg/9Uka+Rbt77ydJ8cRyZYf940gZWshJQhQDVL65LojzxPmndJ7MRGm/RX
uaGHhhY08vhJ+/RdhAnu9sR5NKm63HkzWaThSrfOhlGD0Ap7kebJ5v5R8X6dMQx1qsiKSbPGgQ4E
ovP8/q/zLOkNu3bk2eayVZdnGT/f2v3CudBdcx/D4ji3A56LPm11dERSqkW3mTE2O9HQpnRMEcOZ
n62DNdpAX+XtK6E+w5838U2CcQFDQZcrswQJTwrkh5zIXPPCY4K5jfOAYdgihNeCfuDVqn1LHaV2
5ZcrtmZijwFakpAv4tzQ9Bv0zRRjrU0z60/KFSTltxzLqZYP7uvC9u8TmY49VFGkAFSAumKHMKTB
jKWubqnfV2Aj6Ar+GJpWGoLhIAzJ4Rni+A+TBmBEj3EfpF4pGjoH+DR8YPOxrSxgN++zNP2ijkgw
8qacuuTYWR29Kgy1o5drg0GCObKNyLfhYc14JYFpbwyI3IqlWIBHsxiC2vmqVgNFWWrtgiRnMvgU
3IB6ZW+xYyZB+LHYYYAh8cqVkgZbXhfZpGiOyDPCf9XDsmtjkN9EW7gogJi/f6DTSZgRAUb2hVg3
OykEapVC4uUqtjde6rS/5uRRPKAd7zLbYTIp/8VLwUxnMUdkGfnHYRvRddAvTxdnIMWvZIZm13MD
r5bD36RIjujoPyO70roIYmFi88Tzs4FbM53r5vhy/wi5vDBBD+3za4wjeAmccCFE6EFB7Vl7PXDI
0Jv4ww6OWKGiMjLq2G50ilW6teP4mABe+fHWSIi60e7KY4jK9D1K9FBHlFAz6nOjAENpB+Ca5mwT
L/uMZpE254VWt3rN35OS2QYpWTPjoz5A/AJ0ZuqfmQyEOjWZnSJkz6uYAGuZ4vLFnrg+OFsjxeBy
oHFEZNqn+OtgZbZzqkya8/kq0XUoTl4Tgi67kpSPux0XIJsjKbLIGJM664bMCrGsI6i7AOWrArbD
N+bbfyUpf2IuKE08lCk91JVo16/nZJ0DG+NqIEUXukbNCxsnH+jR+TE6ZvVGqPcqMOKKryQjycMi
4r1k02Z/RIJRsQibv4xziivCzCkwXrIALxkB6rKx+K24O4c7sMNjidG1TCsj0cjpCTr9byyootnh
3rm4J+LbHL2WebQYbesioDybCWg9OxSYtHIBVuxU69VbO9jmjlTz5bJ2W0/faCcMtmP/MudN5dC/
Ce1I25OTXmjtGUJZOs372oUVvi+OPAbZvqC2ONa9lVEbvN+Hi3niwnx58hx1KxrhO5Uf+Avd822H
G+lTybtjXdgGoQvw+5LKostxVvVhfiFP7WdEvNoPVRtogb72dJ/Tab/7W0zZ9iBsA0WXy+VGryK9
GwPINVvqXoksEYfS/XdNZksYdaJh6U8LoaFuydXG/qJl7X/khHZ9rn9X2J7mcJy76SaMEXPMk11V
elWrCdS8cp/Vr2ZR52TBnfO57+/It+TpSBhzKzm36gB/B9PRwodqXxZFh6Vi909vMvoaccJYk0tn
DnVKtdt7/Lr/y1wJYJTZPApV2TX4/jiGs0FmsBtoBEKCiTdBwRFttq7QKqfLJaMHlf1Od8Pvf2cT
2DKCUuqJIl5xQqtw5hlewbF5nFtmG21MIzsmKj0lNIFlKDC/AqHq/kVwrpjtsdGughTVFRgI5xgF
OHM2W3KiAiAJ//SQpK7trkZPxXS/6he0NbdZlol3zm3ArKHvcLuzbfd1/TirNZ7mT0aO38LLttsA
wFq2tIZq/mJvbuGx171z4A0sToeOIypU/EZ6qNYdZoEKMAggRcl7o1PoM+AmIo0PpGSb205Gz+uO
ob49ISNywHdI+iSj55k7p4bYMsE5ImuJAhnX3eMdIBXOES1JiDCUI8COtSeCvV7FrvbT5yHcxbzY
g2cx2SW9maA3p5bamZN3XoUIuk8zPlrAZBrx+6bYcoEsVWGktDi6KyC6X46rY0dsrJnjWX+OyrL9
PeXlLJutjJigX6x023zI7A51JAz3XB2cXKA8cJsdeX45OwEnZoqYFypIGj4yly5Ba7tvY5Mkr31o
GuxpdIRMkG1pYoqFuLinXnMqLGBa7w7aAYUdWq/i+eYcw8S272i9Ig7HBtKXobCSPHfY59A5HUDo
rwDiOhGzWbiid98W3pyBO9qlMC93lmRVFOagqbRAeHjMyUcDPB3gw3BeDR5vjNGoWkVWhRRw3FZD
kpCceUZ9utVQQzcD0EVNS2VHPo5J15WyRUGgMTZYesJjtnq1sTFgsUs8hwuSN50+H5FjrHxrVGaL
rXc0oU3Hy7ZZ8GTO1Y8ESy4sx1+kxN/5W87T+DeX9c0jc1ltLUpWQbGZh03gzT3BHh6x4O+La+Gp
UP8pFN90mMs6X4tO6QR6lgEQFDfz0EH/MIUNOgHnH2BnXII0uL1HkPG6GuAN1nEIgie05dFhKEzr
UZRD6rLiXcGzgtlqhyP608HNN5eMsRcxoNIqJkTyOQBJb9X32NLyEO5kRyR5ZG+PAW/nzN9Y/W+S
jAt4FI9N3Iu4QKCAnIn5sKR4ZEBi4nA2/WT+RYYN22LAng0nGgE858vV1R485C2q1TWhC6q4s4Ec
YbnxPHozrbOgaHKKBaDKzvPeyif1d5aR0PtdtS6HL57SsTFblIlNqVIYfQyRRIHmeZhD9udkgZr3
7te6nSvwDHhtJlTW74gmG7cJtRSqZgUpKQwnxOKyOOFwxbNcbLxmhFhaZnTUlGBLj0z26gwVxufe
nOke0roO55XhyQZjQyori3oUgWCIA8x9JS/3Re/21t87LsZ0dKESlZl2M1HOXl5g/xrW07xTXKQL
xg8Su8Gs8bKYo8ckB0aSk8+4W5K558kYk7pR6yS7gMN6WazfSwc25LxcvizxHPi89s7JWNvAClhM
d2BFDuvsH7GgR67rFH2KZ4BMlW6BldYUQvH+qU42MWs6tpsCYxBbFVg8aYyKH2P9SseZHdiN7r2y
gfsEm2ytP3XnAa2rkdcGkaevDxGQIk2XU5Ka0oExeeZSS+1oogYC8tiIU6FrJ/7k8DdlQ8YEmCuT
wuQ6HGNUh4KV9+596vPGp82eKHuVEJDDs+DdJziZbR0TZGy/ZBSl3heoFQHgJVDd2k8efN7OQ/ob
rCqMaTDG/nJpVEtMQGO/95wLgH3SIyeSnUwpjEiwINNZc+pThV4MdtXv0pfjB2r30dk+cFdcTb2V
Y0I0cBoZ+a6VOjOh8/RoYQ8XofOA5pGcLKmf6Ovu8/3b4Ygbu+vWvLQXJbmA2NnFPK3Ls+iTwQN2
XWoyUsOofbIZDClqJeD1irQEbmBkVmqICcSqE3jZCjW2svLSY1OCMKZHvZ/x4clo8e0T0FMSkr7k
JN6WAJS8f2aTxboxEapiIyKRdOovnQwiJ28fwINq3bfyNXHl17NFknmjISPeg7cvPxSxNvLIndy/
pd9YcR9/AH14Rh/QR02ia8IAI5Eh57F6P84IQjNpRgbX9yVO+wr3Dpln7NwLGrL+YBfE3JUDUGz9
iSbUruCSY/0m3W5DlVF3lHRDkU0aZo84U2RJGI49vT8wtpf+awTTNbm+8GzGLST/4xRHtBhFu6L5
vAjPoPUcYKnjW/1g+OnmEpGzcwLOlbMLXTSI7WzdA8AaHhpuknX6YEcfwAhrlmHEqZfwAc7+LQSA
HLx+Hx6qwfNDppR8fKiMvOpRUSlFDToBwDnql2h3Xx8mdW7EBiONVSZcwssJP58jdhHnreP6Jy44
7lR+ZcwDI4RtXFVAO5BwVugEepuTZNbZqrN8KTHuaLdEmvcc520yHTGmSE91JIpDVFXHsAJFmiLY
e57gnj2y23HnY3icMQ/yJVF7GbsTKAYPBnItULEX6uP9K5p8vcbMMI+walwvUo5cMvVqMFOH9YIq
kV84hnHSHRxTYZ7hvpaGCMVlUKnRuTpAHLCqN5i5vxZ+5PFMBdWOP9QXPhoaakwTIyQMMb0qMYOj
KSDW0O0DroSqoA+DyDk5Klh3yLCJPSu0UlWUVJChvS77i2OsVYLOYxSu/tHxfXPEJvfOl1wLzcGg
HHmr0rkEw8l+sEkMN/dw+X/0bE9b2xFBxgBFsZzJWiTT0R+MF+3fFUd1cnQlfvFYm2xpNkaUGBNU
5CIWwGY4RagSMgDxwxlj5wPaC4IHEWVd2NdkJwage9BdniJzBIXN9VVmfTax1xvY5E74MMyWu4X/
pc1Nm3d99L24JymMiQJ0t5UNHegE/cK6LQketpK91dDOdl8mpx2Q0WkypilJ5Ox8tHCazxly52i+
8i6YdbPs2Wy2hq59bX0e9DNXVBgrVetNdTlmEBXn5Gi3pq+LpzjyvHyWnQXvJCdN4og/xlopsRyZ
cQNFcDo6aK6sq72gwcpzm395ys3YEHXQj2VqwsaLSAR0c2GdB+eP9VePfOKRu16Ed20q49x0glSn
xQVneHxTXjATpCqkcckvFwsoc/wbmlBMdbZF8hum5sjN2k4+09+HyvYF15dUTaQTqD+fXawQjNbe
qp0pBTkmZNi+ii/bZ15X6vSrMyLJ2JcQmI2lKFETva9gNB9fYTW/gJ//zL1Ijo6zfcJ5gTnC41nD
0boUF7NuiOCqL/7hvuJNOlJossUyOgX7WkVG7+CxmuYgm2gXnQ1rnz/PN83F9+8zSpY1oqx3On7/
6DpAxKXw/613dTA8eJ+Pac9zxAijYAnG97vQAiF0JttO9hgtotUg2npLTqstyuRr7enC6bX+Gwvy
zRyja0Z3ylNJAU0NcMJEdLHfDhXbD5Ms4iM5HLij4FNxtKErkC9RwrmZzGGqWX/tQioS2FAtvJeb
4peGZvgGecvmV40tpP0Lf06O8vDHE6Bbpok2bCSqbtBSI59RRi95Y4XJQCfggWgsEM2PJVueX05Y
+XElmedvc1sWbc51qhyyjJ7Fp6GzEjkd4EJC+KXUfvll+23gK1yLqdGH+h6HzEOuNNguIqcg5ehv
FVG80sE6Be8Rne0vn6hGPrgvr3R9dEh+LRYLtAnuacwB3wKlosMBKFj2+hVBzhYWgPMoTsvX6Ozp
IY3OPkJ2PDMrfNlK8TWYmjV2fgHjgLeqmUuHeeZbEQBVIr1jsLaqVrJCorld21/KQxXoLudmJx+o
EVOMxenVTj/KOZiCS7jHHhdE+WsJB5jbvF7gSTg5LKH6S3YZfQmHuDP1KyUF/BBztleAsh9lbrj0
KSaK79uABW2I3mM6G/PZ1GHDqhz05LcBAmVu4mjS1I6+hrVQRhxpuZjhlJ23IVBaz7Jv73L8S40I
d8zk5gPeE2vGODWC0UiyAnK0pDk4sTd/nMcbs7SRrkpSx4dRDG1T9mtACUCMdwu6Q2f7zHNVJ9/o
b67ZJKPYK7GUJZAtXEHvvmHvqBculRlGolEMpJuJDv8svhmRpF7tSG2Gc2pe8ys4DzPiHRdiSgQ4
BzM3wf4BX3ttuaV3zs2yKccojDEjIYBgoM7gFUgFChQLMUiwUwcgAwdemmc6jh8xyFgsNT2l8tBR
euhtTnfXje8DBpFjfTiG32CMT1Ynl0ozQATVxgLgi6hpchPDHNNrMIYHOXQ5bZuIbroMPMvTRNvF
QwbETB6QAc/EGYzVaQW8ncIZ3DzDUcSWiAuJgCxOJ5U5x3bL/97RO4MxOkVvdOhJDWmZvbfTpYFh
ElgdpFKltQjQ4/P8a4saS2jrLtdl5DyaBmNhtLA9i8IJx5lh/YCTbJVHOiyHmQG7FMi/M+MGY15S
VY+g2JTWiQT7lVza4qFGPRpLGYnm/LNg7Vvk2SxqXZaNUWb0kX47z7Jf0QrQdTtg7vREWPLSMNNu
1l/PhsnYj6SMi7qvYLJWsFnee4lQtAyADpns/OAfesgjzhhPB4OU10wAJArt+Is3A2JdnCBv2ocn
/yZjMi4XSzariJphJ9teDBQs0E3oIJDn4elzKTF2o+1lU25PkH/MxdzyfwCtWSKLH3Dt/GRsMTo5
xnoYWZQpqRoPqPSg0QR4QhS+GH4Lr8GEZ29NxnjIZZ0LqQJZD/bnVUdKvyYAkZG5Q6iTLQojh4V1
8EO1Ksuiw9ldZ3FF4IwlruAalh0uy4bUV6c+EZ2cl/CWDkGcrK3Ovq/Vt863O8bLZCyIYFhVmF4h
JsjCYK5Pt5VAABSBk7jAvpqHRzsETKzXo4tSTtzINn28qBF8CRrv8OFtuLLEGJlWkotMP0LrrwvP
O9rWFduGgUorzFG6wJ64+8xP53q/5YndyZoN2PKsiJAnZA5XWIEzBzbu6vHFJNjGZM0PHGpUaNij
NlUsENAVU8YSeEZ6j62sdYORwx1UnGqlYLpr5ieb0j6kqwPCHA61KV0ZU2NEeEB2reosUMMsCCmd
xH65wjvhRqhTCcMxGebxG/KqQwtHcXMaBJIBSc+/vvOKP5NiMabCSGkZl0nZazf/B93wCYC3AOuN
MhO3cj3ZrTymxAjg9ZhKWReCnxPqds2AJVYYRrZpVyDihy/ELBYWKPLuaipCGhG9fdTIf821MrzG
Gr2rvdOJdKV7TMHtECAdeELII8U8dZo5lMDFACmadd07FtIXPTnv1QLUng/5/t9JIdueb0jIXpzo
xYWzeKcMRC9QcKVlgJQHujDZSjQ+RObBOwE/OjLP4Ow6O2LwKfAwDmpiZwAaAyOiWc4RLee2GFDy
xtxAP254y8ZyQUEm/cHxhzDvYRbLXdxQzXNWTtMQUMfiZfz1hZwBMqOHZ44DOtmdYqqmhehOw95u
Fjg2LgQtEWpsb1cw9gpp/R88Ducu6Xf/ab++yTCqEVlNK5hdCfuFiSRMSQPj7Bets/C8MQ4dVhtU
aZAak6og4pBoG2HRSwKEOoKDu8/Q5OM7OrfbRY7UzohRqY8UMIR316PwOBf/AgRtZPPom4O0QMBL
vk5OH45JUqs9Illr2ABk5iCJLmDgj7ytFK9YaKt2LqJEluBdde7zONlCOibIaIXSdYLZ95THfHME
AK2/vc44JHj3Rf//iKf+qg5529bgaT8ssyOxtim8Jdpk6Rx4+1ek6Uf0LyFkZ1ZyVc9EsYOsP+9h
shwdpXpg0vgYl+dwRaX5jrTfxo1HXGmmGOlycqTxoyPam9iujuTkq0/G4mtnvNJNl/+PXZc87pjX
VNBkHeA7IDpsnoGET1PMqVMH2TJ7AhgGr09wEj54LBzMsxo1VVLmEpXGvdft0tCBm4dlRyjWvhy+
vriQ59MuyffdMQZEPEcoDasgR0Ek9g58Td+w+yeuAZn0SUxFBpa0BX9LZATyei4u+kk1kUoG5FS/
1VxtYaeyl8+48fckRyNKjEvXypkamWAKB6i9pJg2wqSRMMdwOcdUTVWhNLSLSqqB/jMTy/d+6pgc
F2UTNirUWJ091e/WY/96OqKfJ4je78v9VIHvByXGQbicdEEoTQ2Ugv3Ge39qXh4t9/ODINIH/Hdu
90TjesYTuoaZGUmUTEunxRXmwkIxro5VZA1POnI1zwKp7GNvm0BAdY/Or129qmf/HXw88IzXlL+H
GpgEuBlDUUV0+P082OR6LaRMrUTaIx4unujCXvJ6dda/sT+BC8h2wwNjjMoPaoz5j+oS+8UvrXhL
0VZY5gQN/215Z/IekdR7BPhIftvW9vr7tDY9zMfVNkAz/ACh1v1rngp9dBmMy4AOkAz9JgYj85Z0
Wt2WfSyiehasZPeookINr1oERf/LmtMVNhyK1JgwvP+gyFxyI16TywVLD57yB1RsDQMgmUgHoxnp
+rKFX/3MT7RM+Lo/KDLaee2ENBrCVKSlyJXihE8UrgrpFu661ilP4gclatdHp1nmxQBk1gxS1CE/
uxkGRz68+HbrW08HvIMyRYWz0cbJe6XUiQdDlyXZAsoJcHkgwj8JnypZQZiXQ6A0cvE6CPGwBAaK
i+XdBsELmdq0OoqsDNrqjzPz1US5/j1/sWZ2erH7wMeaEOAY2/Fz/WgXm53T8dKGU73oP76QuYQu
LvoTlgnhC9sFChMA+V9B3obTrHEB8IajsYltLguVaHRLofkOGL2O15A+ZT5/fARzP8dMzYpYxDEB
g1gjmHRFTcIzScp1t+h5/yHko/tgHvA0jazqZJXgFlF3t5Nfiyf319fxnRfeT1W6fnDEPN39MMC1
i8FRu3Ac32qAFo1qbbhdBRpRSIwpwNrLVhba/eHRzrCUdoUNDxAI4dnIfJtbNZ4Ken58D/O2yxle
Yr2j1+w47+rr8K47JZEAUdiQDvOBNGcUhBYngTMV842pst0owjmUz7lEqQar6zrZykdgucXOgzqf
RcsL0gTYaRS7VwLIffTVnYND5FyD9p1n2iYNzfets20pqRHFF8vEZ1xRREQWBDvsQ++C/ZRYw37g
mFHqsN+RMBYmrY+q3NLzo4j3Geoepk736CMxwZ0Km7ZpI6aYyEFuY/UktDdCHtLiuUKkCGnxiy1g
zgKTFjaYi0rulqbbYd1jkDFpGRB0xKqrwWBFrm62qOzBj8j7xotroqEnZp3npHLgpNaz3eIys9cA
2rHbBBhG1MLSoB4le9POXv5J8eqHtDGmrD5XgxXr0DnY0z2qVxiIwlYy/rs14VX+oMMYkaq21E4M
cQJIB4m2kHjqQU3QQDlUHk9yOe+HypgRzMflpWTQw3bo0kM3wnD5kgZUrR/PeEZr2gwrii5apiRr
hsgwZlykEGxBpJ49J0wJEggi+l3plf0TJRkRYtjqlUtvxecTZYu+fdmi9V5jGMr7ZKY6QuE5ffPD
GD0k0xotDEGmtRvHu66VIARY3ZJ8zGF0S+I3q1tQn6+4eYRJEfmmzI5spqoZdV0LyhfsWnrBFvXo
kJLhYufQTe5up8lHbUSM8ZFbHZgKkkUtgeye7QQmPYQGYiPLjlvongjdxid6k6CRI5XXXYx1EeBL
IatAQvO15r6eZrzYnnd6jGnTjFDT1BpUhA0cj1dM1aIVBJ0JnOdpKtvzgxvWlFknIFpSedcN25E/
Qwf4wGqNadd2Ljj+gXaBJJvt9r5UTjXG/aDKmClTLo95n9Az7Ox8Yy5bT943a6f+9SU4h3jG3Yk7
lZ3/QZDxrgqzkE61AYIYbpec86ptye6rfYcR4e4yliYN1kgWGRNyPpeiWWiUFjbdvB2JN49IDvCu
HTd1NgUo94MtxoiIQ4rG+QKkaqfx6OrE5GhjQNUiup25wmORBIN92n4Nv/xdOfsyaFcNxzxTCn88
hSNmGfuCrSmxZVH5oSFaZesfz7zmrKn4d8zk7f+PFM4EmkNxbECitW9rRRGICgNGpL984AHaBx5k
yrRXgZSMiaBTlCSTUYki04Rzj/mKJ31xqkm/qj6zVfHrI/YXTebs2g3CwYDW+jgnOa0UI7qMUlyM
NpXqBnTjZbA/PSFXoywQ49s79NdxFHAim6HLI1KMOojR5ZScBZDKSP4krVEJ3x04Kj5pkUckGC3I
wuhUmyZI1M5q070YLsa7dn4+46XSpqO3ESFGB8yjmGutekXQfvKRsytI9oWCCWbNaHud7J5MIj2e
3NbJnly3xiyzJ2x7RMDkF6/dd0oVFEkXDQUyg10rTAIsMWIx1PSB5mnqzFaOxOF6J/TQWG1TZBmB
ioR/qCw0+DnLorPYmFTbvMewc0P0u55m9te2R38GxlY5d8gjxxytolXp9VqBXEact7eBbGZA083J
+pfPbaaZjM7GrDGGRLgKeMTPlDWEh6v95skDfO8s9FUgZSCvzPW/Jm/r+yjZuCxHTtTU8v8cpW5f
CjhDCEKfotnFXSTAmIp5aYZb2HPn8tgQLFfCIc0iA/qdEOU9GxaC5CZYAL0wg4U7w0jaJ1mGZL0g
FK1G1xdbB1mug/4IeK3fEVAuHM7tThmB0YmzYZpsnoSjRE9cLNzTOZjNHmPgkX682ld0CX7Zjez9
o8FTfUyTcWuEq5Jq+RlnEOz3MfKn5GW9kP2Qu1B8ykkb02FsqaHoUYR2MOjiU0ToqiXXSu35bEbQ
ryzArbfTT1jVIxeBZertV2R0T0gSzVzqDH8dCmfYTBAifBCA3Ur2gBPDzNz/sfZdy40jy7ZfxAh4
8wpHC5EiKYrSC0JqTQOE9+7rzyreu0dQNYZ1YvaZ/bIjOkLJLGSuykqzMuuNvjBRR2B9wrkocSqO
gPDkakxa3BdVBXEIa9pdH5rhynz2MAy1fmwr887yrRZ1nJ6aZW1FTEU9ntBNh7nDx39/9u6bKkJd
SIIX30CltIAiVi+YwYlfKteN9In11it/zxwRmo16p+Koy8mvBSXUiPNj92VsWbm0GhzftAfnrVhv
6vcVcwh5jkMPhv99ghSUJmGnoZ8fCqKqmlpYMIItJ4QMcHkg7OQmKeV2hmY3hmKzznbeF75FU8g6
CJEvaHHAny/DEhck1sNFnaGwTJ9hInRPdZlplZjlONL61FmgOEA1nPEmmn3LTs5QJYpOrL2ounwY
sUgCIQUhIQSFsklG8o7aDhQE2P71ccJG1i/mt5srUE+/Hd1KLba3ocfGbByg1dgLfDmkmJasQHqu
0vlDCgUd6SjIZZvCQi7WexwaWMfqHzjjhTNQ6Pctsn+HFXCSv/jnhfS3YdA1rV7rc7HUcZ5NafCG
tx4T0liAdDcKhL8ZH282sSKCmR9FAAltIDThSziWStHLCX9uBtPiXnhSXHnKDqbmsIjZ5lojlako
CkzauhZaRY95cslYnL++YfTObvabgbeZfVGzCDxRi0ISTYhrMPSnsI2rFdnlSjQtMFIxwvXZOGwi
hAIPpes7oWogxNIKg/ulrE7JKwOAyU3xhy1MRFAg0Ur5GEclPk8HW1j59rkyClNbq++8uakVJoHI
PVJ9II/25TQFHb6IxN55W9mYVM5buDMZeG184+It0QlvpJ/HI0qOVujIYAdSzrcrJo3WG7tYK5nR
rBHwMjs3ZpHy+xBoR1eSNG/kIeTPuWZE3WocTWRdBuO3kjDuU5aJqpSz64UMG13ARFPBCnQMH66C
59XmZVPkBpPOjHy6R0dNBQly3KjJbcBRkxSB665D8Ee1xnK3e9tsmMR3c51eU+ejxyduizFBVhPS
3P5mYI1daEpX75XFyjX7SBdlVcQzHdQEikC7ROPXYhNmsFfTfxKtYumtxWO66o8S2adZ4n2Hqgqy
7OJXZCgvj51l/iKaCKec5Ra2iielBY/wAYyx7l4x9wgzjzXSPKXdm6SGu7Kk47/C62+xNEdCHvNF
jUU3/FnOV+nqyex9U9qi+E72BvyrMuHkgO91rcll23t8LXrYe45KwsVtnczAZh29tZAK3zK5q2Yt
VJGQbwHlGFo7qPOURXAHeENJANsRbMXE2++IndrVenP6De7Jx19v/ib6lkYf403w8iYZKh55FlK6
8Tf9JxlkjHIL1WaGrFnknsiiQhY90fNRFqGZ64a+pXS2JKDVsnBe6vdThI0PS9ZVMds1ganp/5wl
zSMbll4qjyW0E43WSQVztwFjqN3bgo46hvU1nh5ryPh093aSiZmEZe5lo9jxZ6dbpivJOXGMxbnM
z0XB1y2JxkXcQUK5sIZDDcrOCMsx1lvWbNk8Jk9OjnrkpEEoiU2Kk7OQsbrZKCViWA491Wy+aQJO
fyDyRBIVoNQVJtzlqueRV7la5Il45o1z8ZKZa223/DDNaL86xfYJYR+rG2MeNyei6XilkbtI6Goo
uX13353zUBhYkmaY8SowuPu68hULtlg+QEH1GCW5J9XQFucq8yZXGLeXdEtmxE9DbZzCTfOZfT62
ytkc/NQLKEQJeDUQcx0yuSWexmhi6uybq5fmYmlW+SY22fmk2UDw+2DpfFIjdqkayDDTC7hXAhNd
1eOyWFefGus9d3epB9ZD55HC8j/nKWfgLkCy3yHofGnf0Lvipo5+lI9/Hc9YGNe89KtFgDaSbK10
KOSwHpbETB/9EHIkE98Xsloqe57YEmb/y33spGBku94/KmGNRMWf8VUZfkPTT6h+WWZxCA+t0d/t
vNdr3aiQwd52iDScjfKJghVD4uwTafJVKfCJy+ami31DPJXfY3ftcG9Uks5YRc563oqs46TwR6gC
ndNGyCrs0iE8+9d0N5ga6G4zA6NW/BIcXG+9bb8uJTDCYAIDuy5RBdEta8s6aJYxUwAlC5KiBD7c
J90RG/usTGVfwmGZTzWi0yMTouCIR6N04unQGdzg0hKsdyDNCl9z3JGpbf639koBUe3xPHZ5Q1gY
m+7W+SxkM8+X2pOF3sXQvP0b0mJlAkISBUIZod5TOJjrFtEhHlQ3QzdxQ648pHke2+k93H1wjvTy
u7waJDm7kRvlYmWbYF+FmA1ar/cplnAvZKNemggSt7EZuCBMjN0vZu/kfWnBo19ARTp+4oWK0gy4
ph13i0Ua7r4yP29GtFkTnm07Xm1yQ3DeXk7M2SRGCCJTMOQnvZa2PmDItdC1Wb2yLrA5Mo7pd7z/
+wTnvJbHVka+xXdsHRcdTaKTO9lLp9u6jf4avNpO3Wdqmu1yg0bB5a/WPBwPybJB3+JLAKYX8Dgs
xyW3f2ptLDOOzdWl75b94bEFzKY0sWFRIa8htHtzlMveqlpdFANHkGqxwphrvO6tKrLkm7OIjW6t
XzYlNilvn1mJndny7FQw5cJ9G+g1798Fc8+ykd4MjAVcXW7AiP6meeMKFwPYLLCcjQqnUilfLvxY
5wtQ0pyRkrvu3eQY+SafoOdKYrjWbFg4lUR5cXKrFfDpEEk6uqElM63NFme5EW3eVd8ef8XZbsGJ
MLppBrTIjZRFELbFoIpfONF7sFfOSWA1azNTcecU9grrjhLryX4SzU1qr+DYimqw7j1Sq6S9efo7
KG/mAjy8s5IoXQbW4hgPhplvCNfNY31nX9JTOZTv8n5a9Ik+Ql8MG+33hXnEIqGlatrGBncbmeIN
TVYVdQ4vpjKp3EtTZ21QjNCtb8xPJ0QWHm29m6Q2H+vGMtF7T8oENgop+v8muq1P4vINjHHPmsm6
qUkA8uhDUUFDEo6+go+FA9T3rhthYhd9nYFOmh+/2OU78jkeSaNAJmyzQgk8SPOwfT40N5t2+ZFv
nhnWNxfmTT8QhSj6ra3T2uf5sxCtF0eUZsfA9BasueC5MRJlKoaCELnRhTbViO1d0KWzR5fO+mgc
XrFCHMO0py2bT5j1rSgkGXs+rMKYfKttbVky6AFe0IW7L5xARpcmM6syF7tO9KP7EfoujjEnDHHg
2tGddItGeqzwQJ8Aw87nYjhFwWyMIksCL9OxBz/KAS+CgO6cjSuVpHFDc/zsAutlg2p2iNiDmcGZ
i5SnEil0qvlsEWS8iKhxW3qGv0DtHo9JZMKenxe7x9rN2uJEORqg8mBsmo4YCU5RSk0Zh3h5LGIW
jyYiKDwqlXYBsniBPy8ao3DlV/CyNObNQePyYznzN9lEELHPCSClIxeHtxa6dKYVHzKzLA0ybbll
cnexLIICpdoP1Na74ftsW89AlL15wuLWaP98IhwzzBLMrJ1P1KJAaSEu6rBfSLir1F/5Gw8+/4S3
Is5C8oTJrseyPAqagqCtJfVuDlvnfT8aBcwBpVsMwTNfDyy1KHgquEzHGDwOMbfAZTNa2VJ9WWwA
E6zKHPGWP0B9cn4ULHHg9820WiYZQ7c988eNYL2Qm/ex9c1mniZOq1DtUVl+K7VbCjFIKEvLq/v+
vl+jWR9rHHc2SoEv5jZYPhY521UwFUnhRBst0paLYBngCXRLPGUFOyid8GmbhwYeQ//lQSoUVnRa
2Yg6B3GX68KQ1ijro1XisUoMOKL7SwK16Gs+hIggNLq/OLQrmK3Asoj5mxGlWpVM3qqyTiGSPySd
EIGwFS8qb4m7ce2s/zrczCUuRlD0mNjxyM6fzUacE5kUOGEpnlQHvgIvxpDQe7sbnhZgaGfFfveg
609j/1aNgqa+7oWgqIgYslG9s0cjdxoRHXRom2F1tRAweCSLAqak7FotwevhDC51/ugZG+ajb94c
vrWh4OgmlDIfFCqBPrxNrm5hu30ATlbRla7JPl/+XrGjmHlw/5ZJ4RLWxpSgH4dWSDdeS8GoA0O1
4w8/N07IVzPuxnm8/RZGYdMo1EpQx1CQCHNv68feNJsmVv42OoVeyN03XRhGInRRnU90FR+P63RF
suFogcuwMstkiJsNnyfiKDzKNanzRhniFogmrp2dn+JteQHjh8UQNAfpKoqjhEJXQh8jZRdcF6Tx
gDYIDHta3tshsUDVguk2hpS5G2oqhbKEHg31UdJACkoJOpL6kmGLNlaMMbSZbQ2dyqGMIIyLThwK
yLmvAQElxXmN1lBMhX58YEk0qy9ytk9zIo6+qCJhBIt6AnFgaLEcH/HE2dmrRoPmEXd4RrOCauxJ
V79xrN6GQy4bB3vYldhDicHRVeo+F69gxXl81LNJlulvoiwnwZbdIqjIB+0t94w5bAMbNtGtA0QG
ZeWXvmP4nTSHXVOB1F0m92okosYuIPoQltFgSO+IDpLfqDB0trs3bu4xM2PnvD4ewYbem+EFOT7Z
BMF2oqOn0+ZtOzWeTNTOWFxuc4gw/WHU3ZTL/UIoM/ywS4k2EJ3NSjeHb1MB1EU0pE3W9Dk5aset
zJgzxOX/47/j31i30Wz6YyqLuo1avU8rjvgpukUx3IYMSGqtz6BF5d5+ha8K1qHnGMq+FB6r94t1
iuTfJ08Bqe56uSU2LmKftv4U24/tdTYbOVWMAiAhiYNquH+l7fU9wD7do2rvYK0htmiz0xLzn0zX
BR3bxDBkTmnTck09pJjZOG/BD/f+nlpgJLH1ZWJh6pQBenM3rqp+i6IUA21s0MspRHHLi/spnSOH
gXazDTRTCRSqjnKNkeEYEvJTa6P1nZABML7OPHB/K0EBqk7I1VUfIizizdhMuUbbDLsldDbkn6hC
94T2Yy6Jod4SK3OcwT0H+7+MX6TvCEOVv4fVKlyyPs8/AOXfqtF9ZSP4W3pubHBXXF0HfHlAqOUB
gSuZLGPlIWarLlP9KJD0BK1Veh76gdTgnD37hr+JA/SaG6jQLbHDzjzlhfEbpNWLA2nu/WLY4myG
cSqfwkIyhhKOAuQPS/QRAKrQu4nYnHUjEnOg49ipGAoRVblWvbGGuWAwozJ8tyZVDIZN/gMUfn84
CgpjDUwBYQFdkJzAemAjakAIGBqJY+XL2tz8xpzX8+8bmN0ZvjAXk02Vo7AjRwRdNhnkwlyAvNpb
u+I+q0+WGNYZUrgx9P8BxK2lPV91w20+6pVUo1csxFcDa+yS9LQwdJt7U011o6Ak4fsgFm7QDYT1
LjaoZUbwwVKMdX4UliiKF+U5ucIyIz5IqEvcJ6tY1jEfjvxtHTTVrlyWUaOJMEHYueysP6MNmujH
HYIw3YR7B8enjdlspa2wxcgA4xQZGtLUu0oqL4D4gJStw2/9jW4Wzs3ZgiaPIWf+Tv7WkUITFHCF
hh9xklvUF/va6BaktcFChgn0h59JjRo1e8nd7GDCxEZoEt5R7zlOb6AdYbxCR9CdZA4LpTCd8Ouw
3L3ZgX2fTaiYzweGS9BzllwuDygYk3PtR8tZo+EPjAmnxYG0u4NtmFkjZ31HCmGibhzUTMT5omEC
SznFFRZOVyaa3t8Iz77voN8Ky3Yff1TWfUTT9MaCmiPnACUxvAoKP9y157+WoDvZ2ZgZZx3prDSN
5zRZlHi8MxWJCuv0MFl4EVHRHR0kbtADYBTWq7zcQEM0wxoM7eaOdCrvjyOtNSkmzxKwmG2Q0quM
Mxq2rUE0ZPOJczYmJul0tKewMitzURjGc1VBFknEJ1PPISHOg3bA8loYrdO8q2gbz1luP2edUxGU
N8phcePFiod1Wtb+s3NODHCeDY6mAujLe9R9QY4hAJkoEvqjWQKvWowD2RjBwC4ahrw5BJ2Ko0xj
kbVFvbjhyLTSaH10gP/FEDDbeTqVQBlDIwc9piEgAbVc1NM+jYREQCCAe2x0TDnUjQ0qqdZrWsjB
e/sK1sPAPC/VZ4Q+GLBniCI/mY58pipRt3ZwG2Ikn+4qWQDG2OGXYDyDK7HyXLMPpqkk6qpuyiLA
ss6RgBN6+PgK9NpSTZA/MDZgZbXYTOVzwcFUInVxa2qblUh14HMVhnRGQMe+0RhuSmdSsjoPIrmD
iIa0zSF2RDSOPPIrOheef18efyuGfdM7gdK8EEP11uMABzu4ORrP3LLLQAQ6956Vg552RBvwOoTg
9tmsTBYl/myqa/JRaACP06QsYOAkIXC9KqZkng1gws6+nZ+wc5ZpdrOZ/qk8ymelJoq0lqCCdeWv
3O/MKNd7NHImS6kzR0zfrDYZb7wUgfF8+mLa/Pzt8TeK0892uRqlsRuIcKvDAhxCe8dy4LmYaqof
7cB9McQCB7fCZEF1rLCqPTWSw9MKizLRBMwwQRYyKZQTt4M3CHFALOTq9uC3c86adVwa/fLlixFX
zGYJpopR3lvlKXZyijB3UGSLq+qX/Pb12J9mA8OJBPrxPrbgncfmXCjj4gIUVzcDQ6unIxnMQFUf
jW3LU4dVkltW4ZOBufQLPpX7ceRDHOJt+czsFWThLD3ixYttVHAN/vrFkn9tgzXSuSjWtWdJNuMY
nGHItzCLTv8Qlv1t6PS0VxB7mrzw7+COBBX2QoBN89O338Du8WGb1Zp1RTKwkB7sFMHf3KshCS3K
w+1wYpHyslCKnvGKeLWM0cdC7DzDRR/ZyaoyXOPmG6JvSC1It5sItzHLm5nnSN38eRT1IsgDiEli
h++4CiyylvgDq1RXz2hs+S/dmd6aw7V9oow5PACBhuvw1rnANlUZe5DXgKovFlQxLkt6UY4nd3IR
Cnd/kx33Pfjyn6NDdM7WwKr/A0egACRXBD8peiLOQrR2dS/c8qo7IW/6meEdUS+6YXXfY0hhOR/9
ildLbwTP5h2NkQJx9seldF7am819fo3JCca4Xuh3e6HdxCFVoWGHnpOr63qowmb2Sg/tZ9YSAUZo
oFGPhSKp61ES79/OO2Q7vNNZZY/ZwvUEjul3eqtlqMiT9wgot/FqBS31G0o/J2TTWXfLbFpzKop6
KkRJkQ9SCjdDyxMorPBIRh7VxybJg7YzjN0blk1g5QkWnpDtKizSGRa4aFRIgmbbwBd4KAqiAie2
ytVyadpoIMJTgjQeMF4Td/rZByE+/UBv5bCVowHiGhMZY+Sosf+2NzCBeFgar7v0A3HXaXg9xc85
oTdnDmTNkgtMD5uKUOJEVXpVhfzISNGgIlnezfiNaJyhJytgoLfogA3ltliIBDtRek7sAK3orDwx
00YpTBmUhYpVNcRGEeuPK3H5gsYKi3mJs0ITeikOj5zjjS8gp3Su6K3AA/Aco1DrWcd1bUiWgdqj
aZuraGGysgIsc9GpzEML1sgxEiH6StpUnM81NknhVuhXZD3nsn/2nKVi9Fg8sTOfMBdgVNvF7ivu
DGbqZa6GM7EbnYIcsJdFZdze7QaJpXaNKZ31mWR7wKvw9iRjVIeYKwPAGW9GujFoIfK5LmQQGqxr
y7ptyt8bMH8/FsII2XUKfXpNkUKROIT1/rp6/KdnCybTQ6Owha/VW+SRnIvj9uu9jxYtdDN5NkMM
C8J0Kk5pF4JX6TLEXFwZuZ19j0fcr8MO5ENowLUY58VKJOkUgtTeWJYq+ShbPOKcd7c77tdHDHUu
lk+12S/BCMQwA6b/Ue+cQYuUqLinrjC8Wq5HCyVetGQY+cpGK25ri+YL5u8JexXj+xHvegDWOgUw
o8QNEVcS22it9nWEkWOHOEu7x0JUuinIU/6j3Tbe4QZ0zvBukCYcD79eB8c0F2/MC3c2UsHINnBe
Q96WbhzUqr4BPcoCoFKjklgZ+yPYgZZ4aOUG2fELJrALqzt83kYnMqn0YzN0qeeFnnBO19y4fBp2
b6AtsDOr2pNw7HQC7wyr0Xn+fTyRKf1MT9/irhf1BjKtYO3mrTka0he/ycALSza2EU5Fhr3M4tVE
IOXvXtfg0EedhIC+ZAioAHvYZWY+ljL7YJ0Iobw99EVwOwkQIpncwTv+q1fI5M9T7q1mShpqCv48
YT2yotFuz/3nEO4Il+KLWb6QxQSPFZqlItImIin/FrtkcatFiMToaWw04/WXaaauugZFiVnmzjPT
GokOf/j1RCDl15HelIFw80Wsu/5a/b78q4b0iUJ0LkMdh1LibjC8LcKFCmsZM3P5JljI5a4sljnM
h8/fytAJjDLyOWzRgzdHRmdiWwi6evZIfCrooT0gLvn4gNgNWRbF6oRn+TSd3AgWQSUueEjeXtEm
Rtpu1gdjpxlvPmYQWYRV86/xiZ4UgmBUreplDh8NfKWgh8RCWWwyOyjnZY1pMWyD9D+ZRzsLzROR
FICUpQgiOk6BglvMvO/bU2xVy8ASQoPHixX0HRGp5FnoK2FdCgwnp1MepZaJMQpuAkh0Lq4bHNxo
5SDkROOMtdypy52J/fNYBLlipQUYnqFS4OJHkZJFCVzx80wScLX72NWZH5FCF+lWl3FKrh4XnYWO
A9aA5cEgNSjsgmNFKvPh1+TzUbiiasnNTztYzPa9etbN7IB1j6yR/X9wAkSJYBnTJe4+FDBpbRtv
IR+KfCRCo3e8H0cY5fqAu3QTYnHMMxbcsULx+WeP9C2R+kZ8BXKLgUjcxuv3do0pIQRerUvKRKw0
wHywN5FFfa/y1mAsv4YsTFFY78hJOUcgyy8QW8Y2Zqufv74eG8gsURfGAP4+TuqbeRKf+oUSApqt
z+aIkZeksXxwgxU99lisDWFt7Ize/sAe89UJ9fPfgRE/k6fHajxEBu4oxjuWiPvzpvj+OdRNoXe5
xEcV9Lei1dAZyTo5Waxszj/Y6d9C7k4zMaG6SD103ELnLFrlr3LpGCtMb17QlPD4cBnK3E15Igc7
idV6zKCM/IntaWTJgMzArdmZr8nnu9vTREQulX7iJ4GIfPdeCcmg68bqjFWLtNFjXeYTGd+Gci81
TSQlcRqMeYpDQ/Ef/0N7O95YfGdZrOhkPlr+/jrSzyiyxdrtMMghaLs4BSevAQvyyj893ziDxfX/
D1f5tygqfsz7WIhuITF+9973PZhQCykxzn5PXuKtf0ZWqMO4QPyEHpKQhc1EkQe2LlC40jVa4nHV
jbje1Xl31uB0IS9JA53vG8JMRyhDWfYyf899a0zhS6v61agSmY15UTYVGro2CFcWh+0Xc5LkH+6e
b1kUtGRDU4RRDtvckr5dZ4Em0fUSzHQ2HpBgy2eoxnI2Cjm6oiuGUIc0K/AM/rm+rH6zAjAWcNDU
YjKvNYKP4fnzljTEoLkWy9rybQw2E4mFHUxZVCZKzrix73ni2a6jmGWInaq+sziz3lCs+5QmFBtq
T8mV+1fC9m1l6b5/GmeMSb+9dRaoqlhfiakWFVXqQ5oESkSMnkeIp+FtiCYi0p3wGK5m+UomwHhP
9E3gqtGDOOXuF8nVzdfvnwsDb3wEdBhmWmKwAqU5kHfk5oB2WlbOeTamkzWsEeRkDvSFlIqyCDwW
pUzEA6GyR/R2MK4VYsl/4Mbk71MAqYi9mFRDjMBcxwsElBy1wX0NrLGc+YzyRAwFjhIw2JOJGhcE
w6qLRDke14+/0uwEpzaRQUFgq928KtKhCpZbOKR2ig66dqvdwOYfusEyt5gjdbMAOJFIAWAf+R6W
hafk4wjL2kKdSo+Q0L3PcrJuMvIhHn0oCgBvTa2GkZ6IyGOXFvlS/a6MsU5yBZYW1kmSk3oki4I/
bfSTTpJwkg3kWE5gKSid4pnGujMZxne3molfka0To4QVsecwt6rzCb2jrP2fLMO7RyITEXKeql2e
QMQFpfTipTXiwSw0h4nmjM9zh6qJHCEqOi30IWdYbq/K8j3ZLHojRfNIwTq0+eDp2+ruYdxElK6V
SebJ+DrgicSCSxtRRWeQbl9m3m82JTaRRJSeSIq9RZE0GiQV9tXa3/mz70PYNiJcc3thVWHnr4+J
PAolxsob+TbHIYr3jbouZk2OqnmosUniDWME2ILGSvrNxocTiRRmRMXY11gZI55vF2WB2TQ0Tj3r
5+Q1Mv7d3TgRRYFFFmPLQCXiMCMS8arY44UWTszSoAqDyTyy85mBh7NBzEQghRhF5t2GhQKB3FJ5
37p7BwWv8an6hY2o/4segT9PUgOfhyDpWGkiCBL9Dmo93ZMxlo1wJolWo6Ma0nNQWK2wqRNLe2Wo
9idw/BRGxTNd2UotHxXwatB29xYSO9jXoD+jZoL/GDfkTCb6pzCi+cQL9EVbJNh8BWGEXW/clYER
WGt0NlUNKQmxxP0Jvj/FUTd+UUllO3YQV5W72hpMYVOQDcKW6u5uJrqne7LJxWIc6J9hxk+hlOcF
6S2Je5BkobcPT5ZOx1q0anDAGYXdeeOCGY/+CSw/xVFux4cLne+aEsYC8i/FSD84dPStHuvEshHK
39Kyvfld2gC8OssBy6Z04LDXzjQfS5lJ6PxUhfKyoQTdv6RCFUwAc2aU2pmPiYhhLzVmwyMSYJkH
+fw/7+af8qi7WdXCWllUkGeJe7c8RwtjdJGoYsIHwwzp58kwgrynFO6fKPmrfGEZ3J/g9EMNmjI6
x90/KgW+DuaFMX7HwbMQ0vwCHZxkJ8FRZchj2Df9MFlgkmbMyam5l9tH4HSHlIW2jO9yZ2KdoETr
RxWfN1AIY9/b8Cx1lrJw4kuOFz+LCW0m0v15eNS9vJBvajJqkHVxrQWa6bx1i/G3+/IvxrnNxE8/
RVHAoAZgVdA8HNxCN7BlrDkEkMNK08wkDn9KofAgSDKpzjRIubjX5vI+2Lox5pvGKhXyojvZpmK8
YW3H0+Jt624Xe3drmcWecIusrH8REvz8LRRuKLesQ284MfybYjTLv6K1GBtg0mOVCWbSbT8FUcgR
cbHWjANuTLLR2urCtWrqqpkqhsVsRWFg4X398sQ4Gz70q9pvkTw0tlbeGtpu+BWxplRYF6VEUH8i
Zax4Sew6YpYY/rS0pY6VhvuzsVyGCnqALwzg/fPx9eP4aGrjtPSwoZzDd7r2vi0b5Q6ciz4ar2z5
uQ1cdkGCONUD4KVXYFUCRiCCDGeIFueg2OxQ5lRNiz/oGEBjeN1M5v6nblQMwBVCxcXkJHGpeO9o
wgKFMRiQjkssKFnv0LTDvC1Z95hEYYraeLVfdFDPAhzvXSNxu7XJjEkZOCxRcOJXhebVI6Rgj/sm
GQxko+rEMBYv8hJIiQoAC5YZkYZEIUs1DHrcirCScX/RngvUkBpmjmbmRfbzc1GQUQZZ7XVdRSLt
qzUiFdWDC8mNAvuxybMOjwKMMRX8utMJSoLmcJsy/joL6mkK4iQPSq5toUVyyRRD29xys9LWWNWc
OfqbvnqsC0sazQSYYi+2Lpf3M2st7qI7wlcjGMKqYm/wYnguPQGI7V2qLooQRZZCow7mcG7lFG+4
yVjZupnJ9B+WQPMLN0N5k0HXL54VFPOvSgmmJd3Yo/xUGWt/w53K1O6XBdwXbEuMyJAFGjT1cJEq
lTjkuE9E1B9cLMdAo9UNT5XEVUFw0aDVXjBezAbUVanLAGPG/SJT4CGkURMl5CqLa1sazfPCjDVL
HpnPFNaXpOCD9xCSNiXkEBKDMbDwLoodJBMRYjE04gkwPIB7mQIOvhqHRMTSK7TSXFwdU6NH+Wl8
RxbMR02MmQljBQM0C5PQ9nhmkgcYuhXc/FMzTkQKs/zM0oqCEE2VkoSTIaYzL1d171iC3TU2qkSj
ba9qmfU4In/u0SFSj5VSyIZIIW/Zi8wjvt+OucEtQdrQY7tWuTLBZ7Baqcz9oCw8pmcJ/VhK2kEg
hxm0Ru6ZoBCJrN8YjbAeg9g8IIPzThTAm8XR3X9R1odlFw0IjhtC/rN4liqT4dX/oMu3DCrV0ep8
MwR1R8Br27/ayD0Y7NG3ef/9FkKlOAotKfvRg5Arac+szHViohvoCa1AmxRbeFnYT9z0T7P4FkeF
N2rUiVw1IArYulgx6JqVRdb9so6OJYUCJUVJRWUEHdj5knOGh11hjz/+TPWJYP23FhQYtbWgRXyJ
vx9h65Fo8U8YdUNTD0PMvXL76LAoICqytvf6/m4A1YfujBgvwn/o/qy/dDN9Km5GtzMHrGQh6/F+
hy8MLecDqG8tqdhmUBNPKhuId/bYsrvEcmRm2pf1oShQuqUgipZkouEVFzQ6hPdnsLYdfLDrveFM
TxvsrfjN8qvZ9zp2gXGyAPdVaIxYRFJX1+qIJ1FghLvoKX7j/pL2zTq1Iww1ncIVq7FQnFETLQ+a
wINwXxLQ5gmvmDyPNBnt6kJRCghFMWMUr5ECfvdLcx+jYOU/7df89rgwsRhp96pgL1luxD6WIDS7
avdkv7TLE+sAZq4CmZM4judUGXsWZerU40TmVL/2ES7U5nW0wsDQQXKZY5kd9l5j21u36kNLefJY
d8LMwcs8Tl2XBBlLSujej7pvY7/IdHztffHevnq7xWbzWwwN+cBA57k79YckCgAwTu6PeQBJpYMV
3+FZtyOQ/YLbsDE0s3QeO8pc6Ic2fVnncaKYOVKpuy6LCwmXAaw4wqSTW6R2Kxijj0ewiFaFY2tK
aHevxqeF2ytGu3xBnYE5tzNzH6FtgAOJI9Y6SKJM/YTB7/tS8hYIjzbC02e/qm/GbYVgTOWWyRo0
0dg2Oe47FpqTG4gCKCitCZwIbhiOv0/yTeya66JkoXq8fkY20m63wrpYB4bw+sxyoJnt7ZrOY+kb
DpfjALwUFCWLUEn7QoQga8Bi0OKDI9XW8hIbewWzNaOxMJKPFv9PdPnAfA1vyJqLG45wMGiqwR9Y
wDXT+/zzB1EuFPJ6WscLQT9Xtv/kxs5tU5nv/mphqE9xbLRPoZ1hGp7Vp0X+6h/nPTkG6it7XeDJ
PodjiG+Gfox2sOgT65vOgMPkqBWOijq0Rq8q3pf18zZcN/agm23n6E+SUZ3B25haZGP9JsxY0PBY
M4Vudkj9SJaKXCEfWNh0H6LVVUboJKasYNW5aNrKNbOYiSSWUAolgi5ehGMCVa1yvcBGxifCKfQY
G/4Mr3QOXRqapEgSPIUmL+gxH1lnReSdr5x9PgcmEopXVr/zne7hp1n8FEJ5h4IWKT0vIeRy3f/l
OFvNJNN7GEXmWyNZZUvXwWQy2nb3a8yA+atgf8BOT8z2fTw9PYmb5IAg+RmrhI3N5uZgWwMWybPe
VPcs+6OfSD7FBCn8GxZQeDJ+ooWO1M9PMtbbYmr02mGq+Lx82qDJYNxseHO0MaG98UHx9Pg7zIRs
OCNZ03QNQC2DrfrnDxhvviyUpechST86bWvIq3HVveWDEa+y/eKNVfOdeUT+kEcTjfiFWGddq3u4
gdL1rTJAs8TZxaYwdTN48t9yo7+UpsBw3pmIUed0MGqqooy19dD1p5a3Itf6NEslMuRFVnJJJvho
QAMLcpC3Hb72CwrArG8706CHSwC3Opp/0aqEyPinUL+KvbC6ddIZYQ1voT8K1ebC8vZPH52R2Y2t
4lY8fTz+njMTlj+FUrGxkgYeD35SCYABo8Y+MOxh/Muz1o573YJM6usrW1lduyqweWmzwdqlZyUx
9Nx4vjz+HXPf+YfylO9pC75d1AV+h0QITLNNbN2e/WfvsDaGa2orr9Ln4vxY5J+o9VNzypUE8HoN
YdFIZ+xQes+xmn5d+g4rRCSGQvnrD7Uod/FDoYozGUIsff+u/HUcY/CTIPX8/FiXP8OWH7rQrQNB
lap9KbTSWVsG++NB3Cy+HgtgGSfdPD3cctXjdEgY99x7jeeTaKFBFu2xkrXrN901Bg1FxwCbmYZg
qIU17aqg6QKn0swa0ZBkizEecHqYfERLLlmU7Z6NBZl92R6xuGhpyuaJ24I+IcUCRHHNUHr2WCfy
KY9cSKCvT+SeOEdC+PrIeH5hghA6cdeReXglI4NPL6dgE9jINTG+6Qx/w0/tKddM/Ca9hRG0b6+3
D2UDz+xXvXEE5tqH1122fsLcccAq3s1B348zpxwRDxr8MzlzMk9lOXt5dV4rC7RCg1OYcLVvfg+f
5MTB/MjM/c56y+S8KZcUh0pJG7AhkCKmjwT6JT6tjfHZtpPDh7QjNDim/m+qiD/PmfJRSVRbdVTx
lSvbSa0zwA+Esob9prLseaa8B0kqx0sIZJDroifGFP0Wpr7G44vCfT757XqJdRyYqwWL5+pmDQar
Zj9DOPVTIHlJTsKF7OarNT9CIGhHQBe4hg39D2lftty6kmP7RYzgPLxy1mxbki37hWFvb3OeZ359
L7rv7SOlWMqq7jhTVewIgZmJBJDAwsILSJJkE3zuyGVnTmbgKUfNkS6a1qt1EgFhjiIfsKoQi6rs
rrA5cZXs+e23cto8Jx8zhp+WRlyKi252lripypTmCgbQiqiKgUU+dkunc4e33NBe/qLmDgpI3fo8
n6tdjF3WVs/SQVmpVmKJe4rBX74+V0snLi3fBJgRkeJDYtSJd3a3GjAyCXYy3G63AoYyrnMT9Xj2
36heLLvQK9HEzS0jOeWkGKJL6xUoEMCEc6caEY+y4Ouh2YmF1MCtahG3hscgoLwoWCx0MroMpok9
vq9r4HWe5/Q+JfynrY3kspECMDp53gRF3iEgV/UOqWJgxmfEOHrSKZZ3AUV5szaSy0atMHRDqGCH
1F25Bo+ArjvAq6NdYmZNzazQVCieZqGWdyuRCDjzII7DuIFECZnQD9uJV+5jX0azPSSjTT01qZr0
kFCYtuT6OrefB9rigYBghJbJWXZd/6iiShiAUJAqQcpwXJ2prmudN8zTr8t+wrhBxknc1GZMxqTx
lC7HC1diCSsQaGnEczHEzgzMM/MXQhR7pZq6/kff9iYeR5hyaH+7NLg37daTtDaJoKjJmEPw62We
LGDbHC59fmbATf5na+Edtj4yZmYkRmTQdPU+GXirOcStj5qk7sUeokE3/SQb3ExrCvu+Bd7HAt3Z
EemTZ5U2JX62Yndh7dVGE446HdUIiToIZWfQPs72BArjlQM6lj0PeABFdWlLJExNFMSJJrYwNZuN
3BsgQ3LnkgqV6GbpbXvtREiim0aq1DhQefEUvAdH/ltGMYB5x/wEKqHuL47nwf6RvDaDhhm3bCxA
X4KtdIj36N7bta/VljO/VqA9a/SXF7is7Z5Hs+de1hFhby3Feff0Kpx7y+Ov/9sOk/Q2kd9zUzvf
V97iQD6lg2UHnMmCEVjiy2NRCzX2G30lSW0azCSTwdA8W3KwA7Cf9mrQdT00oK5nUDdCXX9oV+S+
AHMrkrBGHYALCZtJeEYUdnKQmj27QmHOBcOUZvYbkMGjIq29M9s61R8v9hfy8+icCYMURb5UJQ0W
G2OCuaKzRsOYL/ZJMFun9HQA1QDAm5PdgHvhHm3MzdE9Gu/vb4gWJuMdE11oV2kW+OiDiPAkEMsq
KFh4ARnTq74YPCZWnNNhYIP70+rfj1dPC8rIbLPKFnUw1tj3GFSnrYUUlQ22lVXocKnO/3mfG2KU
LfILGLH7ibQhDOXjD6AtlrBSchC32RiJcKpff2LqfEeOspWEVaqFXOgx1UM8Rbi2OhiAQJtmPV4A
JX7HfPbb+H2YmhDzNWD5JH9jY0rDBNb/wAA+mkFNhNH71sG7qHnB7OtSc1k9O1OuzrxDd+qisYrM
ouoG6vF5D67eD6zX+mGkabis2Vb6Ev+Al4QiYTmyuxJBPFGYzlMCYYKSsIZssJbz9PbGgWxvnvNo
UoPWxQf9lTBC/asgqj0uVUW0x1xmqpC5x/fljInZVLpd2s4RbpkdGl+uRyxrE2bmtBHNSTVNapxF
Ww+h4RnmBiYBp8wBzwWw7wFT1L4GCy3EofnTuxoIH15V47FOLgeSmoJnuixg3NlvjelaJyINxlQM
JMDnzeSAqwxT+tNvEIa739R63Bz33ivg/wgjMfSV1DF5H0cS4mJzZyYq0k2qbqC/lypp0Un8sywS
Tl+qYCX0/VD6RSsBCJtfqFxXy2+mKxnzaq+2bqw0EQT73u+7+KPD7BpHc2b2ecZMnFfKMdF2jrhX
+dRw6uhBlubuTAEVeptfDVb6vm9p7XTCYjR4tSzCv6Jim5Usz8xvXnM3lyM+DrvWKlZmbdinF8ws
0zD0e4vpFu12j07f9c8PWJSokN/lN9TVZxDOdtC8wPcqKCbGL8+ddt7Kblf8hobnWOBjQzhxJYcw
InEotm3k+bgAm84sYYqRmEQnc7ZBkgEFCVBnZsbzs0kjI1noWbiVS5gUru8STxixvtfL7qLY7W56
3p9n9TGo8f2S9Zqr8LIqsyLPk+3aXduVgtcn0qleowSW6/KIBz7zGq7EC0IFhEvftCGKs7ckL7qA
gWIyj5KLwGrE4UmZ7+UKO0vUC07HfL9P7i9LCccW3em1EOLkujZIGLXLpd/x0h/1Z7wHH/Um/dld
QoAMkEowx+2/QeC3dBWvxRIHJ4q57BXTLHbXmEE4ty6C5NXyTo1emw7oLCyMXILKUOKvxVf4tVzC
O4h5OzH9mM4mTdFBzzPTPYAVa2udwcxD9a1L0dY/0u5ilaaWOo/n51VegOUS3uLtujuD1ogmaDE7
cy2ICEq6NJaCdhY0z9ABNaGNzCZoAzHMQwfcR6KTJMw/+K91E9iUW7MdiWojtvM+Yv5JMqPUjJ9v
envr4v2+XhdhsSut6JIa7xSIqcyL6igoPCpARBSb4MWPdNOk7eRv08qjhRGGe4r8VhJ4SETW9LKT
kDS8MC5b6pNmyn8M032dSfDGNf5xntEpdD6vrcl4yxKAygz0zdO+Z9E/Xu8AYQQEoRy6UcD3IP9v
p1buDC8Yyif0Os05Lp2oiAY5ac7Fo9RLnGgFopl2SHsIYjJ9p1148NTZPjK1R9odXIrQriURhyp2
jKpFLSRNR8ScTGJgdLDdwQAA2gQrN+cvdSgTxfkv2e9rqcTBavyYKkM5SKdI08fYTB22QcZkwly8
55lmg0fS75uW+Z5/k1QmUZ6n4AHJy/FkN1HXov+lGiUJXL0ceBxyYId0Tg9sSTMLt6xMT8fIUowi
MVo39UBENjqPF71o3a8/gNjqqBoYZkjwAVltlq+oWLHvmrHdtsj7wUvqivNmsAD6BM9TRNvvpVNW
ZrgYVs4pHDlygNUyyJ0CBUk4UGYcdq/5i/8cJPr53L8FKLNQtGqBTkVDVP+PPOJ80xSgzFaBvE1U
ILILOEM2OzAy50bxBpwacn+jvV33uraVwAuWW4EzAr/tCv8LeDrGgAq8KGIslMYr5BPf79l4psZR
TgnAx6yoB8pzb0vrZs4rj27/9fwsTvo8lIpy1gsKfiOXcG1ppQQeIOoKHnJgfUTn6wWDirnT1wSF
exFX4ulPBl699fSxbnYus/rBcPPHX7CAXLtdOfH8x4BkkOfw+ALfld7QS/SFxpTn14u4vmzq9bdv
jy7l0JdeyjPkU5EADsGT/Df7ff16KNAcmwK1curjp/DEm0hmj5vUnl/Kz/UmcKT3x0v8bbglbvSN
QGKJY5KFftIx0DJgBbkUo58Ogxm6bGcx53T1uT56++Pa0oPX39w6apioYDagg4wBDn38KUs+X+Sh
8pqMBgsetcNbFzxOMteracmcGNas4Ajt6JvhLGkzwTfZhq4eDG7Hns4sSsTPVAzSQmRzI5y4bVPC
aHgNQ7jAGxFv/H05zHn2whoYC+B+0Pe6lNXO7udm47FMWRBUDtheDkhnIu2jtirLsNXgnXzVsHf5
vjiKVmQrip4g+b23jM5CxdhID5Rdvk9LE3KJXa4KNZICHnJrbtW8VRuMWAXnZm0ILt5U5mnHIjuc
2LpT284pM23HdyIEBVGwOiaWJgMclDmJITw93o37d93vV2H6HDYCLfNkwkHtGi8LRAGYN+WPsNGe
JWN9prV+3ecqb4XcJRpy0B6pLITg7Zq6sCiKftkUZhdY8lPsABmrPimeJY06i8ZpG+YN2eMfNNrx
E82X3Gnb/CVAOfIyJwkc/s+tqmvl2CV8JmO5godK0uHrMM9Aj2oz8wCHXQcD5dTvEzqEQOKas6VU
BWkneaehcpsGwLruu90pu8mq9vv0NFkYwIlHO+9S5N47sVu5JE1w1hWZhx33Tpv4Z3OJ97mOQQmZ
Hn949lsczsAIlK/m+Eh7esZEiCPNgi/esn82WiG0XU3yBDMHVe+USzpb6w2rNxbznD7BZcCKPFbi
e+T1vFhZVEQOvLWcQlYIW7/VGlYMmNNGdLzn6CnbetaoRxaK5Ya4BsMhMEXg8/WdCRjh97SbCz8A
Xh9/Hn/HvRMhvoN4i3JAv+c5x3houHLiUs8Vi98asRmaof0TWQ0GKG9oM0bu2zYImYRGqwGDASOq
z5zMJAcZ1rC1kz8nO4wxoG6n9x+ioH/Ktstv1uPbs+smlvL5OZqfZ4QQtLBhVmXSsCqSCCiZwM3B
GmHJNb/0a2+sGXSg268+Xv/TqTsEl3QvGvFadfpdz+nrxKoRrIqutm4+IsxeWZecbtIg6NwsivgU
DSw/CNTmbwHI9PaaF2rfgMkct24eqrmHXbMGcOYidRsgj0oLHRbWrSGxwnEY4Clg9YSwJozaqlQi
Zk6jpi/tRxcj/yAfpJ9P3kys7uwiY6VQ25Lu33MamNL/EUuiNrpYyZsqjRkkIMwYaxQjfVvaso3I
gcaivnTBNF4C87uAf/Fwmrf7GQ+9lkc5ZHVzce25c23B7c/xx2m+VzqqqWD3t47iW35AuhV1zS+o
V79pDRrm6v5RPS/66kMIHYuLkR2mGB/yusFYuuLbtj8+dpvNxi1AUlEfMqiebBzGv6e61NuzlZ64
+Z1QvsOnZPTcxXy37tQMlgfveBRx0GNyuy2YICIGbdvj7im6t8sAYw4NPzJ7mweL1Xc+s+DSSP0W
d0ATNFFFzUiTNPJRENStJ7GeHJyZyAgOpR5deENdB0Zi2iB1MxL4UAsF30x/Oohm4samVbysY/tT
+XSVlWQ2tub2PjWGvC/va2iuEeZmLRbPVI7UEC+rIrYT4uzcOpj9oz557yheiGaPyVvtKjmzPsWT
32/9LE/ErQNiXpZIxM2QZpzia1l2Rge7j2kdP/3Xv4G1u6tbYFWCpiogDEPuFFDZ2wPOw3nGQxnk
52J1aXidjTbyiXHYTTXi/UdxHsKdMqnIlYiAqMt45d91/EVR2qdcOJRnf57Bg343H2Epilu93u28
2tCeWrcQzcdC77vCtFuhhJtWhp5FgQFCd8OJP3/ZX9ExmcxkwzmTsW5QPbctQ3HQe3GUVkbUuRTx
c0749gIBiY8uO0VCfzLPkdNCwqYW5EoVqzO/jlY75nJonbTUk8ZAUsWcrCTQ5VBn9elvAU5wlFms
zKkcTESlREu/FAvkd8iouEGBAU3nfqOpq9df2TEBWorU6iwc+h/lT74v980qsDnAcv1TurUxaRNW
xZjseO/ryk5yoj0omuFEz4n+ZqADEpxnLEgOATVhjVeQhZ9dyeHt8BBR8jD3L2MNY1WuvpRwNmUx
CELl40u5Q2XXiHJmiuoJwGnVDGxv5dncXjwkICtvaWe1oJ/XkskaXh/LXoksRXXWXN4IfWOAC0CC
4IIhe7we2ogkTWGVbzJDeveMep1b+UZYze/VxzqzYACxA6Cahf0TFBno9ds7KU9ZFQhqVJ/Z9Y45
RKfJZj8PAI7LRuo2c80Ztq+ZEWLGWwsgd7rChdUTIzMa67PQS/snWblgm5CAdfJtKjp3aZfUOWmD
J4YCvSa+Ls/6HFSydXMGn+vqFB0lX6/fFeeo4rl3UEz+5fFu3KPyoA8a1FaQcZNZ4Tdvd6W5MRcM
UqK0zXmEZj6hI1Y0+cwod2Oka+fi40fdP0sw+6HNGWdplW5UK7JavXalFU/h+L5Psc+fovEqkpSs
xmGu1e3BSFwKnr66qs+jkZ1aWccwpdyYnNYcL/FpXAWWZuaUmPO+CkPInI/javlVG+Ugnf2VqQEB
VGxblC0EEx7BQspu7vHZCjPpspWBk/7x1v++WgmjgaZSkeNkTpN4TiSi/dYb1BCYyPrcr0dDtNq/
pc5KemG2bmk1ZvLkb4SvQU90zmDtzgjxb8HoV53FrgaUpYZ9fKQlUxY/CbEIcqSYsM2r5JhPppJF
RpDq9lyZyWowOVP8G6DPYELBo0IC3lJXoZGu1EO86kG98oJGP0CYDeGAUMISXUz90ClPooXIEWkW
+DQWQBZ0O5OWVes9VSvzvD1zmV465Zn7YjF0wdKM2m5gNRWj0DOUskQWqApT2m6QzVRs0dh0yLYO
erlJaFp6H63jgwQNKV74WBkt5rcaM3BDpXZd1Z436aRPwACuugNGUL6MhxHlrcmHo0n1bmsWa25X
0R6q8xW4VhkN/ezItHFoQEPEiP9xKzzsOFVpRb8/+73ZXEaLjSzByf/WGYDPO+TRx60PHItq9KbL
UfPoZDADPysizYOgce7vV8gHwzTk4lQkZXfKo9VlgjY0X94BvWf9Nj8+vhp3kN1ZFMJACSeOXCpL
4hBbueW6Kaw69PbITrVVHXWtrvtXde27nJmZjKVYIfqwyxVnaE6+KvbtKnB5TL3RaAHO3Y6j0j7n
8tEZwgswlIS/lNBNGYf449Nw0I55pdfrYVUbpSGevK3K6JWvd+t0u33vV+MmWIccxUjc2WegCuA1
FRVPBDSmyCRYu83HLB48hQWICGUbHYSwM4LjgPmGHYDT27fWnHAFjgEyMdSR6Hcpx1/hqoTmXo4T
gTWYw68r69hGadg3SsaddpAKTJboXHhUPjndxtAo9G04Tgxk8erE6bE16cCQnAULf3/Omd5R/6HW
IO/s039/EHQDZUHgm8iBiJ3iRUkpeyyG3gGKmxunj90H+NxiYzJau3dKM9lXzsY9Hvd7cIbGb4/V
8i4tMIufW2tZlRU5GAEinB+HJlfUCvuhVnpwmTahM+xFl0Pd9QjOYYrqkalGCFNAXYHnAzwiQlsi
EkDAGyeMVAMOd8FTCIDUv49XQxoy8vcJzZ5kv8yEsAGg+lsFPQXyK6tuo0oOJe6bvdiNybpdBpm7
1VqhjLoRy/jgNoE5mi3lUCjbRIaVqTL6Zcng9znTM7Ud9/54l+4Iioht+s1NX92BRhoxZavD789Q
GwX/9Htx3a30IDRyiizyNUOKIoIRTegLpdAgytt9hZa0iyjug7ZVhOsqQk8Sxvn3+Z/AVjWdp3Ue
0ATMf361V+EYt600q9TMAa6AS1rF1Fez3SJXOs8kw1+vlNOhKPEv+u1K4uQFWc8qWFJt1ejCBhkd
hqHjL1//g5eVNdrDnj7bZL55j1SaCNyiSRGqNMUy0ckiG8ynq758U9Y1HzUhAjYG/hYxhiCLJFVE
zMh1PMzNrTt2lx05I193IKeN0OS96Skx8MIFvRFFaEUUhoMiZkCdZ+/xRrFAiMhvaJg1mgxCMbRO
UTFuBjLYEvRberBvaRt2F5yAeAKlV2XOfQh4yBB3J0gUtmESblY9vCcNvJYcoP1GnSZnIR64kUPs
FtpCeJGRASz38V4SP1f+SnDip0r39rTM/PxLdypwtSJiz5i48KosxIoAzfcoj+DF87j6bcKxh9Mk
YYY6fjutdWRK+i2VioK2T8QdEXOpKuq53/GUDuYLWlZEW0BDdvZCe88vWICbAyHcpJxlXDUFELTx
X+yv2BAw2IsShC3c9xsR8ydcGRlfQlYtYgD0l9c7f+OZndWvWIqbXLD91zJ+Q7ErGREwczJG0Iqn
8KV1klfNpNFmLApA3IRSLQInhSzoKZHPeyyYu06Czpk+0mCPLRbt52d9uPp+NDAWuZji5+uf6Cl3
phEkUI8lLEVfKnu1AiL6Uj2ObzwYgDlbPnPQvrwM+t+15szceo9F0RZDGBNlzLNuANvNyZRGu2+N
/PT495eCCqBEJE0UkesAmmC2Zle7lcRp0GEeL5R2poQL9b+1yVP7rhe88Y0Q4kiabCy7pIeQwCws
bft/XAJxGqxSSuXY4tdzPEx4w0aJVELHKi0KvisMICi6WQVxFn4UdnGdASoPtOPr82u2kmzOxSw9
2jSYRTtydSSEYe8noYfRwnrm2CUF5dapcEzKni2a3SsZhEnHebB5GGEtr68KZLAG4hXwPzVgwts+
/xvTOBcN15W8Wc+v1EyTwwbcilhT6K52ygtgoWiY3Fz25vb883hpNEmEuc+nourDGL1I/HNii6vt
BAwMLTdK2735G65WIwZxHqkNVhOtaj3crmmtiNRbSdj5sZpa0NzgeHYbf5+tTif0eYq5/vx4q5YV
TQNgBVgpMDMSUqZYzapGkmbmkMzT879tYJ5zGkppSQjgAhLYoFBRQ5PA7V51eatEao52hNFQndHi
8DLyAbSsKHHEkqG8FkNemqIdYQTQXKI6oevZmuMfHm/Wkl5dCyBujFf7CtNMEIAc6U955i9/ovVI
u5ZLscq1EOKaeHnfjAMLIWyiR0+1LjznK/nArX2zdmmkerQdIy5KVKLuLg+QxTvc1nPzFS2cXxYA
ChMFeUpkTQmrjxo8sL4DWqUmDJkIdXEVTYiJHp/KXdp8Nsqg+UT1FC8UVPWJVTRyF8WVJ8yz6C6C
Wb1lG8kYjAIz1F6fBZiY9n/z0AO1KGB3AhJRyHwSijCx/tjkGM50Al/7TvfX+eAM625vuGw6UxB+
M3ZrDAfaad21E/0u9EosoRpj7kUeE6kg2b2YEqtHRwwQLIBIMn+egcn5+UlAG5AYtauiKCIBh0KL
bu8zofNOX30AsdNg1gs6JccHYKcnGy7w9bUxY1Ce609PLy/c/vgTWIH1Q8Oz3nWC/y58znOjpDzX
yoibnXVen7JFNLtDSI5SIz3LAJEWwCqv94bF4bi9U7SX0ILf6tRVL73mfrPs/086cdpSx4dRw0P6
K2YBXDY2FxveCiSYzvsaRdNjOfdQZg6t/LEYa1yLJU4bLUhcI9cQ6wGion5na7CXzM1wj2/Pkm2+
lkIc6RAWIutXkMLK5mFGcWKSrb8CpedjMXcAH/IICX+p1E3LJB3k1JhzjAFEu/6l3UmJibrI8zfF
hv4Wq8jX6vWiCK8WN3HDSAmEiZgMgCRZoguu96S9fAFg89Fb0ZtnIlyfkQkDVtxtUvkp52ZQcmGE
BfphGwzWzf4Ctumbx5/1+fOM/DHF8Uqz07v7RlDHYmgc8ukSSVeIIRayFKv9f4d4l1+KYgVpKtWZ
MZyDOx8FiJnFp5FD7RPDrlJL//MnBnofND2VW1gNinG1GVkq1H/tfgPa3es+WGd/Cufn55tq85aN
D4ogAhhvRQme/NaJC7yf5GOKJFBt8c/FdkBf4Sl3Ajt4q1Z27dS6v/L+ZI5grMMDMHFmbgJ1vaJo
0XzV7jbt6iMILYqGNI+nBB8hHJKtAGhDckx38VnblZDm28GmfGJoMpccssAJLKIj9NwCNHa78KJX
c5XtSrTHXmojW02rXtTHylwXvUXRiTs8xHxJrkURV57vGUFOlVw8oZo2raS3bBUYXOloHz8K2EIR
MnnIXaq2D6roxxu7FNlcCyYOt1MBbxWmAvR129DCvUBfSLSmmZoFIcASCDxw2SggQY9uNzIbxDHq
mo49bTTJqh3vjwf3eaAwOSwYGkmco0ycGHoAgCW4lRKEailMmTSAYpbXuclMO0vXKl1aRbtRF1X7
9fHOLfimW3mkb5IzJeQkcTiJTtIcpcns3HG0cQlnyjRg/t3xC/+4Ido8RvSXJI5Jy83dYRU0/L6C
EowqAkGHjAqhoV4jy20bKAA9BQZreM78V7US7Pm/gTFU9sA7wZpiZBf8E4BdAgIu1MLnTA6RNvAG
XgFJVNufmsTeyTIat7XAUC/WdD7WLkXYrPi39x49Q1AZYDFmSmoSAitzGZfmrdifNMye8hxbGSlu
cD6lBwJ+X2NXz7mSKXqxHiFgI+kdzffdWy18vTA/fVXkjFjyfOohK6JR9foTO7pqONpdvcmNoaj0
9t1vnao9tBsVfB2AV4wYw5Z9Usm872/e7QcQdqUpuKhKpGA4AUdhd6c2RpYntlqnNpqng2QL9gcm
G5rzhNvR3HeJ2xiDMzdmyTmNfvSuhQC6ijBKFOVfmhAk0G6vp++NaTsqMXQVqJHGSGrEr6POAOJR
XaLIkaNIr8WX8tLUjS5MhjfttfalMVrvnXJvF0/86kOIp0kZ5/mUhvlwkg4d6snYf+6lBugK7Qyc
kyI5nOBEXpTI6Hxw0PTbKX7hKruZjDpuzaa0J8TXh4DzDcA2H3/aorrgRivi3MXEycR1rqMI8CgU
Qk5Cl6PdvPwem02Qfj4WMlv0O4WXEM3j5s7IU0IlVKEZJS7COWQDx+h5Fhqqx4amjN603Gu2WkRr
Hlncb0BUVEDJAOJn5z+/umHZEHd92kYDRoRm0Vqop/hzDKKMYv4X9+5KCrF3gyZ4icKV2Lu4Fbde
L/qbQggCO5ca7fh4B8X7CA6qrEiCxiIqAG6NkKW2bFaFDbZQ7szOxhj0Ne/wDut4Z8bGCPQLtMUe
/pjRil0D2zgecsffvsWr0dY+WttfFVZrc05vZz/Bp6QYdbvCvzvrGNoz+dvjb13IJt1+K3HcgjgI
olzAAkR8oOfgaOBkffB2fvEc87yulq7nvzQ7GoXXXUPW722/2iIirvDKSAhlMBOdmGIXsh+5d+yE
lZodJDD2p08FByvzeKGL538lkIgx8ljlQMyWDCelC0e8y4fKytuuWslqKFFcxu8VubtCCqDr4KKQ
cU+JxVV81qR+WA2n3OrXjc072RNnMn/k43y62U++le3Mqd3HC1y8t1dCiQV2zCCj3TeD/WR6bxN5
QmgUVS5uqzqQ9CAXfD2O0TT+WOiSr4eq/7NU4kGV5lmtZgGWyve5NbhSg/kPw6Fy+9yuMjzjLN7T
u95iUprVWD7P/xFMFoq4dpAkT4CVZqXmwGNKy5hbKtNTjOG/uB7/iCGdAbAtSdsUw0nVnsb8KdZU
o2PXoafzyrf/3mWBrnBHhhYY8PPP3mkQhtPI6FgE8l8jbmXq8THX+hAbsq6faobSiHoTOnwZmjDG
K2mYjMazWxZBQuabwA+bIvdUZ+9a/VkqK+bTZ374YSPmjCGLtGh9KaoE/vWfjyPUm6uYLosFXKXU
s/zIqdvnJjqpojn2q9RSWkON7dyU4k3UqnqDOTbafwwFgMm6kk9oOhNqWd8wOPoi89GDlObbWLGa
ojKUgsbQNu/z/TkA5gtUGwqfv5b+yjcxQtZ1YgWv4YkXfnTl9l1mEj1wHt+if3Hc/4ghXKAn+xkY
2moYYcYWxTf02+BBcmzSQy1hUkFkSgh5gD4fVDOBrklQCFUE9BvxR6q4bH4YGAwqCjdc3Bl8yFHu
OG0PCG8WMmKp8l0znDq8IsQ4MDLPlpj8uR1oCbVlw4lpLv9/uwm1H8Df03FsC68Q53YUbmNtX5bR
e6E9aZGb+cVmYt+F6SVl11Hjem1rRky9ZtRtqTH/i0WLoO2WACpkZYUcIRmqQTNI+QjzopTDpxh2
sxxxMIdC5rZdmmKS3mMdmJWW1LRrgXNMcaVpdaOJUVDiderva/lJYBs9xuzy0A7zdconFGFLvgIg
WfQw4dXN3fXyqRgSyQ+5hxv86edfdbBie1VvS8Xpvx6vakkQnp/z4x7gaEUkDtRjpF7li348DWVp
Io2gN0x7RhHOnfLwoIo0a32fkMU8IhUTN1CAFwFFJSzDGCeN6HXCeJpyxYnbcz+kdjp1htquBW2j
FdxaCH+0rLYer3LJF12LJZygzzUC+ISU8RTyz0q9DstLHNuPRSypx5UIclDrJA2o9jPyeOrqS98d
qgqw98AOE1FX41MV07zr0rkBQsoBPTDXTyTizjOhV4KbmxlPTQAYcYxnn/LMt67at25Q0Spb98Jk
oJYRK3MIlnmFxC6izWeIgoBFogSZkMru+E/hI+d1Jab4jXtDdiuHvGIqmA5DH3IYtOUqH5NyKXJj
fHl8UPevmVshhClvukRKxohH7C/ypcGLHrtm8pGlqMMC4BpiMOmMVYC5nRk2bs2FFnMj20UCHqkD
ihzqF6KfAcjywZoY0691ZupW+YUPv5nxNZU2yvg9IoNQBIwp+egOEiM3aP4E4V/Rm5v8MrVweXHF
56YPT9O3vVHStuVef2+/l9j7vA9DSeknWJz8aZyeG7c2O1nPeVP2/+OM5a0k4gBSX+rrvoSkSlkF
6iqWSiv231CCNNiItTOZgjBZSPNBHhwE0vUKNJjsjsWimCAeNKwsTnZCF7h1YVXdcRDQ19G3x4x1
MtXua1bvQb2qoV9fZA3fR6LFcxp21XYGl31G2Wcg9HqKdqWAUpq+t03o2UUaED08mLik/QbwV36l
71RVHmp+PLUj51lqVYLFp0BTbRdHfx9r/kIRcLYWGAs3dwmhRZwwg0LOqbUCKsCTWMFFDwY32H5u
KeNRk14m2SrKQycHeswcK18yMDFHyp8L5hkNp3L4E0mbKIj+pOq3wj+L2bvcXmTBYFrfzhuKgiyY
gevPJBtEfA4jtkdP5E+dGPM2J09Wo5ThWpPU+CkYm9B8vC2/mM5bzw7/ByA+Oi5ZOCVyEkAFr5TG
ighSO/REMCBkA/XL19eXaHw9bd/e3t7f3/f7z/V5npCHWk1ifD+Wv3AskI88DjffCxj1eT+uNKAI
ZLnXuEk6BdsUoCHZGWzJro105zuh02wEUK4LL6kzufKKs/KDbLEOigrJOjq37uNPWXj1q5jANpf8
YbJYAGBvPyXUfFVOtEQGh0ABmqumtDzfyizmvXapue/7WEAV0LKGNziPNiAADW5lcUGkhFWryCd2
HbxjYquLkvgeY6DcipJZWIAZQBLa0dALqIjo2iSc5cgKkYCxbzIwZuiebcEmdUHB9K+IyVuY9QU6
BiqgfKGOCZECNhAXGvEb2XWhtEpfFMBigj90Vz2dDphsBGpbYzS0UP+yV3OLvn6ydZiVl/rJdV3D
XVuWo0dYPEbuUPzqwoPw9muIix9MfcaweSGfFD208s6sz2BpCE+RaxgleOcTZJPW1Bbhe8N2I5QE
J0KjOW0YsAV4cL4aH+NXmVjCm7Cd9hkqt68NENZH//hYgRcye7dCiXQAG0Z4ggcl9h1Uwh+7g304
gMToEBjMPFXua950IOVUQc9X1d7Evh9BsvTJo5rlPktPrf4fD3zTuPmD0HyDV4qGsYaE7lVZIvvj
UMtoxmhfdna1TUJ7+8bbmuVMQBhzf4EMiH/GtVJQnhDzmZJW7VowYVUCYJE4hofgiTN5I99px6pz
yhjvf7sRLo+3fSHLhFWCRha0GGAFZMlnxKC1ZR6yDW5YinaNTjv3k+7JT4O/896U0Ihegk08vj4W
eh+VomoGzq4ZcoW/yZZOZYiYPhx89VTMsy+tc+HQYDtL9+ZGxBw0XVnmLNSGrPc8BSMwxLWGuxPZ
ocUYnf725huiC/oYii/6L86uY0lSWNl+ERF4s5WA8u1pMxti2gkPwsPXv0Mv7nRRRPHu3Ux3zKJT
ElLakydXJc5e6ijGjZIw0LH1ID3tKKak3pSH2JMeZDt3cUG32WmtgfhH/c1uimoBF4BaIJIoqAme
71KX+ACIQIVdAkjaHgJqOZy+B3ZgTzweBUndHMwDD2ib3fNNdeow7Wk6g3TDiOg+YIjfNrJBa6Rt
SjAjRCCfjIDkmVbf4Ldig7ZnTHN7GWxGu4O2S07CrkbLu0+DHXdArCas8igs3oxfG5pdfT0t01Aw
SmOaBcHuvfx2Ddh9wXaEVz0x9AF9CYJ09H7PvGUDVc0azITGU22rVDn4d8JD4YKjES2l4zb+E9jj
lu2rjfRSuSUxDznwDQGpN/Umxkf0H2ScgwhqBP+mW7erk+zZ55zA4GizRD5soqo8/5yR2YaZmYQm
EPoDepn+lDvDHY+yQxhG4VL/5forXEiN4Sh+iZu9EYhLkzGLzKfGaY8Vqtau4SAPRCznb45+/2gT
TBxYq2PPFmD853JnL4X5VaCWCrapo6u33uU3IWBBLSmdF75rN+2N71zf6II+nRA0CCEQSyCBMXON
xjI0qyjpzSd/E9nKtj7gw7rilq+4YGtiZgZMMbmErCnEwA3c9jt2b4F/r6DG2/XdLFRzgV36tZ1Z
fJqYiBN415lPrxlagAM3vvd31gM76ceJKiEjBkwkkppvq42Q0x+eX0/FQt0FVBGWhVzi+fXU4crn
iTaYT/WR73XMPEzs0lFtYzM8xh/a3fVtTpdvLgxM48heqIB8GvNGdzHyOSjVA+tJ4U6oEmgoFNFY
RsZV2pwFb3biNP+PpNl5sloJ8pFF1pOFOZFUCxjFTHrFjptH3ekkKq+4dJMKu9yYDuolZaJvN2e3
vwLfWD2mmfWUHaNH/VG2x//p5P4jYF7tr/NBGvxJgH4StpIrPLCj6Korl30p3tBUBBpAMGkWlMhM
j+qMWUarcwtwP/Ev38uf5Xf0kDnyw2pP6dL3gZcALIphIsibs/c2qa82Rt1haDZm/T5EH0ZNkCVP
SBeQ8a+xcniLyum3tFmOo471NtT8xkJ6jkgikTnJMekWTA4H40aMaflHiYickrUIf8HwTa7QfzY5
s+RRI5i+LEGsdVvfRo/qp/TVrBHsLymo3zJmxtXKC0MK49aCQxu0pPur3Zi35Xfu1msMGUtXHEOo
fwDooCyYww6k0EeHZpqBIzOuMBKn83by3WBjGGx1lBxAFRPvuq5YSBQBn4i6N1jDQAWFWPxcMyVi
mwlmDYHiHrTsAEiOW+3QwH4GqAoDHg3i+RQYAAWkrAVtDt37Wu/QUqB6toLZ2WZ1zfoBjJngq8gJ
uyeGE7jKe7XRdy83sp1igFXiRRv+X+sS4CCm4hkwJeBrmfcMDmaZSqMBlkJDHF1f3vFS2o/fQt25
1w/48oNa06BfnK0JCjPUbM7Pt9R5VTUFiBlFq9jDD/3gIzO2aQacXyH34oorPf21Mw0J5g9LQhYD
EYKEWzRzgwYl1kOxiOWnRIASjrsys3NfKx1ZaRR6fWPqxZtAGl6HIlMQ6MOLnhejMEC4iYZR0Z6E
8Ubie7E4mNGusIiBkcW+8OL7n2G4taKTCJgJexz7Ow1s1rIHL40ayqb/FNnfZmv4j0VCR09CBRs/
v8q/eb61zMeupCK/D9lh6EPS+K7P7Kaya8w+AZK+rJwkJc1LnJC6dXQOxzxFDczr44PCVhA6F8YU
u4QJhV8J/n7lwuaoTVmn2RRRZoHpO7waMBnFQBoxKhrBScKIbwO5YA5vBn/l5ixJBlsHAIRoF5mo
/c5vjqr1iuaDVegJLS/SRu5jkAgpcrGrehwyaFXSjVHF2b1mDWuF/qVPq00AQLh9Fmia56DUTig5
i5AVA/wGOAmJCL5PxHivZZ4CeuhTGrhNvmdAd0enke0j8zazYspBVN1RUdoGAh0Dor1bw2Ec3aok
TL+TmoDqxR+ZbWPTUdoQUwmE/Dn5DvkprX2KtHOTvLGUthppYmoe5Ndsr6n3ojlOHL1+55bmUcFv
1+/wpR//c4PBOYfp9KoGUrPzM9bVUINLgXRcJMp3iJ9KQDUTDLHjBdsWVT3YJSiL7bhUQJmiVfd1
oot2PPBHpqeNLUu+STXLt7s0+06nHaosz2mtpAZ4AJRUIdzSVNJihPnu+rovASAT1s4CMg3+7ITy
nvmTSiB3+sjMxAPNb7KzZCm9kQV9FyQJx8TwhrY9KPMVv3etAm8NLnHhamlUrRzfpScDHK8GylkE
g1Mmea7c2lypiqgc/aciSnNSS/l9hCerlh3BBF3C8SVjvb4LjOdVbp/L5AtEm4jcMW5aBcvR3BdU
fV3hYikyL803fgci705yW3HT1XbodfUecEzN/1LllbrFJVx7Eos9S2BbA753zmGtx7kioqWWeVFj
mY4ooFzU+SIYj/M22FQhyGZ4W1XbEST+ezkQWlcPDNJEY2GbSuA7VsfrNXfyIrZQ0bcNjDoYtWUV
2fTZHVbbOgv1qGJeGavItEUVxQROjWqGpbmlkg9uA0ihHdfc3FhMHGkUVZkL4txoZw4YD3L9Zl4m
CbAaC3cStgckXxhEcv6iWCSGRQP4jyc9mgFN49PwLVaY70fFfBMhzgItaedkoaP4t5LqVMwFNCdX
ORHT2yT/kI+yQtVim0ZOgn5CVMc+h3ajRftccwzpoCm2ZT0bHlOpIayd4+SenttOrByzuzHrAfkN
5DnOV55qWsvytMONevZ1EjDEu8oxvW+MG65apKpf8+5rOETjJtXXqNF/iHYuZCP6RIUK/4Jl91z2
oHRyy8aCebJ5A+Xh2+xhEACNI0Gxb9BJ0W5j9a7WXNG3QRT3N7kXH7pn1Rl6W4sOEgXziEyUO+0p
Ne0OHAvCRFq/Bsu+dNSmT/trkXOD1HDNCHjOvB565VaoNr3iKMaenTTUDetbyVEP6cv4qrCtcS9A
65c22Pe0lc/0UxiaHRWaBvAKJxDrhN84Pyolw0zXRjOZV3Wxk98P/DnjTs82fk51/6sWjm2x4c1b
hlkoinoMho9StHVpYwAX1GtEyjbIMYCEIjpyhCNi4SStrQqbcdhr0U2SOJF/l4Nwo3SEeNtYREoc
7V75RIXUf7Qe6mhXVjEwbzQSvlT9Hl3VpJFOzX6s3wyL9IyycBc+xkNDxGyPRuWV16Uv3NGzzc/0
viqkrZqGKvP0U6W7g8BJ1T+E7GS1oPkOoxfOSbZN45cub2C0SRG+ZXdRvo01ewyOrHZ17UXu7eFT
ZzsmPKhAhud7A7xS0NhWdav76DwrH6BtSNZ7THbQzMVVGnZ3hu4qKjH++OrOaL0k3vHsFijDAOpu
OOogDRxPWXFIgCsNSSvsMN2hQOE4f85KuzAc3h/AHGvcF6+Mrzi8CxYchSYdAH24aMitaHOPF516
TBR05tWxq3MKbDxnO/BvtjbAWgmRw41Z0+GU1xspdjpwttDMTtheN6k+nNRqZTlLZulsOZNT9yt5
nmRWzrrKZ95wSlUSG24V2x2K6IFI8uC5Blel6qhibJtyuSL60h0/P4iZ+moSuR9TVWAeBj+lKTov
y4JalUE03a0yUmYgVkyyFZmXIT98Y3j/UPZocplYqM+327BRUcuSBV4t3giwPNHYnwJmkqoAniIj
vVI4cTUQ0MLtJTjNrYnnGAw7y1yjpL4E6WElyg9+W57ya/OBrmlUyFxtlMDLTa0jMqoYN1oj9xve
GhLthio7VkZiPuVSd8dqsT5kFuvtPB16ogeS/JrrjUUHMYltmUv5ZyH4a1DvxRWicxLM2bIIshhj
djU6PzDCtApCr/GVbRlGtmWUFFD2ytgUlRs0rVMJuyxq7SB/iITnpDxapRsbgCu/X7fRl/UWFLun
9uSpmwLwLX2myPVCVQYdrYmevokBaZJeDHc4QVnFKpX9naxtkTF8i2/Rg+Zdl3wJEJokWxAOCwsI
ozbzVVpgMeTKChJP5zeZ5ZbsYOjbPMYEEk/RPyLjBE4lH+0W4k2tO5U5jQYRXwv5qS9yO8gkCn8G
QNPXDpTmQ+JTswj3EJURoaaK9hmYG9YGKwHgRXpptmT1/IpLaqIK8LtiT9ZTxeuhhtyoqyqgeBLZ
Scsoo2qfBysO/vQFZkYOdT54ImhcRRJ3np0QMmB8Q7FMvBKQiGOVr7zb6apd+/MzMxLKXQmcOv68
NNwYw3P3aSj74qY16Vpif8FfRhYC/ToAI01cbPOuO6NM/VzBmHtvSMY9i07qsJdK4+Q3R+7xUXW6
/K0Yti2Fb2ELqv90/b4tBCiInQF+wPzNKbdvzvyqFLNbGz/wA6+Upv7KCEPJB5J0bpucQJpP0nIj
rvWuXN6Xc5Gzx5UMpuBLrRV4Y1DQWG5IokhowHoDbdiXgCTT9R1OGzj/koCcg+pSNUS062Hixvnt
RINxj+q0EXpK0CV20IwVEXORCp0R0+uSfj7VhShEej+cFUgVzs4y5xXrJSOKvDw7DPo9a0faq+g1
k7+Q0dH+tq2TZBipA+7c7qibt1btjqceZqepSCYf4rUK7oI7OpF0IPELdQ823/lgVaMuokgWksir
hVPX07yQaSo8aPe+K4ykyHbprYmS5ECqO8Wz9LsSTeoF0nw9MbKVo7msKyGLCPI6pGaB9EXeZPae
CrFPy7yoI69UP4viqS3vK+FOSTU6BA4Lie7XuybytN5WUCtW974F7yzeyo1M5Ny5/pmWrt+kMIC/
RO0Hxub8QsQ57ztJ7ACTwtBJ2loNWPuVqAYuNx+3kcETG07CWvyyJBREv2BVnmDyoPo9F6rFVQAC
8jD2ksA0t2pbibuueZPq9gAU0ogQL7JWPOGFDAhAYxMQAkBuEVudPbOB+yEG3uBUR/VDHXaDAe7K
FPGGWpH0sYczXoWO1DjmGix46cFpGkZFoBg6ZcdmbpbcNUWEIDzyDL0dT1JyiuMUvS51Oa7orsmu
zJ+bIU0uDVws/JxtUGk6cTDMIEaCIyCiEkJ5rRiZJeUs/xYxfdZfzqoP3SykWhR7QSURycTkV/Ah
d59gJheexextUAims1bxMUKL/QrccenG/BY9c4Z0plhwh3jsmYVm3BhZL9AokQBJKgyEuyBtoUmU
ppv//m1gTtXUuwRKYJiD8/2OQSCNolXFXj1EaJh98hVuBwqjUV/gPaZrV/TSyiLljxYdFH6BE7qg
oPDzNg7GHHtEu6rk5ug5IDXGfexHaXwQwlIgTWPENoOvupWaAsiwCK26GGoT2rVQonPcHDMnBsbe
bSr904gG5dCEQgjqdFleuwmTgrq4bCg3IdGNDiq0yJ+fTA0ihCIdJXyO9NBoSLuiVY+Yyk2Vo6t5
j9ZUsdrEa5xki/cPRwSuimkMCdJp51LFXBsUddBiz0ormw3V1uKPwkjT7Am5bqV0G0TovXmoRBs9
vyJb84KmpzrfNHroptqoJWKSgHwuvhZ9uRjlAgNy8jY8CbmJFmozSe4iNfBiPxRvszEfN5rpp3Qo
urf/+i4if4G6GxCaICj58dF/vT1NYXHRF3XiNWGMbtuDotkdd1SMzyj+XJf0Qzc02+eZqJkmEfrM
8mOlSjz5hJ7L3auRuLXvvDSvIVWBWElcNGHui5gaIMJPb6OYDFt2q69Woycx82VMYxFgKX8mN8xe
X+unyhiHSeohPV3ZuSyRYYxJYvz3BhBw5n9ipq/+62C5mSdp1MWpl44RupT36mgH8mHENKi1XOdC
HAUM8z9Rc+dW5iwQGxOilEd5M4Lh+sV8w8wR0xYMDDxBCix0e7DcPI6PK190upkXRwmvB43cBogJ
fpIiv/YYKELUlmGReoCbOUi4/x286hS5X9EtBoZHtglwSWdXd/qBIfdxgP1Yc74WjBPA0v8WMHs6
2qCHwBBmqVeKGQYx61bisHjI3Ov7XMim4IB/iZn5FUzNgdwv8hQDXXT/rulsTgrZMTNSmK4gb6sn
udzr2XZF6oJtOpM6U4a6WZWaamFzxu1n+QH6+E0T2+prT5EJ3pVU2VNneL+/LnTBVkAm5nBKQOVj
PupMpshkBg6DOvWEGBFlz9k7jEa28ZtpoF0bCpumk3uqZvkaoHQh9TyF48DUANCGnKo1e5ao4DAU
iprESxoe3EZ1X0gwxUxtKCsECWAsjY/m45R7e2ZiPNSkT/JSOxZ5XucUrOXpc8Ci9jMWrKr9RLxX
DUhFt40ASg7LLAO0j3DQYpeSWpS2GOnGeGLaCB6RsKwKHcWIzvoQFPjKbh/nIIwMUrDtSEkfvCt9
yEK76aMyPrVV0mc0z3RYBFWrs86+fvyLTxlQqYkFe5qxNwe6yXmrabzgiYdMQi20tlkRiYEewb83
LNodNRSsTYrZnUnQUfT3orP1+gIuZrUgelN+L2AWQgAvlEUJaE+8Ido2mggIaRPqJI33FSOKQmNO
jA9TdnsX8wYKlEbcoCLaQWhA3VN/l8Jr8IxTTuoH8KGmWkis9JHrJ1Rb/odlAuqsoegIRx/8T+fa
tUPj61BEY+KN4lf4V9xGRyFQSSiXbtjYbefqJWlNgiCJctbQUnsV/JsUSOyWWmVCezjn8c73HZQp
Y5mW8a7tdyXG4mA+jYEJb08rq116ySrK58D4Aq2JyOx8tQ0S5MLYS4mXD1uuHxqOoWqY296hMgDA
rvLVdKFTI7ffRhJp49cBM1r9fSj3WBzRUcDkO1N5tgaqd+hmexmihwHwhtQuuUC6taL7kgZADIVA
HvH8FLqdr1UIyrAbIivxUNVvbdbohc3TwScWjtxBOVUnSZLm27IU1siEFkKaCSkInMrUkAO6m3PJ
SZn7PNZVnJIusm3VKyBHU4bxRkt5sWKcl3wAFB4N1IvBWg/TeS6qMDjTyjGEQlckFVRPzeBEVv6M
Ms9ejPlauWTRfsCplYHoQwoI5DTn4gT4l2EDHhdPTNHmJFlu1JC6on79pA/gRXTCl3i0h2DNbF3A
7vCWf4udWUffDEI/4k3qcZ3o/M7QTo14MF08UCE+FP1mWCMQv0RxTRIn2wHgmA4Q+OwT9hqvpCAY
U29okYMAsoj41bsMsHpFGvkFxRDzLoA3FDnCYLcVNVwRlhSgfivayeO3NOx9dSXWWnCusSJUy3UD
0BlUqM+PXuSSEDaCAN8osNp9NwCqINXaoyxU2gnUq8FByjmjopCGtAFidyW8XEoPYCIsWG50pKuQ
mJgVJmLDD2JNxkhMoeJEj16NAdU9dSsYe0XZZH29Sdh9aVZOWK8p8mljc98MQkEaNU1gwqTz842r
UgoUUQvJnUZ6fl+JmW2NAAlETtymtBRzWukvbX1ELz9hqavpGC85xYKFgzb7UUIhL3AT65ZnN334
bCa26FPjvyaQwHQMXJcpW4PoCwmG8zUKQ61FUiplXu0nVFB2rGrBiXGy1vA1C/UhCELEbU3pSR0g
kXNBnDe6WcRK5iXH8lHYYUwsnSg7Qb768FESuaLXFf5STvBM3uzWdWPW1phQmHlg7Axc9Xtq2nj4
Gm/u4qNOXgqiUK+K/h/We+HFn8mdGRrMUajMMZIzr/1AHBCrhyz4mxkbLS9AmRFu1NIkvnYCR5fY
P1bCwcdyCjuJnR6tQ80hL5x8bdbawvs7W9GkiX+FCMKo6j7CzsxDkXzqEsDEdzHFre+JFHxV/SpZ
yKI8QNVEDTO3pqlb5/KGIQmNqoC8oUf75HZiBN2Bb/OxxzcHsp6KhBaYPh4Rp+WUbjtif6YHvyLP
12/AJe/ndLV/rWP2/NIWLceBhRtwAA0J2PUVFIRJhYGU6H1s3jaVfcwAacV4E++xe7+/X0u/LqWC
z+TPzHiVtQqX+HTuBHBWP6DlEVFLHoFxOfexfbDvuqF9z96v73up0vFb7px5KBwasEyE2HdDB42g
yR5BNk18Jxg3GA16Xdj0LWcq7kzW3KyqXZiYAfZoGodWiklU3/nDc8++VoExSymiM1EzU5qasZoP
Cral3GJkoIVMDDqD20PVIbQlpXoT/ekAUTz5axntZc317x7NCysaY3AqArzoQdrmmGedU/EkPovj
Pv4CMmeMbQG0K7nDH2V9JV+z4COdbXmmw3B9ui4Zcbqicq9LgNJFbt9TedU5XtRZUyobJJUATszZ
NMpOF1SdAdOpCYcJ86i5qYRmBxkjCAQM6zOm2k7sln/lF1FrqGi6VnSD/GSKIqFVruHqpitzeaX+
LWamrrJGSoJewneOilMbOD3iGoHGgos2+AS4nUNqC2t5seVb/E/kTGNNQS/IZXDOinaUIrceYqK+
AlcsrVKJLLj2+KL/JM10kiyPZWRluEtuZqOtEZynt3T0t9cf5VJ9DjSVqIhMnPKAks2OsBOTQooL
NfOe3ZxEt4FdncKe1Cmh+0ntTHyu3faRdsBArZjdBRAOlO4v0bOjtASDscSYlK7tNl+ouqFrNHNH
Yra7bJuNlH4np/y9K8B5HFfUvr7xZaP/S/rsePWm6+KsxsbLj8opMFtVg1F9osqzaO+txind+47c
I9Fur9G8LisJ1OiBA0X2Bu3250YvVIQAUx4RziQgd0auWsltHfzqEWYHhA+m+VyBV7FO0Bi1g5Yq
EzCoRisPZwFRYSJkBH8BULAosM/hcIaadEMmlqnXtyQyNwDb1NWJOcBu4fnS4SuN3SGyxXgzqjtr
E5/K25KD51d1dXOXHaWvMXWQSKsPUbjN1hrRljQZ2AeQV4IiRVFhdi26iLVyF4upZ0k1ukRz5C/4
kEF0VIDpo14DKC7EsSp4ffHOVDCxiXNYy4AcE9ctDZnfftiOaZIRYJPu0aS+uX7hfiY0zJUVTh1P
GrIAo529NGVApqrV68zT0aP43hYkF+5SRiyUH5+lN58T8asqelp1pCj28a4MXADLx5DWH32/EQvb
iGxY5jG1E3XPUPyR9/GLfASNrHwHOj0fyv6bpQ5sTNDdX1/6oj39vfTZJ/E7Ja6boIHp1m3wUFHe
UT0HIuIklujuEaJdxkm+7W7XhkVf8n3ALzOny2BgajN0xcyqhfFg+MyADvR1ahwtiaDGY4etfZdT
lWrg+NzUBCkt/hluKs+PyNA6MjDc9COpSHUM1V2jrXzGpaD5bEkzpx0+bBC0PZZUu/bgAE375e70
u02GhtqP4lvdogM1dTGOddNQ+eH6d1Cm7V5coV/HMbtCmJUAKK00wt7t9Pv476v6fRs+GAd9lx5D
Wh5AYFg737Sy6T4Fw6q2u5Eou6UKxf+7sh2uaJGlcFmF/rKm2cHog/jJTv6KFkSQQdUDT3NPDYaY
7yKjAaNf7Svpawvqu+c6nPpelHDgJfXlMHtsxlR8Hmozfc0VK2Er9mRJb4A8QgMlugb4zs+H+7Wa
ASACDfFU7jV1gAnzVZ7RWE0/qlrUHttS7Mn1jzHd+dm3QDEfdUAV+Qq0s85cdqs3okarjNwzFEPd
maGE+AD5C9sQLI0q3ExJUiZr+ZFL8nzAdUDSP00MBy4KWujcdsiDFEtFU+eenNi6RkqMRtDtMt8q
DyW6NDfS8KDa/FTqB0XaGgWJS/hm5spBL0UrmGgH2DsgiaA4m7cKK0MwyFrR5J6w1aWTXJIO/DBH
job9ASTLtLHFXaU6menIjTsWpPgwVkKJpZsHJSobwLyjnAXo/fkxqAGTjUDjuff+HoOBIf2TP9WU
u+H79W+8gL40IcfCUARkPowL41BksjKKAXYK2BvBRqvxiQec1LhNHKlolZNURweLRmOGZEzJ6Dg6
2nNsNZRr4dqxL1gqUHMhfQ7qJUOTLjatGy0qLBm+PUiX8723fxTsPcDqBE7K5/NKp+OSzgdRCEAy
4DbSDVjH8yMu2wCMIdqQIySFYwIX4FCmRM+odsN9DKAxMvjaZM0pW4gu0FOFvhx4ouivnEcXyIAJ
UiOKudeJBQbO8cEgciOp20LzwZ+eZwMxWoU5AAw9dRbzN2O7isT7IUOZPWw8LnxsuB4mhl7PjF0r
8cjHy8cafF98QTlJ+Mx6oJfsTPZRSJLKPLAIHCjw9HddWBArB1XYjR9rVrDhfhvHNgAcGbBafcJG
sM81TXS0lBCQbnGI5ZesUNQXo8eMcSoGVVcRFaMVYDOMXDqyLhEtYsld8OwXsvZcZlVbuakhqJ7S
ZoXpXL/eS7YMAIppvpMsAVo755hMMGSk9K2i8PKARrojFTje0c7Rq1BkVODv8huWI+xlEBzcdZg7
30hUf+9euasDRQuAdAQKLrB7Xl/Vkn+MNimsByUNuIHqTLNOiPQSc4GYZ6nFxnAw6hzUZje6sekD
Wu/ZrrM7wwdvvTMqKwngn3zT+bfHkAc0TcI5BzM9yg3nl543TDXjPgs9+/XP4GS702jXO/Ahge0M
B0Fupzn00xT0wDZBBfFBCH3EXKp7uvdJZx+PE01WCyKYN+SqMF3wHsN2Hh8z+lhgzECGYV37/Z4+
rsUTl3YPD2YaG4ViDNY+t3tgdE65Yvn+k8Tfso6h52gXB3dBv+L4XNq7czHK+dEEfq6ZKI35T42o
OSy5qYCEBXspTceDkq5NuVtIyJ1Lm2kflnMYnhjSWGcPtNgZYMmpvovj6XTCRB66+/pAUa3f95Qc
x+/4TlsByC68jHP5My9PQkK4Eyf5tr6pQ3Jy36ccNLKT6t3di4hMoA6HCg0vtCHNip6/VPPnomdO
ninHphFPog3fVYtvKb6NNX1FxqUjeS5jds8ZK1gKteI/AVTPG3R/rhETLlhOSEA7MKrTU7lAm31A
oet9DPjMhacUQ6m+kMds9zdoF/o8YVidZq8VIy9zJZM0eMZTMRz9CbMzE7nOWqVshCfwPZC+3oEV
lAzCjcHfa/2l01Yc38UvNHUqwkxNHbUz78OXS3UUhhbSNNAtVJvUeFaGfE0NXia3LHFqkJ86VPBz
Tgo3jB0waJkggHk/dtKNeTTJHrO6AChYkbSkQHAuqmZMXAMItM5fts4706h6X3jqUVnqQW9XKaSq
Thx989c1+5IK+S1odm5KhXGvYQFBID1H7KaQVhWJ0oNpT/xIktVk7Jq4mcaqqkat/NISpnE38UOH
iV4CXjDi6w+JgqmR7vXDSqC89KzgkgIQA38J4MTZSZYKV5JRxQYTCwwDAtrZEbdfP8OFuwcHUJrq
FZiBgHLc+ccqkqpu5DBlXqKXL2VYHjmaFUgQps51OQsvCu1QwCpjOwg5forkv6Ip04i6qB3RH5xV
+V5m0q2vxa9WFr4rYF3laeuCz3flWS1kpaYWrH8yZx+sV/sgUEy0ip5ckE5GNiP4gYnTXzuy2REY
W8yA828SxLSPK97uT2vMzPCfiZ6pK6lERbXuIPr1VaTPuvPc0QEkeRqxXXdnOVjC+9Ok/5FvKBnJ
Dqqtk8am9QZZwmp7KGz7eyUzu3B7z1Y0XYRfH8AQFCvSas68MLS2+ug7rSYeeS/ZaVnTqlrrUV8U
ByUzRVVAWs5BD5FUgA8nZcyLkcSXnbDRqG5u4/oAIN2KGlgyriAakYBbAXoJRe/Z1mSMl657Fc24
zZ6btGI4UIVkJul30W19l9maTyuf1AkMLEMhDoP2fPCRqn87XpL8DeW/61d9AfABtOCv9cysB1D4
EueCzDy7caTXU6TSyFVO/TeoDxj1V3zMyXud37TfwqYP8eu79qzU4ray0Ik8bvhDexSlw18NiSTt
NBQrXswCPg0bk9HDpKEFexrseS5L6Gsx5XESTGXN00gkyRk+Pw/PCXJTn91WWYO2LnltZ/JmOfXI
D7RWDCGvi3ZtfZAMLz4ErYvedEzdCv0t8gPhCAB7YieBYivqoQ1vJfE1tXZyfegcEQA2YW9kjqEJ
dp8dY99Y8Xt+AsiL0/91IrPYYgiS0QfZeOCBjJATy0XRA/wyBO7lJ9vTG+mPHNk1qZ2vp9tb9+Eo
bJIb+nhvv54O20f1PbzFEFS69Z1Pw55GUW75y/WruPw0/q1vzo2fKUYxYux24MkgkQby/6VCxydm
bwPzaOwjbZfvMU8KmYidbCf3g37iT2jC6P/WD0JGB/RKB3fXF7SQcDq7QtrM3iA3EoZdhU+qmafa
f5MEDLy0topf2F1teVru5hXpFOSexNIugTssbMU2rK/SPJktI4m/2rK7YGOBCEHCHjE6OijnHOXi
oPc8E9MA40LNPbggNuOLfBdS8bUD65PvYzawuPJil0zhb4kzszRkspXWQR54RrlFs/hQuYmdDX+Q
mgd13f9y3ChEKBPNuYF05vmLbZDhbbUBx81VV0mpnNrqY3kTAOxoOd1NQjLbCG7R2mBEm9EB62Ay
UutpZQ2TG3bxRjCrFXj7Cerzk5T/paGaQS9TK2/wyevNqIPTQFT2EfvbMcpl5HezaIcC+0b2DZKI
FdXWSpILyb0f8DZmjsG/gSmaaS2t1dssySB/2GiEf+dAYpEcQDxKY3fF7i9qSBw2cj1oQZsmnJ2f
dzsGDNdpCLxUSF1WPcejk/oBUC/3cniIdBXWnoYKGKjeeEGYYIsGKFKeVw58yaf7vYiZXzwWlhj0
6Rh4jfEI3g7L3ErR0eyJmdvDfRzcD0NlS3loq6jK7WSE+Dq6Uq+vYaEYCzriiZtGh7mY5iGdH0T8
f6Rd147jypL8IgL05rXo5NUybKn7hWhL7z2/foO92B2J4orAXcxxOIPpZLmsrMzIiLRnwr7EN6AU
akShxpTkjVPjXbyzLCsyAnDqugOn+6xW4uTgh0wy2vEAJh83LbeFIIOLQYTHU6G4hD4ESrUXZq3r
H4L6nXzOqetO3lEIcv7X3mjFPdD6Z60Ae9VKazf5OX4J9HIjLZKtqLkf+YLb9SvK3IH9IFVDEJ5X
nw7YyOeWfOqMoYMIggV4r6LRa3TOcyev2CgsPIuqTyGteQcp15mEsM5KUnZRsHG+qRU3BxefjHJv
rY5uP88V/DavYdXlVOP6vnW/BnlMdH8M9+AVL/N42akSuHBFT38BCpV0UDZQd9ZORnN/TqxTd1nP
SXBNeVdgrQWBR9A5yObebzwlDUolAvDS8lLTLc95tY7ZN4lbu20yB/OayGkPNHfI5EN1EiRY4+bf
ALJLfcjRSO81ugdJ+27rERB9qDsotAgq85/cnXAs4DweYJ1gbxgNLY+ynAsoz0oqRxf4L0ciHKun
wLMrilGJL0B1eoVOJb9l9pNtIl9zIWYh8ioazENl7vE9GBt5dcyugFwvurDx0h/NM8pgWeY5aEFV
SlMMFwx9aEDPK8xcYINvfrDCIRMDA4wA9rv7IbeQD+DCjvOtulxRnFqC1lXv3Be5/37ur4afM7ID
uAr6JAGZhlbuuJjO8oD/lgIVWkGVai3Y/pDw4ault825hcei+YH3tecWJ+YPFNYQvwChNaCC9Nhv
MBD8CFog7Vl1X646Y05VZmpz3hkYeeC88Ds7rmAg2fXrWGN/QI2TE8R7RNGU8zyF5vSABl4yqGkg
2T5aqixGCFDysMejlaG4oKE27ldQb3k+bRPlFCSmweIA3w4SIvR33e8IJopytsj8yHotdADESk0i
PgiN601GmA3e1D051kCVv8TQGYhjvXyF0vvqtHj+FYOR8Xa5/YjRi9MFwMmpK3wEyF50vm+hN/f5
3MLEbA50QtgYiE2Hnpz7YTZsJTFNgbZdpsXF3S89D4S52cGZ2YUTAxno6xCrgBwDGgnDZ9zEZnls
h2mXYCB5Hb1KdCkbTJ7P9VtMRWB3VkaDqRWGd/lyQCgp+7pecRvbg1xrdA2ZbZdcud4EFJgUc7HY
Y/EP7Uw3YxvdiVXO526fuui7UAMJIuO/RX/wwfjinJkC76HlbCv7hBNBhAt5ZKQ9kIcYhx554ilQ
f0QnJkD3FUQ2/ODYtW85BG3ZiqTuYe49/rBH4BBhCB0sAw0j+PDvF6+W2DBLxCS2vM6HolAIpg/H
RI+Np4YBO7NRHhzxyNZoCXkw1baQPo4tppA0v1bAJWVERW16dqtV9Nfzzf+wK2EMQfSQllTQtKGM
XEkSS10hecAH1XBWTv1Z58X3cwuPRcHBxAB8QAs+cv3jUmXKhH7NMDVwigBWuKgJ1dcrY6u+YDgv
7HpNzW3Gh7AUCAccL0AswKsMePporbg0870g5FOUv+GwlrVGAQ8ONLhIJLNXGw3B8PMRPj79RxZH
K4Y6vNgGFJdaaPZZfzrEM2vVU398oyZ9p6uHinwv1OBLmwWfT6zekPTDpQZWlIEX835bJp7tBb7j
ZRZeN9q7srYp8H0Th9U+SlPxte+5esPDscNAAaaQkVgGGA6PjXt7jpeIst02mcWbCYrdIG4WXBVN
3elPO5NRfogtR5ZGL3c/UpBmlGCp8r5DUTtVNDl1c9wec8MZpvfGJQs+xcb1YCQifKfG/EJUiCXb
2uH5/pgzM77CRCpgc5sBAZIOrVTHRyJa0QNwpr8JZ88znht7DEaGmUO/HYoMMhzW361+MyjEiUKA
45Fh+4vv8rsRvSvFrlp+1OYJul61/h+YG6jmaUiE8CCnHQ1OhDRjmQJ3aQH3KpG195ElRsFrF5B0
nRxNBP37TJz6mNfCAGEJ/oRFIAnHcr9qtM2nhec0uYXqWkfAOpeGBg0Cz72ErBUaZfkzdN0STbLB
MH0qqWP4089FlI9559E3jHZO7UU9noBlboFhoXK20IBNI1K6qpoCKNAK2vNJnvJotyMezXEqSbWd
KW1u5YazCNfh3BpOuZHbnz/ymHThylwiFrmVeUuca6JtDTkjdPHWBtqCe5HO+dwmHULuu6huNH8j
jykUQcAmTpVbsbIVRLO+Uix2jx8dMnulFIDNkrlU4Oy2GcUovpQKQclh23DJlqG0PgL89ILWycjw
v1KW8PU+iSoSQS4zBjCQMFSgcm+AygizR+YhWsLgASZGDwaSNoisR3du2QRAIFJRYTHOMWq1EPwG
EsjobbVsFn5z6PW5GvsjYh63ID0QRwCUjbP/l0u78QmI4TvQjtiF1eZXkKizVngRkJKMBpi6v5OJ
tI3XTUP6lWxwSBQ9370T8QyaY+GPwJPFozt0dFZouub8UFEKK62uPrhANLE+RSmR+Rk7E1eGSIMQ
FEp0iGge2H4A9otkJolKy/ePPbcAa3C+xUYCF2c7U535I5sabd8/3n0ADFGdkcf3LnIiWUUhd27R
OtjOjE/gjCTDWXnWeetDMYd8rFhkX1TwzZLYdPaxqurHU/6zvmZEC0gzM/Cp+AOfg1wUDTwlPP7o
/PZZpwh2I5agdFDdyKCMKNPjjbeW2l+s7CIkldkr66BcCv2ChRAg8u2Uxu/k3/CaBzPO5DEdib12
+zGjo+30nl83uVziUgVLxPqz0WvAXElvgKKLoOJBoL0JqmxdIujp0tZzqZsJXwatRewBBJrodaVH
IQpTpGJNpV1l5SIF9QCFA79Qys+OcrhkxjsASEe8igekIQK8+0sobyLOrqjBTJ8TZkGx4O9ceqZS
kyLSfTA0L6AbIknE6XW+MTOAqUHfgJaR+kNuLi7olvh1BSJs9+35WXtk9wBNA/q72EHrc/j36KrA
Y96vpIhtQYBIxKNN6Z1Z5zr3FWjSIkQfm2OCvqFL1Sbb9KzWJDrD7UMQI9ILKdaaYA0weGV2jJYW
3zZYmHQwYfuJbvffAdvPXOR/ROX3c3j/raM5jMIgCRiHbq0Czbs4p6X2jqrBgBzo0b/p6ed4ne4E
9RSqiCS+n0/UI//GaKJG2xRZRk9Osr7Fk/U9VLedjpwlGKO1zyF5et4q5P3ikbcPwWRUS91dPmbs
PyKxYR/t4sjqoZCO59coKUUpfBvLmdAiTGtCEkBRLQL8MMjRO+sYjiZAv9PGrxmzw5SOp/zW6uh0
RJxSyrygtFbZ7joB8VkIZiZlEaGp8/n8co/n8H58oyiNFXqe9wqMz4iIsdfeOxW8ZnqPVrES8Atd
3SBL/ckigx2ZipoTsJyjZ3itwluTuTz1Yy/KaK6Hb725/kDt04oZY7dgeo833IUH33q/OIYw5cIf
ZWqJDed8oxteO6BsoOmzrKiPN/79ZIxOJTRCOSgW4QOc7JsBFzFk8vhNUPHgLX4L/HQAfobO3K0/
eb7Q8w9HCOw5GFGHr7oZNuU5CUszFIZNmC/DPb28L6mvcukbIkk/PjgJaFh7b+84Eprg16WAT3u+
Bx5RQcO8g88J6chBsmC8xwXHU9hedjoL5ruQbCEIew5WDjn+8N/mcRmeTPQKCir7ye++F79qrs4V
5R87t4YvADQJjBQDic2YJ4MCXShvR1Fnva6v+623/uSMbLdHqcojx3RtmuZOP3VktfooljtrFUL+
CKDfw5w+6rC8D6fu5itGy8+EJZvYbIh5YNU6v4DwhSSVN3Pipg4clhMsD4MKMHDh96sN6EEqgWKp
s7xetwtJDxlFf76ejwHWUEv/Z2F0pPPCTkQ3z8A9FoEfB7JiHIeDG5gOI2kCtAvEbk5wTniMHe9N
jk4u0/mtAnbIDoRgr9stigUJWXeH63X77qr7c7Y944rXwBN9bMmyJ0t76ZAzt15GqkmIrlsJQyx3
hduOKC+Lk09WerxDc6z1G6vf2vPJmfKsHIceD7Rkoj10nCHkqaFAG+GwNaC0boSD37+nvO5F8swy
T9oBfyHeDoDLQt/8fpl9u+/9aDhTKXLhQ+pTRnBFiwBQlL/PRzS1a4fCOlpoAPQCV9i9pdTm0rpT
gg790kpDBAENgyLbkBoZ0P+XoTGpfNFg7sLhkCrRm82uSxrUMdfnJiZn7d9YxoS9yPEUacX7nSUF
0IF0NhEeBkxwcdK5Wt3MpI0BxnUlOApu086q+BYPrBjnME56tBy5y+cjmjruN6vzQMEL7UKqk2DI
bvCmUlDnT+YY7KfGAk06hLhwnUNH0f0GqGSWT+gw76waPKVMCPCos4P8yPNx/IGhx87x1sooEGqk
tmGzGFaQKoI0PB4n1+2e1vfGS7qoybFdH4+1+lbrbx88Sz5ooqE/4/knTMaCt58wcp3ATtQ2n2MD
ptoVvFEgEwadjGHsj7iqTJDJcIeYbD70RDstgKMI1RnXMbWUSL8raONhZeAbRke6Y9E5+Lf/qxYg
8SQmcjBDMTG9kv8sDJ79JhKAaJPo+C0GWATALLia6LymzBxC7/9YyX9Wxg5DiFipCGHF8xcRed0m
AzphvzyCItOzjs3LF09AGEcgxqLtEO0Nc4kejBn/ODPUP96Um6FKja/QtIyPKAf/qPwIVugYz/fL
lAkU8fD2+2825dG5YOo2qySnw7lA93YRC4adyctMmcOLT7ykUSwEpgfk3khroFHoftXCwOe5iq17
4F1KcMskQNmi+VxbBluib1goTecr6SNVF3PNZRPZzTvD4+raQKcjCiUMcyR3TfHDC9bFO/2S1eC3
MTMIgr8kn8+ndCq0QJBID92auNT+IsmbVaOZ3C+5pOitCCCmLtZ5gAL86oh38nvgz2RvhmkbOxzY
QS8/WlBpPJLvpzXusjgrGra3ZPD/VeGpYlIt5Qh9pfyDwqWrKJvr2Zl87N2aHK2kX8ZJEhVcj8fe
ugOFK+BCUD1/57Sz4VgkqkAxSbg5zNDfVn8YKGpDIjIU6GkY5wIaNg4gXC33Vh8YSmhkLU3AualF
3MUDnyG9qSrIOc2htCbqDwxChn9Wh6v4ZimdCnLySmb3Vg1mIpHEtQ4QscSrdfXLqEr04r0woACI
rja7eL6HJtf1xvDIjeZhndFsCsOs8uKtGJaEwRudvLmcma9AOPnc2FRgejvK0SZKJBu0h/FgzDk0
lEOEnzQxw/Ywhy3hhqD6cREHZdhBQkYYVzsCNNY6ESf01nZbqGsDWaRFfc4sSjfRxah6Bq1ZjPrV
GfrHIYKLqBap+evr1fowc0lNDhhsG4P+Hg7quLeWyWzOaxSlt5Cp52SjXHCuGquzlZXJRbwxM57X
Iql4pYOZGLxA+y4jDRxBTBRVVl5Ldu6ITD6RwRNJD1L3yMVIw9V8s1mLivGALHNpiyHLJaUfHf28
/3yHcOn7/nO5PC5BrmI41Cwu+fHGlwBmQ8kMOTqUUeXRSyqrqriqQDtr0T1rUUKqCtycl3sU5sMG
RLodxXfUAwcVovuhJVBpyvLKbyxENLiJRVX5ZNa4iUm8X/7Ei68LBMKBnxuUE08Lyybu4mMFmraD
pDmX52dlIv9y/ymjWQbCIJVCJ2isV45we5B/EMbAAw4QosgEUnpJL83LG3rkdsX+dMjmcKqPOKbR
TAz3+c0iy5QUxV0A87J17X7R+6/uGQISdNBlkqO4+brwe5G87Xbgzibu+y+q9c/HP73a/1Zi5BH7
gC/EoMRKpN0lKveZNFMrn9jF9/M78nwl+MMkh8cAUy3XauNq8Go/dF+VDnnRoQ623KzUxeJb1pUZ
lzvh7O8tj46rXNGNlCdhg8CyAPUUjReppjhaBHnYEEQuEij+Q9Nl9rnwEsbrKJ3tNn50j/cfMLpZ
+1Km+ybA3HLkGuzeUYxxtTO3WC4Jr5k6bazS1QkecS7KnIjN7uw+hJlu3wbMYHddIzQDz1donH+O
/kW3yUp19QX1skCz7PN9NJHcvzc6eipFlORHbAKjjSpURGu19+1nfToHh3OyWi5NQb+ESF7HhDbe
EBySihlK8GBenItMJy6l+w8ZPZg6oYkT78+3ZPpwnBv9/b08KwQ6v3g5ierZ145mvCbRZvMGJc8d
fDgB+gBvJ/N7ZgvOne6/LXpzulmlypIkxuanFq9X8F1kiK1E1VjaWrl2teOPpG90CV3+0D2zVgdF
O8yc7tkPGI7/zQdUbd1FkYtVYbelBiYyRHe4PzAJHlm2xEwXL5AHuOj6CjMQbg+uOfOCfryZ7xdj
5N66ThaimoJ9F+2FdrOWU4sBtYkdq34284585Jy7d6V/veM3Y/VlpWqVwZVmeoSS3pbX90udXb7o
zGqnsrhItLlNPzu9I+cGvvq0glpKYwGVIBiMtnRPDqmHuADvyiPgTptNpMFxr9DRf/mGdqd4nOvr
n0gj30/xyM1JgU15HjucdpAarAegAtAK9CrfYKGDNXztelDTeLlcKk0GhYTOdWTQs4Uu+j4lgKhj
6ReLmWX/Y9C6jwzvP2rk+oI4ypy8Hj5q2+h75BpxtyP9eTS/CByf9wKf72C3z5GB/j0bntj92yM3
e6BXXCoKBrvgT9xGRCs3W0NCr62tHY/tcUOoA7YCUHZ4l84ctZmd/ueUbyzbYNaxAxqWOTC1I19l
dGmy9koI+gS9kdSs/tzfTsAm7mZ4DHfL8yJxoxT2cu2afWy5DeJBYjYGSnQvGOLJMbSZRZ14s92b
HEdtoCClghAmU83e2qZgeCt7we/tdTfnNx+zGPeWRm4rjP7nBht6tbbbegMi4/0+1iLVIfbGfEHK
LRbJjtNP2EbrOS2guaUcOa1SaYtEGU6UGJllYdrouI9yNeyXVDB3W02Uoe5HOoq/AtlO01yBrc7U
fI9ccUVlxED5CQNdHl8k9Us+vSXwY5r1ewC9wXpm23KDe3g4MWDE5iA7JAqgHLu/IeQuLHw/RpTE
b9fXCqnNTDWOwfYon71GNV1kdA5L1yjX3BFVCwhfgjJYjQ/DZbWQ+wGzNwvknICMYE5uPmm0+pnj
yXnp45O6Aw8dMHULV06WUg/8qG18kR1SdCcVb4GZqZhc9huzo2VHa2CURRyWAvRUmqim8lvkpaqd
mZBye354/1BUzyZ9tOoJZPvCWsG9IZDuUEPWBWUSBP+s+hmjCxRLj7+Z9TnHLljiVO92rIbiL7Rz
UCdijfx1c+EA46VBFlSTn7wkR3Z5qYw3fyesdJAEaQe0CbBbaiN2c5M0zP2zLx/deGzosi3PRw2E
Y9ldFdAWxXBz9fnpNxm24gBohwrNuCKS2XHmKfIQNiEjJQ0RC7JRNk6/pPc7INLQ1aGjh2URo3i2
dj4X2Wz72ONegJAfrYgSBATRZzWuL/UZW9QQdUSphA41vyyXlU3lKm1HO2gwkZiWQu35lmCG+Ph+
Yu8sjgtNWVwzje/GnaVRLAl+fF/1oWF+oDRsxhlTj9713tQoVO/AUxVAELRDqE6bwn69ltX1FlxY
iFlcLZs5VcNWfhgX6rLwMEP+a4ywY+qkzOsW4wL9uJcR9LtqM6dpAj2J8cB5DTBRBTSGo5y3V6Db
r+tRiAW9xtB0//7uLEBL0JNLt5crslMP/Zwa1ISPAnJ+0GoDtytkdsf1JwU1u9YvnR5zWOkNAGOf
+2O/ELXCAM43WRLV8vWG/PrqXLw3cQsDTc+jMQI0QWhbGPcx2wFeFFQldJZfrbpGTyUR1ES7ogSk
C7yvUvkFwgYSp3NJxcd74t7sKMysWdZlvQxmkTnV8dMpBJkbH+pDy+e785FLQbg3NAod/SyXahfd
6tYrkmyxtkc+JFifwZOHnj9lXaifhbn39EJlkG0MwSu9X250dr3yNAt0w6aVGOKiNler2txlxqlU
8dcqMU40oUmH3ts5IMvU9gbFEdJlQ5cxyEfur0+xhP5QKrg91ItP8TrLLMUzgsad2eITDw1Myo2Z
wS3fRJcMX2RK3mC7savqkEHkyPwKianru6FQ9XsKdXVRGovT4iPQQvP5gky5QuQD4Yp5SIFhv9+b
ZrM0SiMu7i3HdtRS2dsc8Gj+muIitEPKM8YmHg5QbWChBg4RMJAkCqPXu2L7qEImqAvEG2qdgiQP
W4DC4+EoqZ+o0V1krKJNqC2yJ7k5h4UattbYV90aHy0maxd5XoVI8DrhQnxNRQQ7ErK87G8Bt5Vn
CEDKWeKJKb9/a3O0shBnVmonwoCZTYsW3nQhSapHgf8450iHauglkw7PF3TKg6ABCVo0A6kZniKj
QIdp4rDmQqa2pAtcPiiNEyPjNV7Z1pYdLXGnP7c3Mat35kbBTpVHVOa0dG3xK19DTxw4N5lIpYoX
xzXtcoZVY2K33hkbfv/moPBhL5RhgbHxqkQZXaxl+TXbl85MnW5yDhEZDEhelGzRmHxvR6lL0ZeT
srFaGiqdohBs5QbSDK7dCXqV5dSy8SOG8GCwjipXMQW+o+au8WFnjHYrDgoUE8CvNiBqR9c4EKoi
lJiU2vJaiNmZQjowWVKr6MIek8/sk2tI9Pl8JcWJyOHO5GjUkScyaW3DJE+baf5WfVLMJ++pqbem
Y8JkmhcQj1m67RuNZW41Id1m8SEFj21stso2tF+jbl8CTimA8/YnUErwva7kVm27bWIfefxpaDdC
34zG4gmH7h3UBWJruL0WQagoUz3ZDGOzSklz6lccqpLltw/W3FVMq1l5ccMvUfiKm6NYqVyzFAqo
1duQttFbaemtMr8Gx0mpgthV7DbPp+WRlVAA1QALZ4WmJvT2CSO/UbcVaiQ5SiZ8uu5PBaNSRsXv
g25oqUrcVdWCyFnnZHCzv8Rowb5AiPP5F0xczncfMHIiSDx0IRd7SHs0Gt+R6Ldzf1GijmqzEmd2
/kR/AQbLoxMfzSEIuv72yM0J4+i0ZEtcRhabGQJJN7WWbjjN8Pe1kRuxGS7Xsqu6Rr+OLNvoIWO7
5VTbiPCEPUnvrZpD0NncUTP3xlQMePdVIycTpi1VMx2+CvSWV8EmW8BmB/gspV8pEPUV3rpyTTW1
ZnzphLsBpw70/EBXDh3nvyzNzWREYiqCTjhsrbgXsUVpNa4QHCGlnKFtz78+X+WJA89BXB6QWRm9
75AxuPc5KMDKYdJkrSWVlPda43VKeLG1Z3bzRPlA5hgoUoOzFuBvgDvuzQhK4rK2DJi+FCaDVqYR
2prSuhqomtKa5JLVo7yKKj1UxJpI86AG3jVq2Egq353EfFUU4K7LqUXq6gxnPJ+BqZOGvjoFYCSc
NXS4jByQLztMF/RSa/nogmqNPNrwQkoOmfvDggsDxUowCuMtXWg2pWaZ6dAzB23iaQo5xJsPGB/1
yPfgkAEdj17B8GW8N/pVcz4DcvhdoLKyAK8rlOTYt5omUbfG/5nLwU2cdLAADIBpYLHA5DS639is
hj57judUDuw6skV2o22DhbHvCb0X983GeymW/mrxfNonQGgY9Y3V0ZYomx58TiyAS+vSCIGYIMEu
I5yxN87HyPwpyaYxNl+SClhrs1y1W0ud+YCp1/HdB4weBZgLhKf88DrGPcAYoPSptfaDdQDROs3c
q1MzjMI3tNIBe4NY3+ha7RKaEp2ORgSK/jMBhYr2Ne7PfbTolKUkzx22iRsVkuxQbMHrAf1R4+ex
iFAhLlqmt9xI5a7VRwAYBZJvL0TUvi6XXa2jPRbUiT+nPMBI56Z1zvrw+zfuS3KpTG4kWC+zLTg4
4Tc5NP4QBRJWHQeyeb0CsUuwkFyVPbvZztWf76uJEi2YmQDbhmSNNAg0ju6tMAjEIC07QKskI9u6
DJGdXwAB1i5esqG9cYR9Xy+cknT0jOWJRb4zPB543kjga2rxnvIXLLNyRMLKG4mvScKqbjLzept4
I6KTBlojAKUK0IEc3U1KllaUnONZUXKb+pNXfvP2rMxJjU/A0fEyGtICsgRFXIjf3a9lhhciUyq4
HTjy2qmNLlz9b/G33TAG2O5VwcjIe2/UGq32G9lsPhhjezYBbejV9AO3dLap9c0b2hxWurnZ6B/d
ktF5yDYtL726eVutfg8znmxqBXgJZPyQewZz0FjTTIpruvETtrPC9AC6SiXTlACdNiUEZxA0P99n
E2UhSIncGBvtsxxNrbTkwdh6uxc/Qg106xaRjuXiyzR1dEWDQJIC5zp7aWYd9sTr5870aKfVClcB
gsl0FmtmCIs88mmsv1+3gwpg+KqYqw9qKcx4sClveWdztOGaIo3tUoDNiGSvErn6yy2zS1/9Gfcx
9VjngcCG7DsokwBUGtkJ+bKg+hrTmiABFmuJKuLNAUppeokHbIH4yzZKXb5GWranltLLt3AG7cV5
Ts5nohSG1b35jNGdWNu+3bkNPgOE8Qx4fHclJpdd9Ved31NW/YleyxbNe+B8XZ4Y9BMKM9tr2D2j
hxgg6PglosUCdAOjJebtIsEs4OR1yU/h7wr5+Hz7/oFpHw3gccGiO/sRgdr7PYqpbdFagHO810tO
6zf8q7wCdl8EnCDUUC4wcz1YZrkmmdYJpRFF+x1EAkCuRr3UaGAsoR7UIXUyd4qnh/7vy0b3Mp7A
GR21ZWt5El2sA0eQd4Icnp6Pf5i/J8P/w3bf3FJlo5Qck+YwYrNvLOtUr1mM6BJdS/H2uaXJ4aDd
DVD3QRJ6nFt1OjQuVBkm2vXdUyaj156bu/DnTAx+8WYwnFAItW9XrfVadWoEAQgs6T41/jBBm2iJ
9kORU99WJ9Son49t8rQKN4MbrxXbUj3zZ/nKrrYGhz6zxDx6JgJ3LdP0Nxb7Y/GrLENUVeYya5NL
+M/2OF0uxpxcZ1XdWrUoLBpoVyqftNjrz0c4dc/eDFAaRW50SbXgJ8JmdJKf0tak9sJ4hu9G2n9g
Bi0nSMJjpzwoybUFCHxqrm2tNHVUufx0OKNOTwWe3s/tTD12EC/8MzTaKlEfgEeF7VpLZgo9itGt
Ldg5wQ5KSIzGbRfA4cBDMs1nfzlfUlMw79U1ylO2wBuZ1C4dln9V2mhmBw9WH07jzVeNthEnAAyv
0FjKHkXMM1vIgeGGOYCSJfAnrpsFh67mP3NK5maghBNvbUwHqh7oIUTfpjCcrJuTE0EaxBYodEUX
aXloWE/PskPXvwoxu4aG90zMNgGLR3UHrQYsXsBoDx0notuYwqs/Q17WLgCW8TQxJ7ECxDgpIKLX
f/MlWvtW4aUEkwvoOtpfMVJ7DsyHM/nMybt8IMYY6me4Y8cnRxBqBcI1QAFnv5FztRleCzk9qbc+
9yHxht9CRAeqOr1yndl8Q7g4XuaBxGwoqsk86nf3s+26bE3btUMD7EGrCdLEW2qXkujFvrgzOZSp
XCpoLJE3g4otioRjioi4a2snZqPe0pgLA1KTT7NCsTsmxaWa8YETwRhuUAjxoEgoIE4eBSxcIPa5
HaOW4S/LSm21Agi4tiPhce5lA+Lox/kDehodrwJYGHgk2u/nrwoKvgxSBP0KFEu2Stvbol6USAYb
oDdmZBJmJeuqWW/zrRGyEvWZtbx97ZK2pkxajluROMPDkAQujoSacK4AGtlapJKflnPL4FzFEDZE
j4TMO4R2AH5XEx4a80dJdAqAjvIMeQgvTNJwI5eSJ+piyiuJnkTI3n4HYWDTBtTkKBkJVjnxVJkX
6E7L+ZqO960bCYPkGDqW9aGlNDbiCkhWwnIlSBcUiEJwxAm6ztPaxvHFZdM3yoGL6pDbJ1LShmu+
S1hnm7teTmmiS9kciRg2pc0+QR1lDWIF1t9HcSnkVymR6uSl9r1cWbYl0JJmXoRciqtd9IAR7ZuQ
N5Q25BjIknddvmIj0R5qCKwtblmGztCc0tgcY8Rh4ZzhA932FHVeWGxdQXAlNR8YoUkuZCCcTXLP
xytP4UF6roi8V74EUZP6Rg/EWGVGiSLnGt+nHVozugjqd55NBWDiYUO60gWb5dwFk8utB1qnjA6s
hA/r+EsQIiDZidsjS/YZsSkLLbPATih3h/oAnx7EqFH4hdSCmP8gZZWLnrIu5yjClmyW6GEhhR2m
Pm+9XpWbKIneYzBWibqHhEHxVcqsk3/xRRU5YK/qCypeVAmvNCuHogT/FYw2rq+76IINz0ngs0FG
8gKddFA0iHxxV9eS4FmQX3DQxoYaEJrolaBNUe/JawVJeceppEGWW4yZo5M0Va+F+O+sJJlQ4Z+p
EkM1XIGGr96kTu2sixyJkd/QYbywWRV1KLg7qqpE4Q0/JgU8IpKa+r3kyrKEfF2snMM+7DrSQsyQ
1bMqChPNzkDIrLOYaXyR4kvtrswp19WrzmdF00lCz99UrOJCJ4zl7UDYIEFDeWs7t+l4S4VIiJlw
IDJ+KDrM11zPVxSJ6jpp9c5LYkenE7vIIrXIEyFQ5Qz9wKC/KuIuPztQN+R8KKcoTXxK01TqN7GU
QXAkZNuQUnkK7VELLg5YThclTBJDUiQrGg3fUjrLEvqqMdi645jRKyrnonWW0DEmz21KAWqpiGoY
tL6VgdwSNEsqFKmLJsqWUdQw2QsYCEIJ8N4u67qF7VEFfRLkFpCZXhFz+d1pJMn/7JM8FUyno8QC
hQ/Rq/XaDpVOZVmvdg1GdAIOS8W1/K4XwZKEs1FlK8btRJBWpGxFm2GRhzEYWzJG+aLiCIIItFM5
gtZD7+1HQYrHNaBi6bh7N09dasfkMRPoYeRkpU7JXpsYjMfSaU5qmgp7zUEzivzbxDGlg66lv7Sg
9nGgetS0P88vmYmuTKjxDjQjaONl4U9G2dQw86KkLdGphERPRWxbl1dA+oWncFMv+iuVmcWrvBQ1
Zh3JqrgtoKFhtq0mobjkmHKxKtFhnuqvroEnnX+YuywmAh0AVkDWA9E4SWaE4fdv4g0naQHz8Wra
sjMxV5s6Q3aZCcBPgSkkbGtDB7MH9Z/XUtlMIDtVzYBAJPheBXBFglacvTet9FkQN0xD4x1C2EMv
H9sC/cXdp7TKA1NhDI9X29/WbFIVqfhy551dbybumLq+BqE8JK3AMP3AIcSzWR4EeNRZoRA2Wl9H
HWEztOWmdj3XLc5MPIkgEYOKBiIAgUVL0H+R9l27kStbsl9EgN68Jl15oxLlXgiZFr33/PoJ6uKc
rqJ4KzE9u18au4FaTL9MrIjb0bISrkZALtmf8BZpKsAQ36qXnGxy+/5+W0BbTkKufy1No75a0qoB
C6jAJiwSIy1obEB1Qaa/NWZveCvZhgCjjloiQTkraMkGQDPJBhdG8zgY3/e/ZHGFr79k5okEsZLK
tYQvQQ5/+og9mrzsE7qeKmO3CdG9Rkm3LSVJboY+S5LkNQ57Kvw/gxNbstG2BHmwaXyt6em6Dv1D
Sl7ktwwCVvR6kLMTFFYeL3gNFhbwso8P7WBvPEMHWSY1yTbdEzNn9cbQLCYJOqVpelzL6HixjHGb
W+JaT4x2b9Bc1aWtijqfxuNcgudi3vEohUmutsCuOhnxAv3NL83yeXyIUKd2ydSh1RhfIeWSXLqG
ZA5ADRElFpQ5ZgsXh27Gl1XPOpbE6NwDM+qbM09TNaMZma2UDGdfKmIYidcQQNxpOBU6SvqaQdn2
CzEcCHf+Dma2ULHCVD3P4U6FEEn2HL9C4vgp1M7+EchA0FFsIciBlzUOzVo1fYWItFOwtFFkBa8N
0vEa6razC6DLNDzgQ8c5aIapXRJBWhOUY7GlvhwcPaK1IyztFhXJUZCBIgCQ5iTlclGoaueKg8Nk
3DqrtlzCWvcndCmzjTb8vyZmAyoUOZFGRhic8eJGYAl7f7PQP7gut6D3fYCQC9H2EHJLyQHFyTOc
wC+K/eklmp+8a/uzeyyLGBWibhii6kgl+m6Mt8fAzGzVCOyo20wNX7hcVgzuFteUvmitbrQJnp0N
luu7JFaBFczj/qDK2aphEK3fH+I0gnsjnB2NKsex7EoFCXzPAp8s5KTWal5YlVs8/oMhlIhkUBSi
iXkuUCuVviSOQggkmD+Vt7X6OxstUVzftyIsrRgCe2SqgeCY2uFv38AgDvokU13gKwWCd4B7GfSX
8sV4Ac4SjEWJzqFzqXsNdNPMCQRmh+3FqU467cqe9uV8Vq+/YrZyRaQkYRkyIL3Jz760Z+RtR6Pu
WVq4axOzhYsDDnh+cIgDrJSRSBmAChpI2YBbUKAli6bM4q/RoOoGFDIIrwEGuZ3TOhD4DPq+U15B
eklW3BaY/PAjWYNKNAZY84OyhAu5GaiM/Nfcr5xQ0ak+tFxB8oFQCthtgDN6A32e60xHNncHDhPT
eXWPz59w2KB4czk3hCrnRPuGWbK1SwIvEUcfFdRhXyggLsrPrGp4qEl06O2UqvegMZmIqla+9IAg
/GWRJYIgAuAptzMtjm2EvF02OkGNeybUtm3o4EQqgQNUI9GkfZ++tepjEX0AwU8KP/ju+9zQ3D9B
AmUI7fv+Siymrn64cgVwPgMiOztMZTKmgKZP4FjPYmoCmWvOBgBFJZxkqIV939rChgYOF+8WUGYY
/ZxWKdU4l4FSA+uksppYAqM+SWpgpWwTGiE7JNZ9awt3K5JkEL6FvwyveC7RJpRTyr4F7ckQSoWR
1oFnAmn/et/Iku+PpCYAR4DQg9zxpz3pyiMX6kYNWR+EJzEDSioU8Jr8wDWYvhpwHulRGtG6XROU
amoz9kDCp5VGpqqGTGW0Wcq2o4QJxw4PNcR3510EAMp6UcQh4Zsc5CdvQpk0G6XcZlY4rsFAgD5h
ptO1XVSSgQYCXirNTFQ6uD1QwZdR4rvd1Uocx3JYNKzTeu89f8ni56AW8QIQcXxPAuildSe/ijZ+
JF7qoF2HjGsXEzPzSwNoW1LrarAq0B9Tvxd+ZkjetzQCD0Trr114OOCAAhMmcEidoqHj9iPHUY75
SARmQtzvXwDNfNvC4+g/ewuRcAwvOAM/6AHgJ6iXo7fzibJRFu6ba+vzfOrgQb4P2ZzR6atN89Ap
JFGeWcbqhXNQocW2pKlOLhANQdoFSyIhN438xK+sdKa2bcvJKAD0ZFBCvfc00w1cc4gOLHI8or8H
KnDDPia8yQMLTxnuwvsIBg5gRRBrTGROs4sllNmg8Wtm4leqzJfeMrLBjhkTtM3AKbRoBDTvG1xq
aLkxOHuQxyEde1XyWKcvgOoEurbu9KzFVRYZ/UcTjUSN9RLIxrz99Dw7zw8Md2QEQ0bkLNudaJeB
icSe2Gu6R6vFLNz5Mjp7kIIGU/ek+n278SBtwtRMAuo9pMPfVNAIvFcRpai1aAIYAvjSQCJBNuzW
RFm7oVa2OIAJYTQyrjSnf4odyhQvBFnIG/41MltTKKY2tYx0Hbr+SoMHw2mwSWw82bJuWKOV79K1
tLM6WYdGBjZUbeMKKC7+ht2m+8CiZbeW9ze0wNFhB60CsIXdDhkV9Zb3lJx1PEX8DJvA5Kt12UUm
E39DGFfurJD50wQW9IdISkWoLMRhMu47HizQKK39gkwoWdqHwliwTtczpG9eAsI2rM7KJIoBlx4J
kk7ETzkr80fC5E9xeLq/FkvlPVkEHSm6t1BExTN3O/omHhM19bEWbnhp5JccyXq7eVI93fch0iBe
BJSFxIqFLKdd+RByMOrmKIBL6f5nTFfmzG8EkhPBKHRSWHQQTVfu1esHRyeXg1hmHV4mAnsqnkrN
CNaVb4iQPR0oyO1pD/82hkymIE5kfnMeM0WtRrFDBt/hVMD0cY4EEQlySoQ97eF7RmaPxFAUfB+2
MKJVdi8/gXGew7vevtyftyW/CxP337HMH8yoLSpeZBjsn0HRFe21bp+ScOv7Z1Xax73Zwgfj1vdt
Lk7f5OMJUA9F6X82sqxXOCTHfc6B2J52aD3Kz/+Ikfyaub+/Px9SHRXoI2Az3hE8Tx5IxYrBmWWV
nLc8Vo5TEnhjOpA0TMd3riuTCwMpBZGgNpMWRogMAaoPGvL3RPQg7W11Qx6boeSC6LPTkNkx0ybS
dj147PCChRx8Y7duECuPUGqVCKsW0MrOXbBNmknHRF99EjdvPmrxHenLES8CkpWjR9Q+Ud/rYRgB
9/KGKCRB1XGpzUltV+s5wldw6TNIsehpnkhHtoVvYiZCLD5lXKqKxgDSWJBqS0Gd2fkw+lYoj6Dq
daWCeSm7su+t+0u2vE2u5nR2x1VtlmgouSLdU1dIbCkrcDoh3znqgw/xg/vGllIxSF//d4P8BN5X
h5nthKFg2pBzyh1nWBXEJOL1aAUr9Y/F6/VxfIDw8mHYqaBF87fNY4jOCMoXLPlI118w3bpXX9Cw
Inp7i2mLsieVgcIuSlFHSdgVsZmPJ1Tf+nylpqoRlxZbvIiyZrRyaojuefCtqAangnrSYlo399Kr
d/1RU5xx9VF+JqHYKeNGiCsTFw876rH7zFMRRksv+LWZ2Qs+VDWKtznMgKs8FHaKb7aaLSCHmVSU
k7rorQO2Kk4tN6CDm8dh2jgpCXNYaIlIENNCvWCLdgxoEyS4UENAadmduPIJv4o34bn7gOBrMdUy
qOn1hawDNtzf75jNbJT7aYaWdM5JWqM+1VCs3Kq7dCQmasrP97fWUip/QjeidDIRU/7SW2T9uG+G
LOUcFjKuNvojuRbVMEM7ey8b97M65pCyuKwoRpcijmujszV1xyIZBjnjHH8Nr6wiqTxNcQkwiqEe
W6fMrZgmnrH4fglQ51AmIPUvrDbv+S6Ug3MO+VR+k6VGU5m8T3n1F0/ElY2Z7+F5eZXkHGxAypQ9
y6nJpk6GsJYMtM60xTcLcj54rRCvoVHp9uxhzVKpQheoo8a2G39I8pbNKF7F9Oz9erZUYRKAhfP8
CwNcZ2Mn9AgXnSwzC8gWoPfJ2+UyYU9Svw5oDJ40a7OpG3yviYUM1krX7oFrP7pTgi1Cm3dOyekt
3idX45oW8eraYsc68vgWltTYqOEC+6ciNNv2Ax2H93f50m4AjE+BOzwBheaYU74cPL+G2+QE35EH
LsQ6AKLvNWNBAi7/y3t4bWs2qAw51y5tSt4ZjyycCS0gDPcpoHVLy/TsWG5yWr5uaQNeG5zW82oW
5SaQlEGDwQi9FWG6EqSX+M/9+VvaElcm5slQdQTFhODCRAPmVnPcvbXb9EnlDJ+S/1gMmK4NzZyJ
vAOZmuTBkFSACshTdX98ckE6X76PWDPwj/fipbkUfkP6QF7fH+SiJ3NtfBYpqH3mtXGW8o6vQY3L
wOJBSpxDfeUMbApNUZQ61Jkj4YIBqWp5DLUqrbjWs3jt5Sem2uS7IHsY2V6PaytoVhVVInZ5v0zM
FiDVgE7E9O9X+0WsxCLh44p3Emg3TtkdQwXnp7gq82P/GFtSCpiYZ6q5ARSSbI1UyO1S0lMRQCcC
7fQfAaBb+3yVMS7OKBJxtV7WlxSEEUavS6aQbbjQZuVdJa570dBOWkAJnJbqMqCb+Wt6dlQYfijr
GgGrI31a0UqyxjWOZ7mDLhL4Gy3I16d6oUcgJForZ3EFLqB4w295lvD4w9iMLe5GHbjJ2r6/85Ye
xL+fBRzq7YyEEgQ1UPaA7gHE95DYR3PBfQNL5xcdJMBRA2s6AU5uDXhMkfduV3JOh8yqnftGlxM0
snuPSLpSHOSlfjO0mqFZcMrCoE1qdv8NGcgBPLGHL2pwH64BVtUNapPnSczofz8oPB6o+4I1Q1bm
xI/9UMaR13GcA0xTF7UrV8uMnq/Mro2MsiwI4IegDaEYXUymoxVGElBzZblfOh+5q7DtkKsIvsFx
PwKFOJjVSXpyAds1o8s229J8+yV0sozyAGTvUU9HLXHaPVfntRWEdhyAE5zIw8vdvrNjhRSW7hni
w/0JXXRAUWgGWTBiWRa5/1tLRV9GAJe7HFSO3zrmD6OsO+9LrtapmdtlqPO+wbJmWerBa9htC47y
SC9t0mvrs3EyYjVobjZZl7dNZovvhfccqevSO0rIClO7jBeuIXTGIS2ELm9kf+ck931Q4Z+GgAcr
XDTqPDTRNFKML0JqooEDCHTkicxyn0ar5LMqzIsYm+C5BRB8Ja0hH9l736k3EWC/3l+Dha+aRIvR
GINiCJC/swewGkHzlE2tbBqi+LEIQNxOK+gvndAbG7N3rhmSVuZT2GAq0eqYxBIZcSdXTtes+nIf
evueMfxS1fOss7LiyJX/5y+YvX1Q++CbMQKiIhtQ8GrtckSkXolmD++MY7a1623bAqh7tyZV11ui
lqyLioK+W5xpUCyAVUAREYvMtht4eKq+6dnBGYT2rXcVnQlDymIuEDNDgvrKxsyVVpUsV4oRMz3Y
gx3u/LW/rsw3CNzhj12T/gHJpfUP+/Tm0hBaBnip3gDzKGMCFvNzsm7PM4DBkCrvAd2AXtKHh4Y9
Rgfb4irSbUBGnImoCTQCK98+05S/Fh60a8PzOt9QAwEka0CsNBCclw9K896lL7FMKSjQrMzOipqN
WdeW2EV1EiS6VjSnKlFXY4iUG9sw1v2D+f+ZTMDWOQ1YIwi23U5m7v9nMhu9Nvb7Y2pVdmCO5IFg
NsFe3qzBhXX+orFXLm1TBH7Au6H7flJ0vjUb9qw0gKkLiBV5E3kPPHSV7w/s56KbRZeIif5rYe7c
c0IflshqoShLukFX95DjRQ/k8RGbE3LKT9pe2/d6TT4Tvce+BX+8wZv9GvTtKKv8eSbMprYlndOR
XdcZgXS0/P0SMcLN982WmYlryUsDfB9gnMgvIusXW6GV2dnePbmT1Jd5ABFcZJV2YsUm0rforWOs
VIfTcX+mll7imy+ZbYFE7TQAakY00XgrUQcpxxsacvfjYQj/ZbNdr8nsgpSVkkOvOerACYZcTZOO
Iatr32gJ4F5g9wafNrzEbgsyGIqH8+MM3tsP04688jci3CaJJv/YfnscYRv8SsRfJwRuB8Gi9+T0
2Vi52ZJ69Wf3DNYugk7KVI/3nlFtqfizxecKBRyOmwr3IB+cfY8oVoLg+uPUaV2iDWOVnVWjKw+i
cEk4zgA4o1FJBA7LNWW1FzK90Fj7a3fmDUECp1HrGHZ5GwKKL9UfVyNo8V0Z/0c70zV3Nd9t0Amd
F8FORGqL3RjSCGbDjnxRzCzdlgo4C0BoqKCOP2cka6HfwRdyx8KM9HmEeJ4NsTw2NMYntIFB9Nk9
UKKtxeNybXE2sBEdUwLXwWKRn1IJbS+i3sVIJ6IZv935e006uDQ82lIMr8KjQ6MDj351lB1vJ5Nh
RbkQe4Bs962B1N9bAHnCtSaTBv0qJmVGlzbIta1ZpBMgL6zy0YCwrSH7l05Fc74y7g2Tqhi+QPyP
aAMj4lWcAg7eyu2oVH9wtaLjgN5nVb2xC2Wn4RRym2Rtk4dJLteqLP073aug9LDPW+HxSTw8aUZW
4Sqkrep03ObXA4RoQKMCTjaAgubBajWOKSdi1PvwxTsrOrfRa3uS7/3G4adsWmEhQ4iB/zU2u/s7
JXY7r5yWcztaH2/WW2N3trqxsHUfHjS9JfH29PjHfDbfC/25tHsn1lexqRnehR5vLsH7VXwLO6lb
q5I0x0h0vRrFGoNaQN2K6XaIEqPUYhVrPqLtED0bG4lvfEMb++zIMt5E8TIo2yiVs6dATtm1hNKc
HbKjcmizYGo3yzsbLVbKscJ/JGg8jXKDLbosqgriHvTYSvBbZjcYMwZ+PjLulFcwXFthiQhRYdYI
VwbeRm19zj6+GQM6FeuGqDoN7bK0dKoG2AMqOEB7zGH8oA9Q/S5DBr4azZH7ELjHgbF8kksD5cGi
GZo27NX9qYaJ4LtI9jut4ryJTa4H7TnHhOY0SulFd/56SLP5DGUhw5CQRlFSAqVA+CMNSr9m+eqr
REITH0QySXRSt7nOMORr9US5b5ZO3sS9O9VMwIM6X84EXYVenMB8Xnp6rOwl4Y8Ygrw7CNBf9/1D
noxOu7ZAxZFU+YbzzEgcH+9/xOKeQn5garsF5h5t4rezXae5G6tRzTmpZ0/SB9r7c2XZNZRmQJXq
vR42m7PyiluHo2k1cQsPGPjTQRsFTCquw7knrCaMoIwlwIPNJiIQ7K46cxww3+DTWZ2FU0Mo7t7S
ckMXSkHaZZp0tOfeDrWP1FgMpvneCuiV7slz+T1pJkHRgaAUkuqaUWxTXVg/rVb3J3ny6WdXrIYk
HQKNifQO7Vq3hose949Q8gChdpaWvhXeZ93tYojroHNDCA3woFBigGkk9wzOjpDEp2iYRKLNCT+5
bK9wpSGrNLDfwjFFoM2xIMxEQzMupNtBJTw4v7ICNpJ2P7TmqAcjEK8U/oIlzNGNldn2FOWsyv0A
VsZK9zbH4BytWBM8dp+85kESSF7hTVwl3RObm5TtspQZnDIJSNEBN83jmbgdYCD7YqC1uG3VFEIc
6kXjdlliJmgCTUnRN0bJFKT/AyrpgdHjyqFJKC4MHZcDuJ6mzil4rXPuhiAXuaQdax7YUf6sfE5Q
jMi0OeXAvrgBWQGFUJmuOZ7u79UFSZhbs7N1HUWfScHSyjtpeZYHz+BTgOr2mqV2q7IlKljyc8XS
DHxC4r9LDyzyHJIh7tonLQJxLMU7+X1H4GN4tKVj/Cikz4XVWq+rIsSyPNy/dUD8LaUQuxCL3P7+
7KAghS50cQPRNsAliaysxcDXkVrUpXGblhdRhlRctddCoxjW2bivW9oe+31Qb+3PJhtJiL5NpvHx
A8me+1MlPbqR4SYPkfs+vkfyUel05SsDywzwq/cXesG1vrU9O1q5MrRCIWHscYwOcKutcsJkp/65
qFYlcNKmWNFKCZMDfXstwaIIhB4qF8AwztvyGr4eIgnEXo4Q1THQmmybKERpYrTmKp0sXiKXZy9N
FbRG0Y6jpHepL0HNvgSnCxELFtDCNpGEweoLNdiOSZTnoHvu+o9o7Ib3jE3Gr0zxisS8P1G/L7rb
r56FBSPIEXhNBkKoFH3QZMorAbjtyN9KfaWHakyxtrAj0A4z4XYnrOcvDhGOq3M1QxueE0jPYrFW
w8ekse4P6PdzBCFBqCMCKz0xh8xb7JpY7YR0aCcMDOStqlgfimrN+JGh5E9CbHRxomcZLQXy29lB
ugvg1YmkHA0/c5VWRWu0phFFgESiMgQPT/zetz5DcR0XfApY4VFTATMK6Px+4o8r3zHtxMRzA593
5Arw/nhTlSQQ940PeYjYtdq2CElVjobaWEHyUsZ2k5wTUOdJ4SeNvWmh+IJPEQQJFI3ISKMd5Pb5
8KqokaM24R13nz+CPM+QTHAq59vKMFUymqlIBIovt1CChskJ8Y1+ODwa85QA46tDw0oo1Q3njIDK
GWKMosEdev0QGdI/+G/IQqPVf+LY58D7MzsXCJoUJehigAggKWACxph/se+8nujg5+CgLEyaFxn/
86F7Du37G3ghckM1EjMLxBHo3dCAfju3wSAzLgPnw/EzgjoWqAhX7rreKmCxg0xdbW7+FGvA7h2E
juv7pheusGvLc7EsNPwmscfngsO1kc7kNgv2vg7QTXMEpRyNEYc2Tn7mgjD82GUMg3Gy37lRHARj
7W0SHX3G7rE0RTQeukgg1nbkk4JWT1s8Sldz/BM4XB2lWh3FxI1gOz/1NWns1PC2Aro5ddY3dQa0
LFvMr548/0PK52Zx595yDQ++iRQYVnIjehf1+Cj1O0lnH+FgxDS5+qVXEHklyOYgNYg2RGW2ldIa
yTVV64FQ6bd9q7ca+fIkK9cMYKM7/32saJCYpQv+yuCcc5QfOQ369C2eXQD4wczCg7rFkHcgT5A2
3e7dfd7EiEFo0TvN6mwnIdHd10UPq+A2Y1O9asBy/k8jAyGJjHAOAufzK57p+KaOQgF4G/6pZsS1
wI1GDfJIiXcKgajMOmHVNy79rlywN1l8uGLcVVdRnoBpvWY+hoQWR0A88YpyYOS+vRpiP8pyNkgF
p9P7dfzRrD0L80nznabKwB0r80XMQdmEVlNYmRTzxLfeaGzurXjJ1ijj0xL4C3Er3nsErhOBAviV
5yH6UOOZiUEHiCEZyQosanyq9xAb++w+1U+HJxpH5C2/H49oJfctAQznDykt2lu4926+YXKSrm6D
vhqlKJPwDRHabzQ9CE7CxoVQ6AeV+Xch7rod7uxdCWI2VJppuCDolr9szybPRNh8Z1C7rWjFqIVj
MbGCiz9TO6Vjb4fFlIMb9pOtvWR+UXfJ8q8jhpPlCaj4A4q+mrSGl71MEzIBxOPpI69byQrUkZXB
Wmb2im1i3H+aloIZDOavuelzrsyVkaICiDutESmt6ruzAazGc8gem92lWbXhPx0CccJzAz/DAjB7
a09SuSKP0kaAAkpIuk0rmLy6Dz+CM8iBiHhqywd23FUpVYtrcS9CRQptlWhqBu3ord0GcjdcF3W8
Y4CUc0SoEuoHn/ROd0Hi6EzD6yyAzKYcFV4BSKWD2lycxYi1GjWDX+cAliRmzhqRprtNYMRsjB7G
yPRi1UCDMeZgl+cB6fKM+MKZU+CA+Z3ZDg4Xb/1xE4Mku8pWNUAg+S7ioatx6ThdLHX5TYCA2GCw
7VeMOgpNiWiBNAdfjyqDNpW5keWeTZafAzXdSQ3vPIGYjbSrdaS3KxaXIyI8cN+mD/zWqBTki0HV
dH8/LjAH3ZqeHeSwK6Qo8fDmDGceYvalURvuuTU0IgVEeGZL03xF7k0XA/L6ah/aPbTpaJQJSy7x
FAjwqJChbw6hwe1e6T00dWk8nneBQCrSy3SXA7Ev+kHP3T/E8jemZjMtuwFwwiNMPRnGi7gpPBIx
hNuzcNBWK5GCdlnQoMTkIquoTUpqiKdm1pB9U7wywtMqvVTv7JOy7Y32UThE5qOi2zsO5EQg2TuX
zuUiOE4JHcrndLWDKvrmcobM6f2VXsjS3HzLbKGVfhBStNYDjo1GU5B9WZKI5RZpGYulcw8aU5A4
ADsH9bBZpaqVCiUa1FFwaukh1EiS2p7ZwzVMzSBy7o9oyfMG4eVfW7OHYWB63gV7H65uA80x2gUK
7B+Bw5iDtUvfIW2/WeX6t06xupR7u7E6u1FbVDuqsOMFZyoBgKV2527kTfsIYYOTuduV0LF8H0fd
X0l69XV/wEtPFZiSkBWQQZYASO3tOQncOh2bSEakoept65HuEnav900s7RIQPiChyQP6Iv0EzNfP
0xiAMa/C4OIBoFwNrLzNLkw2PiVluNBTNoUtoGlBXnrKMs12I197qpIwGEqHdrLhyXtG6/CpAtVH
uyJQMP/EBkVI/AkVUMb8ECriDzZHmU15aTqvv2HmhVaS6IP2URWcTAK1JeGjKpbsVBi1Z63wC6eO
sgEUi5LyR3Y1uTGyxkW3uMj4yr73RvQCakVbJ2bdDSBQLOJiEIgUwcUgch6xH3wiApiTtSgqkaJg
KkkXPLBCoo/ETdF3y4Ux8lSelH7GspjEluwmilkyzceIlpPD4Dc51LbLsXkFHr9Zj1zfFEaiMZKj
8JX8CGbc+MRnZYuURc3nhQ6q2SLThVQWPLMCosnD3/3hNcyUErlSLs9XjJjAMasVDYBzP1T3kSTE
qzxWxpWfy94XL6HmqzeiBPb+tE45MiZtvVFTnlnHOUghSczlSqvnfNykaJeP2c5MS7RhElAJADqd
+uU7G3clS+Sua1wdjbrRR4Kpqsik1db+i1fzd+kgZnJ7ErqgRWMnlDec8LFQAXKWLhpYOfmMMGt/
65qaZ3k+JSG36PJe25zfNqpcDSlKro6/k3X/cgwN78zZHHghYjO2JcpBXKj54YSggowGapz2Xx0D
ahenWpi62J2mvzNaaw85nALApIy8SEdw671nORhJDTnWdSazDcprsTxaGblN1FQm+o7Z4ZDEwB3k
PhEdsTVa5jxm5+hJRKNQSdg19pQigAqr2jf9YaBh46Zfnodtwl/L8xfEy/gkH6VAdLQXPtcjIpQ2
n+2y1q7aE8UdWLwB4FuACRp3qjSHeKAnFDy3fSoi4H7Rhn3TAjRAqV4s33RXNsTbrZrkAx9ILGyU
1n4LchGwUfnGwx/X8nYthIU2q8v3Slk/qdT4d3FwgEyKHDDViJ2mf7+6yhlhZAbOG0VnG8DM/Wdi
clx+rdHVb888tgapY0WYfntwzI3jAwB4//cXXcIJ7/mfj595TorUh6DCgQE1XLm2D2DhS9aipCei
nKfkZBTOWSMTLdt1NcVp+/E2741t9jQVoIZN8gKmM3O/fztaQGuRrgDeBzyWu12xPhw2PDEuSkgg
0X5/2Ive+PWwZ6eu98I89HxWnNoO9sP3G+IRIppoEFo/xFs7/35+TR4PGwcIkvMKOYR/OvR/Z32O
SmW4nBW6EENvX7jdcQoAXAMCpcPxUgP9aIeUXbR4ySBgg9+P8BQg+9lU9yDO5rgAV2oEtOMeshGS
UZvD4wY8O18ujSl0yTO9NjabW63vQm8cJKQRRDPaKHr8sOJe76/fAvoO3igwGqCVAt8qeDRvz1za
Rl7tNrGIVIWVb1lLX52/VjSl5MVcE0J65Csg5yXx7NwDxblQJQU3ZFDq7rf1UZDUxbvwoW2P69fW
9B9A+X3QwcXstE5kXO6PcclDBNBvItCCki2+4HaIsdIkAsTaRCeUP4rhfcgeE+Z94M37VhYAsZjJ
KzOzMTKCkMZyJeD2epluTV9vTyEQUwX5eISaN86DSMiOOauk2+m1LkegRQ2gBMNAIQascA0qDvc/
aHH3ABsCdCoHRMX8Pcx9vmD5QREd9o05xp0tN+uMN9BBIVNq+8uGZAinaQgbsby386vw4LrOVF9y
akOVLeGDdVdparbRKqeRvAnCwi0OWgcwb0+6e9CEuzXFeB6TJwlMZWYFoSPmMlqjoMfrtz3knPIL
mnb/eFNyKibcOf42ocrxCJLW5ISu5MAAaaRzf4qXqhmoN4MHSRGQGgY32+33uAmjcZ6PrWXsO31f
7jKCsr5ePsfbZCdtfBma47QTuyBAjV18ZXP2PKuS6zN1DJtwNJD9AP0WecMbc7GwzYj9SXZmXejm
aiL3PRtPlAEvLQCajgBfAdoJ8NnZdVHV4sR0gPuWueSxZgnxi+o/CKAJ6lMTvGdhn4Pw3Yb7xWB3
05Lwi2/stfXZGysG7ZiJ6jANfW+UJ+1ZYdH6S9RQ/wav4ooy1mkzzZ9VeAXyhBNGfnyeoRtVt+eY
QBadBO0w9RoalqWe+ooRhS36wlWjD43a/7xvdPEtvzY684GaYEirHO4tfPanF3cPKBfZHyuy/tOd
TqfnbLcT9IO+WulPtOtiwUECZwDwAfDfwbMmz05xVIRuKFeJ5PDfICnpkOY1wFXT0+Rhp++fTeqN
mdmJyUQvjmqoHyDbMub2GKqYUyYI9cFFBeL+XC5lWwDthicLGkEwHc9Ddg+KhtLYFpKDXCSZuHgf
7JOtl8Sf9Bu3lKMxHbubgeFxgzWcCwio4JGZvTLRyBZdLHmdk6qxZ/gNBtZ0fkN5ZX4nXiczkMiD
qMT0nM770Tpk4qXSU1unP0YHzhBWyR5p8T+g67IDXdo/16ZoVIbWninD036dhpnh2dmTAilMwWjT
OZ58cMstc6nXQrIOfAuo1rZ+V/ivZNB9Xd6h6SazIt/60N5j0YRedKy98hXII43kAbrU+8IZmnUU
PIOfIub1eOfbpUuqFt0ZlVHBbTa9x+yYxXq70xwufFYT3TcgQlnGxz63pUKvAtCBrfKLXJxKriYl
GtQYEq7Sd+gWnivN8njEueIqR5vvJgAINNwlnNHxRqJHqFFCOsgjkmp2AuAofA351H7q3t8XUkLQ
GIRie808g80EeQHR9PfiR1hRW9uno/Rrq1yt4fSgXsU5mhugGK0qrSOhof8JMqpCDaLtHQcyP3yM
cpYYs/JNmnbdr2f6ZwFRk+JQCAe95/zdiPyhVaYF5Cz/qCBX5UKzlXJn0mzMbq82Q3EfuhadsxVt
dL/lW552ppe34d9RzB4gUMgOauHhmEEGwUiPEBdrnyJsEVJs3XfK/fHrrprN2GzLd0ORSi032SJo
FpSylRCb0vngkpxwemF1W06/aP9rUa/JKCAwiIHhvIFL/3ZzJINcVDUbwWhdNVbjxjEZuKg3s25d
JkAc9TVUcH2Wxlj1Gxf6Yxf+K3pcAU0VZxObZGECJVAsXRi+sSP61Xh0wxzSgJvwxBVLBDBO9rb8
FfC7/A97LFUDghVEbE73J/1XLmX2GbM5B25ySNk07KZqf2oxKIOXGLJrBqjnFMdEoelY/1RLfx1G
FHH+M+7ZYQylbBT7GvMtFlbtE0mDFkUQrkvRqD8ziSgjpCkyUL7p8gnS8ck6UlbZJ/enhcIaQmyT
/eKAIsye788CdTVmoV/lB02mQOAHWy+LV1HzIHG6/+Hlj5qeQFdo3bx0wS7ClECbSzai/+HsTJfs
NpIs/Soy/Z6oxr6MdZVZ3xU3k0tyFck/MIoL9j2wPv18SFV350XCLoYymcqKSikDEeHh4eF+/Bxx
H41vb3/C85c9O2HDzkCohyQMxdVrQ0QGDMGj0uw/NNZ9ZJEjfsgfXH0vUSIvP5t+vhs8M9+ll8pE
tYOWkXjnvlWjPwb9NKKpRfMnzS8mudx+p8dnvX9pGRdzE2ez5krne3AmsCQIX2b/R6pjhpZbfGS9
s+7igQ203uTGxZLnYDin0V1ifmncB1N/d3t1nicCGBQKhJkpQ7eRhFtskM6rshEWCochjjt620zD
fhogNq+ih1j/MlgKlD53tXZS0WYXKGhZ7pe63UC+Lp8CNDmifOHQq4fWqcLzdmG7ifDtxmxpsvpk
nD9hIU68cz7zsDwX5+wctXuQaqOXnGgDeem/BVl1sF7mQEnMx79uL8jsHp4co2efslgPAaQMNP+k
fFCAtetJv0uUV4C5/Wxjzss3wHIgdeEfdSgYukQwUA3DYaR+H/wHpyp3cNsdzdo8yWyf3est4ujy
y9jmp9uzXHinZ4MvgrwgmjqjaBTlgyzeF1/97N2k3EWdF6kHVZ4ssZFcW9ymz0ZbhOSqIhwpRrY3
oZhjvY/6HkGm9pDVrzM0xm7PbHNdF8cdlStlKEzaMPOLcgyaU6V4OcJ8EO7Ee4n398zjsEmv8bhb
S7MBbwGxgmrBlfL44H8SCqlRPdqTxm5SDu2cM8I/pxg6bXRIQF+qf24x3KzOcqY0wlUg6QTM89qp
tbECKSpQ/A+xcTTTvSm9+OLqXjU+EESG6c/GPdfcuKr/bWN51/aSHLNC2hA2GvC71wNPSWWjjUz7
md6G/kerHfvzoFFRQy9N2+lZOH4Zoy77iFZnfFEVe/QyMdKGlxafs6n+mahZf25so3iTgoV7PRUa
uCXF/FqOceHd/tK1g0whnE4mXbMMd4l1HjIlLFKfD42aU8ttGKrn4qA7+f72MMt02aNxz5EGCBJr
xkotwtGu85uecgaEoPWBOtE+foCl8yF7Yx3j7/1ZIqAgjubxhX2KLua5P2QX5VRRKoPc9E1ycC/I
YRCvRyexFWDOR3hpkU+/a2khhar5us532doPK0u97iSb6DiQ1gmCL3bPM0bP9+Zfo/7Ht+H/Bj+K
h79+f/Ov/+TP39BHrCOI5BZ//Nd/tY2sv6bR1/y3XVv/+Nr+Vvz87Z38KqNGRt+a/5x/2f/8x/+6
/iO/699jHb7Kr1d/OKIHIMc37Y96fPujaVP5+BV81fxv/v/+8Lcfj7/l/Vj++Ofv34o2l/NvC1Dz
+/3fP7p8/+fvc8z4H09//b9/9uprxn+2D6OZUO6v3/Tf//qPr4385+/Csv5hgIflLn08kv2Px3/K
k/0ftGfDowT4E9mDOTmdF7UM+S9U+x/8BDU424TsiFYeXHVTtI8/M61/IBcHP9EjuorOVv33//6q
q6343635LW+zhyLKZfPP368PxHzNz3AwwP9zAnvuZ7w+ubqd6rFQh+leDc0mr3dOYaVvZO2k/gct
z2ZKTKQe/3yyMv/+hqdjLp75jwcCKidST+QWaQMxF7ecr4WqEhepc5f4/aEsznaGdBA0vZZW7myN
JLqeHVzHc+13apHslazbicHcI5C7l5T8deMuyVwEHNqN03H9IoLUxNZwC0DzOLakcZY9HmXgT0Pm
2vJc2EaPqIgfHqxI16HcE/bGQ2Be1v89h38NBSP4zNKuss/LtspS+EhCupU8C9Mv3gemcwctfuz1
IkjuereXO2iat9Dpi61G3Q/GAyQw0FRGAA/1h+utTkYjRunZzLyqUZvTpPTWzuza+pBpWn6XaXZ0
vr3Nj73gTyc5D0g7zqP/o3K+vI58EVdw+2kMCDfyTqsN62jkNSKzZmIf2rKvDklS+WcZh+4Rakr7
3jTr0mvU3gHqElSnIJH917JUSIJIVW33fjlzCkfRgFReNEwHMfjxW2Flzq4xM/el7QdwHGRR4QV1
6ZBt6ORMrESDmqtm9yJOquOsDHLQ26o6mQhK70cbXL6V6Cr/L4O7mE6p0+01mP381RIYaHqSpAPq
ifAw+pXXa17IzM6yFvyDXoYKPFZpSv6o7351FDqSVAQ9QDtAGU6ocT3KKEzdT5SpOo1Wpu170+9O
YFfqjVGWx2PmdqU9BakIw5irE4vwcKpFopljZpykdOuPpZOLu7Qye2jtbXXjml4ZClo5EvD4TRzh
EoCpJcBvwsQ3TmNg54eEkQGSyvZIf0X79vYOrQ0Fg4MO/Rl0BpChXa9dkY3oEqMVeZrUwDzaVY+0
ThSRRdJCdyMqeGYMUH3gYVVacNCmQ/H7eqhYy6eSRivrRPLTPE5O2R9kCtLp9oSWrgV6mFlqgUuD
LipSbfOEnwSdftNy5fZu69m+qv3MS3UK9zVN3D9T38WtTY1dvnObzk03vOd1DIiZcxNRzwUty7sN
TdHF7BQtVCppdP45CILC2FldWn9KzaRPUA6Koj+kadefI27DCuxSo20p/i2dG96NyxJwDr0UGiCZ
xUHLMi0sO6OBLzpRUKSegkI1PcQ+517QOlHeavAGbJH1LVeaQFebjxx39FxgXvLUOdlQZzIXcEVV
ReThdYNPpdXP0sC2fj85U3EkxpAbR2NpRMZMYkF/DfBkuvYo+F5vr5n5U6abTuFl+UjlVTGLl1UR
RhsP0eWpeBwFsCx1TzhOmOT1KMijBCMHsPAq2WToCdK2YKWmPCXNsNV/uDIh2u4wHg4EN/CygB3A
fTwODhOyanc69LYqSEtN3fH2qViZkAagG1eMzBS5hIV1xkU12FOYl16fawXRRTOl0SlwjVA7VBV+
aKMH//lw3OmAxUBUGkR2y3R06xT+kGhy8HrFSHm+6+G9o2fRPm/7dAMg83z9gDJDMoodcqvbS68y
tUIWoWmNnuL79SvTT+uzUrrDBjZkbZQZRDRzf1FyX2IchOMqgZ01o6dmUJjIPqo9UeUbgeHKIHRi
cl3AH2AQjs6H/InraiTG5oq4p7yhTse4LwCzxVHY/rxtC898BaulEAe5c3hC9L2whcIZhspQ094T
2ORru638F5pSVy9JvqOLOw7jt9vjXedV8IyMN1OJKqA0IKBdNuSrZloGkNoP0A8YwRsrkeKo6uh7
xVlWHSq3Tw6ylNrRiX3rIvVoizl9xRZtHtWQ0NCTTXP0/PMnq5rgL+1Q63qvMSNx9MtI0HIRwvud
Vlb34fZUV3YQoh0ublqkqRUutSWrUcnSvFN7D7a6hNx+6mp7N1CirTahtTnpxCAkcecWxGUbjV82
ehzr7ugNo5F/ZUXtBsWJJuI5z2DF5fasFjgidhBzdNk4d75VVSibr5ewiVoZ2XoqPMgVdOcUplbl
PMz8Rh/zQIhXsEFlzec4c533ve84b/O60J1jFSoQARZt6sYb3nmBzJi/B0IUE6gRLcsOezpvw5Mt
DQYrNuJeUbyAdeh2WjQgQiHs3E5P2hQi6lPJ0WyOkUbQe8C9Kyo1S6sDoRprpX1O/EHmp9S0BUKc
YorTQxhL8VENovFBG3LoVW6v37MDwOdClMOrQ+WWfrZ8g2XHoJSm0Ytt1f6e+4JempDGx31Ya+Z9
rwXxyc0c4Kt2bx81Zew3vPGzi3oen0wyFsPuPWvet2WLZkxWjd6oV/5Oy11jr/ZddNYRAvzkd0b0
ImfuG0bzzEQZlLe1DlsP0oY4m+s9mtpJDlouRi+K4u5L4nZpuw+SpgCjrebNtBFbro6mQkpE+Eff
/JIXqeyToe4sc/TyDuE+O7YpJAdNZUNYrCkb5re2nIjV4zo1jh7IoOuZcez9vpUcvlQK6J94cuGm
R3ja3SLqj4Wtgayw7cDYCGwfQ5unj6nZ6meSa+5vuiFIcV6PG6p6ONnNMHpTIWt4isO0PWtS9x/0
yOmNfazkXjp2p7K0kz+UoC9fG4N1DHI9Qb2+hhNj6KKXKs+WdC/SQGobgdmzW4WvIwx0kC5RSG0s
V0VEtkh7JVa80ZDmPsyb8X3aBjR9Cynre11Jt14ua9sAEN2mmw9eCvIW18vh23HkKH2meGYK6jzJ
cvdlpTfFh9KogmNb68a56Dez9quD4ghJPxkKuanFoEqqd8JERxOiiD5FFiA26qPZadU7LarDt6Gu
0FMRl4Vub2z+in2TvED8dI7xZwKD68kOFSRrSFYoXtS7pbFPQrcRx9TvnO8Wm/vHbX+1MklKTgQ6
pIiJF5d5ezG4fprYpKnDRBFYkSRpbkZW+6oPm/zId7Q7v2x/jYz50anPrT6EJABsXCiZr6dodXqR
6rU1eYpRWjCKqkZV7ZU+toPj7ek9u6TnCxNI6uNC0k+w2EMnDOmNJufnZbHSHnhQJR6S7FsE12uj
oCpJ1wRvUSLgRTCnVL49qLJQPTnVRXegoSVXDqptZpsalvNjZOEXACyTTkMbBijU8uTlFoyEfiJU
r6oVZThO9Uh3TukawUSTz7x8qlVm7xsZGJCmoqEBwUatNcFehLUd7mWfKvZOKc0k8iInMusNy11b
ByJ0QP9Y73MdbN/18zKCms+LUweKhCJOzOZkGeG0lV5YOyJPB1psK2/V1B91BjLzIYcQM68Q5iqH
Kn2r1pU+bUzr2XMfFwc5DcUE+DiJbhcHsqpkW/RJjvcRwkaLUxd/WLHULs0wZO8ys7FfR7VWH9xM
hyP4tv2uhBPgcOngnCmokcVaTHT0+2RMbXzBmLn5e9OZpLKvYQp+y71gwP4pXeVFIPzxjq498FNd
Wm61ca/sKc875m7RbwbR2cK2ba1oK9dqFM/K4rTY5UrT9MCxmtLdoPdeGQjL5v3JW5wTu8wT52M6
JXkibY/eNOOQpuVwaEaZ/frVNUtTgsriDM15+WvP0+htL13o3z3fFFa9c7N+QLKtj7JvOKIw2TeT
b3y6vYcrxmrPaSKid2zWWuaGtaQIyypMgZuI3j7Ugd0cdYrBdzwB/Y2n68rFDP0m5k+kzJt8eU8S
GTlqKlWDNLSUX7IkyB901xc0VVdZme9qmvLajdgPyOpzn8Qjliwf1/NMLbSIkch9m5kyxZbXyZbq
WjIQBJykKqs3QgkM65Wq1Hp+dsxSxmAZ3LreJYNmfpMB5M8nLZEWoNEu78yjFTnJR5pQquLQ4LiL
SxSj4LKTaR06xy7W5cc8j+oWdglfAwXeGXG6V/LJf1doavoHEN/slRIOTfVJh0RK99xEHV5nlt0D
ZW500zp05JOscxiUfnkSaazr+1ETRn8fJpV09pNBS/Le7WZhYtPJ1O913cmfxH1V8SLUTAEPea8l
HysRZgK7kbZ9jNKmeGu2nWHv4kYo065sGrs7Akc0vtF+Cb06pMEyA9yjsiT9KNxPrZvZqN8YQ0K1
1OyEcxowyH6PyuFQ77NE919TlumKtzGNY/7B1jsXuVZSX+ZJjyvQawZvL3WXVY4GuV9uDF9UCYz8
dRy19cuuN2m9sEKz/kI3j80Xk2L62viF4lzGLOpHGGzN8aPsyvZ9KXOAYDoKFO/1CF3asdaMbw64
8IpuN71/Y7lpqbGZcanvJl9zx4Of8KAi+oWu8k2qWnVw6EbNf1NHihh34yTdBwniWd2peeB/C3OJ
mFgX++Urqfid7TGn7kPRtqb/2moDnLZpxUp1TIs6e9XmagkfFWmkYV/rvaiPvZlnX3qFSsBZb5z0
w9CbanL0q779biDIEngtv4PWHbUJ1b3pK+Y3J1B75lOVeX4fomycw7g7VCE9/QmVCMtoNUAsLR90
arLAqU5RzmPwjQLcpaVVvFI10rhD0+6dVFf8i8jisdtLTek1+Bq6BHZJMHteUpeFQr3fLXxAp1mj
H4KqV5Ds7hIdkFkwg85UFfGvxK677M4RJTxmWTt8I3KbLqOdAOzJVQ3Ei6lVtX6qncH/M3CU4k9D
lxnavHWbKnvbV0R+LEZHfBIIlTYH2oPrNyW3N5d3q/AZ2BmSTYrslZ0p9L7BQgbKW31K2+Qx4G76
+X+6ZOiHJq50bq1m/tUjScddMEblFgHNyvXocr2YMxaDxMFSASjWS7cSfmN4Rq/X4a5W0io5JsMQ
fqLDsW93gVnnXi30gFCyQxX6cNu9LqAnj8EkhHUzso2CDQ0lizvSLOpyVFWQwpk2VegFjBOMX2GV
QRWrhtX91Ofl26AK2p+G1PtsZwE2elN0qbVFPLLmB+leh/CUErdNMHh9tWS68PNeKTVP8pWvaioW
hyxNw43pzrNZRIC8eueF5nlIGWfejSf5kGFsJZQxmeZpjegKCHHHlJvfUdoMfXpu0HTfgmn7M7TH
pvh5e6XXbheuZ+pi8NHOt+j10EZbBHOooHljGlfZLo/M8dzoyvTWLB37PDTW59vjPZ+qRcFemfM+
vDa15cb6pZ8LNexNb/IzmezCTigRre992d6LZDKtHb3t03AKJ0H4e3vo5zZNpxU5MIccIvWy5Z1N
0UmNKjHEl3IMYvdYwLH0ZxAlSryvlJ5WsKyw8/bYIsbd77QwdLcQYytpOBK3M20ujxbeZsuHixxD
C+XZOLtYEM0GXmc5Ib32UV4gjRoQZx8lTzp1V4uo0T3qAKU4dQYyLFxEivxgKHmebCzJ8zCGUh45
LdAChMCYwfXuJyKq9CGNkktVo7uyc5vavR8b1bzr6sj5env5n1saY+FUXMpsKIs5i/dhGZgV3UlI
B+SO3h5DPUqOgCfbl6HRuyfT6cKNuT23NN4sQAZYcjLXxrIbu+siA+bayfGcKE7Ogxk4O8ucspd6
PKrnqEnU3YjM8sZJXlnQOUEI3JM5AsdY+AtdGcBmmLrrcYWkr4goIP8ZrekYtIqyMb/nrsmm0Yzw
k7IJcpjLwkkdhJYtzcb1ChPxa2G0yZ2Mx62q+cqu2RRnXI10LZXsZSCo+hOPhbIFzaLEgrvMF+8g
OeqOUa/0nFI13CgHLYgKZs9PJE89jdogR4Vs/LVJxsOk9wOvNnLDGo0meujg/shn6NX90Fc0ald5
b116mTTZvld93z/HoRq+bvrafoiEUcA61w+UFmO/Fu9h72+Cg9roWfoy1ozc3CGhMbXnpjTlm1iR
nf/Kzkfjs/RH98MUEJOdbhv9ij0ABJgJXnieQBU0//yJZ49GjRjXlL43gG1UwYH4VXiE4Me2d2Ng
Dsmvmx+MR0AcYBwHJLh8CYnGocsd5I9XVq0z7pw8z+Cv0av6vZFmxRZB3IoFAjjCEc0ylLNfvZ5c
Naq1sEPV92TWEOcGnfW5tbJ6A2u0PgqUETPwkd6Hhd9wa0ZI09H3CkuEREWJHrcflAGZlI2BVu4H
R2f5QLxSo8YhXk8nsY2usozS9yY7sqcDcbtGGOo0+xqsPYQyvtUfS2cIXyBkhDz6rxvKnA7g+YrZ
g1m/HjwlXyy6RvM9RcjoPaGZ1D5BrJh/0ERtlO9/fTBSg6DweMMCGFskP4LGCXp36IQnail2MOS6
8a6oKuXSqW60cQJWHAiGT34XYAVRxjPYzTDliaGOwgtSNzuknZQHJdD6EyDGP0eOx4ZXXPH6FCtA
5pFJo+C79IqmIuXgZqrwKI2HrzUFvjNrstIXTQKFe1524lKrmbVhOfPmXMdv4FRI6XO9k85Rlleb
7EI5cHcLTyszmgsCYLr+PqnUxjy2VjOAw8t6y93pUd5/FZrvnGm5G40NQPrazKnzUSnib1iQFqcx
yQcrM61WeCQuM9ULCx9gWBeYfU8ncDcqh8kNgmbv+GP97rY5rZ1QeKSMv7JJYGeubZejGHZtkwkv
rSbrPosnsQ94V2/Mb20Uh7NJ/YtwlcaO61EaAY1L7RTsbDKG9q6nDqcf8tZt7I2B1izWeQzQKH1T
oFhMx+pcI5n7uL3UJpsUuxJZyaj7bgTkXOsg2yIbXLsiOBbmHBVRe14OJ90oTkvdQYs0b4yDoRcN
5SeJxEDc/Y3DQQ19rr0CS8NUFibimBS4tTb1vTaRwMNaJ27fKGEG70+StZm2y42S6cWV6/66E8Cf
0upL7Durdy8GngpMX07MsfWl9EjLpnBWTdaHtCNRRLI1P962yJU1ZS25b6GDohN+GdeaKUn1+VXr
pao57DRfjQ9j6OgkH5tmw3GvmOXMu424HxhokpwLx00pP9fVtHK9MjajV6mWh3et1W3RX69NiBCM
6AjoIra/MP4AaEAP+J2oKEmHe6eJ5TGo1OCHC+fX4fbaLdowHiMw7oaZtR2XhmbKYkZaWtZqn8au
F7tNcTFI9JyGUYvnLIAV7BXfSA+pRGY5DVpQek3X7UqaK/6o9Sk4+6lwNvKfK9eyy1sRhzaf/mfP
tpQMS1YP8/3flAmFQqcoz0Vbd3cBCb19JIL0GNWoVpCwEdXGWqwtu65TKADpzNt+6VMj4GMQlDA2
tZY6ftFbA3AoJzdA5VpiGLaIyFaH442K25lp7Ja7HOlR2ea6SbQo3PISWoPuHDCJ/qEvkVTfMNwV
N4csA1E9/wup+zLc6f3J7Z2ObZ5soNTqMIgdEY++8wFf0FKruBvjreR0iEypDAJS1vhrGQtbooOE
zJRQ+qaTnHaZ1GjzbrXQmI6jr9TiZBV+EN+T5m+ScxY0HVRluR7BUpYN4yZJ6sp1OUP3TXSuYbR/
lmGKe6MxYJX1PdgXM2PvkoSp7uoiK8LXdVGT9w3T2PGP/iS64SDSJLnvsnj4YY1W+ylErwEtvDa1
gp0zRLHKvaBCRKHI1r4byWpBle73lX+8fTLXdmyOLh4zY3Nl8voGzP0oGJQp9D0kLOsfpatHn5Uk
KT6Dl0vHQx535lZH9/OzN/OoohLHo4In7dIV2JxzM1RRZB2Nqa/ORtOpn33Tr5QD6IpUHpsyqpMD
oBzj3dQ0rrZhMs/PA3oOlMi4OuC+ePb4bM0mcSc/cYir9Nrdh4Vh5CeqTeFDNenS3Fje5558Hg0u
QZwe75klAjgE/tvORJIeLezOWYRpfmmlMfydOXFVgFoj44LhXW9ikwa1lRQNoyRhelKnzqBnMA9P
gBOH8217WZ0Q7yB6VGa5sWVkEY5FGwJWtr3UB0nj0iTglVq3xR+1uknEEmQPSe0Qml1PCKStMjWj
ZXuhXaNP5KrVvu4U/WKL+tdDJXaI9zQZSXVGJS3CCE0PzGgoewoP+Iu9kyvjsXRDmnvHYksobnVW
KAVS/XK4A5eWn2dE2Shh2d4UDn+oIIZAY/fN2UnKfuN+e36qZ5iVjagWvdz0tSwmFZlADSdrsEF3
FfISqblzUrIEtmY31+gU0rfMfGU8kMSzgAdrCYR04UX8UNdyIEaOlxeWclcofrKr0qk55nrT7VWr
3/L7a+MRcnKoHPiuwJBe20eeQB2qxRIfYsfKQ0u9+w2Pt6p54Wed+U3xi1jbeI6t7B2NECA4Qe3N
XVGLIxb0sk5aUTpeKFo6VYu+2FHGtw9jOW5JO68NxcYRIRBvzsRz15OzZSEBkelIVueTcxeasjlQ
kBoOuZF3G7HIymmetXtUYjK6BIgDr4dK3Eq3JDePp3ekamXdJIehFv3+ts9Y260nozxe4k8SVroa
A+YdG8fjaIDAdLWRCuTYvR+dSHpDZlnHvzEeGH3kOPDvRD7Xs+qJ4UZqy+xVAa27kRfuG4hCx10w
FPnJMGLl1xMtDjkWmjxcDIOc0sL8hdPZJPoKx7M7PzjajdueLFB51NyGrZaSeUeu0wJkgh+ZCNBe
Ati4GKo144aoIGcta0Xby5IyWWJgkUk2Jfup1xWvdKiFV7QrHMy41r7fXtqVQJ7xwSiQCgFhR9Hl
em1lMSWhbrG2vR0bJY3wQfLDrabWOCSRYyPkollN8TBWSY0ga63ZFVGQ3rzLLK25K8mTUfvuwzjb
sOOVmAJfAMyTZheAVcu3WV6PcVsPuk3yyRxLGO8K9WVc+/bXtq2afk8R3G12jt61P9UKNqWN0ddO
EaUuul3Is9FOuLC3bMZHVy5Rr1WL5jCkVrRHiU9cbi/9mlvAuOgkp5kHkMjCp4eBbQyRoPZgJ9X4
qm7z+Bh3o3NwhvLb7ZFWouq5h5ab6rFtiUfDYpM5UhNZHscDgNG97nMKpnuVYoe1H6A8/GzkTQxD
ihv0F0Xhxe2qPbVnKbYqSSvrSp84IjAU9nhVLOsErR7pdNmMrpe7YfKqTcpu1435L+PzLSbLZULJ
ygViuPTstWUkGgJ+rufnceQ/pkiAYo9ofG9EafOqLY7ujE6nz4JSw5xzul7VMAtmlEeAWE2oFP4h
bYReHWpk6T6mqW9Fd32cVi91FS6gDftc8b9QNYKetGjmfF7+GGtwAHmRYp+037+QrPbdYIfBSyOo
JbzcjnX+G/Yzgw7B97GqFJ+vZ2oXGjFiopIqMfTuc+L45UurgTbM1ykghL0/HM2IGJWeV/fcJHF2
6lW5ZTxrk6aGgP3QxY0ky2K1B0NOUxNRymprM/k8xAVMD5adxe6uzAnYj/yDKdm4eFaOKCE4Xe1U
3blXlxcPuY9ez1wuOkfa7b6eQphRCrc8xfX4a0JMc0LFAUNKbxgJHE7q8h7QTbhOWjPkjgNWgQaU
a9BiX0zmLszMYIsrZMW9Xg02H9QnF7ii9ENujrxirBbmX1SM6+RzO6XNZQBDlu/CKVAfgJ449q4A
Jjx4t81pzQ3w3Jir+wYbuvRGGgVIwx2F4wmtL15FRtK/oF1A2wiZ1/aO7N7saLQ5MzP//OkcE+KJ
sh1xr6OJKJoOAdQwzpRwVelvOIK1CZEupY4MWvR56wyc/tOkpERdfhtXl8SfogNyO8XfGAUc5vzE
nqu5z5ABMqbRLk8sL0yz8DwlWXGYoqrcMPmVvhsHuWfcikYbHBWZxVkniz2Uk5WhoFulJQ13avN2
1IW744CT2DMSa1/6Y3gutSE6NCWEMoJ+txdA2ahcGq04KKJXd7Zd1a+yGHF0f4rNjZ1d87skCyn+
8vKCImLxhX43h4ohva9urLV7pcigezkcFTjVjoNqOhvLvnp5Ph1ucVhoqMwiJQgsr0R44KsvDf07
R7XLTm1R99Y+q43Ei8uweE+3gFHegaDpjKPrT9UWNmTNomkxwpnNlWKiomuLLgxttEqrszzRx/KT
G6rwRWpV8Dox8y2FwTWLdqhEzxS9c/ZvscTsfGjlzmjT2yn0PdCS6RCEIDBvO4I1l0623yVbRRb+
WZgNlrqPHNyMF4ajfQkbRzvoQMdIcxT5Q2V0WxIgK4ajYwCIQ/KQQARk4RLofCtl6foWYf3U3vsd
nAz1lIlXrMAAUZKZgyFr/oZjp/4N3b9C+y+JskUdVUtcP3AEg+oy9XdJXmqHvhemp7VmtIGkXllP
GhFAz8wFFA7v0lLDqYNTI2TXotLdW6oRHbqyCM6h0yBKGRRb/KwrBnk13mI9U6Wd4i6ObS+wEKap
I017ZRfNwAuhijfujNWhKGnoM3EyPFML2y8HO21B/1peVsbZLgCA+7qvRP+hsPzDLxsljf2ACKgw
zeiShelDptdUoLuCS1+gvQg9XXWsG0feTz0sxTEY7I3gav7yRRSJGuzcegkHxNxTen2quwi9exKV
wUWvbTu9SL/LP8S5qhb7pND7L441uOlxJpFANwoRxXuZdPHl9pRXTjupDSAaFKgIaJfZORkOCvev
E1yQGVKPZsnjjzuo2jjtK0EHrouWZFhCZkDIwlpMLY3SqtIDggxZvoAspHtpOZP90q4t60Xgy8I9
sEIy2NnSDd7enuGSjmcOr+aKCfE6EQEpufnoPIkGJO/5TAx5eAntwq2IBECBUxLKHONF2/QAntWq
ID8Ir3ENQrlrQv/OTFHp3XUig4hW81vjXA+WMZ1m0odpVzmx3Z574ThI6DplDR2DOuOm7d6otvoI
1hbOpLGGtZv/XuaPWjDtemm6oCNI44awBwn75Ldh+JBGk7xzFRBLTtIoR3vMnOPtdVs7dlwClJtm
dNezkqJvF37qyEF4Sqb0BxdF9LOfmcMhKYZ+wwjXzgFIoZmOgSjq+RuDQ6dk+RRd8jZM3HMF7GPa
g7uGBtDyde2L0+nq50EYwFCi0HBeJCovoI0m2rXpQhaFUDT/+7zcpaeurI2oDS+OOkRH16n942gH
35oxnDa8zMpVZJA1Jvk4V7rhmrm2xziJA8UYI9A1btlauzAK6JWKWlEj45WBkNx1liv7YwTwfYsn
fOWWIN/DA4rsxowDWwyt9eRF9a4Rnk7+un2ZdU5c7equ4M1f8LO3jRG21cbNtLKwyIrPqCWK+7B6
LHIdQxhppRsnwgMo/SGtZP5BSTMIcp1uYwfX1pXVJAAEUAQfwPzzJ+c8tc1WqFrhe2lawyWqwD8b
TjR03lW93dW7DnxBDnSiyLbe5GszpKWRZwDbSeVhcW2MiipbmfZUoFMZOoekFLmyo6Ev1nf2UE8b
IfCKSwAwyO6hXjizXS3W025FylVCzbkeSi04u9KmJ9UZO0d6RWzWBfRejvUjtNPgXS6CZvx1Vz73
47LQvIvpS1yYUCK6kOPq+KA0NPFBdTMw9YHdjOmuIcwYXrS08xae4cRFfammvhMfb7ulFV8x0+CQ
vacWxxlaTB+uo0Id6zi8xFlnd9/p7pDhXYH9dYhZ9rRhlI4d5zRjJJBytfQhwPfsNuXfSOzPmH/Q
qJZCoW55iEHDVWNSgmkSQxPcpw66qk7a0rhkB1uk0iuN4Y7hUBWeGy6w7OVztoCUPpmELby6skTw
0i31QDnBYRLm5NB041LYRUkXYisaCBJCS8maP9wsiIe9ogWpfaq6rI7PNk2Td+YgRHvfCzG+Glrq
OxumuXYQ2BlcGxfu81eKmfWl4taBAFLdtyYUdknwRXRdbez9pIY06bYlrDkzjJD6M86UzVgcuyzx
IdJKQCmGucXDyKxgfDaccNIvgV4GXyPOz3i6PeRKtMSNCGIcInZy5sv0BTEOpAfwfVyMUc1OTWkX
p6m3ttRoFoo7jwkhAhXLRfIGb/asjpk4UzQUjknEAp9i9r0KEjW6b0x1jP4fZ+fVXCeWtu1fRBU5
nLIjsixbdjueUNPtbmARFxl+/Xuh78Ri821KnunxVI2ntMSKT7iDX+tzOvqJoUfew9R6xXjpVGdW
grIbLLg2ILhEEOlGJr5J00Slf6qNengXFn33FA+J3R5ao6+swzQLZ4LNgZbpgy6cqv6UkK3b/ypE
Ya0/5NVIVAMPYk+sZYPjsHifgYGHuAOYbX18B1MbU1CuSaB4meEFmj07I2UE8C6+nCYveo/Ka1Uf
9BBZlUM3N8xwbpmNfjYMJXuqvBQi3tvXlFoRZxkFS9K0ZVP/9mzYmtKog2EngeaEVZBIuzrEGZi+
+6NsHA3iGkDKANfpZa0LF1Lqbl/bbhLkjiUeVMLhj2mLiYaTFNqP+0NtbVICNzrg1C351+pczLmo
k3pmivUIGe0R9MVBgwy5M20br+3ysznmcGaIEFf3cKbKVKVqmQRtB7hbcWqZYSEJmKCsYK9Vpt6+
j7S4uvzJtzGJi3svkiur1yebe6OQLQdQj7Qo973JVMSxlG62M4cbjywMnIVggPQEvIbl73/bFOHg
NqUdZSJIo5iUiG+kSJk4ulH5eVqE48UL3aR6ourff0F6RbwdFU2+wwdaC9sBfMsqlonkXI1mimiL
OdWkZRjcHGQuq6eiXgya2ja+3p/XjbuUT0VwCKYIxZH1q47wQ1RRSY2D3GrFeQYbfDXnyjgmUzx9
U0e8sN48HvVMlGEBGdDYXSM1gHZhDTrLKMjTpjplsbD8QSTFBfmm8arK4g9eJuRfIRe7gExv23qO
MWDKHVZRMPU1eJA2q84TV/kZMuseQ2XjpDMULyD6y4uA3fr4JaMYYplGQWMnHmg5W38n1UoLKkTF
gvuzuDkU5Vq26gJEWQchSKpqmIiTHfYD3NdZNNm7UEbug5J3ww7vZuO4I7xJTXARH6Qpu9qQc4mI
dd+lcYCn3VS865vQqP2KhNA44l4I33mKhQi/W3k7x9/uf+VLdXtVJqHoTUd+yUWJfVeHXrNSqVt0
p4NyRvDpAogEWunoeuWvJm71d+lI4HnuZhkaR5rmEzK6AODss2MncXawRddNB8WozG99szDCZdc5
j53N/3CyLZE8RSrOvDtB6tbCgLPXYHlRfaAC+Pr6SCEogWrpvesgregQwd67UgXKHsh89vQFt2rU
FDgQy1pa+LcUIsUEDkFT11uwzPpTUkuTQLjEZ17H2jyXcXwa8mbE4CtJjrKO1YNskz1p4Y3rEgkU
uuaEfrwI6+uqadyhFmq99F2r/r+yHPsHhDLMY4ii6WEyk+GTa+X/hkL2O3tj460j26M+AXCUlG/d
Vp5jq0Qwl4Zv2oftFX0Q+6MzDnvSI1tICSIWj3OGKvUtb2qcqs4YVWh7hNtpAeVfMcPjlLRdfNZz
o/4BDEZ8a3Ol/2a1Pf8HU8S46I1xiZuSMsepfXHa2dvzCN64tCnaQYjXENVh/lfnItMyrEY89lZT
1+n7xInm/2wvmtFFmmK/msLq+/2DuLHKwNCYaFYYUecbvODgREgm0esaavounv2foyUf4hr/pcj+
VmvG/8oCuMr9MTfunYV96vAOAwy+yXabAWZAnY6gkCOj/NGE+FSpLmqC0ehQpp2rX2pqmzt33cbp
5eiSWHBwF17eal5tFP1bQl8YF574QaWpPTSoT6GqM9c7paDlJ61uNkLBBdFNc5tWwSqIsmvLRi3a
pLGdmH1yUFod7aXGFtWIizenzS/t1uqPZazJv6N6bsKDl9fK2+FwxOHMLktK+2x9WZV1pvSJpKCg
VYqe+06q2k+NY4Wwg+wWn+/7C7o1uehbLU1Gas43gbDVjEBaTYolQ9JlIFHK6GttxeKQGL38kw/7
bajl8vgtiOsTpY/GvA+vSSOKi+yUH0YlhjOOTMNOXrh1EinowJhDAQmi4+p1zFGq0EXYQZzJRyWo
9Fh9nGsuB3cq24M7NublDyaRmJu9ucBc1y9ihV0p/GEZXg01RQkPlWe1O+lNm/9raLO+h9DcOoPk
RovUAj3um95ZUqhSbVobwodtNbi6j0kunvD5tNKjPk0VBRaha5j3gL7da0lv7RbCcMDJXPJLO/L1
EnrGaA8xGirX2RX9aZH7fyrKXD0YpSlPb59TKni0lR1AXjeYLGVM7MmNIT/JMprPHX3WQ2NG6lXr
3L0K8NZXgQ+mQgIuFLTS6ti3ca9WI63za1oO2GaoWsTZm5xDP1dyj8axdcUQONEWXNqtN5H24HgF
9oY0Biuzcz5KZBOCLjTVZ/D5KAdo7dC8J81qAtilw4+B1sxefr31aoClxFQRIuliXvd6CSMTw58h
t0gM4zBUA12GRXeeKZv8q2ZR+J9E2Lo5RkOG+7M747749lX1XsQrKOzfYn09eni0HTzn6uRT/qHN
7fFcuQ3WAGDIv/3BUC5aTwQjwO3WTS6nlHFi0fC9ll0fnmthzEfZJ+mD2uh/gNGGUEn9noFY0/WV
jY8SuZXCUI3nzo+VbaBbA8jtEEsx+n1a723YjU3E5C1gGnBgt82RCPvILpld97qgfxuwX9b8RYJi
rKlEldGPyUp5veoChSeSiPJh0pvk3/uTuxHoAUrgSeaWXehPqyMzRW09GyXAIb2ynEPdtNmxR0T/
7XcAvUL6lCAs4Dyt222GixaiHgPX7kbXOQ/SjGER6ONF1Km9E9i8hKart5+wHYEw6AMb+hNx7nal
1Xnete/UtL9aQ5Iahd/S2/gb5bDB+6ZVWYghRNdl9b+R0lqP82gmT1oVGtXX2UQa6GT2lTM8Dagn
jeehlVP2VRl6pw7SdnI05KXKKH+fa3H+uazou/iwguYnu2865TANdTo/9pWmfqYB3NYnBf3w7jJP
4fTLExViG0nY6MZZx0fx2IEJLQ7D1MZJUGb4CCxlZw1hKXjG8cM0hH7tZd53zRmm8Rl1Pq856EZi
atciabLP2txgXNHAHO+PeuOV/zVmlwFyrpqqPYi80BG6s5P2f0op9RCptI6t5Mom/mSn7jT6lZ2a
RZC1vezpM5gVVtGFh2WG2okWAJJKm+ykYXWHk3Dlmk/Cm0T6DaE8Q93ZGxtvPAQ/km1OARtwfbyn
up9Ft5w5qlrKYRhEFSiGQJarsOagx8fu7YES4y1AJySWbqVC8AWKQmuAo4qvl/NcYvLx0FYAr3rV
2zlb1m0UikME1WY4JtTR15jntkfmBbnZKIgtMy3PTldE0UFLI7c564ko9hCIG+EEL9/i4QB3i2br
+ihLwA7kzsq1Axh05nmM/rKmsfEFGs5HgcXxkcrxsHPcNr+Rn7ooyoJtWp9sadeyAY9IF7IfmoDF
C59Q9LI/wHZudzbK1mUJCR2VXIShaNStHrzGGc1paGr6EgBWejpCekTRwqrxYayVGu9pI5tK85Bk
qvkA3QppOBE7hrzevzC3Phjc0dJyhXd88+7DT8eNdKRaiKNr9AW0bHEw59r9miv6nrX3SxS2vsrY
pdTOQcyCTV59cZ7UjtEisX2tCQSnz51XlD/phzqVX2WJGZ+zbB6mc6eHRfZuThTxGLU00HzRpfb3
FFH+pzyrPCyJM0spjki42XRvLRBNUJAUUzwnke0Vh2S0nMRX4q7+IrMidQ9D06poobWpkh8KeiP/
A7shvhKqFsoZRrb2gNkRJm0DKifv6ihM/oBttijO44GG58miNvs6sBmpySmarStI3+Rf0tTwLtWE
nXOmjsbOWm48fosQB+Ogt80TvJyo3xKZthe6h2oDJyZtMyTuc+7eskp2LpytShKlZlqNNGa4DdY9
irKqTK/OTZYxMcdHWRpoY1iLoLenMcWiMM2/Kwj5p9FOvw99nKBapP17f9duXLL8ClSRAO1uSMZo
HYXMwlM4pkgCXBUzzQa/TKr5BFBIO2tpEe2ABjaOCdceBX4ee3NBX7+e2ma20yFrkB9Jgbf7Rdhn
B9NTkkun8Pbe/7bNVSQG5tp7qZOtTomcR0NYnaFcLVx/rkh8TdfBq60ddYqtUUisF0DXIq26Lgol
hcQqZgiVaxOZE14tAOP1Fgzv/W/Z3CsLSA41VUrqNzlh6SqJO04U8NWwdgIPSuy1GA3zQ29T+ba8
cf6PnrWKu27v2Y9Gbs3xEQSY/Xz/19h4SlBVwWiZf5YaxvoIekOOxVBCWT8d4+sEy/TQd7U4EZoi
/+yN3YW24Z744NagC1YJ+AHYctgYr7eMpDOVm9FAlzuOEGBXlfDB0JrifYamKA4Khfykd7LdqTBs
PCpIx7BBuQgWZ4/VFVA3MrHHEXWTKE6qrxpSqaeolYAUZyM5jkqdvxthqx/ikZdTK/6EgbHgTXDG
IsG5rdqoCFUtAm2cS5qc74u2Ko6aV/0bulQaF9Ltm48KdQ3AHeDQYeLdtL+E1mqVrjfhNZ4d/S/H
mOKF7jrtnP2bzHShXADFMhegM/8sR+m3a3XSZStbuhpXr2rc57qvqw+dpzfHLuucJ5kbDiS8ClAi
+KU3JxoMDalkEXSknExM/3poPNNCgalDdx37uFP92Y7lzyac58l3Civc48nfntZFP5zkm5YU7Vra
Eq+HiybXnCHZDlcxdtHg51aGliMTX7ZPsdubylGrKIQe5qJKJ/iGVaZjAj0UxNSWJcQOIGxj2kmQ
PXqWnJ5Fref1LyNEa6uRKHq+vUDoNgW4n58iZuObkJ373VVlZ56jxsCvc4otkon7d8bG8FSUlweG
8IjXdHUNd3Ns9AMd/ithi3EoWwpLfjvbjV+kSf/YFKA6qyxzHvQu//b2kSE6L5klb/lNs8LDNoki
Sz3wAIQ1QiVV9k4tTDn6Zl4MF22O3Hd1Lbsj0OowuD/0yvKauB7RJ7CNBNy0iAhXVjsAmTKMQDyL
HTA7/UNat2Z6nIpQP+p9PF9GrVEeK9EZP7yp6+ka4R8rVCP0pd3MSw+z9pHEi//pwmJP+ufmNl3U
qHjw+QPkkG0sEcFvh7A0IEbHQu+v3aDYX90CHayimp0LHIT5r9qLjS+diZX6/em4CTMovlkUM2Cc
k/jwIL8etAJcE1mN3l2rrFLVExqX2bVx4uTD4JVKfYasaO751t28y0u9z0TljI7Nwudf73pE3XUR
Vf3VK8h7LT2ZTipl8NP9D9scBewQihg8FjdQsbapzSIMm/5a1531N6L/1QfKC8YfjEKOxisEXmDp
kbyePmlmblEnFC3qwbWQjh5LfHm8vU7B1rfQsHdUULLIR6xhb81kmdXUD/3VxEj7UNVTjH1avCv0
sly1r5IXFgZYziIZQXePsvXrj6kklQobrYGrOTjupdPLqD4Woa19FJG0kmMFON7zKYBYT3NSlh8x
+yzdIxJYeCtMVebuPX03WxP2BjgSNNUJaOgoLNfX7+fBgcPvaHJexAlS3KULqi7Ioatl7NteqSs0
vsfp1xt3zTIm5TXs46B53jTZ2qqM+wYA2FUhPP3YmW3zlFfhsLNrNr8MsixMGN51HqTXX4YPpWUh
ujoTwqDdW5p4OIoukZ9o3+oXLYm9PSr/zU1PP5yjRl+NII2oaXXKoxFFcFZ9us6ZKU4ecLZHp6jF
59GIK3/UIueia6W8Rm0SvbWDuIxML4F/88ZQS379qXZCMwgUiHpVFFmdzdxIns2JXoLtKe3exbL8
rFf7dxmL94zVW0Cx6+TQNeBqtpUyX4E2m6c69KbHtrbjz0Nt5ntsx9tAgsGQvoNnRPBLBLO6rUc6
hGjP4Y8zZIr8Zgx6/I541E3O+VD3nt+bCJH5bWO1/wyRZz65vTd+EIKK4E4McXM30KZZJL+4G6Bz
0bJ5PcFu1FY93ifzVZd68RGyRnsGCYZg9FsPhoa2ERm+rvMnzJXXw/R5W1rCYcuywULhRxLli4On
ReNe7r31Pb8PtHodUk3PFZkZ81XLFfOdqHt5ytPszagrZu23UV5wp7/dLZiMEh+Kab5CNm78uOjn
58oU/4T63B9Rwx93Iq2bp30ZDhOthfOzsEqXj/5tuHpG7zFGJuKKKNZ8KnFNCRLTHC+DmKVfLBpA
Q05R+A+W7LdBVzNZFJNmzWY/X11r1C4oD+UPkRz0nf13e+gwLafgxX8WmSZMyl99Woq/jmnPnAOM
rqePsT7JU+sIrJmhOuwMdbs1CNiR6ICKuURx68dWUQR29GZvXAsljY9mDILH7Jo96tvtBy2jLEea
ijMc49WNtVQswRziHIBdtTzoUzYcBmOsPicd1ff7K3T7DgBYYWPAIAA6epPKClPPwjRRjesEddp3
sXY+TXPjnto8T44DaNxv98e73YaLDyaB98KZABirv16rlt2dQXbHK8DL+guOYvJnWQoEfKMqSk4i
w4vbB8qq7hRitmZ06RMgC8jqUV96PWwJRdhBJ8K8AuSMjyD1+kOm0SwvFUPd2fNbM0otZoFTMK1A
sF4PVUSTkCpeZVeZpTKI2y79Ekl7fpzxUvnXmyjZ7tyLyyF6/eaANSNo4jXg5bnRXLZQ0E2qGPbn
gC/a/xCId+QDZG8ICUaVl8giY1RgXbI6x6CPSn9QmHr5z/1V3ZjepZ9LlEQ4QaS7eolCfWiyKikQ
4Aqx1O08B/fHNNROriverJNGT4TTwaYlOrxt7E5TTJcqghaPTml8gRRnH2fm5nT/gzYWEWoMhwKA
KrX0NW4UCqiV91yjRCvSoTVnIaVRWd0R4mh1weUDW9P7A64uFjqxPGxolxBjgvyhAPJ61zigAAo6
TFlAZcV9tEI0q1sz3svvNkaBAs3LAoIEgPE628/qDh/TJsvg66TFEz6U9XEu3T2S5+qML9+i459H
GUeH53nTnHNMmaYV0M/A1IrOz7pUOyFq8bfTa3PlmxPaM34EEmJnBlfH4GVUADEkddSQ6eOuItqu
bTVYFnUWDFZS/IVLTvPQhzi3Ij4sSs8vU7nQiLsE1DiSO8bH1KWf9ie/A6xo9ubCYVhDLxXDnEYe
1SxAwtn9ZBkEXFhdOb6MQnGwk7l+ryie9O1J5N8zs66+3N9EWxNPrkM7j2SafHP5+9/e+Cqj9duX
dRnQZkbmchqMH6FjS5/4rD3oil68hxzGrffmUQ0o9cgH0KdHhWe1deehHhtvkmUwQzZ7jlpVv0h7
bL426ui+F1X6bwIG4/v9MTc2MvuLjr1Dk+u2eqOVRdbOdV8EXimND7JUpB8rana9P8rGlgJ+wAOs
U6sBcb+q06DUBEBOKkWA/K7705VCpKdBDml1JbJB7SrXo6LEYykStp+WHvImVRPWyfP932KZv9/u
92Vjg2OjtE+kTxtr3doaWtfr8HUug6WY8D00+3+mYrJ8Jen0v+6PtDWrL6BDIkQu8vUrGWvVjGVh
XgYyDNuzl0XWeTbG9HJ/lM3v4Y57eSooLS+z/tsujZskrs16LoJGkHrSgqz90ggdMhXljXCnl6nD
3oOSAkSfxRL79VCNZZWiwIkocJxR/zoYGYzQTuHsvkcReImA9bK3g0jEojpSiLTytx8NSjNUMsDn
OpTrV3cSOjEgaZO2CuYuVY5N108BxozdaSjN/IiINxHP2Bo7sc7GKgJCcgyVKvoi5r+a30GUEc5i
fRkMkWqcjbArfW8c9jwZN1YRVgw9kKWPD35u9WkG6vzk+mERxFpm+mlSVZfK0FGhU5T+dH/DrHlq
yzIyFgURk6R6Wc7Xy5hm1O5VhdPeyLgeL0YdysbHDSf/mA0Y4p0rgOePkV3307FHDyd91GHsKad6
cuSAVa9X7IkFbk0x2jw4x0OP02/kHcc8jrpZm/j4fiz+kfrQQobHNHQnZ9schvcThBWFtxtd025s
Ukm8UwapbOrnaEidABda5Xh/eleVmZfZ5ceDSFz6IDfa0jLJ9Hr0ZBFYvZcafkEx0z4aeSe0cxvF
w4M5xchNi14Rl1JHAnJndTc+0jNJB6iHQ0Fiw75eXA+3uUhp5joYpW38pVjl8KB5nb4zlVt7CBFm
AvJFfIIy6WoYOg0DeUleB5Fiql88pQ4/VLXqXJRaaw5VaiqHCh+/Q9/P7RkHR++gp6P8y1LydCeF
3Dg49GghTNOz1EhHVndSMna13sZRHYACKZ562yq+USaSqChG/c5NuzW1YE7IVkES8M/yq/x204oq
mUdN2DLo6Gmd+gLyHHvojS3YBaxEML7oQEE6IfJb3QTQnUOFTDkNVKdAvTVjp/E1g9dzRnk+1UUE
uvkY6eHwRnPhl5GJdBZsAiTgG7B8VhAKCQkxkHpl9Mlo4X1DT+12iNQ3s8j3AR7iAaEYS1y5WrDQ
q9vC1VIBh8zp/ALao19Mcu+s327QZRi6BbBfDRLU9QbNsyghQg2TIOolZ3zKISH4Vp171VOf5kP4
RY/bWX0YBr0xzr3aJ4DZc6tQTnQA5tSlgyiEHty/GtZyLS8zvLRFF0IuCco6tgurotGduBFBUU3G
yLulEj5OZpTTGx3ZcCc1D6egqsvZ8WNXeP8YRL+hDz9MFe/COFkaWW2a+mqNO6g/2kbzQ5sgJ51x
lIv/auoqLRBESpM9psrNIWMyUYEAgw5hlBBjtWZm1xcxZk5pgArM+E7YRRKMZYZXZpZ7O8/t5lAE
F6CpkRC5ub8UjyZx7s1pABspvc5NrPtjmTrXZM6+3F+NrZEWP3qSX4CqN3zbKC+BsEWt4KDltt8a
dRtk4WggrJApp/tDrZ29XhYeuitp3FKI4tZ8fXX0KBZHuIilAbGm/qs06ZNBXTO8LwqMrgnf4yz/
KVmDn0KoqXiwYd26vhZ16g9IbnV2kHVnGr4k7OneW1VvPbdZayknJ0uc8jDqbvG3Goam5vfNaHwt
XZxhfT3LQZsOkTHtfc3mxL1U5kEX3d79ugTJT8NdBM6ASxkYYuFLtZaHnsbKTsS3dVmQwiPWDeGb
s7wKVfDbjAtwyyIwE1yA525KHoFuRef7y7M1Ck82OLfFqIyS0evVAZDbepnjiMAWnnsUMbJHZTLZ
x7ePwsnnbQbocmthgJPuTDG/SwIrn6wjnnPGGd7hGz1Zlp3GDQ72YwG7Lqyd19+SwFeJSwwtgyHV
o4+jiyq3ZXf52y9xRiGOBFAOSn/dZJ4UeyiMLmIUdapP8JDSMzrxxk6UsbHR6INQAVtE24lYV9dO
rXgl1b+Uu6CQk3NyorRBeXF03cK3Kxx8drbBTeTG1C1skoXYSgy1ft/TPEaCsZ1FADxkuna9W0Ai
yWDleZgWfxu1GFFwVRj/UzOxl1ktO+xVUroMTeJtvVx7N2ppTezYS0FFBKVXG8faiKQC80mbjeuI
m+57LR6HrwVQt/9QL3Z+SdX6dX9vbo2/SDZbJOYwvNcnwA6ttChqLw36Ii+nM1GfW8Mezjo3sL00
jXAQlPVzA/yuO3FjYXZgzG5a7gRYy3quZwHxWUALCArehs4ZEqEGFixpEKt9fjHGhovYBLr1qdVE
8TlORaI/SLPZKzFvbDODUi3pB5Eku2y1zRBEH1C/tfAmHSxjOoRuIS0/ofoN9hYaw9sfOJJILpql
pETevo7vDAc0hlUUQSkHVfc1fLo/SVdGv0ZjsvdCuo0ZfTWY/vo2SM1QWlYdkrF3af5OcUV0RKdf
9RvxRRHq9zK0yp1DtCr1LvcP8gC0WlDC5UpdH6IuaQfpVWYaWChG936aieGvpkBtGD/sRHUXJaV8
fH9/9645zC+D0ty3lkY/xYE10rVskPPssbsPclfOz+i8R0iPjdMVrTssre1iOPeYOB9HYWt4a5b9
AfxDfSJ+rP9upmKP/rI16TyM4NKxUgMStapzsXuSsdFdAgtL8MFq3z2Mnls9dlEsjiF5E3DxFKvj
+5Ow8YgtFyVhNSVbVG5Xjxg6TmlhK2Ua4NA+P7clADCpKu7f90fZWl46MVAIF4EUex29I9GDv3tL
IDPHrnIu8Mk+o0ggP9egDz6lmLbvPJpbZ5MzwrHkvHDUV8+Z3RKeN57CXBrUm/t5LE9W1GFRY+d7
4vzbQxGXUwfl0Vk3KdTRHjHOyNPArnXLt+T4d2Vq82HyrD2Dlc2lgvYCSJAO680VIJpEUTJA+0Hc
ieJRdZThIaS2tlNu3XjOFkVRouiFVXYjrOypddM5A4mWKfK5/1CETTT6o5fM8pSgyl9jxRwZ+tEL
R+k8FHEZ/3d/q6y1vZZTiW4HNwGCSMRW66xhNhvHaWZC+bRwEXMEOa5eIwWtgUCZ63T4bmiJk30r
ZIm3s0tRffATZUJ93m89p/wyJcI2j6ISdXOYLWEWpwI7TfvsVZ62Zz62sSD8ph7kAN6AW/4TOOPC
iGvOTtOQ1aRZkr+juLFzdLYGYR/TFqaXyTCrrdyHJtVf0NVBQvv+QmKT+tY8VTv1kI0DuuSWbGLw
69RKV48ZCkJFv8iCBtZQO5+0cEo+NNaY/G+q3OyLJFbfswvYGnDRSqJe8NKxXL1nDohGJc77KFDK
Uh7bBC3Ndoym964y/zBofp/u76qX0HIVJBCp0xsF6bpk+KvKUxVi1zGUfRy0uSyfDXuOTR8qX2wd
6XkXn7Uh7Mv3bqjacAXpeF6Hbu4p75vD9GBPs26djS51xbFYWm7/EyI3cnABIp6Odpv3hq9OaRQe
WlGM5qEbdS3zI82Io5PtJUZKVds1qMPA8VH8IheacijrKEVAd5HgOWdqXp49Ryj1gwxdo/XrMRPG
MRdOTdca/KVzrrWxTN5+R1IQJ6Dg/SO/XM9IqRemC40VDZnJnE6Di4ESZBvjGLbNtDPU1mLTVSUW
51gvBarX8UTGXw2UV+EHjN4UhIVe/NW2ZfYT7qJ6SFJF/5PdRS0TIRA0o3jYV9s5hFdh5hHOroPW
OceoNJ4izSTfxI7tYZ6VPenDrTNKw5NaP5fX4kr1+vvmPFU7wDsYyapqc0wMKzpWmPPs3MwbLw04
aaSolg71bXdaRYc8kp6tXDW9VaF2Se1dk9fNJwRB0s/3j8vWB/0+1LKgv9UsIYihzuwio9TgWXcw
lTS/OCViVH8wCkwDigJAJhBRej2Kbc9j3C+MmSiraz+lLn6hi7dnBLrxoNE0BHSI9NvCZF5doFkS
jxk+DlEQOgaGIKmmnKCDJ2dotfpDbtfxJXIz9Rhl3Hn3v29r23svqDwTzgbaoK+/r1NbHd4RJ6wb
p+TQcOQvZZ9pvpfyuUOfW4f7421EkJQucYxctEQIple73oMWRh7qIFlmTsqz2WjuOaX8d54iHObQ
UMkgzk57gMDNQRezB7pC/Ne6RtXSbM2E5cbBoOnhKR3m/tDVsRUgSeMc+9Jqrx411Z2odeMoIO+E
IyZ6cHBUvWX//rY/ncaWoaI06N24hfZUpXZLsut0X5XeM873J3VzKHhUoHN55jnir4fCtdHu3Yz3
t0gS99zZYebnSh49ubL/9QcjkeMBIecBttaEJlF4uZVXKLK5lpTdQUswUKDBVuY/crwx97DHa+Dq
EmdB8CHA4+zxBt/oB4xRXLVpHAdN23WPpqukZwfPe8N33cj+3Ayo+Z2sfJ7zgxk25k+zNOSjnPN8
rz37//lFluYXh4XW4mrbRpV0ZJmhRp5o0jjGmkwvGH9150Gv8DPtPYUcUPZMhVa6B1SzuJXCrj7d
n/yNs7rcDrxRsOdIwvTXywyrpxisET32Ju2QUhPOr9zQGySdUovCiu38wQY2aPpR2QXIT2Xv9XBZ
OZh6WC5+8kt971iOXQI9sY3/bsFH7wlTbtzm7Cb6XFSRKVivmxpjOePyUlbKNcmH4QAzr36YUlUN
7s/g1kFZwIuLOiu44PUjOOXS7qwM8u9YJU1/tMBrXacUWpfft4nx4/5gm8tFHoT+ziJ2tm53xYNq
l6UO4zDue2kdirZk5UKNLogoteMwkxfsrNjWiFAQENyi0GXeGGlVpjPytsBhh4mATr5r5h0wBhGF
T5liT+3RynJH3bnQtxaOwggt/AUUegNBlZVCopZ1USASwTHMTQ+SgL03ytYNTlhGXEHl4baOHcIt
orVHKF4XSgcQw8ZB+FJDWDujMt++a+lCYD5uxNbl/hpubJil1Yy+Jow/yE6rqNAbKC7Fhcq2tIT2
EMdlckqNwfFDYAM7i7f28VkuO3sBLiytKFjN9rK6vz0YqH7Pkyf6JOjjKFcveh628pgXWTgfukGv
la/hYEn7bOR6nlwL21LkISwakDH6HAKNUYXqflbdmD5qlBrlNe3y/kuWN8I+Cyu01J3AYWtmfv9t
VzdirUwia5scbRGAI0dz6hGvG1rdx1LzjQb3/29iwIvpqLXj1rRO/LJG0L+jR039Z+7/Use5PJQF
rWNDaeSHsqvMY9O23c7KLyu7SsYWkhQRJNhqsv1V8of0ci3LmpjBKTzx3A7a5NuKFh867LQPrp0p
RzQwzB8sj3rsOy9/vr/xNo4yqJxFmIFa4/IMvt4MfRnb7SCiOLD1wiiOUZ3ROHWtNtcv0Ygxhz+p
TreXA22EoaQHgKAIdMlK1nl8jiAZQEzcFDxFT95pXdmcrWFI/VnJNDYRJVYNC0CggvEbqTcvS0xw
RpREz4Ui+epzx6gSqQ4GM1Cq0P5QOmpFwy/WDrqonZ2F3ZpZSDdoHi5gPNoir2fWmWywevnSCxHh
EtJLQ7vkdqpf7IrKZaTKeeekbM0qXAqyIuAHkFJWA4ouFwYIQRHEUR99G5q0AnAlxam2tMl5SJrO
K32uTO9M9q7kO4O//PTVPsatlECbnA+w67pUZXVaSFdbMrNdLDqIo4opjxk8jvjBQPSkPkWi7Ol3
9lF8NFpSXrogsar7teEWH5S4Gb5EtQIsNo30pvgA5bS2DlWkhQ+O0bXpcxgm7bNXu/V7NHnxQ60q
t5rPtWuVxc6J2HhooJtCY+KGxEZxvTnHOpYmUqRxICsxfsBkVIv8Dguq8/2DtzWMR8+E/ISG0U2V
CdpTigJhFgdFr0yPboeoUmE6eyKgG7cn0rFIZrAF0VJex5N2Y82dPdh5UFmwXo4GDBR0sZUKhJxJ
Wfjn/W/SN7agiwYXAB+apyCoVs9Yj8lTlS7NktBo3OgcNtXY+yC09M9Jbg7dwY6rIvLZpq1+mfSp
Ej76nB4M62acsp+5bon5zHck2XESU/fLQPNtPpijXmdXp3T4AWOuoEDfeW7YXMo5Gp8HqBnDB1ON
o+Fza9tRejAL/DwOnQwj5QFFW8mL1XfZOzPqimeYTbPcWciNKYbJh4gO0DuKLOv9ghBK3jmdkRMt
F/l8CGU/XIzIjKugE/y5EwatqdrLDYZHKuAfGD/wUdfDzVnR9rj7McVJr7kHdK4y7dDlap37hZVF
3SHW2/xni3li9ahCHVcvVaSIwbcjhwITuNLG9ZW+1jrq8wa6jMOcV/J4fx9sTQmMOHD9xPQIYaxu
2ULV8nnswdsXwmX91ao7K+PU+FaWvVHr8mU6II0C+4RHBuJ7NVRrlnGMo0sWIJSqnRFDa/8J87A4
dPpc/Pf2r0I9Gq7H0l2lP/T6Qo+W7naFBEzwf5Sdx3LcSNOurwgR8GYLoLvpSVF04gYhiSJcFTxQ
Vbj68/S3OqNRjOLfzEKjULtCVuabr7GXPj6a1gvzBZ+TLGy7p/9+pT89RtxPEOSAZ7HU/Q0sUUW7
tvssxSVozLuQdXxIcJ9MbUxTvviJ2jKiXNpcOUPzl1HiD0Xpf+k/5wRZSHC/NyPFEpS2DPg2+34Z
Dp4x0a2B/PV/39+eXWFAZTD6wjXktyohZl908zRzPIhru9hbazhUmrwva3X+5ux+7g5/u5V4KfBI
biYoSr+3dPViF9KxGz5QXFZXlVRdNoVMZPVqHC4gq8qQ+PfP//3z/eH4JzAgOCHQEf7Ndy6WcwDK
hnSmNtMMGWourhuHwLY+qv9CIvnDQTnrDAlQosf4t8/OUrvJRDVuL5W2tv0ycbHrvaoopkM2ehp1
x970Wt9tUE3Dr2UZu8XfytEfupzzNoaizAXzb9rDYiZpl72NgMf265+FBWZPlnTVPDmhEGM6R6F8
wqwLpBbrvyZ8tMyA0Gai4w3TNfDre3chw/u04chwDceLYNlBlaWfigJ57eG/f5c/HAaGHhaT3Igo
g38HlerI39amZZs20JKdpKvDtLfb/aIPvD0Tkv6+qPX2F7H3H38iSJpMk+BLbBn+WTXioVd2EW3t
5RoJ75uT9OLZ9J1iLverUzMv7Y3k++V6s4PL//64fwKT6DB4irmOmZh/f2nQI9MRBtleupGpiPGW
SLFTlCp7kwms2Mecm0YIDEX6ocu2rXU8Yu5iD4n2NlqP//1m/vRMIAE4U8dpDllU/vNrWDqP2TkK
BO6T4RinzPfuW1364zm6xV70X37pP9QxVDKIZMBiz+3P+d38fyMuU7as+oELCOpfhMxhxogRf7n8
//6Z6HdBI87ytX/5EJX0KwCHK68inOgLJFovrWzTHUruxb98oD89ZjSjANrIsM+Q6D8/EOmD7Wgt
IQq2oGhPs5RRnXm6il51qyqPfcHaPf9fPxwqXHhE8Klo5uhs/vmKmAIj2k8aeekKzNvT2CfdEOvF
YQnSficK/r9f7Q+gBJ0w20+A5ZBy9rswpfOBAa2COhJvMa7ia9/gJd3JoH0hVJxJxpdzPGYLAsHh
S9KrqkyLIoE+bqbAMqeQi9iAD5dbcehU2FSHcPRVdxg7dykwNPJG///8g+BYjDXTuetA3Pb7dOfO
+Jp02HxeIiefDnWigyvsVIhFjt32fkmW/S+vF/B1//MiQyXMdhKODtKhf4V5wKcbwF365rLAOjij
7ZiyJibWofO26OIvv8X5/v39teg+AEgBo5B5/HY/4xxGXpqziEuKipnzat0wZA/PttQpLhL2U8/Y
/q0Q89if9miq18wg19ApGtWmRCs9Dm06LrIKr2Gl6yuhy+QDEtO0YgSrbXQMpVJljtQ1VPnWKG7j
v7x/99/vn4XI//w1oYmyTP3n0Y12PHCjEQJVHTnTQwHc9kMV9HVIPd09zKYi8H8xOCaooGRCBWoj
v/kq21aam7ATeCRX6GnqvzQ9/36CsanhfEOMAXj7l1c53+dK0tz5qnb64cmprTD1VJIcNrk5z8Oq
X//7S/jDy52RewouPda/Pedry1ZKbLVAOcc8UuFafrc2O4SmJATU8ffmb6qZf1+uPLp0xRAC4j9w
ZRqfEm+1AdyfeqkfVQUnW9u2Qbzvx0SDmvUCu/PmL/3Pv+s8nGYM2YklomFlp/7PXxo1QI+Grd0u
h9YeD3s8i7PPdPSXi/T8iP37SLEyZaily0E/9/vmK5R1YW+tSC7ncvKqY4iKpbzrTBQcEsdYVSoV
4eaZqnT0zVlUPx+qQM9Rjm3CZlIZW9sHISyde5alhW+LDsr7oRCVvAvGmSy1yZHbeIOqZJkz1WnT
s2aeqhJKj1vOp8IUmJ2N5aK3h1l1IkzrnZzxTLeFIH14teWE432UfJ9sYb35YyAfJLdsCYznFm9x
WVZ7GgraqhzaofW542xm8m7f+jtHlst3Y7SQN8mu9c/A2bYGaUSwdZnXouvI+CiVSHHcwzMQwtj8
cn6Eq1QDiwbHcQkqk+1JZNoHnMrEk93J9i1q3P7N0XsznSpXzC9VDK59cOp931MxKUUa0Fq07S8s
Yqr+cgUbstI4EZVKh4BM16+q6BYCRNBGtv5JqZDVSWKtZvhe1h4YoTFj8GjZffyjVskYHGr6cHVy
SWZrsVFol+mmtViV3kjkUmW+Blq016u0jH0Nadzzfmwiqa0UcyW1/6SitbhtjcKFru7sXZHViRG3
0g0tbrxpGpwH0RXjVxlYRbmhFtGJ/bHrMekuLHdU3m3j9exmiQLWtktpjqxOTJdkakNM/XDjag0z
eFidpt/1gg82C114zQBvTq3Zxzlbz1k5FxrEabsQ8SY+qsJd31gY06lI6AzPq40F94UW/IUUlqXq
8mYxrk5xWIwIDoJzP5CFV6kxg0BUfsbd4PkZesdmT9dOivfelApxtywVS4sxjh8xNnYEjDBZvY5B
MYxIzCbxbcHRVWRuPNOTGy67BI4bxL0D4SNyTGHzOHsqdwFVR0xdAucKxfxHUWK/ljkOZA/o+KUp
c3hqiciBe/VLYSrnjjZm+QaJaOkO1TC302ETpZrSiay7NQ2x+xdZnGD1m03BPn/yjAc5ZoPtFzMn
XZ3WZglvrG6NodpFLB5l77ROxiTSZk0xhGu2JVX9xZonbH8D/JTXFJn/et02segJ2+ynl3JsxXUT
eN3J6uTww3ihTE5ua5whn8nNEFmCCfGXeunDJrU6d9MZx79tiEnE0SWd9iD65Wxe8baTlHfVN7rW
B1Q1ZIN1tvBEvtjcMzfVOLqIS9rBv6rAq/vUHtR8vdaNgbkblcUXZ7frt4QrVGCrXpdf+7Zonuxg
3N8rq5n3LKgrx2SNW5Q/SUKqrLR2N1FnLSrLMrWIITN50UZdfDE4i37x3NF7SAbhrWndl+2Lbvfg
OSn9VWX7aMK7VcIszas6Vj973zJuum49+OUUx32Fgmv1kP7PQ4OBdyRrO6/6zaxp0u+bxZ+vyaGJ
16kgaaJv7jFoLR0+WR2NTb7OfTDmnplr8xPZHo/ynNRBlffs/8SFtYz+jWRldr8XVZJLFOo4mRA6
aVJoh/6e4VG89XnPck+mEu++TIpZPVpeOM25WZR775ee4D9BN+Vy2GOZ6V0FVSaTtXur20l8Epvr
IRvuBodf15TRwinsuofRkGqfBaZeX6tSzGU26lLuKfknPCDbpBecoYNu/NEGhF6lBcVM5jMJtcVx
qcLwJbQb9TmHsXjxurXVhyXcliBL5rB6CAYrLE/wyRECmW5cy7wSU7BC0QIIzGn4E4cupyzmVJWW
e/LnVpZHr2eJlG7lPN3q1rVbKp1Uz4XrAn51Pn1z2keN97O267I6mAnDqGPbmhhoh+3LN2/vmiqP
gcqIa8UE7nm2qmLNZB0Gr+B703JorHLqU3SZ+6fFnvcsY9Pxnu6OZV4J3u6mLCkteTH5DNWZGlsH
swl8Wds85MwkqWMN3QMat+YNggUcsG1eNp0mib28l2UxEp7U9fZ38iKWVwHXAguD2W3fRWDC8VBi
6xemiVrwfYxqXitr6vqssUBtFqRNUQ+fqoZClE9B2MjDtukoysbYFvcucoAvDqoEnS26qhZC1yrv
BSU3GKRdr/HwXCx2uMBI27rv+5lgwuPoWNNhLzuiE92IpEHfkYudk/S2TFkcVfplQKVDa0pkbUDa
U0dEdYu3Jn4opBg46T65GGcC2uLxG3b7Hh1iS0VwcCIL+gI8VUxUffwDL3u7CIrT3A9nxV/k13wp
rgbxz4K2da2sG1xHHhpluS/AA/2I2auCoLf2vfcxyyS5RX2E3DAyaFzSUfZrR7alMF88vQ03QVvN
UeqXE+Qmrsj23riTefb7dn/uxchZxSgs/IwL+rhDv9NOUzta90o3LZ6vYirj8ehrYuvSZFgXA60S
O9DUaqQvbrxx8y/rcq2+lz1lgXTEqmoz02zj8+x7VXtsNkQuGzB/f4UVzz6y/vHnSz3MznfCBxvi
MQb+hRW395oyv9rloZsi9Tlsu4elNsIe0GQ5UwbtuU9uETkUZW5WE50ct5vHzCuCsMvw/Fx+BV0h
gnQf7Ko6NmaJJE9ZmXwi4p6IkKWaWOnec1tmEhpgRZhrTRQoO2j5udbhttNbVD1YdC98kzrQCpbM
KadSpI7qkvuqrDBNsU2gMyMIt0p9b2zeNrFWv/rBVVteRDI2oNpW+KX07J7nP7D8jo2TCGgwcDWF
oMTF2o78zqm/dvP9HrvrnBla5sfCQg53nKn9l2uoiyTXsqA5HriJXLBCs8bQqWucb5HqceuGYTG9
un7v7pBwyvZpMnsiDl0PATYlTSq+H/Ab2PJIF5zJ3l30fNGiVvvldVb30FodgTqB9KXKyjge2kw1
yaZz056rFlsM80WXfR1eNG5T32JVRXzFTFwffI5g2h5aEiTMyfSI/I9UCfshJhFe0xQ45tCvckju
GOGbL8RbMPtO/hjJvAsMVDdjnekS3DeGiryXYjjYtS2WdChtrh0S26oIQxxh1zeWVQ59uky9GDKF
2IL7cdMDjyjV/le3L80DdmlM/45fkRlLKsnuXuxLpz8SZy1Pc9gFCc/Lop/60PTXlfGWJ9uWXINY
7rN/6MZ5LNLepcJm5ElIfIZ9m8vfaltsUuII3kE4qfCbiBueMHufvKuikfHCJwD6TIuJopw5Qg3k
51nV1qel24e3zHK1TiMMbIfcb7zVPuxt77qZrkbq4uTpIMgh6UAjErgzuDwiSXwPCYhkjqioija1
lCk6jl9l3cyYUsh0GOeN/1lvyX0v2Ntxz0SkChcqUeq0LewM2Z8JGq+G1IBfgxusNcp8mljolJKg
UjG7nJXCrO0H+be6wCq5cr5KOZTPVrAmb9Fsc8mXgpq+NsQ8nVRVFdNxIiUTa6LQdSYQ6sHqSbHR
ocWB7yxWKGHXv22JvQ0gd+16Qe5r1V0IXXtPclqFx/zh1F46TC6cxmSdnO5oj5YPoTuAo5Gz1cD8
0FZdce/H50jlymdTDBcpwOqSCUsQ1mncSh0rVjULHmQW3uEaedmaWmHQ/ljdbp8uOr+yHqW0MSma
Iao/O2eCSBZMGKilTQh9PIUd4V500tLs73CAJXpMq/VrUg+jnbVLvL3PtlPeVGTJmKydPDFeMCc7
TYakgpvEYthpaQ+lfzf5RcduMK6cK2UsR50ktLs5FbFan7BJCXjXdiAI+jKh/d4OTXOlwkK1WRdh
Vpot46BfR0h7S1o5c6gIAva0zqp12pYUG5hiIHFctdXBWWnEs6Rjssk5qk6XsUqaflatv+FWlNRR
k3LLWPatY0EEuWY4iETqYpvGKLW58nGs635Osf5xfyI7D2hBkg6z6mgc5EE1HYfMJ6hFpRh+jA8l
lMY+xXmg+OGtzvKyD3LSuab56PiezpPAJLWc8s20C8B5rNspLVhawr4Zx/rr3OzJPYIF7v89NJM6
zrRJftqMSflzGb3iO2tPR2ZBPNpbFhb+wMtiI3zXs0f6mPyADruyw0eJYeCUdtbU3pWDzQLWdIH+
TqAQzvCJgw468/thVrmh8/rhB870enYYs46KfuTN2p31E9c+2aIhXeNzkZZmSVu6l+9SbHw8dzYb
6DI6gLuCfYw6upaofzKi6U8xiGpmISA4or4cppZpYhtV2lQ+RbjQAW9YKQfTFsGMIWcgpsJbbmE0
BH7WdoP4SXjU9NMvE24N4WPwlo7VvNf50lj+m78ym2W+jtQbAy2FjIIFTzKmPN+0pfTrzDj1VuW0
ecP5+5FYiiy7MO+BDschJb6H2TJwd+8doSidj1Vvi87bIBET+qWtf6uLWn0Eq4TK0UhGpxRyinVP
xx4wvq6jKE7bKB2Vruui+ZlFMNYHguZnxAvwLBduRW2+yRoTunSJJtvKuOCbq4IwFKrN1Joflirr
697Vc/Olc6AC9ZYMXyqE4u1xUCZBjNAPiXeNAXo95PEsy1NcTEub03cOEFgcsw0nuWHPkOrJeCV9
dtF30E7clclZ+i6PtdQis4vwDBjLkmucZJbpF6G5cZsqs9fMgGB/4nC+tN93y9dLGkINanNqdHGn
R6/+DMPFb/JgtsTj5tp1l58P9XVPlgqN+xjaY4auwCXSoYkA2uYF9pyie/wam3CdslkpbWdQQiyu
P6tdP9piR5OWWHsfpAy5+qJrktFJaa2m5zI2sc6iBgeK1Jom67vg0vhR6LB/b71yx3VZJCu1P+gD
JuKQrsvxtRNT/gYryRoxzK9GREFNrI6eoiP3vvna2H39HZrM+AX/Jfk+hbsTnfTmjEuWYAZfpnNo
Bm4M2a19Vu0yovxL6MCpZMJhOG4r//u6TsudV/O6aU0iyIceWimYundV4CPQeFw13NVBZo9aPQj+
36OorcQ6hdIx3wopk8diW5okLyyIVzwJ48TN7APgp/+TCKUVtIbLrSn2KrPE6kEHi/fAzZXq6ueW
3veUyDh5V3voU8eTrgmod9jUp8NQJL/w/BnblGZwmg7JVPjiiC9C3GReXFFQTaHkK12jc6PwT19T
fwgc0tgjZ56PvT3G33XRmHdfuctV4Jw96ohuNR+Ua85KvAS8YCLXjioJY7BMHSCAj8UE8f0a7eOe
YR5b/6A/SvzUxFZ3hShjiUApVhgH4AFjcVkNOzjSPNq7OjWJaoDs7YbbI9ynKGGg9eSpYTLXFxMZ
Yxai+MByDtUs5lt4K8Zk9RLXPRfTCATVWSW/fjOuk0hntxNcZ55R8bU1KPt5rab1Hsk3zdDuy+qG
pplxzVSi7GBJzBuB1JsLYFfvlkdfCNNPpNWA//5BBm75xSY35KJz3f5R7fNM/kFC7ExaOLHuc1VU
0ZDu8aY6DCLiuM6qyvB0rEgqgMs21xxivxI/9s1J3m1rmRpy9xKHhey4J2u6xcYt0yEGJM/WdfCe
PHvr35sl0YScTrFSgM/zYF8yN66KjlVNdUa6ne1kFcBymQYxtqulPzBvhNtY3dlWIsaMjq6yjggT
2Xaggwwemyp0uly4K166HgCXSX0nxPCkiXT/EYqNmL5yi3bu+iSeX9pGF49Ke0WRs2Rwf818mrs2
cdETRo6Iv+h60bxH2ZzVyG70XkDJkmnbMJSlcwGonfpTUn5fsHMsM9mPAzdMWcXjYWBq/+V6Kq5y
bMR7rpVl8/Y0GDxkoT3E4rvCk9ypIwDNfHTOCrurZR+3e0s0soIPuCQPQzitFGjL3gE2oslbcgu0
tTvsQW9xGNh4O6ktd/eqX/vQ5w0X4RteLqjZYrHJL5bvVLfEg+gQRE/3r5FZZz+zw1o/qcYt+b5K
E15ZU29FV9CPY4fF0lpqTG7LKLwix1x/DnizEfsAf+5z8A2wTOnb2FlL6Cj0K4tYP4ZArVNqlta9
oTMz60mepX5pUoPxZLob9P1EG/veJeGKTw3L+OeEuLiKgXxuevwg1/id3DrxtJGtwFWhsUmFBxkz
i7V7vz0kSd9UTNq96xx8ucsQSVVkf2UhaE2X3cJsnSaFG96JoPCuMBpO3DTeyvVdl4H8QQfnfnrS
sAuoyBEmnG7wMPIZiqit6Nh2ZzoVXW1foyEdJojVRa/zWJXD99pbTcwKLSlnTByScD4sezm9bGBt
Ls172Q4HegGgxWjdawyjZTV+Cnu0Z3ZAhfy5TSXlU4DZxrmKe4snb9fyYW6d6hOGDjO2O67b0+7M
+t74lfrG+fAeQ8IqflSgnG2qZ9ihWGMW47vEL+K2LPvSPe3tVn43dIxxNjWGPWASMYyle+v2r6Xa
um9769hvW+cMXye8gt4sOU/hScEfvEevH32v67IYsEU0bZOPIHBdvluOPsFLg1VIk+n+2mGBf5sx
MXoTnZY6w+qIwZVO1f2QBpw/x0kq5MytPCRr7LUY59lO+xT6BfZ5rVtAKvG5/+00wZo5SY0UyZQF
ttb6lEwgLLQt/fLC4tr90kRJ/3UNqv7aGeuovVikbVd5izeInykuE50ulWeTguKSk5ga5ZdPhTWa
kj2c27yqpLIom1oR4dD3U/CrsyIDnMrK522vVxw3K1EPPtB2aw8Hdj7qagiVjmA9RMuLU7rVSFEr
vejUYSEdp5xLKM98OqwGzGrfUIgob3XRF2xeB2f7hEpIVbFNRX4ky6XeOvJ9nbd9HPMnM0SaeWFh
yrn0Bq2C1PTsEdMhaXWc0nps7yOqgS5F9hKDxTX0sqlgK9Cl41D7BJssVJhUQsCuWZmsHCyvdMWv
GYABPNuxIWNOs9cdfbiFTuYvhK7nppqQ4yIToTSOlmAk3gdcVdIAoNDkPehpCZVEiIe1HYmsrpQM
e+7cPkmyshmnK+Vi78ZbbLYmlwSY3xJ9k4QZYU32S6Gn8HNmffG1Kzd6jKXlfK4wfSdwwqD3KU+z
lZDXJ7pXd8GsPNV1VD9vq7d5zwS5+I8jVLKhO8YDS+9Xdtbzr3V0LWr8HK8ko55m7rrgRB7AcNu6
yco8M8rpxqnhc1xgwLfJg9n64n2ldlzSGWp5bAY4FJkIl/7Dr4sG3/RCxBP+rSHQM1F3CaNzv63P
46wqUFZqdnXaomW9TZYFLTgp8NtnNarzxMaA+CUw7fBgaifqcDqYPEXz38hbNTjuQ7tpuz6MCLTq
NO5n89nI0Lvuq8g8BYPTvkpOaYDT8agejPam730zhi8di3YQtDpk3Oy8Zn0W0K37m4jcnImJSCjG
ytGled6k0wAJbVvALEEhrce7AXR1ci5EH3tbCwgTmMAD2rdNv9iwmSJXhoAF01we2Ap0EV1OY+jc
bYjB7aGanIKZy/Hqq4H8P/64I0YttWLt2PlEfX1urNZ7iEFOaTeg4vxSmAC9ru1svU28Fyft8PA3
7IVmB3ki0/pHtHg+6xVGZC+DcdBcLWBaQ17NwxkHpMrcYSwrelRYrhoPTcHbYauhwyukEZ1/tCsE
Qh/CQa2c+iy/F1znio1OJqGhxJGLiZ7iAA1twcOtCOviLtC+rbPNyORrp0Y9XrhY9ZrTJnF5PYML
9nDhKoa4Q+BKvR2E15WvnQVPFvhiAtIhRrEKMxvb1yavTLUv13ZYNsVBe3uU5F0Xxktaz0Ok8h4q
RkxbsnSPKDZMw2LejFCxI8UX0SaT+goQ0c9Zkwg7/qhsEbAVjKvJvppXZw/SiNuzyubBoz1b4kK0
PEy06ScWQ4QhzCuDwxgOo8xHKUcDfop04+A5nc0AWJc2blyJgeBxJC5WOw+k4WxQN7njXl1TxID/
XXB2dRx8T9qHUDb6ZYvWJcmVFy0omENWWakP+WK/5+cb3WwJ2bjlyxYP11za8m2blHeRNGL82XKD
VRcbzNz2GCsjm2M4jsm93GbZ5jwsQAiNG40VY0bYJofeQS2a1mtAg1gDsA/H8/XoXJaq7qPbhkHh
ZyF8wuvGzfvWL5Xp80Y4XZdq3Fn6LBFoVXCd253PoPPpbFLgsCU8OdHgLg8mqNf9DdBDz7c7EHh4
8GljqrQQqvyFiq80J4fVnbyWRB4xEqxVJF96PEjdozNihZEDCvrjJdTipjxu0VT1d74ZCp2Wao+6
SwWcPjGJ+iSF81zQBING1+ZKev7svFG2mGiSARVCndZqWsNU1NzBd9oWdfBgJRifeKmVGL0cEI+K
J7qqIry0teyn+949E8TaODBuLu1+/+hroMDv61m8eVo4aAuPvM3irqpt5+BR8ppDXaL3y7aFyHSq
bied4xiXK7Mp54dVqqMwcauxDl74m33hX+FGFS7XybnpfiY3JNY/G2GtM08wxSdtGR/5vuZ61nd4
r66Utt5uJrx6hefdRlqH9RXTrmwz5BENQLpSFc6hBTd++LMPgyE5AeXLMhPxzH6kCspkO7CbSF4q
k1hwAcfd/ekZf9aPogjn9dCrtk3YqnbLfKv8Dd8C6fS1e1KDGdUtBrOWc7KamqWeRZpKf6TOjZ/a
syabXOgC24aFXehR7I76GMoGHKQtjFY0L4nzufGPbzdAcGN79AAxl+eoogadzN4xPPL9OPe9jfos
G1Ao0OFiw+NlDvYiy41rdfXFOmwE7GHXs944pCpOH1wsscrYPHXOg1WMsZdV8ZBYDz4N3IBZw75u
d0mhYlaUPP/qi9Ovk7oFq478NwdDkOgw69ln09IbV101JlbLLc+As2RMmQM+nQsPRO73qOTTbZsD
+6fDnnvK4xpo/tJTQgyXwLq4C8C/5xJZ0CPM1C0ui4spWIYqD8JazSd3hU6Uolwx7pMAHppT2Sob
cMcGSs9G0+vutotm7gLBHDvnauogqGu8a2QqcIIWKUQJ+9p2tgbQqfYmk7mDnyyMRhikXiUAbx/7
YNgxw02flwODa+Edy7HACbCkXmw3XTJyjlhx7zpfaH36r81ZPMFdVWOLo1e9WnlPpHTL21yLJjnA
CQh1VvTL9u62++ZnCcLoPeXALeFFKaJmOc7tHjJFJOTVH9xu65Zs8smuzWcSCs2hwGHOzavFH81r
G0vXZlnpr+FTMA9OdJWwW2VIxNcw86yON07y3fI8jbpA4UJMdZ9tiEx1NpPtvOe12DbCbxezLPrq
7Ottcr37dXNAVePyscIdPU1lTaq/S1QXPPKPc0H2fLiXeVGzk+/LmmBvwV7/g0lqvsMEqTQXLPmq
V784X0cki8f2jV1pWx2HRNFZBIp+k42dRZtXhaUcrppy4V5sK2sPcxggO9vvJfIGkwGjjt4VGUb+
V5/xFvZds2BwlwJWth1jQ7HuL72xyRYkeDEuWC90bH77ZC2Ko73Z/vDMImLmh9kaWV4DZMACmOtl
AWNmvxUehK4gIsI7m1lll8LZXoDhq/K46wK3UZQS4ZgPZP/A8w7iRd91a2TdBtAr4kvghHBIrcGu
nesA7ON53YoAsLSCEMYOdbaoYFPSAc35rU9CUgTzMBPGwxp/duUAQufIojouURnKtKmZJq+GPcAT
mFRA5xFklhHDNQlilzm00EjyUzTvle/0e96rvS4yGe7DTFRe79d508Hf+TZISefrsZ5q0sgTnbiY
+nq275MWDeVRbjK2b2387qjgG5ABO032JHQ9SAO84EALgamPKFS4nDiMOzHs04y0p2oEIK8D89e6
8wro51+CsyPHa7tUVcUyeGNbexiagrnXh3kdfB3C2t7ydcNg+KNZinhkWUAdFfTn4DeAszYHfbQZ
wk7+BGR5t7tOU+cWxFfvsAQqWS660p/XYwI/sPq6TnqinUAV1x21hZP4IDbTXyjSmJ8kftTXExHX
U+7Wy85WEZ5H7lVO0N1EXtMPl9xyEqahroFI6mVmUTjV3kZ6vVfLN/CuIszqMS4qYmGC9VPuS1hj
ECBW/3IoJ0yZNqQgH8PgzPeK5dcb2nb9P9zEZhGwLMY7AhVbLjFDwANPBLfFhug2Pxpzd2isAi8h
WmKNCTJLL9gF3rHrsA58wrsGynpEFuGvZp31ftVRBNXBUnUMC4SShw/+wNpG8bi5j/Av+t7OZPv/
KDu3HjmVLAv/oUECAgh4TZK81b1ctqvqBZXtYwhuwS24/fr5sh9G57itY41GmpdWd5YzIWLvtb+1
NvL3X7qaq+KI47Ss4545tty7jQymQ+cxpsdWtlim0zu5FSXrv217mtq7jFjxibhiJJpbmFc1HYJC
d+9jDxuFRmUUymJkN8RnEO2ZciJmrGMf3A2DfjVt/Ve6iXp66P0ov8VV3GfHvF8ncdCIxKgEU8nc
dog2pwGzaUTKAruyZPP4PIbQPUGPKDh0tid3Pq60erdYYr5TzOyjo5o5TGJnYGQY+/XirizX6unm
jDUoc2jKrj2OwFZZLFhUld+6DM3qfWpwDJ9CArKgcNemXPesWjZtrN3V2fZj5msTM2PgxuaaV4K5
tmesePVldrewbogg9WYOUfaiMr8fQTghiXLj8w9TzpYEyhnFcY2a/q1o+ux+wrUMC6P4ux0CgevD
Rh/1Jc+74H7l727iKA0N3Xem9Nd5qdwPQhDKZ8+v2vcsdWrIi2nztscreRPeOWJCdIVdGgixQfRu
WecX6m03kyD7rkq/zXdiDKsBCcRiNV02BNF23Bar+ctRvNiHaknH5sAeRN8/8jKOYeLmcqoOJEcA
SY16XdujawXlcgwgCoZ4UJn0DxiChvRlMjTL+97zrhdCM9pf+R9z+tuRgtX5YOds5B+1thx3r/N5
yw9tGAzRYS1YZvJs0kl99gqPV1fpPn0rw2hAwVg88c64B46rIDbs07giGCZLNvvvfYaFZNfR4DEr
pmjhledg+jKgueVxmvfdz5m1v/VeMRu6RxEswWqCUT4SDdADN4T+VByYri+8SW6e2jtbaAVvpI3d
EBaYBSjjtd18zvUSfS7WoP0JNexVd95qK+DlGueDO+mqjqXO0dh8W7V42jr+sk+j3+n8BLrFbsNl
Qrl+MfI6tKDSNk/B3K3fHFicmrDJkJ41tHT3gwFdoW5ZisiFnwbB4N2IdRyG1xleUh5S9nJ5xz7n
fLm4FhLvMdsGYfbdICaYGXeusaCmNDYFktJyNkqOn4jm5RG1rKB9r/GyfZshr5+siCTnuMkImeGN
ZJs0i3OJC9jn3cSWkXZLbe9KZwm2lsLENse0nabnbZxq+um+JRRmZEIf7d1wZXaUWdWIXJcrdgW0
Le0tMMe8DidAJjPvramzH7EYoZbpvOvJFaXfzQ817eBfegoXhlOrZBjdZzx638tm6bOdcJfNRcWc
lu4M9MeXQCHR7gZWhNQHkY9Ovg+W0XujvwAZQERb6y9GjzM3uJm4k1hEy1R7hzdEk4/cukOeGETY
4q7UhfqSz2VV7jsdOXZSStPrV9mlTcCPJpiiCLbkjifbGb2ZZKHa/jamM+AOML6/gVTN07dhtDbS
FDplxhOkECsTpO+zTT2c2cazl27pP9jUw/OPqjNoLEYwnotne8BBXDVWriG8+kAdcq8gWzYic490
PtG2X2aXpOtDP/ds0OVMKkXC/6+Ym9DCNVzLDs/z0NXjjB9Vba9OXqTNkYRfss/A9rwxSXlQkX0h
7T8XVWbLuy5IM1iFbHSyZMlHNHQ7soLLapkWsSiXXcUMp79WqIRi+jGr4ABGMozniKuZnUIkMYBp
zk3FSpj91ITZsod9y3MwkxYZa2qzke25bYg66GhpfVmbmk6Kr+vNtkIW65oWGxmTfca/+2XKGRPB
WtpAEJzQLPrM+JX3m6lkf1IM1z+2QSGfSbTjiTouKyk0VN69TJOKpvOSL85fwZAHadKjfz8V2wBk
xFWZ46xoZXAdT9YmwZYdYClZcm/PPNF/6cBpggRLQ/oXWYSwOdcQncctcOviGKW1LS8cn1O5p9wW
LldE29ER+5sNQ0Q/nx8yysbw6PPD/7T5vjrq21GqYwWoXH0MPUn5O0oOZtI7JRv3xFggu+CMt8wZ
U2lUXjmYrY2DeqG/d5Egu2cdoKbv3CZE5BuK0FluODeLOfajNkzCq3dsNzJRcE4+wa31kcYox+2X
lXl1gVwuF6BMf8CYLlHaDjzhTXnnAJjWvIGoHAmG/fTS9Gt/l4/8/IctMPYnhmfTcxSK6N1tXKbe
+cDtaKNP2zw8gIr2T9VHVrkbGWzmewZBjjiU0cJwAxW+gghbEMJNp/pnOXv2vGdrzoKl0zRtuBsB
52bA5WF2E1T3kqGfo1z4cTR6dVOy06THLueMGYN8dK1X2Qht3SpBIbCPOsbAsWeXxNW5uWttTzAb
KG9jl0bBfq5s/66CAcufV022UcEe63owMVSKuqvGxWkexDb3DPmGNY+OwlLqmqQ/OM82PkzC+Szl
Lk9dpDPMw3Y7/rXosZhvFjRg/UBJsl4zDcKUerixtX1k9Eo54gVj5z6iTOkxseikW07XsPiqh7n0
diJ1/f5lQ/+lnCoztGGK8MX66nSdNd2ulcN0bsNc4t8jf1XTgW0CvvfZ0tUm9mBdC9JxoER47VJm
vBtAS/l+oLBVu3IuRouvqY0eCxo05GsGo/YJoDl6E9DfxWE0Hs9NFFULKKMQ63czRSt3YNkxes4g
aXio0jH7abV9ND2DjjN49Rir9o9eHq5QpIhF8+MmzPQOUFv2IK2Qe7tu2oL66I3AUEk2RtZAqvM6
DLFe5PS4mcKdKGRT/TZSCGX4T7T1trYWxWLlu7iaIlFP80uID2T8HiAKg5J784g5Rm/t8mljcYj9
OCIYgUy4xvO6k5onLqgMIu7JlavnoYP40dfGqeyPLurlFwGpb659XvdWZ1URfXLTAnjc3eoiup3t
Nqsel01cFatQhd3RBbuF8RXcVnHrMux92hTK0m3fd11067SS+YI3TuUnH59pcG+Nxi2OVECpm7gl
gxQ2FUWThc5lpT2dbZCp5bbw0aOS2QTT94irdoqHvG05qgdtNyyC7Wj1U8cZ0P7Jf3soYBLrXaBa
A37R0Ak/rghIek/WV5PuqDRqdre2WzXtwGJ70jFZSYd2v1zTDOi7JqqWdmPvcU8xdt1Qt6VjLPtV
I4Vp14g443snusp0s6a6CMI2tjlwryUsvsG9Xpl9I+zDUF5SXsEoXhUaZlx2daipX9quiYlB5i8M
o9buf25LIdz8ykebNekj13djB1n8TZVzNe/wgAo3MTKX3t3Qa35HbyC8+Y5cCxDqNnLb4aVCo90O
KztKrk9jhCiHM6Oo4i0YmurggaqsoJh0NwVJHjBR3NdcglPgvzotQlNMpevUx9Ia2v5mnkr14vRt
PcTTUKzW3ixQukxkBcyyh379sLGBwzqw7LwWSdNmWXuZna7Ib7ywnahUxQSjyVdD/dmoeb1vCE0g
4qurNOmqS6ELms6hGSi9o/WCH6SoXnE8yxOJoea5Ezn40NK17cfsy+ons8jwhe00SOLGTcHvWYB6
59p++VDhfH6cGz32ycKkAsLTrO5zRSHMzJtx97M3cQkx0yQCidpo7sc4rVzwZ9sM02FuBhHdIlM6
cm/CfHjnbei4SpEAGI07M1sdNFXoWx1OE2aJtQeHWzM//JktkZslhRrKJQaMG9pTlHfiZ22BtyZB
BVRBI8nOPaJzu6INmEeXyzeDBeDrMnBHXGfawXDwtq60H5yVcz5mjOH2Z6FMuh1LkPU3KClMEO5a
hy8Om4/7hxZIb0Syks6MzhKm+sGEK4f0EE7E2E1L6H/kqizkEamDaZnOBnURco0wNZBgX5241EfQ
U5nZifRlXycwrcBzAx7Mm43KcoW0I2DwUjuR86THQZ/SRgM0uV3KP2pVc0oho23vEsqaU1b0enib
asu1DzIvON/p2zlk+SNpkkpVBd2Hw4XyecmDoY9z4nFEYvu5CE+1osBPcEN5LVVO45MNlWZa4ntp
IcuKYK6/L1Vovq6r1ZmLJe35XI7Z5D2H4xauHoNltf2w2xlbj9e4jAJmssTeeuh8/2bj4NoDmBcN
rty2iw6b8em/0G6XvD441uIoLAyzecwtq/lB4gf98Grb/btWVaEPoFrwysU0Ie3rptU+9Xljf2V1
2pC/4MOZP9Oh4KlbwjXarxv3JtSEsHHX9NzDK6X6N1Ydzsve0oaDjAXZ4Fm2CMGfa1rM+wLm8jOh
AozbvC7vvktYtXEXllF7I4Vmi3aYGsScYSvVDdIHzw+Jt8sQh7nrv7M4vPiyqlDJ3cDAJN/1K5gH
3mu1TTuvyhUc1nV4eBuye2ZJnHSgrpSjAymO6RqUYxaWi4IyrKR/jSRpvHhbnTG3gJP4Lg1u57Oc
5g0ftb0F/UG6gOJxai+iOwrKtPQ6149UPDHISDorp/oiwV5/V7yI+WVssK0hJrputbdmwQFrLO0h
V/EPKm7rmpEGJH8HWwJRCEDfuDQESTWE1pC0Ubbck5w0B982vklyVqgY7ZtWejUuqcK40yFXkRFJ
MIu1PFVy8Tq+L58zotqqEcfPlC9qT1tDfv1uoZAc2HnCLASRvtXvZG9h+uKnEGrPbPQKHLV29M1u
Ia92kOOVut/soeoSKwhhu6hIPI8v12s4m5tuSs2hxywznEIL0Z1R7gY1248OGvMA+zrs2SiiI4ib
FcRXUX5j3MtYI5aQ6O2CtuTjfSnn9k7Kccj2Mh8zeRuI1fkmFrKLmaxOs3dEWFrW46Ciuf0oBzm4
sZpg5C9XWqzdsxYDDQSJL5z2gZXh8qK0CMPT4MxFcbd1jv5Oc7w+c56V6oiTRt1ZQ2Da47xkyr8B
Eo9eiKdS35vRrIScQTl7YMFNz/ov3aiclpII710tJ65mqKpG0ZWAncaYDbAjMb7NEJk0beKBxDTW
+XVKcDUD4vkbS7Wn0XvEWOWoQ+qOxS0xzNuYDJS65f1Ah3FojCB3K7K6ntOSFYg/WeLjFRfAw+k1
8lJ179FpLHtwxPGvLLDlayuwXd2H0dzr09bb45OsFlG+2SgQ2+ctm+b6FI5rNvKM4iLZN7KbIkqE
Ug7nIpPcLRx+zufFIfU2rryKU45in2OXG9CQK0rXNJBG6zTe0ZqNZ+3xKjTPCNjqp7Ym63sLxkdf
Z5gmgg6a+sOqGypE6bC74MTMKFCJn1cl5VOx5AmbVa8jr1AoACWq2dseRaHZdzaYLt52UXpJ6UjL
R7Xf5LdmyRneORNOIaqXrtz2S4PLNKmkgieciGETp8CCIDkWZnPfpIGo2juA2dXRDmT6LZj5U3uT
GhKPmMc94BoBtTILWMw1DQeWZ6ybdTz7aN+HMliXDuKBZ6nGENf0X/NislzGPNcEwl7483Ls0D47
DoU6/MBDLJ7AK9xvnOpTcGWpyuyA2Njln5zcNi1sP3f0+JSXs2aCA2WaJkW9rDPXj6/Kk+NmLnV2
sNJcgrk3em8hj7/qLvfMUay0Wsy0Ml3f5S5LVPD2pdo82rnfDvupW6fbciobeFPgSFonwSTwDuOF
tsFi1cbwvxYtmyW9UZnlZDnI2zsUVufktlVgw3ktuHswbQzFnkCg5sYvms57YOdE3h8C6yrDDFOk
HvmDmnc4Y76f3cacjHptdXIkBTYtt59EujD0MNs0gvkSaY8rZtbrcCmkjuoksiHUSvx2sPiElYdH
zjh7Olk5ACtwRDRwOiKWvwCor9TPfudmd1lvmvF+jrbN4IOUG/SCjR2C0cWI52UwWO2PdZ+m8pk/
qkG/xbqTxnNqi8+pZrAbt46i3ZV5HqXAeA2HcZSDDK62wXY+gQ/cpq7ly0OD6eGmLHnon6RNctKJ
Ph1Anx4LiC7oHCt9rcrFoIc2ev7pAyJsZ9qufjlajHnFBVyeQjNoSnEAda94kApV3hntzNCpMPIv
uKegv3hOdfVM8Rl9B3ks8Q3LzHQxli6XjpWA0Pwl6PLsA85IroeWKE+fToLdfDi2POkeuvo/bSdJ
eYL3Ds39uzu3/byDpy3u0Ih6dWHTQz3FS10OPxc3R+VGDIL77wgN5AHqGn5tReG+HWzftNtF8ypn
+8pT6lFldYFDQ/Iqf+F2bvACQAZkdzm0dHgBLFdib0rsqMCSjHH36Tp2N3UlijRGwQu/doROlUe8
g1Qypi6L9ix7p8wvjqs02zVZDIFBhxET6ZmsPkebTZl7x33lDe3XWZe8Za5bEGpJXBprEPzGHscE
tTusHgB1SdsPlhV3yuq22QOr4zS37lQtCUMAL03qYkbibi0RfmavuoZI6dY5veMlA7G4NnOf7Mxz
zKnaQiqXVIYcEYGPUSnA7BvuB2fg6o9Eq4Nbs0hsBxIZgMPXmeXdXAbbq+p9eLkBUT6Ka5EydYtK
m57GLab1seZz+FZwKihe4JZOpHRlo2IbfMBPBJs35qQW+AKTxvFQKHSGrrczPaRVHGSuVx7Bccrw
4Kqw9o6LxbCUTK6mP9qhAq/thlWokxekyjtMKhdXfswvHsZxTjWMWxm0D1vdq+aJ91cH59Sx5uWM
kQK5uPLMQy5x0sa6zSeAUb5EanHiq1y7dcwdCUFLeInavrnPVgzt52gldQT8pdzoIdQaQr+kxc8N
p2t/ZrxJ+4QkFSn7sbb8sN0RsVZ6PG3FVu3rMff1vmeM+m2oGeUncrB0H3cSDYkSa8ueBnwBy0c3
CmZkioqtTFLgkODYTky7Tu3USypH1iP8FFyReDwk+5n2duAWzXEy3jQ/jo4uA8x91fpFzuT48xFB
HWJYEP1NqJfMPtoj3OvObBnjCSIfONibDL8iOlTHzVOXoDC7pQwc/tC0YO6BOFeBK9tW8CPKZdbH
mbvkKg77tXOSmkjr8xJxfMbQlsSc+psb9NxfSz98HqZsC5hTsV1JUzRRWveZWT8PZRo+ZYx4HEoH
kP697Y3s9HYAk+CddY7tuSG+GVdH5Q/zzk9l98EohLF91ESCHtbLQQ35chSaBXVheQImd8rEFXJD
qgmMp5iCYSpOiM/J5MHpEf/PKygNolUDfkoJVtoDYiB43b6Ts7Liohy421KSH73zsgGUn/ylDn8w
c8CMhRxUZIlYukUkm67Xz7zFjBMxY6670Fm1cxQNWbQEKkzeSwd/qG91NK/jJev86Qsv+HVD32Sy
pI60/iFGsf4E11U4yDprhQkLKZ4DA/HJpRHif2oL9HY70iMTb0x10dFahq2PlyxNt6QXgv6Jx/1R
w0j9ZIge7WEAr14klOn+dVunreCPC6iFZ9oNrCVT1j0wpOooDxeYlzOV+xxSl/d9uNPpxqknIiIe
Yqw3jU5Y4uHDv3ScRvslJxZ+R1G7fp0if/wkOmd4W2q5nipiitSlQ6e+kSSlXU2sM+abikUqcLyS
/H80rbS47WDgXt28DxtKS+20YNgc3DzyslsSMq1SFE3WrchTOFthuV9FjjUomkneyENgh2ML6Eek
g9WFEAlh1jyyKKx7I+42f1Zrab05pmGwU0tuk1uysSqRIFROfgz4Ht7KYsFIwsYdDxDKZqmfKCWA
RJ268+k6BGW0B3SPrg5hdzd4S/vNZv3xnJjFI4iAQAU84zLUWXBc2N8RoQiCHD2PaxDR4HH37GiW
oi8DLJ7CN5OagJih1H/xoZkLRjTu8iLrrfsaeCVrp4Sj84+RU29JKvTnb50F8bUDMs6WI6n09geP
BMmhtCk2fZGclwcCJrxrYt7me+wR6csyGSIzDI/seemBqsXmfA+6raEbYQ7X7LUkTXufbbL9pEj/
EUnXmuxRESH1g8tcBnvLVKtLI+0IyNqmqr41TOoWEPRO0tdsswdlJ0pGWv2kwYk2QTG/tXhWYWPD
0j9Jl+YszuHuEY9cMph3QU8+Rew6ORMNb8kiMioUcUYjAxpzLDM9pVzzc/DKJvYZf4uo/YdMZvRC
ThGJ1ymVrns0Wi5Phaqy6iYAXPkZyEm9DlbLu1zzbv1HIt3MnsS7WsZEI+VfpNbFdOrUhl9DZjI6
WZFw53v8Yez5mqLFwFO6SqyXMIA6pXicUEN0yQ7TXTkuwds6L2ACi4nG9Fgylr5xMO2pQ8v2FJvS
aLjKxhgiveNmbeut6cbZnF0seNE+KGlacRzOkbxhSjrUvIQdf4VlNEI0Ps2iZAZKpsTed8aivW+y
lIgLnl77c8lp0RxBttj1ZIlyHZ7LwBSP5bBu3x3cDufFwVV5nZOzkH6cdJexNX71N8xJIYJ1lAaR
G3stVcC5CTrPBkWxyJzzVF5mR59sBobyvqez/eJRXx5R5HPnfRmW+UV7kzUcMDUGd9uY1f0xIBLi
TRk6C+TVtn4G6Gzm3ezzxfEYkFQQc2OStjGnwfasK+OvO4SEFXq3t8hhy5wAmsVYKy0P3f6anTI0
ysS1Fyb8haodj8Jl6n6MbkiTMIIWjLtxDhaPbmdLn2pTC+sgMBB8t6tKBGdvdsVfZmv9GmklsB/T
raxB7nVoXq8rpIFFMP5TKnhN5F82QEtWvZMa8tCQXQXKzDDJXNZ28rcDZvPmMUQA59YggfRjxkCP
aB76w0cU1Ll1Nshrnzr8CcUOS7S6H6GIC2ZArffoIIXzlK2CWYC7apXe4T9U+DzLPnoYnKpajvgy
WcLrXicyEDTdJ8sZEabsxo3yxB+rjtfH6kfzEM3ZkiXrXLFKbCD5XZ84nqi4otphoS+PY8XqoCUs
K54nSZaIamBH8ozpGCfRGIpj63o+/M5/FKL66gxF2+Cailf83Te+XiaeuBqKicIpZxJDhosBDXSY
WX0r+zx6KLjeSIfhInkPsHf1F5WnmZtYi0R/QJCYRSLJGFF7rLfy2U03B+RdtHnNuopePo55xyk/
GIo8q+5wxxKJA7eHcMFAbsc8IRP7rUxb9DW3lQebuRSMU5MLPzbMXtAfbVs/U6RRyM3adrC6DRxT
x80X60PlcIbuppUx2uwX6lpC9+jN2xQUKGNa5bFa4IB3U8oypRvR2tVwtaNQSn6jp5GSRBDffeB7
5i7xfZuNYfjp1yePPK6vqe4GwhdyAYe/KU6QA6ldY3+x6WCes1mW2PD9VoEIYaiadroAR79DdkAI
y/TgfUnDMn0csy29s5nUpDeeDjYZk7lhzUkUzU6921YnWG/azCM/bRnt+ifbB9s3KzfplxV4dDuX
JHL9ZPihWGjWgEDsUBUnUsG7HG3MSaP6lnhoDl3hTfk38oxyeSRUjmWJ61qtAe0PsQhnS7bdQ5p3
Dgp8QOOV+D2jPn6GvMHH5AepOEkLiB4/frBBM/ZdzwxCh87ea+ouLlk26J8YizGqgI4p0r23yRB4
DdKZ3RtlZZpnPA/mcS3M9CRqPXBMA7QP0Pj58rX3rv0J/pHpQhYD2FhY1nK+4YxL7U88jRgpglU0
E8ia7ztJliKWYASFX9vRmF6D9+1xvknDBVbSt3zSMhne1XEQZo6d7UpWLP3VMWG/Ims4jXeI9tOb
cUIIcPqU/jkfW5B90nBuNJSUn6QrIzhymzL8aKnI1I+sM86yBxkn+uWameHuNpCP9OCju4wEBojo
q5+6+Rei2vWnclG8OMprxtMaaNtmDJN7Nxh0MndX8NAQ/U+9UyR+KUiVWJUdHXVUiFumsmPDNm5k
7ofGVDA5CNX+yxiF07Brjeh5EcB/UuSEjBvTo3wc7rdUddEuI6zKjwenubq4M+qaxMqc4jUYim47
dAxazCN/6vLcczkRzG91EQpq4Isx2bAbwFNydwV8XT4Tztrbhi9EPjH9qaqw/T5Ek+x3ThaEXBWV
wbkBxAEz4vUjJGB2XY4QFyKt1bG3F0gfQnFY3YEaJIZ7d4vUC1J/4N/zIFZkhrqBSROn87nTEP8Z
nWcG2hrR0u+yxC5nEmH4r05dQvwxuQWF3IjCw89IyD/fLZ4r5COEV6IdZLHvp3ksDgORtjkNVj7d
u+5kX0MEwvxu24QVfspSb32pry8j8kRBl9vqKHixIUCIN/Db8ibrw0qQsBMNrxNDz+VY47G/r7kQ
WKfWsBY2Y+ykuRrM/D4SDf0XiQnerWfVHtFGMkzDOPOAqC842WwSnFu9nEkn8i99z8rFHcYWqIiN
yornlT7ff3cQRL86EJqUTTBHCJrYN+WnwK1Em0z9FJB0w4UcD5iMzgRRTN2R/ywvd8O8YL6p3KC1
9wJnUX0IPbO+V3JG2d6mPMr2Lh1w/Y4oGyZYfK+Sjuipm2nvLHECKDSXSUzoSFbY+dQl0o8+mJ65
FSZ8J7/eD6RD45eoZvFCEpv9aRnc6rvFc/I21Iu+y71svdpGUk5QP12b7xj17atD2UEuiwix+yuv
LZbZMX8Jlt3K/XUT8aSvN5VXV49WWZR+vMEFFztfghq8koyR4XZjDzHuNOKZ0e03OkXuGYbN+3Fp
5+elKLbxWTOuwzcV9eOXGk0SNJQg+lcIizk8go+JDgqo4aRkKaT0d11H43mabW0N7wzG7SZ2Z9W1
t+ga+qKpr7ZjDxbjJrmdWVgaQLgI6amX/Ik6xH13spTqs9nARmC2Rxi4zS66kTgdNj/sOuZKGllZ
tMVx26IVR1lTUTy3gR3xzOWNR5nMAbgcalo4TgE9OO1D1HjlPWaavrid28oHBbJroKsyEw20cOFl
iY+W3FJCTtc5aEcK4xMpaFjXfUeFzRlKJhAxXFb6QQJXVjy2xu+LA6sw3Cbp3WgGygzd7p4Fzl23
c5TNX43RxnUvbgj+DaUdVsfKqav8gkCqqdtYTzRBZQ2r/TqGrfWDbrzh2521fFqD2gO9XIs+2BEb
adSnDvTrILJlNUnlLnT8mzsNALAi1QeouuLRIemIqCit2+1edZ1g7SxWGxbAQd9m9f3/QAYG1qjG
+RyEU34hnrOVd5Or0mi3yXVx9v/jpqL3gGLr85ZObMpy6qZtiNzxmiqZSQVeDlDotuZ/agNK0EW7
ntp+bWRSGW6s1fDDYZwo5z+ke/4mSDSgwCFek3RXepTrf/63aFyGnyuDntacCYy2Y8fXAi4Eftel
z/xTOPQ1aPOXIFFCQtBYA6Io+b9fgkSLa1oojh5zNsQk7FNCjxIVuOH9SjhMjEIk3610o5+IqAOZ
acOeaapxjICF+EP65u+CIqVgdTxjIclapl8iQS0eaeQy25wHuY0HQx4mMdlqOv576OZvMjADSThc
6IrrVgfxSxyllSHjrrQhZ5P2n/gBs68Cwvw6W7TO6Ac0UV2FIfvfP9T57bdMAL4Dz8zyoF93mjRY
IOcU0fE8T5PzCMYQHj3XsWKPgcyBqovkIviapB6Cbd/OZbdjuWkUt7P+01Le3z1axHb93x9yzST9
26NF2lIv+4Aveapr0vfArMLQUTfYRac/rGj97c8JrsFCqGuw+38lvAZLUEmvN+eA+fFRhMK/D4iN
+0Nm9W8/RXqSb0sIwLZffs4JPsU4EKJnl+2sqFOef9Jz7yf//vv99qH526f8kowtxiyAwlrMucUU
fWZDRZaETIe+ksTVXIoekJKab/rD+/Cbn4qVPzZLTB1bslf4l38aC+QjhEbPnCV5iInfruO9KeeU
8DZsf//+7/vNtwgLClUTgCuRVv9LALohbAkepDBnFtW5+GfHIDyASjI8//9+jsvTYAu23zhE0f56
2OQNxzkQC09fMYh7vbmgotuS/eGZ+O9cXT6FMlJ4Eo/kfyXOEtYIF+7z5KXELR5C3bmf02ixlsum
CveMDpi6f1jNfv39/3mIso+KlZKcXZIA+V+fdZdVJ5I8ouFMiWC+5D5thlVUZbI0QUak8jXrvww0
6W+p6/4h+PY/izp++WzJ0oQoIHOcfavy+tv+/Y1m6oIRTG3ncbIC51wC+hK95FkRDXDbuPo8SbjD
c2+ox05MBYKONsXxL8bgTjiUdtTRV6V4ipnRk9viV3KtYywRqX9qsNMCEdTkgDJpDaPsUkufKXwL
3r2rsOTXCeugIGRrMk8gBavNe5H9Jto/HJ///XiScs3F4EHMeOyu+WX7oBNVWinlruc8LIMXgqLg
GLbcfvr3h/O/37frp1yfF05oliP98r71pVV6zDRWRlXEDOTWPMbWlLvnud2G479/1G//QVEQhZFH
hCKxTP/8zWysqluYST6KfdlJ6aHMXtHBP7zVv/sHseSCDXIi8AKE9n9+CgFSUd9HHksGgYnidfCJ
Ptho6vAs/Gnb4G9eAJRNG22VrkcylfvnR8E2N/gWw+Wc0SDpXVXP5EOZ+RppRIChm98Ss5p/zJEB
u3Ura83/cLBc//d/eQlCPt7xJJZV5gK/HGCoqUVtvG45I5dYSIg181o9g+mhONx0nV3sA6H/tIT8
N99viALos6mMY4bNzf/8R7dpqwo59uu5sBQrPYK5SmRv5kQQe/P//yn5qOueBI8NHiyS/OdHZUFB
iHzJs1l4y6vnLgZ3F7PeQHj1Hz7pt9/k3z7pl4dm7CwiZEy9nkeK0GfYreC+ifT/knZmu3HrwLp+
IgESNd/25JYdJ3biOMONkDgrmmdqfPr9KQc4J60WWsg+VwnWAsImRRaLVf8wQo0RnVehckJP1rFO
t8/D6qAu3UQdIx2VjONyevDheEA7EDoawBs/OTHBW1byeHFyoT1mWit+jHRef94edO3zGdx5Botq
OOpSLxzaWkBTJ+m9AI7LfZXBsVIMGA+UqOuNRV0byrGEARbP1QSKhJfzQ3uaJ2pfDl5vIAreGxXk
o6j7rx16d+MmWllJwBOqSduDuwAPqsuRqtEo8k6zei9uOvmEiqh+GjEP+Uxrt3rn+AHwxUh9u72Q
q2NiFQTnjDsQZOblmNFIRVGb26MdsOCMrm+TPqRIzB+iAeEkNAJU5H9G0OTG+fbA1xe9rmncB/jR
qtZs8HE5MFi4PEEXqeLSM0Po0zTbUzwwfhVZW/ynI1ISbHzH67jNgIZqcs9i9GEtTbNqDl4fiqZC
y15peDOiJZclUbPxDddHIaUleRbE7sVu0ZocdcdBVl5WDMBHXGD7z25siY3JXG9KJoMXrcPVKq4/
m0bp1Oh8WXt1j54Z6J1murOoJ/aHEPXi37c/1cpg1nx748qFpK/pLD4V3a3RrqJQegjuKA8S+8FT
OPjZ+1EttwyX5i1+eRfoSHCSDVnabKqwdOZye9OkoeA3Xlk2lfyFXjOvKNGO6XsECkFNdzQfu3tI
Pv4TDkYpL12Nq/72dFc+ISJIHD/udszgls8SFCAnP6Gk6pl+2L5TZQvcBb7R6+1R1haVbMXlNYd/
kLm89ZxoKrCXKlovzER48qfsB8zd7GgboI1vj7Ry0uazjdm3zeNVLOdDc6EPtcGuPSue1Lt2cIKY
GjZi0PScu/YOyVX575bTvAkx8lV5AnH1Le+EssBMQUeawFNrZXjiNkBVyJrcBwEx93R7dn8SyMWW
4QLn3uFIz/jVOcL9lUPD9AvBwSCKZMD9zO5nw7qajjn0nB2sCuO+MeviP6ix/Q/MCMSROKi+CGS+
N+LZyvdkwwiBBYlO3ra8kUA2D6ISM24BTO8L2rW0KZ2oUc5jBrz+9pxXvqirIzhMOMMViWvwcsq2
naVWG0WtF4HuelD60vzsV20G4a+hUIQMJB4xh38d0gBATug0AKhgJLSIASB18jyN4sbDYgIlB9M6
0nttDiqy5/u8h7F+e7jrM8hwmDBirqLSRrQXmczUU+4KpVN7oRa2HoIXxZ3CXDdGuf5mjELaOxuW
qdTqFuuYgis2/N6vvUi603vkdpy7NHABV89SL7cntByKL6XaFrU6bh4L16zFvaBUBsr9rUIDve6q
+6bQG5CqdnEKzOhfE5Y/Q3HYdQfNQffKspEGDCiyOlU9nETyM0nLV4iD/czKCjbWb/mVliPN+/Sv
o6ch4JAkssCgIiz7U9/61sFQkO+4vXTLO2EeBQqNyjNd49W1fJ908ahxU7Sap5GNoLhqWq+67toe
Obt97KQWH1GFdB/xTGmOAxqHG4dtZZI4demcbY08hafY5SQTrJLxLkIyUgC6uM8Vpz1HM9ng9iSX
R5pJkg7ZAF4gOjoUci5HQczLMiIii5cnJtz0DB5qhIwnPjIRqG7sYP7R2Wce7//kKII9CQ3ncrx2
UsiGfEX1aAyq3T6bkvhrXdvo0d2e18q+Z+XIgxxQMurVTdCB9hmV3BKwV/BwhTUdT2gsSQq5cGzQ
N9gYbuVjgTxlASmHudDBFpeBWVTgxuEf8Gw2ISFVcfyOj2t7tyelz6vz953D6hHoeXYI1cYIbxk4
hLRiHrOg8DjxjfsaFXlIgcMompeqVMCAObi7RdRUgvCUG82I+0UlBNfthEom+NVO7JUg0hA8cVo7
OgWuWp/Z21qzrx0XhHM1hSMuCIRVaOn0856LOpfKAUEd62kCq0PpJlV042T1SeR+Q5h5bL6HpejA
X8MnEDTFMDq5H3w1afcoyOThHpceFew4iM9x4/5d+8AOTm2aSs/DpmBxuZGGQKA7g2qpF6pO7E3w
DXexkhYUEyCb3V72lTNC2ZRlx8p9pZQUxwhZoCc/IZsVdl9sHGw86Gj9oTXa8r9h7Dbcluc7ZvGR
dVoHOgdlro8sHwxO3bf5pDIcNn3oCk1B9hujSedzgFPFHvFb8QFtD5yfM/xKbk/0T/J3NbTJU4UX
C2XQ5W2bpUHcVBVwK2q7gflQ5kb0FTyE+7FTHHP2WnXQtAvb4MPUKtVXkbXVCVy/9VL5hfjSo4Tw
oaNkeLz9q1a+9J/6Lwh1FuWqXJ8NmhZEiYENKgTtc1DL5h7dj+IzCLp4YwHWh6K1RffVmut6l5vK
NSakDBSLLy1VNCOLGrSOGeWPhQLA5H8xq7lKLygCEd8XF3PWiQpfdW5LhEzgLiGSLQ+pEoYfYZzL
p9tjrWxgfX4/WZS4DYymF9OqRlKQuHEmD3zAlLwG5HafB8AEj22KKNCbEKOycXmtjgiTca486fyx
GDFUsijQknzytL604dgjKQnqDaeXNqAOmwZbztTLcgKBkXtSN+kSkLVdvd+aTintKpGjl4SBOAwC
1mNXgqQCnpGBFA3eVFe3/jHz/jMme5JATMZD+3GxWUJwnFlgEoBzu/gIOAQ+JxDgu6JPo//Poebr
56+ERxb0r4POGb1JOHF0zDEfeM4SsEE7JVXFuLE1VxfTxFrWtnQ8DZc5AVLBlhMCA/HcptceegT+
71ojTX/P4PlzMJXlK7q45cYeXTt6AhaXQQ+bttLyaptBeWXfUq00IR29HxAYvJNlHSGHBIf79nFY
C7CU7R0GMxzLXp7yuKnheefuAE1f0KQIiuoMTVGDLpmg/NWT/WCLhUspANyNKs3WyPOx+fs7In4a
K2POJEEm7qvMBv3kjoiKDrl7Ngat/dWFDZiC2iryjaG1tbHnHi6HDWtbZ3mtVGbZ0YBP+KpdXRfc
5NLvQDSOUXdAJjh29liNhMMh51nU7y0gxt4IrzVGgt9379HRcrSdCgEg3Du5ESBxDTsadbVx8J1d
bVYNZkWT6OFF9+j+HG9/sLW9QRWI5Ie+hHGViWdh5msjcmdelTrpqXcV+4B0QEr2qDobe38tcJFQ
qII8jri1fC+pHRLPRj9NXldX4ykowuaMXU5xUINxeheGxXh3e2prZw2pQNqAJPkmpd7LHQEcWA8C
xF+9zvVdcTJavX0E2+IHT51eCMfL/FlVQksa+fH2wH/6Rcu7HsQI9AOuejLlxchWwD2nInDhFcog
SrQlIuNH7eIC40m7cuo7AxyEc8KpK4mOfZ2EqBtU0F/AWQ7m1x7ZhPwDrJNEIC0fQWfyC6N3DuUY
IRXvIC+QnBq43+q5qLr4c4YS2qyV45ctBI6wDu7B4E+f46pTwSiNpgWEFPSa8V0G0LH3cJLk2ySn
Cb0IB4jQAfZM9TL2sQ2i2akGUPktincPqObo+AbdXpiVHUC1Fo0wl9uELHsR1oc4R+tvjg6cl1nG
rNRS5SFOwv47cNs4PTVtG1Wnfx9TsymRUeen5L/Mu0o8JcJOKlTgC7j1h6rMR7YdkeEI4NXXIKt2
FD3+N2PSgTZMV6eku0hA6oDq8FAz5mjYPh9BA9AsiQ0nUxmGT53qbmy4+Y5a7DcAF1yVqk75nb7G
5U5HoFDvfETovSDDu2HnS2xs9ibC3VvAmZUjZVCbNnkiWRZ5weIDuijEQjzLBs9A7SFEYULVFLR9
MtxK0WpNkPkPp+ld3Izxj9sruhKmDAOJZfJn/qApfDnDqY8bSzXp7QlkxrGHsKLRPWLZo3fHTphi
o325tk/Zo5ppaMjdUI+7HM3IBjRrIVJ5lZxatI0kQqBGpIjhYMsJvRILAfONOLxyhdDCMNmiPF4p
8iy2jFOEgdTDagKRhKrmo0xmerAVJhaQx+wHCpmPdm7rwz53pL9xZ8+7Y7l7aJfO6b9m4gm8GBo1
tFxteJ56xJTqTPBPj5kEoFc7RuzhKGucLWyrDnkdK9Ou7Kp6Y7XXvq3l8rjGqECndrfYvZSAM5Jz
jagg82cHKyEPw4OfEy4sd7c3kbY2ko2G+Fz7ccm/5v//V46QaKhq5UHFdyVNEh/C2KSoCvFAyQ+o
9NAR2blTVj7qdgs3GM+X/HvVVPkZkJbzqma5DgoRZuNPTkFl3UfgVqSHtDJ1pNu/c+U4c13hGmII
sijKY5c/E4yKtN1smDwjhLspWokSeAMLeWOU+bAuvjt8Gdj11BWpci+zFkVoOAgiC+lp3Prpnd9l
bfkA7Dq4b/EHgqjc9bUOr0aLH2yMOFF7CvLpG3XcAnfSIYHaAoA+v1PtCNC/DaH4V6OC7EZJWeiY
nEzClnsUxVDzQ68HiglPTKy+/GyE7hG7bmz/tJQGUVskoVXxwPswHc9OU2G6bBl20iNkmtmoBJdy
5CNFSYkAvyRYv+vGMf45GGH5bERB8FuUViYPfq8FsHd9DNj2mJViVINSfn2vo0oXHDLFGnMccnpx
r6tNln+7vZJXcEKeKxbVe21+CdKLXD4CUwRjEUsITJ7RbSTeyArK/r8WsZ8v8KvD5kk1GoM3b9RZ
/UPVDiiG5nyYcE8hbfxtAxLPNi6glY1ORZ+jRH2OpHTZTXA0BC7TSjM8vQD1vgtM7TOvfOMJ78Hh
0+3Jr8RK3oT0uxzeo0x9Dmx/nSnVrfO+KE28NRViC1JusjLuYymN3xp6TtFnugzhv79nqKJQggRF
w4jLWBlMkYhQ/tcRg8gs60zW4EanXmBB83U0NHur2TYft8U5cQAFmejnzQ/9ZQYRNiO9xUnTvUyH
wq1DWrirLRwAEF7PvoDe7k+ZWj7fXtWV64DtRO3YMmhlaEusEC9Hu5N5aNDUtoGfonMkcBZ3sv6p
rlyS56qjShVMyQMM6GAL77wSf/CjB+sIcoeI7C4+aZ9NUO6xWwSUikA3TCfUs1BU//coxz0OMJBG
KTySJVCuj7BOScbc8pLW7LGmtHHZDrUtu/uVk+DMgKAZsUkHf1kUj6Xp+gb5mDegfn9wkfLCaU0q
R72gcXj7m121LQkDPAFNlKpcV2P15nX96ygAw4e4i0OzV3c25HIrM98ZjoyOkWJOZ3u0RwrFmfxq
tJ1+CBUnPkzYnmys6spxnAEnfDnqtvySxW+woCAgKRXbngnr6EsamxJNc80/FU5vfsEmPNjqC6/N
GkyxMZf1BNhYZ/5Ff83aaVKrhOtjzclujp+9CVtmymFoumZ5oJWEbd+IO07SD4iwBlGPN+Nkb8S7
1Vk7JPlkiPyY5XFJRnUcwlS1UeZ0jVMCKXePWQ5yVSAKDoVux1sv/pUj4qrUrAUhf4ZvLyCQ8N5T
K/Zb24PyFDvog7gJQrVGfpAOziZ2acyu1070EdwDulGO2uBqT7l/NON611HxPSA/79xFSNC83t6E
az+MsqeBjZRAJEZd5A5agQJ9ryomZ9cxPtpkuDuz7YKN+a+ERFb6/42yiBAm+kh4oUe4XSQovXLr
fceWXnwZeuNHh/7vfdNLfSNL/dPnWYRh7hka1jR24dG4i52NMj0Zu8MlW9ZZq+xKW2nrU5EPJW4o
GALvJC4u0HRSNAM+5MhZQFUq0Rd6FDGSwu8SVXbf0Godz5jc+N23KFUM7B5Ejv7OiFAKGiEAtVBY
hK0b7Ou+Tz76Vo+ZUSI6a095dCbLK+nwSgtHwQAxCBoTcz6zsQ8RgJW7MJFIsOk4/0I4RMUfx5g6
1vwDxiSm/9HxB2BJhT6XFQOQ+MGh6ZF2QGPXNLY6uKsHUqfSBx0VfoNqiMsDaaONhYx0Y1EJK0b3
FMfkbnd1ZavhWUuwfN01teEqO22M7LNmtSP6CwLwK3ys0Lfubm/HlfA7d3bYjTBIwGIvzokbtdps
+mJ5E42GY2wFuKPFAm8vN1M3YsDKlclQFMZnpPncMLycdmImsIwcwa0VROGvBIoTssUl9oRBPT7C
exvOLTIE93T0za1Mmn95uTNnUAPVM4ICvdfFyBnKn/E4WV4zof2Wm6LbG0O01SpbW0paoDwSSbJw
/Vrsf9QXxyRybNPrpwGvxEDLiGyx/gWd2s///tGIbDAaHNBSJJCX88EsA4sYPeNmdrF7TpKo+AHi
Vn+MJGiK20OtBRJKxfhJz7kqfcDLoZQcgcGyZH9kg63fB6ZSvVhZJt5FvLnfiQG1dduqN3KrtYV0
eVxRnuFwEAIvxwxiNNdizEg9Ww9a+6iQhGX7yOzKI/Iq8cbbYH0wngWAsUlaxeIwGrVbZbj3mF6E
mTmRoZjly7X4jMKTsXEArofi1aqSMMLHIz3WF9twjCIzMTqCsivS6aGqR9SqfXP6VE7hVil3XqLL
HT8/kHU8KajnkmoshkLuISGoCtMzodlDjuaSz9A8PN3eHNb1kdbmMAZEd8adXdXu3C70Q9HGutcH
ZuXeDTQtxLPZFn34gO9znuLK57YP8776leNSgXgx1ypaYU3ygoOh+uIawAr3dRZXqFZpsaBrjlqb
jeorVmpYLTRSqw+xL53XwbagnmuhyH9PUBs+dSXw/JNfWAYFysH336wUKuNOMcPgM0SxInvnIIbm
7OKW0uMOjoWi7Z3Ot97SNjH1uwiNwDfbRGoBkWzF/A+jXv2txrfvA7aqzk+JuG6x5wXbjdDSRYnv
YWU3d6FbtvYLVDMqXMk0Vd3HZkjj/CHBoOF5ys0+OfldOf3CQLHOzn6Bdv9h7EEEoaZZiZcecjwQ
pAqQ7x5gV66dKMlh/GKkea/vAlQC3tLED7tjMcYSoRAS5sekVCw89LJKqvfYMCIJqKmZumvtWU09
tfTW2rjGV24n+u5c4fb8XqTAsTgQkVRVTBMS3SMLxqARlSs3+KlWIbchhbbIgTibxFhZhpabooNO
VRPBcwQiEVZwSrfeSJf+5MOLnQxohjekxk7W7OVbspNdj1KkSlMiCz85ODEj8REjRoaW9VA/OqMt
j3g7I3sR07YqFMM9hEYYIzek6/SXFISDqCi/3N732rwGyx9FkRxWFg8Jmq+LADxlBZKSaSE8Ix3b
BMkQR8nfRTlaHGw1N/hiT+BXzkMeocbSIHoe7zNXnZR7eDkyvc/KbIhPRpThT7nxw+ZwvPxhNJTJ
8gF4U6Zc/DBaX2BMxwKpqrAoOhTJ/DI+pmNfuY+jq7Y/JsVNxl3XJE6xR8pRxQuAJhY+KwYeYq8i
k4N6VtB50g86LrklkhBS/qA1P34oI637dfvXrgQpAabHmRHVpB7Lp5CJsSd2qLVOozxTPyW4lQ77
UUfEcWNV3OtFofgOqhjYL6NZizusayFhOaGqe2qfu9/SLsC8AQDnB508FV0brGoy5J17xIeGJkXw
qMJGQdsABVzfo1wtIP4RHqF0CE6Q3/jXI0yB941EUEVA5i+f+KQOSrGZQGoEtfgAWdvRPadAIjfe
AWtLzC1ARwdgvAb2+XLYqETBqZETha+pE9jvZvE9rwaxcUhXLjZh6EABMNfS6WEvFthPYfHDRzE8
OgBYxKOY4r61bhk8G6Cj49M/7xpeGeSRFKPhnS3jEyl9N+QIYntFmZneiBnI8yTjYKPmvbJwvBxt
6rv0XQE6LKZU9U4eo56re+SUwb2vIm8Dkat6f3su87+yOK6gNkDqCZcyL8+By8+TT9L29b7qvTzy
ffe32wsrOcApMFC+bDiAjzn96o0xV3aiAY8BkjGZwXUvPJ+swbELqF9apTffe3VGpiA1srOR2DmU
6Aa+Gwtc/G5PVJ9nspgpJgUmlQ+4J1Tr5jP61/5vdCyro0HvvC7BzuQxExU4OWT56ZsAZaqfWB5c
rLAZlbN4bEB/G7Uv8xiYTVjOAvHwcvoyxDUkyrJYOwSoKQYfBpjFn/toosc1gzQe7bTK8SxIwlJ7
CQPynR1A/NlvOSHg/tAxVkm+lTytfigy1IpzQsBoAHGJyD71aYJIbEZqHXxMnS6zdmGxTcxcW3v2
FJhMaj8qX/5yFezQ1W2jktKLY3385GPmgkkIooJAWaQ4DdSusUXRqv7j7dVf2WZzWw6kPr05OLfz
+f1r8cO8QrzNALuuQaB6SgOUz9EEsvfQXZ1ngpXcCLhzVFl+bAqU9CF53c4E0cvxqH+1ZM+AyLFU
NZ/7XGveEO0K9ygmIDpay+kNkE21R/kp39hnK8eWhyUxyOTdwEovtplZiqb0a/qfrdEggYbA2J0Z
mMPd7fXUVhaUEThFc3RAL2yRXleTE/dVacFPi1rkSqTpq83ZijXhWWVvBWzYIpl2GBUpyiFFgmh6
MBv2xKcWA9Jkh5uyL3/VAeYAJwJdh7CZqAWYn0LpPwusqI2N37uy7YiW9NRm3tI1mQhrEXyL65gG
HlIPtIat8mlMU4T3O6kn7S6q/dQrBpm6h9vrtDYuIRosAXBnIZaAkjLWEY1B4N9TCrs8p62Mno26
wA+4S7QPXJMNYqx19Hp70JVv86cwTtlvpkYue/tdN6CmPnMHdWcqUUdUcXZyOuc4tMWrj7+Ud3u4
lR2Hxx+NWe5XlY704kjXeaIaHbaVXtO0yH7YnYsFg1GmW9CMlR4WWHgKNaQymGgQKC4P1WRWtAIx
sPRMcNDToQ/06EdOeWmW9c1HLJHD2vA0tHs7YBpJ9ElFa13cdUZlYnoujPHH7XmvfFublEbnM5G8
ATy8/DmDnytoyaqNF2GviZV3GtnPJfv4TraieEiQGBNHLQ2Lf6+yzJkix0Kfv+1Vs2dKEjWiHwGb
sEME3PdxTkyToDl3pAXH21NcyRuRXab4wcOWKsvy6TG6Iw/VqGy8Ygq1vRlY2q6qVXevxpE8DXrp
32m+Kk8RZ+kUYqT3cnv4tZcYm4pWErGUAsUSzBFP4NojUUoP2YzJPwi7RY4ox6LgKUKoGoa6jQgW
KCV2+1GPUoMSa6wFX9QQ1d+NiL6S4dnkkGSwcAVBIizi6sATG5lHWDtD0o4HC3yOtTOUoa0PTVfU
W/31lSNMBIe9wLkChra8JnnsAtuSDbyuvgCtJ8P2zDOr3bn45xyQx8833rxrs7MJkFQy+Npkypd7
OcSVrdTdWHqINEPYrmodH6EhH4Nv+HE04sPt77pyO9KQ5XnGRcXWWo5GM79EQbGWMMlauW8VDUF+
Uyu8NtaUkz2gDjxotvlcoQS1EY9NwUQuL2ZqLXPazDTnBu3iMwJtif0ihTwEuy/hqHak6pg8tNm0
o4ah0v+CNvJ+Sp3+kxuHmCgWhjN+Qfhb6Q/g93xK7I7jW8dgmhwHFehSxS7K8XvE83rZYPAwVUO0
G/FP0A4oQZX1selThOuaAKDMnZMUw6ygPqEGGui+9jtz8Z1BzzEY7Z3tl/YnrWyUdDehY/bebzXz
d2JrSngyB1oGnk7B5KUIfFSAuzpvAXk07Se3R3zi5ELSQAJQmorOxxsxpuzs3u1Q/LMSgLwYkR1M
GIko64R+/7sIEbfzIOxJe4/ni5kfanQm/b1mRbjE7cwMweV9UIWWubHNrj88RxkcJ7UyjTfZEt1i
xSMkP2TYPHSzS+PTLMLg/sZaqw3v0EYHSRJmNTyTmHjr70jZxBbsbf0HkBdRtlC1K3hfFYTYudkK
97FlyPjj1ICrQaG4qR4Dsrk7Gkbxe4AdzYcRNunX27v++kyTL839DvIPgtqfYPdXDho1NNqmRJ/Q
W+ZOUG00RlVM5HY9AiqnsSctuj3e9Zkm4SAJZKl57qA0c3mm08QOK5x+4BgYTX6MUC8/mrX6n+za
fn97pOub8HKk+dD9NbNBiDzCsQLuX2uOh8mQE+ZLXXXCrS85oU2bs4HH6u72oNdpB4Nyih2NfJ5S
1CIDlfEIFz1kesKngtpHunPfDUm9kdzQH76OGGTRfwrWNG+vAn+ejb2kfjK3zOO8f9U7pG6/u1WR
6D9KG0LFg2qEor+DaYaRuoxqtMV9NK6RiE/RVzwajXArj1QloSQFcC3eldYopwNGvAK73yKbzJ2u
ybLapZiCzeJ5ZRk/xG5KRTywkrJFewdc7YFA01ZeUxpp90RuMQm0/53uV2n4sGLDqJLoTof+pCD9
r2GNWSWD3R2qsCG2ao0mUf1OffyFA5zsOhg0o94+KaFNFgqgOxxegAMpn60oRhczSIM2eDA7B0M5
DOaD375lJ/bBKFGqPVRtRNvRsMJmN/WoDu4njK/jO4r+5Xva2VF6nKtLE5ItkfXBoFESIjki87eC
JPFkmL727AB8f6r58Q+id3EtDcJAxakSg7DmME2UItDijuPqHWRmk6ozeu+vmtScZB/iPzYwPSne
91Kb4q/NhDXdjrK4pMzukwtwPWZ1+d2JW6f+KdOCoihyX274YKIaOL6fVCV+leMY+oeqavrihNyp
e9eJXJdvGOJEnxANzZI7y0IZ+uxg2lU8qQVH5i2nJlAzX6UMsGS0GlBcchKf0PFHx6vp2zg9lkPZ
Fk9xBS1trw6mE/0QDeXR+8apuVoUFkbfa1ktUDQ08849I/rvRx6HF+WQCasNGOSlRHg+qbXxHntY
x9nnIfS7D6kEkgUmOsdAwsHvw/9mlbF1L6XAw4vKOLV9nXLvV8Wsm456uJYML+lUCvfgwHzRP/hR
bJRHGA9ZsrfRbnZe+wDw4LupAkH4aqG/XfwIkkTRdsKu5Vmv0V6j1q/aw86IUQh9p0g/6HfD0JJd
TfSrjYd6ioz4HGRFzXuqAUW+QxBY0XDBHq0Iv+2pak6IJXLrpU5NA0CNTb380jWR3X9pTKURu7QS
4kdQ6WHzUEQ5vh9BEyJmNBB/1fOIU+iAk8iczrlSLz6YpkWYhHhpqyfsKFTEHC3EeYcMgO+BD5HX
B0ktPkJ81tKM+ChrPNJB4k3pvVrge7yfSlN8x1bPR1EX8zyQsqkcn7HQwlfPCTCkcpFs1vmrNTwW
WTJWyGrmYbtPQFf89P3aojaUZHH5kDvu8Mtt7Ig7qi/57BSqBuzQQ9tUPFtCU9il+LNGOIyS4xxT
PCGsHS8IrPi4mkW6bzpHaphpO/rP2gQEcaTtQ3sf71D0lrJQNtkhELUaHfJBibKzlrVado/XD1L9
UenGrwXGxQ8WXm50xB0/fVZNaZlHJwanfg+npxvvS1eLmpM92b5HDE76D7wkokd8RtTiLu0tWe+x
7OZg2eFIZ3EIxyx4p2qy189pqvafUlSX3iC+46hrpIiP7ifTasND33cBxjmlEqP4aNVtsvcbBELv
8BqYHsfaqR5YNRad9jV9rIr+U7YbHTXXjlPsYvAIEsVqXwdV1vYvqB4t9rNNi9UX94KPUXUtuHtH
M58N88CDQOHiyvqV4+yhvQ1C7V6HSOZPWiq0zyYUmeAuCtPI64cm0w5jga0ZmMWqru/4J3Svc3h5
7YrapF+DSNBW8vonRVykkH8afqSPQNkpIF7edrhbF0iTOJbXV06g7DGmMN9TeTaNPdUW9wV4Zfwb
goOJ1xRAuHI3Q1DrfVP3uYVuOciLHQUSuzyhaKcUd5bf9doB2+A4OXUOQkIH7Clr5xC4Vlk/9ZkU
LSFyDPJPgQIg9XGcJsjmsCVmKxHeiGg3w/Hv9zRcHK+b6pGiVpzob/TmWvH2z1cuTXAuXBAu4HGX
KIKq6KYRVQ/bk1Uen0O8yR4mNW83cvTrRyc8asgCZIpQMK7W13WjrnQV3aa83Rcf27FOvmEyVpRY
YEtNxxzMDu/zDIXnnair4g7Xm+rL7XmutNwoR88d6rmE4l5V2J2kNKM4jRzPl1FQkbCHzsnIhPHD
QB/wU2KM+vfSNNPHutTrxygKnFMTCKvf2bUZfg+6fPCPGL5iQYCLhLZRdlhJI1GEQj8CTQdxDeVQ
rEg4Q6ugROD71Z7IVp4G1x0ecrUeH9QuN/89uUPfkdhKgwMIvJh/z1/JnQzwK5QlaxHz9H+usUkZ
diQq6dknXIW7PLLcl7Hw29fb32AlvQMerFFzMCkXX8EusJBCATkZbc9Fc+RAHaJ759OXPd0eZWWv
ASGBWUBUAQO0PMstJ1y6PjtaSXU33fHu93ELj3v9fa4byWtdhfmDYZbdOywj+49TPVUbR2olSUe/
zKKmJaD+6MsuCxKNsZA1q4s3kDw0OjjTMgABPWB+dr4917WNo4Mx5fUzlzCWoBIVxrE6tIK5Uv/c
+fix8+rm3sdFwH2vwXDbOMerU6M+RX0YfYmrBF3ETYMrBedYE+EPI7Cq+yl1rY+pP6kbM1vbKxxV
WvWgj+bodLlFgUCIhBsDbGUQ8v5Ne+292fXjx9vrd/3KQQ2EFhVWrLDmEP65HMUfLVF12uB4ZqOo
D3EcKNjIhjaLKMszTZ9i3wt2z+1BrxcRNYA/Fw28l5l5czmoNeFrn3TUbAWmWOht4tkBRsCEc9Bp
x//NULTl2SG0aZdnAU+Wylf7mkrmGIUnpD71XWiY410W++HGsbv+YFQVgaLR9uZsXwGr8WyLQnJ3
x6tC+BMVfINHHjbVRpnpesMzCt0e1IcAY1JIu1y7KQU8FfeG7RHJffUIKDdId3pg2rh9KVm3Q6sU
MfZ/X0QXggUFcRoO3CKXY6pxw2nAoQ+9WjGnzZwCbU+upewtWfUb5ZTr6AUs3UI+FvUnVEGXXeem
aUKJSZLptbMjxQ61nyA891UaA23ugasfhkF3sI8necc8GZTngabuUG+c8z9SXpcJkQ4+Za7Nz7Xw
K8iF2kRx7aPo5+m9nYsDuBMr/9QnZd0+ODkl0j24ajfbpzyRXjqsTBsso1SsoWHtR/JbiJ5sf5AK
dlRnyGx4halot1YPVdzb+nFUegyKNLwktyjRK3uQxz4JnAX3dmYlXn6pdLKVkhTL8GShTcco1jJc
xDDP+Of9MOd+CD5R92JPLPZgj9unW0eu6eWz27JMaBLsyoh8cKpSsaVZNMe5xYfQ0efjSFE2njkF
l1OK8V6RgQorQuFNvG/dYfzaTb0dY7QSjk8GGUy1b0NbfRfpclPSYmU9dWZIY0alWsKSXg6uq12g
JxYg+8qmbBeMVrKXo7kVOVaIywA7kUuDK4vYA9D2y2HQQ2nsumodD6Va+QgXj+mNmKU/N0JBj453
yahQWFOlqHilk0JCfUl4FSS5oveQ/NVAw9jemn5A4ALVRuU1IKcsYq3YIa4gMzx0phzrEGr66dFJ
4vq+lOC69ximRo8VvXRQyElbf7M6riN8pUKn7Q42V4N6hIjnvjmaRGkLX1z9vZvxyuf5J5Rij3YP
Ltz6lKNyi2GEu5FGrC2+STfWhHIEmWqJesq6zOc/xo7ntE16xLhaP+vAcP49uCH8SA+EqEP1VCxu
wMJVfSsYSD0jOPn7QdoJLgM5nkrVuBXaVicEZBd4zB9tj0XxshMpIRZHS5KHRj1QAzcPIZncRnVv
5XadSVP/d5TFhCjoxZVhJCybiCZQO2V2Cga/e4kxE9oYaiV7YCgkNWYMNtfSIkfx+ygtkyB0vFbV
emyXR8wleengcElt6J1b0ayHJm9vpA8rVyD0JY7jjG93xJLB5E8S6zGN4qURYkBjplN/Unt8Imko
DMcaF6Wn2+Fu7bPR1rGxEGN/XcECM7UeOqPvbS9hLd9POGvvAZ85G/fe2lrOLTgiK/c6+/gyBrgp
iKGoQ4yNCqT7rcDc28Wuk7oKfmf3ZdMrHuZR3Zam+MpmgV9nzDw7MparC8OhxJfWvLu9dMDmIyqV
wMPgDZ84N3Q2UrGVz0b0phHHCwju2TLVJLqD08tVF6WpMOdBkpjiTdGV4T1dnvQROmW2Ac5b6bQC
kkP+F9A+NwdN38slHTB2CPAg9D2qv8Ej2lr2L4CS+hfqU+7LAP7xkCeSgDgl7iERmfVcxYU/nG7v
npV8xiZ3AgHkWoAmlvcXmU6BGlwR3BcWpXX83uP+YYrHAY0S9AleQ8oPLn5VYRLuXZEHZHBaXkYb
QW5l7WflGzykqHWgdLlYCTvMoFGDwPakpk7jzlWVbAQFqoy/88knpIZWWGxE75V7m/e8QPMLQAGS
X4v9bJiIh4aDq+CfM0XeAH7jqcAnb99FY32OwmrY5W44/Q9n57Ujt7Gt4SciwBxuyQ7TPdJIGklW
uCEkWWLOZDE8/flKFwceNtHE7L1h2LANV5OsWrXCH3xBunm+/8Y3ziucdonKhPti3Hz2MSqs2lto
XlpO77wfbTzUvNLLd87r3+C2SkwQaUMsiVJGZonyZ/ynh5DCIo0Wr1FwO5hUDZd11KiEhtOnn41g
DHyw3OpvVXGy9ymcaAytvDl5p2I0+kPXFmv5VMRZGvo2yWFMSm0t01OVFFXhgy9HVrbWGlsLPEX0
uLJESqKd+l5zQryaUhXvoCHyaHRiLL8cBUzWNx3ESrRKhlwbYTfleIPF9uxipD4nY/ZG5MwZfAFo
3Xqoo0j7BI3BGx800NXMNiJhPHdjF35Boyd57tsy1w8ZttzdkVFK3J9nSLAfFrSvwIiP0v27p14F
pj43JpazmXQXFok5fbQzuPtBhvzehGX6oL3DbcLGqswq8mdRxoV9wDG1/CTI1nB3dGsyjT5UcKuy
EmClQTsVLXDMpne6QyG8ugh6LOhsv480nOYs5kPPXDMCaD9yK4MfD1PDLKeayg9WFePWhA8DxuFu
mU/6+zJFbgjIuIFZapq587WkUvlTWL3+Z4gAeNcz7/g4RkPxHUHKzPMn2tldoDK4/gnR2PjUFknx
k5Fm+G1oo/aXm+O7cE2HdPkMsQpDPJdHbZHdGNw38GhhcaWOkp+wCqNDGtI8wBITQakcXlvqmp8L
xbHjnbt3I3LL7BsAFoNnSQF/uf3mwe0MbRgUuObJl3nSbaYDreYeTbNMdi7AraXQkEYggzycLGmV
UTSYG/MzSFTUspw+IL1SvS9x2LomeLvuXBIbZ1dCGnUUMSAH3Ny1DPjSEAM599IzMXnIMPh8mlPM
su5HiI1w6EoqhCVRfvR9V+/OxlQK03rHveBWonzlAzaPceKpCTQVw6VkqtxKHO4vufVg4FBA/oCq
UkleVp8r7aKUAR/t7BnJDcUR4m2uQ1y9v8rWlyL34715tJlpebxcxY1HrUnAi1/GTlsOmSimgzmM
v4CTZTvbb/N5iLAQ1iUh15DX3n+in2kruW3HPI+DFfUD3pOYm9bh3jx8+3n+fxVz9TwKLNAyLwGi
0QnLgwzlizODoyToIcA+3H91Ww/EfUVPWArdoHHw8oHwtnczjPxocmg41Hf0Qv7tFCf9+epVuH+l
FZ5kpt1MG/A+dnOljb1L1IniaAzVfNKqqnz9KYJAqHIpgakjpVy9thTthwKDOw9HgMTVqNDG0HvA
UXrsd17axvehYmIkI+VKpRTFy5fWq0tYFF1LQ7sehk/ZmAIU0A2U05iiN9FOErO1mMlOA18FpuuG
j6CHgvZLT2EDGSM8QLEHhduJycdRbM8PbiN58YAC441G/9qh0n35XJFdkrnoNOpz2h9KgLcn8/Ew
c1PDnyul7gEECPdnGeOEp1F3f7i/STbCE+rIfDpKHFKndayIDdSrioWmLMbVha/MCm6gY1ybUGzr
+ROaJtHOZ9x6XNCIcHCZF/D/1d5fchpxKeCMC2oQ2S9wv5jdii5cDsyC8iclB4MJI0N96kSLNt79
h936qtAkGJAiMkU7eL02ymTJIKsr4L3LtbeFRapjtc5b4B+mvhMfNw459C4DnxMqAvS0Vot1BJBw
cSoHVF5kH1vDK57cQs93Vrl9JCQpaKnT3ZYTxfXrFMaAsWLXhRcPuMMDyIbOH7q4ejc5u94fG5w1
1IzRHrNg6Xh0TVdPBMBUY0odh5eyodFzoEqf44NsGyW0MQz3MyVFOwaYxtrjoeuLbgqqAsdz36zN
Ektc0yQ/PDpTZ+/BbG/3lPxhjFThYsBZWyuAqKgL2V2ZyPxkiaITfc/sJ+Ki5gn3Ya1GYq/rzUCf
ozbx8wpL1OP9bbW5vARS0bYm2K7P0ORWmG2oWnhJhsEqAsyyZ4G0EehPX4m66lGMqvEFXGSeHPsR
VbNXZximSppHYwS9bsLVKoBULYaY+GyEiILD+jEVzzuUai2OZegZz0WU7c1xNmpdLhTqahfpGOrd
dbnVtk3D2K0KL6qBd7owe+ikSB3Y53nA53TQevVoaSkOILU7vse7GGtJc6yf77/0rY1PwQWChIap
czOcwGVBdJ3XKpd4Go1g9iaYs3lfHvXSsXbO2O1JlhcoLVNihuSxr16wk3V2VI2VctEn7CnMlHra
0Qvjf9hFDDDRSOPikTLlL+8BZ+mHuixd+VbT+aRqORaOfZkepwwZqQHblEOejcYhcRBwvP8q5X/5
ZXXJ/Y1DhBTSBDG1bnLFA8S8cDHDC5q/dtDYhvk2GpoycFWlfKcwgdi7XTeUsk1o3/KssubtKBDX
NxOTr967LGAHZN1WZPp31MGi5tkSi12cymIovzh9b3zuRGnmgYObvROUoZtUeFNX7R8Bde+DUXV0
d+6/jK0oBx4SULUUtQDJLU/7f7JNK3OXXG1r5vW5lRUnMWbZR9VOdYRaUeb7Ms6qVp/gjpffVcWL
TB9Z/PKDkTh6exgHJ12CRqm1bGcL3nZ2gKCSjnDqLNlnWv2oLpNSKK3jXNJEfZ6H4k2FBPk58Trr
OkdafiQ9+Bd/7eUQ5U3+9f4bue0W8h74HzUMahE3XoB2qceGXdAtjDT77VBmhyxuA4BI+VNexcDe
UNp8uL/ixtkGOoLnLdemyzTEePkJokhkitE03sULYwDgniqOca6p/9ba/PrRN51dkkquMxSNuUFe
LjXUM3wvcEaXxCn0wFDa4QDlq9/5fJsPBNNE4nIQ3VonHllikKTSgrkA08PIlMKPCgOq4cdlNCg2
Xv/2LGju/GeYFJKWv3wkBKh0M5wooSMbUCHY0/KAHo6Fx3O4VwPKbbeKHICxCVjcewww12MTtYK1
7iqDdyksa0geegGFzA8nbDF8DKemKlDtBCS6Ltzoo4rd495h3YhcrE+aRU3An9boD3ofLikWcUR1
leXgQgw4LkbfHCpH5AGktT1t742bACA4D+wwsIXOsorR8E91bZbF/NBZ41uKIRNF/WRv5rn1VDRb
IGmRkHPBre6bWSjMAShMLtHs2cnVirTqY5EYhGG1dsLhiNLQ67HuRGGXYS6SBBtj9xE7yU6PqOKc
0fitq137pi6W8C2duHyP2rl1FtCWRQ6GxgtmJqt3OCvF4I3s0ctUqyPSrmgdt/QkAxVh453u7MZS
TAdR7Ab3ITVBV0upC/AIY7aNS+zocXxcRiYftMws5U8dd1lxvH/utm4OWrPQrGTgQlpjtVzWaMu4
IFt0AdnZ/BkLAyUwcMdq5qc5NfJ5XqpqejbacUFpP2pRhxEe7OlDluktXdgONutxUms137nfN3at
C2qCFhR7iW7NKsahftJkRQSFPzeV9suiRl8mq1Se7z/9xiKeLOso31CmupmUqXFoaHg12xet1qNA
o1N4UWbQ/fdXuT0asqEFVAMcO/fzOvXswkYbTIlqG9yq/qDYgzfj15XYQEWX9EcyR+ZOML2NcCwo
9VNppFhoX6zOYpbyjzoNsT14fOGH3jaL05R49ccK3Ii/zLH4CteoDLzU6naa/puPKi98enhAs9dh
vNPC3khV4QByn+YzkKKaYZJhBzqEWyaRxutVEVButxhycm8wCL+JOplnM+FvwGyGYjpXU6g9tGJ0
Xn21o/Ujm1E6YsTkgKu9OOiobNIjci6Ql+F5qUb0pmyXn54uqte/PxRLaRTJXc/EfXUNms4gMn0E
roditv6kDx6w6L5Dc7ZVtNOiJtZOl/I2TWLSCJEG0Twmxqjtvrx2W0eksQ3zCggBwuepnbTHCaWJ
QCjhdFVScw5Q7XmtY7kJbkiysm1uI67h9cQPYIanL13NTLX17ENSYQ3ChqqPUv398/2jd3vAgbQB
X5ATNo86ZdWFBewzsP4UPkx2En8Q3dhe3Fob9yy1bmO2XIYrFrk1XuKaFTwbPQKXcPseKtdU6kDR
tOoAJRH/XVXP9kYAm4vR9wJfKU/4Wh8ZeWST0FiED7Nq5+duqPFispvwIdaaPRjw37nni1wJzUrG
+uQkNMutG/qahtGZW9htfFVmF9BejDyHc1SHDCGkdjb7X3NRj9OhQnXd9tU2R4tosPryR7l4aXmM
HKtEvX+ami+lVRW/x5Km02lYhrmi05BXP2PWTU56MzZhYFqDkwfp0gCGnQxXcd4ZEd9M96MIr1o/
X1LTQegoGfKgKivkdQsdabTDMmRReOAynb8YTdj8HucsBX0PsGtAPgpAB5F9RtdYMloDYr2DVWI2
s9nKwelFUI9h885SFlpcxRLF+FQuRvFlKUcUspa2FH+WNGofwBVZ2iEuPQ2X9nHIIXyoS/Y8LS40
mFduWPnCpYEOk1k6jeuaCQZiUYa4H13DqYsOjHrKS6kDcLi/ys0WAoHJCeQMUnGBJFyFGTVWkCjo
J+XSgQn7bKq1ccgXbXiKQ+70+0vdnMC/S/1Vi2ClGyyrGyMDYVmgM5y2S46GaPXHpSz2QASbq3AP
0E+SbYF1Tr/kw2Cj70Ezbcy9MxKSyrGEv7bzLDe3G3ItyJdIkU9Q+Ddd73rx2lS4VnhhuKgfQ6fP
A03Rk6+hN6RXs52SPV+Dje9ElxvRXAl840JfXTyMwjp7wZ/4iqk3erWd6pxDsHh+HIu9qugW0MnD
YTPPlIIpptS9f3kVVNqsN8AylcsSh81nKkujP8hm2hutTxfh09wQ4pDkQz5CdVxGjkps91fsAqPn
VE+nZ72c1I+TZfQxbnSTMvhVpafukYNb/mT03O6NvjY+OVEJnRUZb/kcq3ejLXY69VDZLk5Rph/U
dki+Q65Ud2SDjK1PwBJMOxiDAs9Z3ZBalCl5Y3sQq1wlYQgfR6PHnWxQYswtXLmHTEzu4ndhgj7r
jOOV8hAxtMcfXOvdH0XiGfEHo4wUgdq7sL7iAgRjKkYqynjIyqydfeaPvXMcVYLno0CxJwus2Grj
D1o4ZRZiMYWdoiGr99ZZSRKlC4CkZz/KyRRz0AkLvCKymCURDnlB42g5Q9OcYgN9OlrdKlgLcEbL
H7rADdy3MNT33KG3vgKpps4f1EXITL/cNYqVahbOBfRxUzMm2Dbz1QgbCKX3o8jWV5AkJNSDUDq/
iSKi00erHMrw0phK+WuwjPhtreWT6duI178a88VJAGAmr1aEOL11SaQJRD5oz4eXPBUZtMNF9y09
L96ApBPH+891k6nLpeBJ0KmiZ3gz9UZFfQiNkOnEnExmMNroPhRZ7h5ndRFvOhpbZ6XERqeZbPv3
/ZVvmnOsLAXoCC40cG/6wyJGqVJxR+/SeEAU/XrOrIekoC2AcGMTKC56jLqdA68rrOUIZ63ayTy3
Ng5oCQp3RKEIOauNM2qLynXaeRerDOPrGNtLgBpAcbr/lFvvFwSDStMW6QHoUy+3J2KZi7BCxbuY
TovEHaqN4pxbcf5NEr0eFGX80Y5OFwDKe3XHgPfLxEleR0w5yA1frqxUgLdw2Q4v1rgY57o11PME
ygl0cV2+tmNA/s5Z5mQwS6P3Il/1f5q/nSlQ+JP7NXTb7E2pq+Vj2QzOqa3FXmW58dXYqiBCpJLx
bZtuli06NFeiK3Li3T+NEUnGZyF25Ps2vhqcG1mXMF6mVli9O7uC+ziZCNAZws3+RLoYz6WAYXus
29H7vmiFQVyzyvhcZHW4s2O2nlCyOP7CdeWk6OXLdDLFdXumYNe6Gqwz/HtjPKgmdJzD/Z0pn+Fl
Zg0EmV4ABTozKXrVL9fx+iUrGRtE1wXq1xGc+cNSiKOX9NMDfiZ7ntobb1TymOAQ0upgN6/e6GzM
ianHUXKNjbo55rnjnephtjHUsdPPRqM3F90t2q89BJKdzXlTYUqSCnxOjh9hjqHfy+ecsspDhLJN
rrkNxm/ShHXu8zz7BJ3SeMyX9g/8+HCn4fI3Qq9eLmBOBLhwqGAwtY7gc2EDM3Ty/Ao1oQ6P9JYV
JITcKup8Z3SH6dh3VZGe+iStjIdw0jpxLUC0AVsTcfQlx8t38mdU4n7B5NctX5hJWR9p+y/Pue4N
lp93Vdf7hmCb+p2pRGdNmWzDb73Wcgljlvpuig0tv7bC7utrF7dh71dOj2F6gvrlv24xwyVQvOQi
6qHV/brykiewtdFXG8/dr2Gkjn+SSMWiK2rAevlx7+m/wFvk30qcCqKjjRhQ/GRZePH2mWU+M6Bd
nhw2LGT9RbXnAKHl5tP9/br5HTn31LcgVm/6u41XasOYo1lAj5y5V7FoveYXujdafldEtX0eZ4zb
ggnCqLFzJDeuKopqFsYzlR7FX3bIf+Ibei0JOuZFfE2dIe/PucgicIxdZFrPVda1b9nw408FvPQ7
0uJBf4O2K3Ot+49/2ydlH//dUzIfJzit7qtEM/JhNJLkOqdZn33ILa5t8IxM7CGSEJb8AUXVJVBw
Tv4JQ316P+FVpB4ggHZxoDWO+LgII1V2KpLbsTY/C3VDcPdI/0GRWYUrexrDqOsJlVXZdeLIQl0d
iKaG2TIxhNR8r9AS66xpou6Dbm6s3Lc62yx9Nze1napy6zsBKUZQymCSc4NUMQcAE7QDoqsOZ/0g
x5zHtJ7DpzwHYxUWNt6sSlkekgk2WsbQ+Nf9TyQfdX3oASwy90Pv8baACWdRja1XRNfSbBvfVWbr
TUhSvXMONjJR1MVxMQGlxqZcz9VnlwoQohWrRFSawJ7QRGGV09gse6Fzeyk5PGW0C1p7lbxQhnZO
6GVcEZnuHfthMj8YqTYe0LBodvLQ7aVotvNYEDTX9XMdDWQxaRRd02LscbVSzUNRLos/iGFvKry5
ZSlncdvC/lKCjV7eCO2Yx2WF9eElLzP7Ed2Z8qiEhvXJUMruaUoqFMLUMg9UFEJP/aTB9DLC/J/7
e2XzOIP4p5KQncgbvYEGV7Ek1khkBm12vjHmTMiBm7Z+16l5ipIJdrHFecrMWOp+E97eYqZRLYcq
MsZvlakpnq/bpbFnRr0VZNnB0pUCm6UbeKqaFYtDFImu3G3iJzrsE1D2PFI/O2HfPSKpif6EPmIC
d/9t/O1Pro4OolFUIuTj+JCbxstPgt+kYIKoJFemLgjQN7im/KzApf+opln9VupD8yxmJy+f9VRU
KJc06qD6sP1S9HXylqLU63vnGQWc9POCjG7uF86i/MAXUJRBuQzaJ6P25thPyqYRvmqMihmgYqMN
B9eOZ7oKSt2eRGXqEII9LtZmrDvYeEPqfMQQIbeuBtw/fKbiFs/aeIm774wvyvyxwPDwX+x+BZV/
7tRH3OD+QtWRuQlQAIqBrc95+pzOTfOvkibVGFTwAADIo3eCNlIRp8YxK6uwIzLO1Y/O1SrNR72+
QZctNYr3lIZK9bVzreoRgGhnfIyWKTsWZrd0j003pb+aOLd+J1E8/rvzQW5D2YvvsToidTS7c2aw
O0cr+6GLxDnOrdMEpZktD69eCUY2kHVYnAw41zFmmCmcRvKg62wCerMEpl3lKJxDmUzW+/tLyR+9
2mRyriF9MhkPOesypewaBJiVPrmKyqse+wXavF211eH+KhuRDPVPaiHmXghYry9EBxAsfgNTeqUl
PnxBiyx5Kr0wOZVY5+ykmbfapAAlSTJBtgAm4K9WAZruLHq+VpReR8VrfnSjunyfYRb+oyIM8nGo
+/Hd2NbFD60RSf2QqPGIydJoDPVxNN3w+/3n3ggd3Lu8Wcp6dBfWk6PYAmEsGvITsG/tk9svaBDh
y3Ji4uscrSrVv3pWbu980o0ixnVpxxA1QKjeqD20Xq6UTaXF1watrSNkBMgdCCA/RUPbBxiYRJ//
h4eUgzjalBtcMYS5hiXiKa9pktBjkmrlHyOtdPjLPAm/Mf2fFt+kC2XsRMitvesiX8kMBNDIDeKG
WIi0EzPba0y5m/hG6S5YUcfu8/3nu8WYsaOoVyQu3cJ5Zn0Pz3iS944+x9c2DqEoAxAUn1QzR7S7
D01kz+oof6/AwfzVlOF06USdI7XW4cx6HIuxCfpeTbVTs4hm50NvnSrJTYTIwGa/mRNGOlSJdojJ
/nUtexoVZzyPoeu9yZZsb5a28aql4B7FInmI7E69vIvyWNhlVTfxVY+F+t1pdePUL7Ag77/pjePi
ITALj4FggWHY6uhiYN14i2dG10bnwpmM5ZAMYTCr6RyEGZSrAb2n10cm4Bxcs7T8aLGvQ+04lahu
9tiYllaeH0w7Us+2xkDeRuVjJ6pvnEuwtQjP47nAiuvmAmJiqaLmY3Kt5055FKk7PC1JqsxBTtbf
n0ql0oedE7LRYaAolALFEv3DUPnlZ6tB9GqRxglRjbx925B5f+wcd35EVlS9xkk8PFp25ypM+FJl
ON7/mBu7Ux4a5lny6NzM54W+2E6h2rQRa6M4m07yTTRK9V5vmt/3F9ram7hKwE0BvQ4UYLU35wyU
kZDHs0Jr+B1woR8qcIOdMmprEZJ+0MpIYdFFXL1JTGVGY6ERcdU6THYmFETjY2yY7R4NdOsIcBlI
AAwotJtNolhamcQ9DzP04mNDG/rM7No5mX2etBAZ1TpIWrjVO/tk61tRq4IUY+54i8O2S3TLsOkj
kihm+L6txyJwNXxh7GreM3D+Gy1XGYfkv9PKg4ZFYF3V7DA2jC6y6/wKiXcKT/rQNek7ZPKHP61p
ofwIfQT5rqmPzINBv9HxmWH072vUJgDPLvG3NBWoSTpJWP/ogAr9UqNo+FjmPZqLRWnVjT96tbOX
jN9+fou5jMwmkCsGlqG/PEgcIbObizm/1oaLD9EQake0huudxsHWKnJupsoO2e3cxvUGkl0nokM2
lskhRRflODdZ/eqDyTY26NrwqSFy3wSFIZ7ivm+QZFzs/MSGz89tq9WXrIVt8dqjybAGOokcAjO0
WY8vm9ZN9W4c06ujgKWv864+tlWxpy50e2bgTtEB4rhoNNvX08Bi7oci6tP0qvbov/p63yx9gD6G
8y7smcz6ej1p7VEAOdmDYvytwV5uZiZSpAVyTgRJcj0LtimmUJZMiiv4IEMmIp3uBkIf2ulQYwsS
+6m2mN5IkRVV3Zl+rG37ijqpP+pcHz6XyIOKw5gOUCq5TW2GTaIrfjVFr2Ei1UQI3sVgAqI3XpXE
gF+Bif+mDTm9s9BPtQNIEeY704uT50az0UtpdK8FSVEVxnRYei3H86/vXfuIVqkBpDyO9PnM9yrn
IMkXlNutULg5DObObGFoa0UfuK2UZsm7wkyCqlbNfxajgi4tPIuQk1YzBaCZty5iQhZ/+/5euY1B
vEqLvJ3eGTJ36/kCsHjwlIbO9Vj26TnH4vuoV3UWVE7m7QTzrQ0jufbwf8Hq3Ajk1OEcj4oxJdcJ
gVMfxKr908xacL6OaD/CScGebepejcXlEmQeS4ylC4cS9CqEiKHXjCYjTQY5oj10M4QXtfLwg5t0
5QCcs9k5e7eNP+AqFHQ2xR2Y5puOTtf2KB2V6VVzKys/JFls/kpbO9QkGTBDKZYb6OTMXjkeQbw4
v/SoQab8/je9zT+k2QbpDoZpWzKVaZwpXSjIP+q0DAMRztEnetH5YzePxRu7V5uLqbcDsjL8/p21
t/YT5SZjDl77LaK8BYg16yNrl3nuBRL/KDWUTVRx872G71bclk5nNnUInfj1q86UhhKnYD+FiAgf
J7esHyqv6Hfi9m3+iLw2yRSqJ3SEUHZ6eQfls7Fwbu3sqitFUOVFcQ7pv/tqg7QLsIudXFzbeH94
DsmilUe6lcKI0jxTrAoMTaQPOsoAc2Q/pKDfPrlx2YVHGQ2mgxV18I5dQTfHb5tMeSMKUEVtkuRB
qeBb+GCPyIYFIUT1x1SN9sRS/sLqVvGXzrKcYAEB5eJcvZMpIuKha8ZdFuEMcF6Av4CEYSKALVOP
PPgbDek59dgM9fAuCiezD8B5ieqYDHX+ScV/8Q8+wMXyaKtJdbF0tZey1q2JQ3GSOkcbil16UEXi
QkDM1bq65PS/lCs+ObkIXFf6QYUIsUzHIrS7DGxmKrqdbbyxtwAaoQjiyNIT8cKXX92mk5HMA59B
Qw3kk1mYnm+gI70j0Pf3olq/SMarOHXCdAAxuXqRi5HU3OMAjTy3neZrgoeK5lc28zGgeUrZPgLo
RHN7SBpL+2DVlakERsb4wu8sSWXTgeUVqHnNYxikjlp+DKPFRNQDRvrkT4Pa09LtzAHVO+FWvo7t
QXHyBsCJQRqVeRtE0+y+pR4BwjjbtYon1BQLK5iEbn8vhsV4tqp5NHwNeFziq12cpMdMn1z7EA2K
1R26HDrXURsaWz+MgtEuHRZn+qdqjcIMxDhHD1Vljb1fJJr6vamT8HdRh/aTZs84ODgAYj8lY278
hD6PmHBferX3GJYIN/s1Tc/wNGeL+NYucaH4BHBUFvJIScdjMUCmfeNEdAb9ahyV9uDhofyZ7ErJ
TgsmY5c5y9V/3bB0Rl8x2/5n0YiZswtuM0IHBUV0n65Gor1NzWb6R2uxXD+5kN8tcoLZ2Ct1Nzpj
VDDAs3gKGuw3N+xsx7gQoQN+absJWWb6pIfUbKMgUovpnewRPnldWjEt68u3hdIPh575SeA4g74T
yf5W1evdBtJJFlNguG7B95FuFNk4uxcESwzz6EUirg9N2jXt0+JNDadKj5PoMfO8MT0XPZkB6vZK
ljx06dRaft97o3cGohXOJ8MY0Z8vHGRVMgRyLd+iLe++YWQyD79VrU36AJEkWt4F2+WzOlhdjvXr
EiMXH7VweyZFqNVzPbiiPlV9Nv4scgdrADTPteqt6y7eW3uZbfPQxnb7PrWU9Ktb4+wKEcPMCv61
qeOX98U8B0rnjKmvoCTwLakWNTsVjtoDFZ8TipIlNovxGUI5h2VGFL28inmormOXDPgJE1ymQ+7N
2jvVWLCKczz22U4g2Uh6KCwkrIcjTlIgr5f/DGxFg3DOMlXeRVexx230ovH8nvrqMGrsASXrmkNM
lruz6tamY1nEKeCVM1xaj+bCSoJ1W8W9xEgT+KkNcmPMiuqQ1AOTrKHKA7fowqDvSEVVvR4fUdxq
z0Y378FrN3IRrmZKEX4LLN8bDAn66iljD34ItLLD2GTLk6JP/ZE5lPXUD+qEon3hnCxrrwm8cZHq
UtcCIUhV6nWvIrgDZsAzarnZVa88hV2qBmnjmScp03i+n29ttCq5pJgX0gXhU9+0KaaSMauJB8DF
zab+A6I6+P2mLvhrvzMW5r92kS0f0kQgt+80KlNMyGBD8mkYleW7oSOc0CDMCNPJj5JQLV+NLgPz
TwYj2ZFU0TeNmgm7lVHKiLhKmx+zpFiuxjQWO6ts7XM5NSO+QRC5wXjxD4pihmCPr2GqMNgCNPtp
zrxW3h6Dd52GzMGK2YqTvSxQ28i4JauBObsF8vUGPQcqf3T6JlYuUZh309FoIymYWHgWuBX+kQk6
v68RDLbE/HOykuk3sah/Zt8wWC2zWcOwNzZ672hrodU8kGlm+iF0avFlBmTGIM9JlZM7tczuU+rR
552ts/nrZSVLqg2cej2joZU8anoEN71eiFRgSJlnW2neARDQCvPNbGBhAfEzOtWVpj5OYaS3PjWx
FcAFM59GfFKCThHKO8+YlNPiDurHaO7GB3AoylfD7KZznCt7ej4bKTFiedxo1M1AUNeV/+AtTufF
wI2JI/klXYr4PNZm8TudpuxTUijazkvaOMqQY6QKE52T21ZjnDXwSXrWgzqV/8phlzRBJYb2fcSl
v8c62FyMZriDATZqDOvWdI+qO6Z1tnKZpyE90H7CoQVHgwdk2KzT/Y+/kWTCUyc0SnTWrYxjhfYb
AjE8F0PkKdAWnA6q2TJ2KtKtryXxzexoHofv9vIG4glJp+KS+iAHdlI3S340aQ+dIxKhQ1zpe/i6
rRfIbUcHHDraRi8VGkqLNUh4mQp7OFhkVkcFA3UfJY3XN1CJ7FIAjEmMhg33qqlphqEz5ZF8tGTu
38BKVZFddjH8ykWyE982nwqQLq07yRG7gQX0IyPWIVMuZi2St4PiTRc6lt33Qosd//622Ftq9cEw
mtHiKUo5XgiynBzVpa0Gj/hzFCavljynq861YPMHk1JwDS/3hgP+b4TiG15S7Hhif5iNNsDoZXyY
HILI/cfauCFoiaCCIItpZmcyEv4nE1LaXk/Bk8A1z4bo2JlL+hQXIj041vK9GeLfZqeNOxfzxpv8
75LuKgcYy8XKJmvxLpqdQA3D2W76WKGbKkhOuz34wNbz0SoAr/IX6bxOuRoJr1ExgrjUrl0+KbjT
PGZNZz6Wdofy7BiNXIKLs9NT23pC6ZsgOy701NZgVv7m0ndD6OKvqmZXOx7ou1aLfoqssdrZlhtx
BB9MKarFYAuN29W2nPFu1bqelLISSn9YkGQ8jEaPaZ6ZJAFlun28v1+21pOCrBK/hqL8ev4LMzgc
RImyQzaI9JT04/Lv2FnfzL7Xr4ktvJ1afONNUp3R5WEESrq65ponWlIqeStxJnGMHrGFnUGB6c4Z
Wck9I4rNpfhWf+/PWw7tVCVwFmEaXAm+4xujtOYnOj72+8GFZ3T/JW6Auyw00BDrQoWDcfp6FmDZ
OY5ndiiVRz3tNM2FEtRTaR4mMBlnRXNmCpEFUi3ktKfWqPt/ijErA12rlccoott9/+dsPTkjXxvM
AnvpZgplNKxfeTrEKhRPjzPktwdyOuUY0aXdQaRsHEe0Z9g58trj+tNfhhvRinB0BLw+fNDmN3VX
RQ9aoqindonyY9tZ7yelSneAJ/IIrApsEAHcQ4zq6Z06K9FutStyRO1n5ZJ2ZXT05jL7wByi3dEq
3nyJ/1ll9WS1WlQ2TknKRdhpQj2OpaWfek3iowkNcOn+F9uqJMHmw3vla0kn79UVMYS59DOkvQjF
w/mBIbp1GZGhOIgQdgCpqGe8b3Bre+zDyftHazLTCZLFAEbWhK9muFNdQLaQkwrKjJta2mgp3lOD
1Kye1fza205+9SJvz35p8/Uibyela6DtrytWRU2dKC3q6NoZ1nR1cwA0rhX3T55X/A+DOt4pdADS
JMmVXr3bETRh2jQAaN0pBn6pe+VDLoqP97/g5kGQim+0H2jKr68IRAi81g2BRYf4VfmzM+ObZWe4
DKZI4Io86YIhi3c8mrbe4d/ADXSH62mtEQIwSZscxHGv5hx19Ab1CmNY3mYWQhi+/3ibS0lBCeIb
f1oXIxXhM0e7DO1o2HfBPGcYbXRqcQmRbtvJ1+XnWB9vAB0IdEMeuQV1Mz1rK7WhVkOcNT8Pg6si
tzJkJwRU00MxjOk3CjDrcx9N/0M7GmCiTfIJikUyOV4Gs3FCPAehaKJ4XHvnCrmtg5MM887wYSt8
UWDRLiGdlnOzl6ugzq+NlstRB3SMDkirqJdM17OdO0Db2pAUjlKFABsmGH8vl3EGjVGrh1yZ0lpL
5CNP1YCg7cWs+TbeRe1D6CzGb4ZjDFHbRZvqQ9vNoj0X+WLJvtUkap8pQO8dHM8BSiv3RuxX+VL8
q5ZL2x1pb+p7Y6CtbSYFlKlr/o+z8+qxE+nW8C9CIodbNjs0HZxn7LlBtucbcoYi/Prz4HPjBrRR
+2Y0ki3XBqpWrfAGOimksK9/tKrO0YhTl/RQCHnyZ7vJfjqFqp1Na1T+4MBawPaZ4CFIuEESopHV
DHKV0dAoc9tbIFRubMr9teoKcUnTqXDzskwOeGZ7H+WX5Ru6bXTp7dUOA9XoRI0M1EwKBoHuo4L9
JSYQ59SQPpj2BFUBOtYfHN2FCG9SntKkW3emHBUOjYpfuW8pof4pLZv4hAp383Oy5m/3g8TOyXV+
Nb1Zhap0vbPzZFaqNgHiJhWoJDFO0JtHLQ6VF0zRHKwljTD/ZHZ6NV+BlR4VPjvHitqUAE8nkk7P
OkJZCcZHuL+GvjECvHWVRgavifqtfPA6d9ehB0YnbMGYrDsXehmYUd0aMOSbtBpcYQzWZcCy/cfb
3+ViDQhuTya/Wr/LKEdFYtYFTUxUknwGzQhaTQBBmfUGPpLz3ckJoQhi93FU7u89IK1F8lkHjNum
NaMy6DLbgDZr0+fiI8OsGqpJc3Qp72U81MNolyM+Y3EGV2EwwBPFmmroqlG0yLHOcd3aHkSFRV+3
mmbamENRWec8cfLAhZYyjHRvo4Fhyaz11klrCq06SGb3nnwh0YJfAKm5aWaX9hgaSQnzPtfl6aWl
+wAbYDzKznefnAKPYmEBgvL8r4OckSGOWEFUeYAZodxGOtM+flmlF5rQO7RMUsGC5uELyJvRdaJe
PMidU3v9YNcH3ZbdX7LM3bFMAF64odgNRi8JDq39kEmomHh5BHwBTrgR115hTpZ5Q36oR8BRrnGb
VilUzhUCLc1FA2Zgu6lkDsnBT9q5AByQ9MBWllp0o0ZiAKtsJiMNHtIpzi4NCJ0nLRmVywIc/IOv
DR5tUboAvL/RBM7nMkBYLGafW3J0Nro6OUtjfUQ+2qmvkU1ES5l0AlHD9Y02TkWgtTWeFGYKeiqq
q/AmZCUF/tMEXjUnP++Hjb33B+qNV6fSrd+w8xyK6TIrF1deE3q/3CALURUC9xiRZm+/yxYPvwVi
tBCL150D+hM1ulShhIBZHFxbrU0kVzeb6km0s6GRiUaK5qZGNP91/xF37lDSbKIiqQkqS2uMZYmQ
eodzKqUSHgzXppca37am8DFIbGwvkB/wx1Y7Sky0pahcZaUOZBICAyGfcmt1c0cV1HYcJsnvK6nQ
z3GF8NIpjtBhYf5RUI5B4uz9Hj9vzU20qPnZNzY2XVYNQA4aZsBFL6e65EFAsaZbB00jdXsY0OWp
bpqpP9tRNnyYZkcCd9KkoESVuB8TFxuO5DvtxZHJej7n8aVD+ugrtoxpeILr23yTO1gn71tHCBzm
AEDdkqqxrZMghIUHKeXe9U7IQnMWIUvQR6u4ZUlRFddVRctZikoE5UcrfaqnyrnUVkLnOY/a8iFy
Uof5TxVf73/0vdAMfN6Gm0943qirZgYE8kKpEfBW1fjc11p3zePgCEWwd1gdjV4IuKplqWXr/dY8
LXPm6/LA1SfVSXYz5EYGo4rhc1AZ2JuUWnrQV/yFrF7vqt8XXO2qpsJfGNIBiqdWadJfb/PTIs79
LhwBB/J/jqtPmCJlgN1cNUDjy4qZlNx/tbsPTQuQKEW/keL19UPjKo6GCpw0QkZVvxslp7nEc6ie
pFoz3NApjyal2xAFd4dhAvmojVzgr0njby9ZqttEROjF4F0icBYWOqo/MBLOZpAdFUHbUPFqKXX1
aGUCuMhJFslm2yp+zPk8nByUlE7M7rSXljk17zg/kglaOuyvvykPtcg2M7Jb7CtW37Qmw2a6yTcd
E5X3GThgIQGhnO04yISbmW35IQ3p/jlSi/lUZr7ZEHdhC4MmVTiiEMfXhV/aGvY8qn3ka1oevYvG
uXiy+7qaHxKArcHBDt77mJwTpA/Qlt3KYLWiHVQJF3s/DcPsRQvaDieVYHyflV1ycF/vLUVViFrv
L+LFutU46uGkJ00GsNV0Kq9LbAyGkCk4tynK1/ePxN5S9L+wKbNhm22obXJTVHLYwYqNp1h6nBQp
+7fVROdZkzZ+vr/U9vTRA6PXQAq2iN6t+0ZZn0sT1w7wampPqeW2MLQhvKTBkHo0Sebz/eV2Uj7W
W6zXFgM0cr/l9/x2+po2meJwQC8XmUT7s2iKwB3nACSylCtn0fcTCDRTu+DGMHmYXKVPFRZWpzFV
tIM2yPY2odUC64BOCOBynFFe/xAzGyJRCX5IMHTJe6c0nJNmUpsiWWCd9HEy3LiWwH0Xwjgw89jp
1r9eerlsfnsHCBxlhuin1K9nWW5B6rRVZ5xlI02fZxt9Prdq5li4tJ4hD+dKo/k9hgKV32eBfGm5
mDveXq0dBY6d2wAbGvQuED7kCG/kDMaeIZagPvfVAsuIomjNayfN8SURI+VenlWPmmgTrxPC5qM1
0TUpB/kPtv6ivIg7HjXupoZvdQWrCvaIn3aGdQqKRv6m9H13MnE2O/gOe1ufXs9im0xbdgMpEXJY
00KCRJVW89/IKBTyyUaJxpPayvpU0Ek4CCC775cEhmQVyWn8XVfXgRbp6FQYUuQHSZ9d1EihwxVP
ueb2SmB6pRboZ6MhbpWqEr0zanq22A81B/2Dvacmk1nwvOSv1NivNx8a9XbRhjDllDqx/5Gbznwn
prS4IKnRPupkcEfiYrsL8n4x5wQftKFxWEqSBJlD3FRstpaRy9nHSUryR2uQog8ZutAHqdrepUuh
g9QC6g5E0FWEKaM+1SpMbv28R6XCGgYcBosRk7qiTyZKWxF4TaJrH+8Htt2nBN2x4D9/tflfv9Yo
JPNPBHpDjSPGb2MVdW4hRcnLYAQMa8P4qEu9d8szqvnFi4HWtL5l1brJ5a6wI9+qTZz3BmRilFx8
m8zAQI8/nzENjNLTRLXsFtn07/2H3dvJKDghJw+rhHi+7ukZoqRN72BhGTCnwlkwVBC4VBSUhq5S
Z86XHMssX21U64JJwPBMu0z7WAhs5A/K9SVSrnIdhX4szDoEwRB+Xn1rswbKnI196GfMs90McYVP
1SDJB0nG7ipUmUC4NQ7NGr1l84btzGZWNMW19i+duS81coR/H7zTnQuJOh3XLMb89BHX+1aj71H3
iz2OXEiz4dImoo0Yz3H33MsVHs4THQJftiPrKyc3S8G+IpjqFgJ0qZv1YH5dKQrmxp0cNqOLZWgf
nmYTv3GcIGqj8/pCLL6SZZpKR5f6cleuP8PSqiOI7pl+ZeTZTpwrlOKmXjsnaYjmp2SMWvsa97Eu
3xJynJLUU+2+hrksDM+yR/lRCdLqe9j1wZNZZnbukQuUb7YeWKzPyaIQewdYtmljDnAwssKQAJVJ
4XAZ6067RODo/1WzUv4wFvORCN7eViFzoaGIRsLC6X4dBtgqliQQePZVOOm+oQYID/XwZ9/f3yw7
3Dh0+UmgQClRLW7mYWj9SBFdsNDPsySzXQhy0fcoMPUv7azW7IQ8QMkQWlL4Xe0tZXyWJi2/oVfU
iNMM87V90aYytc5qvtQkUDvHb5FlghCobFWyb5aR2Q2CQmL6Csrf+tGIpJOvysiJ90w7qRE9mPP8
U2kHmIm6zHTs7jagJuacy77E682Agmq7M8YTw2UYkWe4TZ09ze6kl+Uj6D4ndAehpJ+KqVLNZzlK
+oo2bB82VxWsxD8W/0j6XxfBTQda24TWua1Ikc5wZerw08Gb3Nm65L8qPozA5jaRzFLntJynDnau
PGk+6G3zZWjb4nZ/lZ07ibkhAZNoRXNsHaeEE5eQ/5m7VEkpPzbVUD+aRdz62ZzmLzAPvzhloHy9
v+ZOEUFZRCgBF8I4cT3h7kTVqnnJ1kdjoTqNuZ4/1MyAPdgj8UEA2Ln8gA5AOGaWjlzwOnRx6SdZ
PQMamuryZ+XYgm+aTp8w+nDeBaFT9AdJ4s56cHboGSwXIEPvJZT+lkBPgR0CKsmBCATaBHlygQxc
6kyiYRVKWjOeoFrKyZf773NvUYYSS8pEwbmZDeLQm9VTL4KHLpaU8zyoP6xobl1zqpBlrOYjO4id
zwd/g3cJa5TAuu7S11bcQk5iPtE35UC+HS7Rm79t6Kcy1pKDL7gTtwBz0rnlnvyVG75+o6GuVaFc
L/iPskYdQsYQD8ygdnCR7rxC5DrBwaIssoC51wmwDgG7MhmvNjJDlEut0p34ZA5OBATaaebyXDVl
aHr3v9vOi/yFEKLWpF0LNuL1o2EWa7QoCUoP9aDX6B3O0iWtEsaDFLsHb3FnKeYqQCEWLgQDltXz
Ze2URAiWAVipRXmxKF+fRaVF+anODgOXuvPJljSX4mURFtv0v6F/mpI6a5lvoblcnEWgQMU0Z9kQ
rmGIxnRjysifTW/F/8R53ueurogxhaaV6f9L06R+JuJWs6c1sJbPVaqi7zyGkX3RJ1v5Cy6PbZ4i
p1IdiFc9HCFp6NofilDlfzU7NDFLKZPhk42T1pEz+d5zkWSpdPZp6WxarfrY0yEYpdSvYqdB6H6q
vAAbkYOIvLfKr94KXQ9sV9fHS+cmMsaQGtzQ5+xWDcjbONp01AvbWwVUI6wwElTSj+Ve+D1QhUoY
25rIfJCA3VMML+vUlt2RseLRKqtw2NcsM6ht5scGUAJtNKOLatbyH2zuJRwtvANSnPV9AjwfFjvk
Er/KZek0aPSLmL+VFx1w6kGcWH7w63wSrABBAiHc/xe2ev3aQI2MbTsnqa8EYdycqCaac2Dm9keh
mHnoaYNhXVD9vWlWGh0U6dsjTJZP2/RX5xKrldURdsgLTXnUU38u9AJTp1h2NV1MfiT100HxsveU
oBYZYFkL0HaNC4sQniuoujNfiyC5XaM2aftLY412eMoKyPM/VUugVaDnWuB34wT59n5g3F2fOTOE
ZzJJyGuv33LcpAOTaN5yVxnFoz4P4Qv9U9m1WyO65dGYvEBjky8wytqDlXdfMoJWYPopGjac7k61
uhicOCvPsjKf8Ie3fxgwPkPXVqujfbs9HSgCcfwwl2HJTR5UDFXWt6j4+zFEbPzlp+gJZl5/vf8y
txkejAEgSMQtuP0b35BEKwbmvAVkaeT0CpT7RiP30CBoS1cENbG1jrrg2aTxcjQ02mmpLmQFtEBQ
riO5XO+jRg6LvtXS3C+Rn/gSlM34nGWJKZ9zlMJ+Rp0hPnRtYXmo6/ePqSaF6SktsjJzTRtHsT/4
tLTtYFSDodkS6UMQ1Ql6Ghm9zepzHeXWQ2REqiencfT57W8csMSCEl3ywLXkEyhjtevNKPdBpmfo
Cjvyhwm6uutkVfu5cfriYoGCPBg673Q+ENdB9WkZBCAhuI4Prajp3eZh7heirC6TGaIvoRjj+4FO
s9db6r9T3TvXtOkQZMza4kzP42gWvLeh+dLsNPomS92yOrfSEKBVYKV+Q4P82te2dkrA9R6E+90n
BZUAlBQkynbiLOl2qMiBkfqj02QfMDkVjiuro5O4mVJFC8p8mJ7KLozOthnnpVtU5vBlxr3wCJy8
zRoXQOtiYQ/g2t5Ei0AdOr3H4s7HTyWd3Uqzhh9VCu0T2cwxPBdK+ieHmekZQVkBCr2hATU9OsI9
ecFCIcY5x+ZyfRxahv6ndAjM2u3TWKSnRhWNcXB89r7t7ysvf/5bwkD7G0+jNsl8u5TmF32oTR/j
4uag8727CtUuLQrmdKCfX68y0iAN8zrg07aOUfiQAAM0TuOwd7z7Z3T30wE6QeAJ8N9G0DeSB6oN
hysu0NX6Ymj/okL1A5Mv9VQ4yDbfX2wnBBMNiIP0YJfSUH39VH0nj6GVaomfDqqafGZOkv6t4pah
vktNK7higlA+yHI/3u4vu/OMUPsYaREX4AWvWz6dPulMqQ303tseBLSYqQ5OQUILLFbT9lEtenHQ
/dn2fhEuRRQS9Vp0Azdi78A6RRU39JrNYqC77g71oNZPttRJoGLtUnycZVVol7qIs+i/FjWq7pIP
Yad/fvuDA5ZdRAtp728+LmpKasrSsW8DiH6G0lp6ldoIYHJl+BRZ/ZEg1M7cjOcGSI8WNXz3DVdI
EBAZjaA6Y2s9BllRUHkinvSnxp67a2OZ2IZEKXJLk9qe8MlpTtjgPqZSqHwjrRMHn31vty33Luiq
Bby1vnURaO91ncaOX0YpHc2s16X8YrTO9BfKXLEner19cColfLvsIHhn+FLgFxag1br3EaLgFqQ5
U6swDHJPn4vMa+yLkgP3j8WT6Jz3WmIVB9feTsAgScWMZukNbAfSAIVAMAiHUZkcIN1SddaLM5dH
XLCdtJBVUABcJBQWxbzXBzhy1NyhUELs1JDiE+SM5jIrU+BNOX619/fu3lIQ9ZZdtGCT1y39AkBL
ac0IODnzAP+p7hocn9LOCVByFrhH3l9tL0RAUYJgQ4N/QbS/frBagmXcRlLi5/KIS1sMuqUDQHBz
5vjHDK7q7VGX+oz2GGAkugPrHCVM5lKPGzXx1TavHxhz214xaO0DJWJ6TgKjPch9914mTbilHU3F
vkHEFYiI9KrEemJoIz8agvncoajjlUgLne+/yd2lFmQmE/sdykmmjJMUI5HuSzlJSTUX6jkdW+Xv
Dg+mg7e43fMQytSlt47CJ1FutRvbNnScpBpTH0V68ksqz7PaQYe8/0A7aRbL6FjLcIPs9IyA4Jts
fJVlEBc+YTGbXpdy5lw5oQ2tX7PfIx1WXy3kTF1JGXXP1Jvm4ObcXijLb7Bw+6KyR3FvlVGOSYeM
0ERGaRg9G4YofhuFND0lfO/TUDmj4RLPSxfHL7R1puSIC738+6/rfdZHZxBlWnbspj0ud6GJuqBN
PqK2TeKaZvOY2m1zDpnvnXqQP66o5ulDZ6Xxwcnc/cgcTFpo+LazH1+fzE5peyTWc95+HnXnGcn0
a1vo2pt37a/GONPSBWgC2+P1KsBJi7hOEbEaIyk4lfyt09Aolhe2jXQQ2PZepYK8JfNQMtcNuHvh
0UtOV7FU0JW3wbK6S2eMlWvJswNvapQvoCiHi9G1xhFHa0cghcekzlapymD8rCuyttY7RaKN4dei
sD6MpZ78zIUB+neZRIgrrUmMObJIip+ZvFX1zems+MxF0Hvm2Maf2zkCa4Kw45tbOvwsxi4Ajkit
NziPUBOikDSDvDA06wnkVhJ8nJGEbD2paQAN3z/QezsKVgHwcXQYIBiudtQYVpmFVXTiBwhnay76
WPbn2u7at8v/8VQcVgCxC8lqvadii8H7HJcJVX/fiEuCnOMXG2FggV6HPT6WXU5tDzk5C1Ej1IKD
CkJVdo4sykNozQLZ3MroW7rIqs7JE3+e5zr9qObdiF6ZFs6hpyyqg3/nYyWQciqUGG2xIRnUydNA
smmuqiD85sa2XkV4IiRF6UoxyEBvNFq7vWXz3H7tRrWCktFXAi3HKTAvVT6N8U2WhRa486RH2kEA
3F4rqLItnAvKIfbuurdpoHibl0Wa+I2s5n6ejqPX2UZ262btaH/sBnyw4xwTlHRoga2CrRo4St0K
kfgRYKp3pdA1lMpQqTpPaLOd4zoen21jQM4Jgtv/7C4CkadgmfT2XYqGEXJ0cPSYM60iUtLFfWgY
iMeCM+xexllIJyvPrYO4t3cWyFHxoWMKT964aqYiRxwVnQ1sIU9r8WBYjXRDM8w+ahDsfT3WQAST
j4cex+qNzsIWJXJzTFcbxfQiOTZPbQdj08lC64CVvc3kaECAjEPnCxj6RnGLoD1ATBnIcuaqe1YQ
h8eunZblKBThzZo9efe/0+5uASvJ1Iw+F12c1Svs0xHdxcWFKZs1+QdqQJM4d1Yh9MdMsQrFa2iG
126GsmDmOkVaWu/jvrDfyWkHhen+b9l7zejxLm1OEqJN5UHPNpTsCTn3CJKQZ+tN4EeJY10S3OkO
Hnt3KWp4Zryck41iog6KBDIosN4SrKDwlExulecBna8Txi3Mfe8/2N5Hpa6kdcoH3YJEImxRZEtK
Kak6oziNQJoewwTsgRMH+k9AmEfw3t2PCj4EphH1DnLUqztCrVBTp+WG600wqJmLxmH2qHW6Xt3Q
OJ7T01DSPUCdKvw8FVFSn6ugCW/pWGlH/Zmd94yw8tL8R89MJ/96nZi0vJVBQ6+Llsk8nnJlxk0G
uFVyE8VQH1wZu2sRXKkPGMXCcHi9lpr1fGp8aHzgzerNdJLm7Fjw6VIFEsr9D7oTdxj10m9iFUbo
6/cbDo0eQSNm+6AVeM3ztroEcnDER9m7A8l1MBWlG8NV+Osz/9as06YR2i4ECt9EqVV3EaQcf+Ip
pfwDsMl+0ZSixKZjCNTisS9FxWWI7+D4HZ31xDmj1F596ZxJ7s860v23sulC2RuqZEgVV1MmLFEV
HcXqU0Ll3bgYm6QLgMe2zvpUZc7bjzYQGIpham90UdaZG37jTJhRLvYlU8OOt7YVN8vD9JaamXFw
tHcOG0sROrl2wKCua41cxJpQhzjzS7TFnxWp7+xTAx3pW9xL40XTg0k5ON57Gw9ODaQhUmIw38tu
+e0zRd2MWkdO9o1DxfTct7p9raWwQzSxdw7KiZ3sGwcPQKfkv2Ay1w9XTeUsoPUxBbLD+L1UOMnD
3KRmeeXl689Q5iyfuWaNFSU8w4NvuLfpKWLIY0AZkfsvL/63x0RLCuhGztoxOh7nCTDmuTPi7uAJ
917moozFlU645L59vUqpCSXolmmaU+e16QJrMtBnl5L/zFlPDvoKe1sFHCnYdmqmLekKTc0Eifsu
w6PNTM6xGlWPoxR+rFRReoVlDwfaQHvLAaNYUndIAeyY1482ID5UDcDp/KLMda/ltvkr7KE3S7pI
r7lmHA2w9l4lLWNyMDSjGKyv0hYjTq1G1/PMn9Gk91J1CDy2ZOEVmvT2kREeAbSDaB3C8d9gYKhX
0FIBpeXLgQgelUrU5yTMjwbKuw+E2ANDE0BSG5VD4NV9r9u0uboptNAXjlE8qhzdndHn/XI/wm+7
rzwQVBwI3PTcN63CVJSgo6os9e2mmy8ScZEZWGS/AzqbX9u2TR+yOpDf3AVlUeQsyJeJkxuEbgGC
r67DlEBSkyoboSK4y6p/7z/Z3i6ElEJfkkyLsdfy5L8f4xy7dBXKrK+B4oWC3rilU0+XcBK1JynF
wXs8Wm21B/W6aLkWUMAWZWw8VVn+PanT9H3H0TtV7ZSe7z/c3g4BzEauTpsHnfXVco46wasowtSf
BDyDHsjBSYpgn4YlJ+D+UrtPBigZqB4KsZsUEg/eGUFjNqMuSc4l1tTsprZhd4qTWD430Sgu99fb
C7/se9jsoIy3tDtNnR2rsGm8OKmSXUjlKz9YVJXvr7L3AsmdELfgmt7OuCodG1+nLxGBs4VzNqDh
nic6lbewV5s/+FZMGKhQGbeQJK6+lU3LOBtMwmGYqPGlDOJI86RxHs+IP4v8YLG9r2Uhqctghy7Z
ptlahrPVhBqxUIpkSIpKNJxiCyFneWZeZ5XtEQJlL36AugGZCmkQAN3ye347ZaBOYJ4UXGOTkxdf
mrxrXQR040tctfIX9GXmsxpLR7DVnUVJErlhqIT5eussi32YN+nSJ+cFtH6ZoZrsZp3ZnSazC0+m
lGNk3Dft1/tbZndVYuSiDMXFvVZpkiwVjqk1J35bYHMYU0FfM0ZEl6yJrEdkeorLPJfK2/fpItjJ
bNJQll79qsKphDOLKmlYdGrTl76Yo4+JEqdero76AVhs50hQ99MMg19EbbH+lKoV6Y4I8CQcrUix
L4GZ1e/CFOTkQ2lS2hyUFjsblXiyYD9gRS4qGq83zoiTR6ZFAfV4mln/1FEdXEVft1cjHqTWZdY6
HFw6e5+PIQQl2iKvvYEd8xLnQgjsHaHFSac4xkdE1aPwpkWquBTA40+6jA32/T2znO1VQ34pB5ax
7q+EaPX51NruhYlFu18XSvXeUsYXyljzElt4clpRHV+nsBivI0Zdn+8vvPcxWZPyAOm7bV9KKZo+
BXhCIw5hr+SEVw/Sv/kAi0mYZvAH33IBrdP2J25v2lOTSsqAOnzsa2YZdSc08qv2VGlVRDOshFL1
3i646A/upZ17gguQex3FdtAK66wPv9l8yXihwy2zFtMpsmcb/62DD7i3CjpiFFhkfMTw1QdMzBpa
VEfPu86Nykunpd1YieIgau9AzzhvjPwsiD8UVuuHScJsqJDOBsinkEScBHXfV6eupPcNxzA5pahW
FG5b1EXlKjCBvDDUjcibY4AmsqV1Bx2G/Z+zgFMX0vRig/b6cEJOKHMQjKQXGliPUJT5qcA740mZ
C/NvHMKrrwU65fhGSfktY+7m9WndPYcjqpH3t/H+L6Gzuqi57VDGImfMOLkKBXWWGs1pGvX4yUik
mC1tZo7fBmH30iiNfplKY3qHcrP8HDX4yeOg072d5wpIQ3bYDsyf0TxavRVsgc25KOn1Nmn0M0Nz
hqotaV1EV9XrkEj1H2w9si4iP2F/ixMOsxYIimGSUirJ/NGw6vRdBFTh4OzuBAqNzF/B1WERy1s3
sBHfMKcQ3XQf8NlwbjX759RG3YVUuTq4X3ZiIYx/ggTHaOFtL0ft91RBBPZoFTJk/KasvutRmYwP
ud1mLzLshcpto7wA81JjetHboyld7++kvdVp/CLvilYTgPVVohLOdtVmtCt8id4rA2DgNkndlhel
GaNbWuvmtcF34KwSyA6+494bpg3JTJ9AzN26/LLfnrsPQ2WaspxWt5xO58SSbC+ygvRKp6o8iCM7
82fAA8AjoOITEtc7FCUXonA7hH46t50vy12DjUien/I2HD9baPi7BVZpVyvCJ9JlyPp2liAF+HIJ
cOMQmNejfmwjBoy7+cSTSM8wVObL3M3wbLo29viyBy9250YnYvIzoR7Q5l2jQfA7L9FgbIKHInFQ
Y5IM8WRb0XRq5GbyUua252iQw8/399EOY3BhQKLpDHqAsnLdrGzJvMsw40aQcQ0Zz3NoMRU2ZzPP
z3Nd4vAiQIuhXq2lpQJveDA/JkYXQcE3zECcRqtS/laUENsC2x7+k4coqz01xYrh1NS59JRWQZjB
s1YRqG1wvrKuYh7DD7EydjpuQl31GJTpLLvIcoTJpWva8qvelMp0pZZKM5chfPedcVEdXRh2NX9h
TxvrfHQUU70pc2L7VhjmFHu5EpbvC+iBvdcjDZn9pD1OcYeWw3yeu14Pb2NdhsrfqtpNn/GebY+Q
EjvHEcVYqCmMd3mZ66lrimQiBMc48o0sqK85Tg0X0aODl0lV8r+kYiAzBUUEGSeWb/c/4M6ugY5A
AwfFOjLP9dgwCpS6KQaGXGoVlT6ekrA3x6j/QNcDfQwRNgiipkfY+Z2DSf4Ojx5bEdDO69y6zrDM
6R3YkXkfVmdnzmQvRS7771rVMlR6suo6hoU4tRb4MzGW/bf7z7yTxdAtWAwLgTEt4InXIai0RJJC
CyVBQ4j8oY2t+CJnc3OgBLK3Cp0WQHzkMTg1rAJ8leOP5UzpMmITZeji4Su8MivGg/bi/jKMI5Z2
BIzTdUrWzlwPEehFY5iL3M2nMP9eROWRs8VOgYK2EQGbgPYrw3z9zsJFp4adj9Vj5BjPlY0fUdxq
qtsimOCVw3w0z959LJJZ9GMg7bBJXq+nDThFOQVJdNFJlZ/YXfZpzMTRrGV/FYc5qMNdzH9er4Kw
v9GHXPX0+1D598JJNk5hmsXq29MKvI6BdXLfkYWv0RtWAo0dJBLiRYPeha5QSuqt0mqhLQ8SIPe3
729WolsErUoGnPL6qaJSUZO8BjOXFdifNRWI7Kg5FBrci1mwbGABk5aBSlmtYnZ9X9UgkHw91KQX
jpPlJYi7Pc122qJsOVoeEaU4Kcr4dpHtX9ZU8G5UlDg2LaRZcuCKpcBGlZkB5lTKWNLNUv8B1uDX
+29yJ1lhQr6gguFkMMpc7cIhsrWxyfPYD81KfCuNoubJ4vbzCFD64KPtHbBFaR8qMEOljat54gjN
jjv8nPH+ZA7ROH6nZtnJLOa/uqj7+/5z7S7GN6MfvGz7da4A4d6WtFTH6LsPu2fHiCM372X7UuHM
fR55Fwezsp1ztjwW4gK08Glyr/ZKPOtqNmglEjV5Ml1IJKaHGS6pd/+pdr4Wq5DPkrtBt1unlnGX
DeOkjBhxq/H8bmxxwzGZBj717XCE4tzZ/CYYGzJLTtg22TJlvIMwQIl8Bi2O7idymiWeOffNrbQl
x8Bb0EyuDZv0L6eezYOQv/ecQEchbTBToi5d3V+FVuIbg8+QPw5Zk3rBkCufgmRIKk+O1Oly/6Xu
1ZzgCUCmMOWkqbk+A1IWBoVZm4WfoWF4ViYt8FJ5zNzE6qSLsNTgFivOZwpF/I+NwoGUrESe3acH
R3Fnyy5ubPg/cP0wKlz+/Le6Aa35OmgSkfuZWoYPBUo4pxGs+sXIHZI0kRzlKDtfeCERLgFuwRit
H1uVS0mvY6vwB22UG6RF4uirPEpq61lKMJG5xOa7No1ib4KQ+O/9d75zXAD5AR0Bq8J4bX1d1PbA
ZR7oud/mQPz4wIHxPpSt7khDaSf5A5xG3gfwH+OSNYddzefOkGBp+tkgQpSJBdRY7uNz0QLyq5H0
PrVNm9/+4OHoOIL5Qeh0U/iGSYUeWqMUvh7I7WOuN/lDMyT1QXm992jUJLBgacOB91k+72/bBRyq
XqXSVPhMhoyfrZjVW6BY6TenKjXYNCFSTmgPp0eY9b0vt4yUaYwYgI/XurjAVIAvBlFBVzztz2lj
xYhuqsMBXGwnADDpgWbARAgJh3V/LKDxDfUoK31Zq0rZlVpBJjZYoGRdRGIOXc12jgIdaY4ezWkF
55VV9K47UjQhBRyFwHT6m20N7TPjFvG1dZSo8CwN7OQJk91eAYA5jaVxvb9j9hDA/ACYUMwuqRjW
RYoeKCnbxmaMM4+wU+ZeT2UXoFjzvY2cBCe+2qjmmyBuRK6Vhvm/Gpb1f81RO/6oO9VOaC53oeJK
kK2Dg2t751NwZXOGFFBeO5grzOMRETT5aSFiqnJoTxdLy/QbpY988Bp2IiA5CCPwX2FpwwiTwPCb
NMEykrm68oy5FE+4I/Z4oy2+63CuD6LQ7msn1BKFwH5s7cglIwuhFwP96J2ge2kT03hP8l/bF+xW
J/sSj7I0YyA4prLXovls+lpmNp+QW0XG3eqlRH6Y81S7AcJHz/L+lth77ZQ7Sz8QXhru2q+Pt1RF
Q6mM7IgyMfKfUjxBbpfQ+AgGQ387zps3vtwAi4/gpvsrqXY2knAgUKDF/xmB7jzZTS8uGt2HL29/
KIZb8FDoQS7eVa8faoQyFMSqkfnplJbeJMcx5RUKc7k6WQcFya8adzWKYVS+oE2pwrc5NDabxhTF
de53WZD8MxTN/KEbsjlwh9RJH5TB0a8mLRjT1ZMc8R27NM5DR//mzcfHIbAwY7OpkLdglUQpJCcp
tdyvNWXQT1AL+9QD7Lag2ia1OdIJ3W4bh249KcRS7y1sv9dvuEx7YcsR8HJriZtlOmV/Tab5HaVX
7c23HCsxoiQhhQm76Y4LrvUiQH3eV7HQcg05mB/qMjsC4GxvOVZBiAlZSyxyN4GRPvmgCTtmMoEA
7xf2iXwji0t/agDuLFeOzP4sZETmD77aNhKBB8PWicAHsG/TNEq5tJM6GVElnM3sE1LAKpTmsn0x
J70Or0KLFfVy/2hs71VWpJqlKQ8xYINXtsqGCs3QY3+IQ6y2hy73pMpSDiLs3utkV0CzWIAQm7xL
Kwl2LfN6v62z8NaU5f9xdh5LdiJdu74iIvBmCmxbVl6qCSHTwnuXcPX/g84ZqNhEEfq6IzSTcgOZ
K5d5jXKY8t5+jDFXO1ILdB8WPc9/P4rM7VHK/VP58ccqVYliKhVlppyNk0J104CjNzt95NEpnD40
SNv+HhmXXpS+yY6oEIZuBWm82PmkWy+YKAcSaRnnkBW+PhmVrY+8E6Y5tNLzUxA5wR3Zy14f5Lbx
x9QQYiStKhOI8jpsA/CYFLwfkmslSVN/mmLdOUtc3h9DFTG/o9oNsgwBPsreg8CNe49RavP87zsJ
iCGtVpWdRNx5/aDo9oVdrkaQB4IhvGiapPgjark7zb+tE8LRBLRJA8sgP3q9Ss9L7jscaq6qHc7e
lIv+OW1UBNHD8EeSgXZ5+6G24hrB3KSJBXL4BiJXIOOCNQ/8AVkhuEmNpmFLE9mXDt2xnY2ydUaw
cVQWiNxSj602ypCrGtvPAtsdZZXfOwYYc8RIoZhYZrTILHfheS6m/vPbT7jB0qYtAnt3ISlz7a+L
3n6SqlEuqbhDoxaBZ4O08YQI5PsQzOtvI2+bzoM0r5yMMJ0cl2JRDw71PNtPmG5JzHeK0P759m/a
OjPLx10ouGTF65I0RwLRbqYhurZjrP1IQ7t41of/wdF1uaZpQ4GxBEO9LgYlW4Kq0TAbsI0uuFoj
OiyOOkwPZiPvaeb/mYi9zgr4sGjgEQCZV90AOimG0ZxyCOxJGme4uSLncF/nYz65s1a3gDTSEJ+0
0ELX65hwhX7ETjAPfzRhGUEfUdsvg1n1T3LX5Y3fmfWgnWyLLU+PrptNd45KXXHRcNQYwghgsUe7
c4wDljlVe5J6uTpUra1n9BPq+GunOePkae3AIEARM/AtR4lLy5sB7GquUCh6dqL/xudcNLtomCJF
dauUiuo0uZ4EhEKUzkelz8yHDGX2nbp046SyCHsYow9i4ToChlqmdmmnxVfYRZ2PYThDAXWu74xh
lHfuzI0YBDoXUMjyKW+rJjVKq6leQC/6KCuIys/j09ip0YM1z+r3QhbDTmTYXG8ZdrJPN5S8BqtA
M9/ijpYyVBLj2PyKEGd2HmhfPiHha+/cm1ufC2EO6kJqqVuahFQ5A/IYEUJ1jdwzoFPEAYp6t7PK
1vfieRAjptV22+Wuw1lpS6iXVzFlyZ3Sm5VfSqriwQ2rdqr6JXKuDt+iGU4CsGiHc0O9vjNKBBmx
IQHhEDXG9DNFbNLrGeCfRZ/1XiXZyb2FVdRzl+y6Vm08JLKJ1FPLWJ5+vvp6ZaVTmC5qqJM59IGM
I8Ke6WOcJ823LJG6l7eD5sYuAaVEHwHKF690LTNkNtqEtvLCJ5Cn+IiPQ9l5vc7QuEhbqXGbQld3
Crh1B5MeHjUsaTLKJuDdzHUrLxY4tDFHtq+W+xS677/cP354tzcfW2U2N2ss1+Zf/SZnGvSKmbN9
Td2vLx9D9z5wdyLHuhy/WWJ1805mldezwxLt4d3Xh4/Pif88e99kd+9R1rXhzULLs/71LLXeZJMx
sdCd4yr+x8jnYXJ/L+/deWPGQgX+axX4Rv//cebj05PjnR4bd4+HtrfEal/XjPOGIOPD5+5L5H3s
3EfV3XuMjTCE7zM1O2M9+Jvr6znVtLkQcZVf50gqPXMotNNiaXR4+9RsnVDYKjS/lsHGjQGWKRlQ
Xuc4vzatzgAljOIrPtCmB+ZxTwlmaykydFgCZK+MYlZhCFm13sHHNr8i8zZ/x7AyDDzmvebXGAro
r7cfayOZRG8ITJfBMJ50crXWwNWvJwZ+vKU6Zg+KGKfGC/JW/RAHaly4QlVKxHjLbOem316WHi1O
hAojxOWb/rX1+oX8Xk3AtBtbFL3bc2lV7hBlxiESumR4DaJ410kenT03x613y5APUDE0BWqg1fNO
xOD/x1IbRW/6MfaVHwsNY91cyOr7t1/t1lJLT5+xzUJ2XefpUmqoIs0tEo2uMBA0wr/AtSo9O+Sj
Bprm7cW2ri6yGUDeQLtuRU1GHLin3MTuRR4N80ubCQX5ZK21LmbWGJdkrrSzAjntISkSfY9zvvWg
TDBg//FSdUvVXn9MHWD2pHfkrIYNq6qs9fkg13F9jGM73LlJtu6uv5da7ZusH7OwEgqgBDtPjkVi
t8eR3OT3rMVYWtVR8O+TfAD2mFb+aS0v3J3Xz6ZJbV3FBSYXvTL+jvUhuM/aeA8LSBbDP7PKPJY0
iu1C45FO7ypOorMTM8UCkxdUkaF/zCme59JFjEGC9t2r8jGb49Zyg0BNOw+tJqP3IgwiaMbAW8LZ
pyhyz1J6aTqZtW1W3hQa8jtMlLQvVpuHlgtxK2mwq8iF4ct61prP05w2v1MYcIlr243zMUyNojg7
JmomJ82ulfDQRkXZuhL679dMUaTOd/I0kL2oEONvUy5sDH5KW/6qmIWj+iEg3HfDMAbv08Gc28OY
q0Xlm6rAH8BJwuFeEk7bHWsn0b7ahSQGX0/7sPaKTJtzP+NGdPzWqIfexaNZkvCxnedHoWqVeanG
HirFKMHo8BxY1D+NlrbF+4A+LjEjMFPlpFZNC7t2mpkCDCgaelNcppnXBZIl3MnoQHzMoGKx3Jzy
on2Ez4aRdZ3ZWUXuWoofOXqWCKjTuQT4VITiswhF+okoZc1PrWMx9nShkmTGL7RMBUojrRJ9a5M6
Hi95pTunfICSdJHUsQ0P1IpK4mmpbGeHQM5S8yDnoY5JiR6qGnEt1iSv1JL4cQaOkvlYibX/ET2E
eadmIlYPoSQ1wO7GpBg+JRMltD/bel48z2XdfqiS2nxAvTHM3dkcRfNMShJVbtaY81fbSJ2fozlP
R0dgkeb2MTpSZ0kxG+tUyHWOgOY4DI99Wqjpw9iOw+hCbw5tn67FSPGYG2noz/kANTl1Rn0+y1gv
hm4oc+sdcIGwMl+Zer3xqtHEOLOi89meU3lQcjfMqlr3m86J74ppbHt85VPnKxJ3o+11ojA+1Y7R
Fq4FFsx+UKVxvBqVMmYIV0Mp92QuGnEeonKqURWxcz3GPafNFbdzIObBI6vGzs+A39UXJY1MrN24
LGrXHsLuV62jIukGmWTWuCECaPDaesrlu6qbjc+9FETgC42k8LK+QLPTTIFAuBMgyvB5oFXRurlt
1tLnQjSq6YWw969S1c4ftAQPhecCF+fZpSJIBjYl+eVFxHXzaZhao3P1qtO+VLU6K0d0fM3yN46n
au6peLXs5Tcb4RU8Ilow9Ab5c41TFolo52ys0c2unfKdiMSEQ2UwUrU26fHtW2R7KbRDgLYT89Yo
kWQoitCRIUIGI3zVvAhn6BmVcVSlYM+mawmc64hHusHoFAWfW45GHM2APe2CeXc91r8Wt7KfSs+g
8N8faNEGJoQvmknrpmoYo20HmYHiURvYV80sEsez7cT4vsjnzv9+CSOJCTKCW5iG8vqy0LtKm5yC
+jFFqeDeibXxNDAgFydTE+RVtROLiz4UyqGUFfG/bBOcv+kKMm0HhLNqeBY14EM6ZMnVaLHOzDu9
kV2VdS+F1HX/rgYMiAhcBLrEQPdu4ESFGctdNNNGVhU0D1KVM2R34tRixrLzTjcyxaVmBG8Gn4ch
y+qxqlSE0KlhuRl9rj3Dcgg+OrVj/8zpe36oW+VXI6ppZ82bY7Cw29DXIz0k1b+xoWhTe7Rq6Fl4
lU2x1y5A5iqWksMkGT/e3p+r+mjZKCTfYKVoo0DuXxfGgpGpbIxWfjVbNftmCyd/F2qdCaDTSbqv
FeLHpz5tS+6dSXyGDJFUh7d/wB9g86tzuCBjuSrZsNgi39Q1qimZJYq/4CWSLBn9pR1/NzVO+2PW
C/s/M9K5r+TcTlU3b5riITWbyH6Y9EqT/C6S7OwYiCz+JgeFDCBgpG3y9u+7SYyWn4ebH0QXJu83
BxhH2EnHDTe/RkFTeIWqcY+086j5WeV8H0JLO9i2yLwgKPb4eTepJitTKUBeWBDKqMC+zvxKJY7G
sO5zypBAHCStyA9ZVQ0nI7XmezU2pr3u3cauYyKDxjaYZaqG9V5A2boO6ogFC0yzr+UkC6JW9R7G
U7bTyPgTx9cfHZI2hQljbhrOq0YGpkoTAHCLObc6B4OrjiGEAKGORujrWtdwLwa1XbpkLAtpty5q
FJOnpHlR06R8J+MR9lE1Yn3y5wnBhfPQo8XuFrHRRmfNqa1PeduaIz4jVfoCGCX7lqkB0LhJ8HiH
QS2V+TDW2vyzEBJastUQaN8a9HyVDGfGplE/E1L6zk3aWQzvmog+8MFq4Swzw0XAwSXtMWnZAgL9
VoehIVzKASv2MLBNHJdgMHRuWGIu9MitkH5oUBkLXGWyxy9vb8yb+4vtAS2ViQgCi9Bv1dfboygi
U0QFrgkxz3ow56D7ZMRSevkfVqHHyrAcgtdNnJWtBHM1OcuvctapXCOx9NDk9Z5o6ro/9ycMMf3k
eqAIuZ09xkmSmRmQ5etsBfEpy4LxQL4j+yJOer6/EnhRpupPUdzFmBga80vUWNoT0m97JMqbaM9b
XdSayPzgqEKye/1WzTGQ6ZOCKolTfTrgdcVdKrUgH2RN+KktsSe5e3aOw1aMYTmOgo697Q1zk5Pm
zAusiR5IWPwXGvlwSaTQtlzqS+sY6KX+Av0weQjQfN/jc24deuSiFuIA6BYy4NcPzNaqOGRVcTX7
abxr5GwAzhjgvDc4e+rSm0uhoU3DntVuxJMSqaLcW5BxaJ3btM+lECIUWhQine2dPHLjM9oy43tE
f2nKMU16/VRUEaE2IQd1nVqnPE16Wl2r1DIPCoMsr6qj8k62gmJn0Y3no6GE+BCwXOaT61yv0WqT
zHzOryi5dy8ahqenuOm73o3V2doDbiob1wP9MpSoGLZseKrSOKOCGNg0DWWj2wyGcjGbJnfLNkP7
Mp5kFzZIcmjS3v49Moj2qxhIZ2rK7TmBo3WSitm40AXrFjHU2Q1qeU8sayO3AExANwgdMBko6+oC
W4SpFCG4T2LDApyHfmhOsEQD8YhzSPkRr6n26ww8/ShSJMgQc8mm89vRa/MdLUN4juwyz1zFyNoG
TNVQal9nNTXv5N54xv8E4dcxh4iHgc5O2ra1HFNDmsEMxW+VMyuzLmbmmfm1shXpk1226FoYOcK2
1ZAdZmvqxM6C6z79EjcXnjRepiDgbkfi7VAVTpZ3QKIDs3oEpRYe8q6KkPUy0uQb1lfjMau7yvK0
wpk+Bl0yXKDSlTs50tbGZ6CDAgR55K39rCqkrMl1IFy52cZ3OeQ6ZKGH2u2kPPb//YsyNgVBsuRi
QBNfH+w8k+faTsf8amdmd7DC2Dkhx5OdnSq07rq5sb69vd7Wo9Hb14FdgnfiGV+vp0aiGkezh24d
Ru0LKxmzh7C3/skYhkbf+Zxb+4ftw6Fjnomc7+rA9HiZhzikpUh5Yd6eKul8Umq1PpXo3ni9JaL/
4eGoMzBcpaXJrl0e/q8meKYUqRXMGHFUnJTTHBTvB0eIQ4zj7ud/f41/r7Q8+V8rgVlSwpl06NoB
YfABHab0vei7YU+81zDd+mLUEzhvLXxbY33m1RaTIUeh4p7aqnRLUKIPWdthWga58tP/8FQLIplu
KPTJdbIwQavG6xnsXSIX3TW2OOx+aRPfRlz+pJ1OwrLTVinzwgjQmBr8kdNbvcKUVplMlyi59lHY
e6OtTXdRZc87qcjW21t0W0nNjY26emzNWO8AWyODPmufkjlKD6Iz5mM1t3tF7tYDUeBQblBZLZPn
13tiyBwq6poxcBtmiF7RTr4CDdvDR27kVmwEkleuAbAU6yEI/u5mImrM7OADI7srt5Gr21N7MQYz
OkQ27dm4HtoTCeFeqNp6lWToMIRAmd7KFeRmBmaFSw3VtySGDiRPZ+rw1MtEWh7f3oibr5IbDgwS
cIAbZkxrCjzMIjO7kl5Dpp86JFsHaw86u3nbkE1BKKQmZj64uk6Rb49Eay0lR+D0h6RNZhqlcvRh
0ubkSHKZJS7yW91BS2d6FWPf4odtlTvUp/UQ/M+dt5CeYMdw8d1krEGPXCzFT4ZVfaeGh0QNTEEv
PdGPQ4LSBZAlO4d0LqHj4JaF0/SnsswRzE5TDIGptvPcBajSX8i593qKW5uNmMMvoyV1SwVohjAp
ApUhQAEY/240a4YYpiU953H5YwyE/N1BC/BlYOSwc3NsbQBCA8UDddote1wNbFPSnCq7CnkwH6xu
jL+ghLOnfLaVVXPLAw2DDolPzOr743WiFmmV51crtsKfeS/Cr47UTa4i0FAAoCZcR6T16e29vXWM
eKRF8mmBG6+DbKfj0GR3qIUZuSE/5MqUV27gWJ3uAvhTf7y92NYHXAQGMZ6x6fit8fdm09qznLMY
PwbGthaP1Qk5koD8uIn0E5JT0aOo5dGnP9fulNpLAF8F+AUJT32JhgIdnxUaIqqyEM1X4iEDJf19
rUi/UpE5v3F6i6iB+6HZGWVu7JlX662+ZhMF6uAsI/AuU4bMLdRu+uHMauK//Uo3l4FqD02JlOYm
Byf8w56NtBR5iFJ6kGro8AxxdzKZrdCEvsdC1AVYpN9I8fM1ZeaWuOQNkToMZ3SsaCVNUmL6ZpyZ
ii+ZZqy4RtGbqhs1XVO4mDjFmZ9jZ/fP42j00FAHBj5O+clBWd3UspU2BD9yxrrMXzQjxaTa7k0P
THP577c1zjk4bBCTMZ1ZT2bkQG+0pEPHtO/z8nNX2nStihLyaTaZ/0NmsHxEUFTLHOgGHj4w3Nf6
jEacjYzJh8pKjacoqQLfEoO1U7ZttYOWpiChhqYEJ3+VGuAyU0hmi2if0eo9zKZJ7X/naVX+aOS6
uheJEhyVrK3RiMCi7wBDd7ioWtErLlaJ2s7+3Yg/7CjMoME1InLiOK/TlKltKltSSJJVMwq/9M2k
eMZYNtcsC6fD20fl7aWA4b1eqsRFe5gdQHjRFMRe2fe1jyZa/ihpFM5vL7URymGlIJRJH8ZZ8Dev
l2o1vKbbJSGPUgXMkgX7RURJfHFEl55qhPfPU7SHnbiNBCCXAKOyXynguMFfrynUuO6SoqGVLgIM
/oLQ+EjdKO9JTt/GUZZhM9IAWvLydcmmRaFlzA69xGGwp0McxtpDO0qFH0iFeR+37Z5OxdZ6KsqZ
MM7ZtHRkXz+WmtalNiu0feKoUty2UoIHdYzSR1UbTPBL+DK9/em2XiOEYoAaC5SRDPP1eoUpnK6t
oUG3wWB96CUlfexkpd5Z5XYv4kGGrwkTX42MZl1GxTq1vInmxnUk9f+JJHNwTPtIPGhyuqNDeHvn
shIF6CIOQHWzrgNSnXHhFAGfg7BU/ZwdTLk8q5ONkx0IhgLI4l4Mg+lTbONHunMMtt4lay7EIioe
bE9ev0twHJDZNUB1Ja5dl1YI5T4W1R5OeWuH/LWKuvpiehBF+aQW7Eijk59DdUqPVTRNR1Ppv0nA
6ncypq3lsO9cvDHICG/wtUlPYo4IA0raU9V5xShZiYs/SngXm317avk7O/J4W1+QsTMZrwLc7AYg
YLaaEoxwXq+NUgvXjCwgNkh0oCQpgg8SzACakkPybahaZy+O/XGUfJ010XMCF8X+WYr+m/oOtkhP
QZVfx2TqwIZYZFBuh9m84g3MRz5WdaoQRWWQKFrQX1PRS/dwQvBJw2v0C/mc+R0F37RxbZEnOTpo
wbCzv295K3C+mVVzYkkpF4eL15vMVlNjZNgAfRQsyPswLdPj2AzBRySyhnssyeczEC880jMca+rc
ll0kwTUvHFr7ISutaOdg/9nT6zcGoIdfRFFMNF79HEMGDRV3A1xu9CIKtzfzoPGSVNOvYz7ajdtH
RhH7eGvm01Eay6r0bYHArBsrWmZ7wJr03LWDxrQ9oOIYm4dKF8XPSdK0ltcNCXZ3Vj6DvYojmw6/
6BpV3nmE5VSun4A7mRyEkABsdDkAf3WTotqOytgx86tD7XfQaSIdewSsYBzbzYMaIB7lZOgQTtVY
IPHb7Eklb5wvA/9W7B8WgOxNRYLHszMlkVpc7aGRnkZ56I6KkRmnppwcj57QnproRnLLYdYQ96Qw
oZO+jpAcLqkIQ/yD6sSRLxM2kF5taF904ZS1Z0zzjAtXVQLwQAtgeKxrI/8My07861sHocspWzSg
EFi5uVfLwsz+eCZdMCr+Wjd6/oy6grmMXY1zUzX5kzY3oMDkOVvwWMbl7VvvJmFhPrUQ0CF8LxYE
6+EKD2biRCPMiyPBNCrBjT0xOxoeGD2IY67ioEvzdI/a/yd6vNpp6LEvAFouKAui6xqhLmxnthM5
cS6OjqrlvaaaUKDaMdXTO90QzmfUzG00xLI+ds3Grp+HvpJNN8/7JPJTVOOe6OXJ0jlwJiaHc5CG
Hwo276NsIrs76+18R/ag7tUfN/uTH43mBVredHbRdFvC9V/Hg0a1EFkp2Zehjr4k+BeedCtMjy1K
El7X6vVO1rqxHHmxCZ0Z8PstYwzPyTZY/HgviIGK94HVth4TYuzlp1D6YdfNx3/dCFCdASfQVFt0
YdcbwbZCedCxF76UWqEx0EqD/l4b1K9SFujPOZqoZ5Cg3c6VepMNYfiCrTGWwnRudXqWr1+pyKt6
oDZyLmC5pout17anT4hXjiPamW8/301KwlK06eBwMkxkvrMKbkNfijBoBVvORCbStxEvDM86GJBf
b69z+9mgKkBCW6hGvNC14OBgcJroVVmXesxsP9Ez6WL1oKeCOY6PXVUrO9vkJmgjf8ZnQ6+LmTLt
1NWu7NTRrnO1tS9GHzbvnLTszjWAinNoVOVVEc7gSlZZPtoCKf1Jy/fa57fxAxUYih2kDulr34Bb
aj1z5LlTrEuuycETwiHZN8aWPasahfGCbiaXsmPVof/2W77dOCyL2huXBQnSTbLeNx2mBHAsLpEl
zacUfLGHeq1zRKo+2dk4Gx8U+i9JGM0jRh/rjRPmIaKW2iBx7OVPALTVyxjL1hG398IfKpF9fvvJ
NpZbvGVQgwIuzslfpRGIYeblIrt/ScxmzF3IhO230U7jR1Hm+DyM0z/joUBHwMvkIzLWXya6r8/g
1ELPpBPgXOyxsD9IdSW7CZKiX4GdM91Rmt9vP9/Ghln0TJfSn7DGvnm9XI+dJLWq4lyCpaIbYXI/
TmmvPGmSVbuNo/SXWdb649uL3mTSyzMig8GkZ9ECWKeK0FCAp8yNc+ly3QlPIUZ6levkC+xjBmWU
XtAIlV6MrFC+l3nT7Rlh38YelgeesYgGLmFo9U2R+u1H0ySUNzz0cbK19BzwkDtdq61V+NdR/+Ue
5zAuO+uv+8lONK0POtu51E2tf6mRqL2WcfjPfUeDzcLAxwDUgnLEup2ah60IHQlqthUXtOGlVj30
VbqXTW+c71errN6Y3eh6SJ8fzb7JaQ+1U4GcDDTZpeuwd61vvDZg2OxJ7gS+zjpghyXbXg8RbLa6
ufaVflIvWm8HOwFrcxU+DWBXlf73mvslosoZJTJ65rP5fFFEClY+nP/ZFpOPw7TKYo4DsYIL4fUW
UEJFyesGLVEtKT7PXZCd8kaJvdoyx52slQqUf+t1DkeevmAykFYkLq4hA2pej6qIceRuR9t6sso6
/DqgjvKkzHKUuL2WImAVF7Eu3LHM0fADF6Jmn4vBQLAhGHoTJGQUAZvWx/iMXAyGHjpNyadIypLf
qRrCAeFIg6ZemGTpQ2wiTudHSS//lMvI7F2oGup7q7MAiRa09TAuTQb9IbLzbHJznf6zm5LS4hEu
YR9jAWqOPaeLB/WYKV2tfiQpz2XXQOFpOKBub5FoZrmc+GWNCaWHrzCzrskqzWdzTguZmkeysoM0
6txsTq/Yv3Q7lSvYCyH3TdoI/dmeemqjNpyd2Y3Gep4eSXKNO6NtECQdhC1/L4WT/I4izXoHgTwM
/FHCzsA1Mdb5D15o8T7LUDQ8FUT/JxS4gtIfTQv8pdxLqeYNmAp9SaSifGmHPne80TBy28+GKhgx
WLWij6kNs8bvoN8dtMAe+3PQC/OhHiTRXcs+bjJfagPta9LBwaBVry2YnSiVDmOvidA1kfmUjqkS
1/e5GNvYG1MpfYnRQ4vPBapywrVapXGO2K5HhWc7Ug1+NEZKBP6LQM2uV436Cfs8pfYD0amVp2d5
rV/mFskw1MKSLyW2AzUGnxEUFyme+9o12s42XTONBsmHUWb1XlLyn2tLRvWEJraU+nUAFd03Sdtk
PpIp0YHouIAfpwYMFLOiSbuzcks0D5KaT+27NtTk/4pyVjQvrdH0cIe6nutnNUjTU2KWmLeE9Kwk
F6xL87PiOw/eOKdB4tVtAWdEt0X5brbEaLlG4tTNWVLV+jc6F1l0aViST6FCpnGN2E6cZzOpVPlp
GExaMxQm7T2xFoEOkHAVaCwrs77jvROlkKSGPHkfwCstd5RQtkIKhTKTY2AtzPBWF7cZ14oMuSy+
Tl043ilaGxwMs2h2CsStSGxzrVDzkGjd4PQnorDABAcNnX6Mfdg9M3PoPvGbYNxzZNpaivqXxsMi
iMe493X0wgESmdY4Qzp/ljCbovIAJBGnJ6qgdkcRYGMpUiyo8nRqNvr0stqWo5HU0iVIOs1L6iY/
VrUZ3mvd4OwhZzYyOngHWCtwt2AMuw6UnWFiugekGQMRvT+Yk5wejNLIvkt5mN2PmEY2Oxnrxsbg
KiPjQJ1/mbCsUqwM4qtaDkVwma1W+Dl2Hn7NMdvrv20us8w4FruDW6GzDqxwhrcu+QaZlJ/VveM5
DVb3NkIqrjmq+k9jaNKzOeWan5theTfU0w/wfZkfzmZxHiu197qmHM5v53obCSZdWNT8yJ0Zqa/T
ICYk+P3MoX1pzQqfh9CJwKnX8qGz7PJFn0zjRD62hxTZ2E8sCsJ58Ri+5XkGBKQ5A1Z86emZ+gE6
K8dhDhly95K1c+xvtxMt2aWtz5W8KL2v7vhptpFgNCr1ooRh1rtRKIL4cyNDBB6LqI2/l2Owp59x
+3RsJ2bMdL4ZHtKpen0wwwJmqWgH5RKL0fYbREYPgQp6OynqwX/7691uqgW6tDCrebpbEanABuip
YzxwoVoxvg1h0H0mVd5bBRD4OnvhUShA+H95lTeYiwqF7cmumcMk+mDXB0y8zaMqh4HpdREyGu4k
Kut3WnQKt2LWJbYr67llH7UyqBIPgwXrk8oILPRpmMWBL8YQHiZiloK7qbRKN9XUtvajHmd5zIFL
9SmGki6wui7JilBs1tOj1I7Gs9PgAX3Kiql7yYA5/6ckaf7ZcKZQPTl0tJ2LHGLwcK8RGHUvZ4DL
JeQI9ZfZNUZ7xNRk/Goh1zidK3SarENA9+xbgR9TDNc3a+djp2XZcVbGgQlaUxrWZWFaV0fFSSbb
NwfkWe6kvuV6D5E/0n1Dz2LHk6WxRzoEY57gEJUCeK1CRvWSQ7QtMS7J68RVAdwbfmxLneo2utN8
aFtIwlzPNhAA5BYtxSuDnoIcpX7NQpB9aCKXVKQMXMkxJ9XVszBVvom8NEuA420GuSPVkh9G3MSB
x82Z/gyZIOnHInacr1Jlw/twwiK7axUnaE4N2UHpZbrZRscejvqPNFeC7NgbonuvpFWfYEURl8It
4Mllbqn12v04z+N8p1VOFD44qWQPXgAG6qsxxia5X2ShCJ476XwXydOY+TYCO503yA128noflL86
LIJxWCwRbfSVOEgluM1adW87WTp4SP5MupuIUPtvzvL8Je067Q67m3I8qFkoWteykrA+J2krn/FB
lTu3d3JwE2Mh/VJNxChtpTFeptGRzumgZj/6pq2/NgWGGfAF3qNmVPZBrJ+zQHM+TKk2JYc2JKc7
LDEXtq+ZJ4UbzcnwHx+9fki0flae8V0wzYOtDn32DkMyfGUHCJmNX6vS9HGIBQydPBuGk5RMsXbQ
g7xDy6CKnSeEt6QazvYYM3cw5+6Q22oSXYpeC0oPh8/qJcsgErt63BjdsXVmOT1bZqD/V4rKqX0q
LQkkWNTqqZ/1M7w3kRrBsZbDqvDUTu9jv2j7kC0gS6KZ3FER7fsA6vtix15q9b0ckmy7XdEalj/K
gZa6OEBC1Baz1J3NIZudM+18pDQFnrxPtRTpnAZzfD+XgfPQlrr8YYqYB56rsMtiNx/M7BNzq2zi
a+phc6g72w5PraW1L1BBIENVMCyH76E6j4qfO7VCtp5ORn2KYsD0edw2qTt3dRl5kWJXo29XQ34W
sVI1PqFefd8pkTE/OpJovzWl6fywsIiQ7sQ8yN1dFIWk5FIYl3djZEb2IeySEYiM0DLFhUDQPTWp
lkGvhHotnSYJjTNYiYHzCR88MX5A4ItXqSbscM4nV8lTSaLSfUCeNW7fzWrRhl6fUQ9e+SoqMPS5
+xKgHWec9GKuPlZlU8874fnm8iFsMhzncIPDZ5C9StFMZLv7YhHZQhsL2kMoJ8PBNuhsxnWhuw6J
8U4uc3P1LO0aeaFSMpeit7HKZUY5wha8g04cJpDWO0nW7hDJnL0Q3uBO/2Tj2ei10waAZoBV7RpH
YQ2BBL8MM7I8rPNznRbpocm67lSXcuVB9d+dgtxU0Muz0dkngyfZBfz3+lplVmmYXTymV72Ls8mv
0eGTsBXWsne5lMzNf6qSEjUjTR0ZcqTR9FwILHqGaFIUd5oShCSMQljn3losdf/xGuanQVnkul/c
XGDdvP5pgR7lQ6Tj+ypldovrkBK8a4O+f/+/rALelA9MG3utjuFozSyZqU0LoVcrX0IT+ZFYNvx6
e5WtLfQHt0KTHD7suvUy9LXRVwW6PrpRzvdBPf3KrAnX5lj7Z7fc5UngYTE+tWgyrmcoejLOLTKF
KXLNUL2GgjoaxoHkYoS9N7y8afsvS/EwuIyBG7uZGnZM3mUkYQEjlGi0hX1jfXPgBR0zlPa+lKVp
fuKRh0sVh1CkJMACO1noLVx4+QHASmgCMXbAx/P1DhkGyyjLKsCQtbNqccqL2HRcrZad6mBVQRG4
Gt1U612D5dp/dlcpqd859ITw9/s/zs5r120kbddXRIA5nJKUtCR7Oaf2CWFPd7OYc7z6/ylvYMOL
IkS4ZwaDwXS3S1Ws8IU3RBBJ88yFe90L2/FjTbH+mH3Hj6MCRleVjXWvhI8kiWd0ls3JilPtVq+2
eaFsolwqXP4OTspduiGHkoNIZWlgWJt1QH9joajAh8B+EwZWoeVv7NLO/GmiUeeLiFpN1a1HjbO9
zw+sh/6grGrfccB6FMORXEY6G7Nk6wQZlhtiauyLQQR46amdfkb3dg2ySVw0ceTdcn9RIhCAzQCp
H2Cwu8vBMSaMv2rg2I1iVZ8xTlL8GDk7PyqMLPOx0FAPsvW9NQZzBgKfJiF5rVyN3yrbmJepkdKD
Qp0tK/oyilgJsM2I/KyfiuehTlcZadcHFc77a4NZ/v9BKXO+HBQKJW2nNMHtHbnii4VG8KupkXy/
5lAd+S7pYQ/hbYzJqKza3r2qILWawYV/dRtnnfCbmsVbNcraA4S/3IkvCra/RpHWhMigo3YmP+tv
q2iIATZbxIQoY+ofcLsszt1olQEKJ6bmV3NhX1IxfVO0zjs9voH35kdiT3BI+/We7VULrnkcGLMb
5uXZmxSJ++9OYv2nUah/81k4+bzkL+dXjJkSObwnt5HyPWyrduDG9/Knx3PZ24sSgwzAB9DuXdXN
LbCPgZcOTLBJghmRhJOuDeYpT1oUfdbOPo3VH7Nu+XAScQY/SUrHbinpTgWiCOQj5Lxims59gndb
3bUipKvRXp3VScLRTJeD7b/3zbi4aGZTKeU929xrZV39ckpBSmDuoi+DnpnvKQkf6eLuHTJEQOGo
817RFNx8s1EzkrVFDPeWz00RAKHSAoR7mg+DWR2J0O5tf0JXIJ5STZCr+uX2oJ5A9xxvjxuJ9Zj4
01DjwNdmEB6QZor8HrNKENFVfs6MJP72HzbNL6ALURVv9mbsKqH51w0Ar3F0dYKu7h268uZ8yp2e
qHZOMiUgFVa/Px51Z3FhPIBrAmRBl2YbOxeFQKVr4p5W6sR9nSuILzSOkn5HlP8IBrA3FMgKPiAe
mXzMTSiLYEhPKMrirquZBeOC/YtmFGU44JN2EKbvbEx2JMKGrnzc74Aqhht15pzjvKaX2tuECuOr
Frmmg+Lm7nwkclaKNdL833wwq4dqzElExagTEbbIUezj2SE+9cN8dC3vDYUBMpuSpirCiZuhogxD
ogzy2i3q9fR5mXPrfVSs0+z32TwlB+nUzuJxl3BDgvGBArCF+KFDYHjxhJK5bmdqMBkiORtae0QO
3JkSZ1nqTnKq8RXY3B2Lna0VfdT0VuXK96wri3BWCv2Kxvh0kEHsxEHIQIGz4RsBkb27GhuQlM2y
xLcm08efMdo/Ky9Zq9HX18Hr+miGec37unSc/xlLqbavEMhNj4DBe4sKM4VugvQ2vhO30EajgTpd
xljM2wu4TRGfTaU64j3ujAIVRQKLCG21u0y4X6uZ3JzuSIpCwStvmoUVOGntHsU9u+NQEkU3yJNO
FJuPByJj7m207WBLJxpuzXn8NocRePC87NzGAB7xvKIrYssu1svbWHMzW58KRbnqQ1EG9Gg9XOO1
lfpXo79x61QPBI4F72KQYwdh0M7m5J63fzFugGJs00HdEuqYIJ19S+IIqTpLiU7o/rvhEK/iIG7d
WUrKy7w3iI9gHLyFncTGOOmkBTgyI1zwrp0c7QfkuPRglJ2IhHiEn8hQv8jZL5dyTZpkUIYovlUu
dqUnrYn1f6zM9lD7mfPWPUNYqedrFVOd+fNb8v+xsegMApHaYs/ycmwrVwel0U9U/jyRtWGyrHU4
l4q4/vFbxi3sEraiKwt+aBMoTFqX5ODYMCmoE9x0qXiUYBTj5Ix7lv4fpkWqIduQwL7uegPZmCGk
HzkxaobxgG9PLuynBQ4qbeWknI5Eoff2I20qCkBgkCG9y030W1g+tZbXKkmX3LKGtNFBnymcmsgK
3UQ5ao3t7UdZRgOr51AL2UZbrq71bq6vVO/KKH6mVLpcFGP69/GXuodV23SK6UlDSZJaStsHrfJa
a7KpB9yo59Sn1Mja9yhGFUHZTsZpTvsmJE7H5DZV7FOUTBbKnMsfA2H4DVIYAbk85Hf0bQtUJM6Q
qhE1n0ktmmtuNNrFmNDqb+JuOdgte4vK6ZZShxoPwN3OVBJPTUvEVLNc9E/unC6XOXOTA1bp7qrC
QwY9RvcP9ZZNOkpqQM8YBsFNrTU9FJXunKu1WH0HGnwwqEMeTgiKBRUiNH67DMX7JjL/mLwkVxU2
CGB7ZNvuoJDJsox5rNYJVNqqOieUbAFcVpMP6CU/WNW9U0HlkbsTPjzA6815F5is10PXxjeAq5jR
DYvjt/Pcfl+6w2bg7lCwvIHMUbW7y4sbxxCmBcf8Buk+PemoooXGnMCDTow/hq2irgLIksNBuRNu
yiZMluJihpdrBRz7of0IcMb5gjAJYgmeLeyD0Eiu0Cbdl6kww4E6QEdj88IqnG7HLJF0UfJ+PKuq
OvirpGDrbapc1LJ2fz4+9zvLyHgM9wuDdnfsVWVIY11FM2eo10IgPqz3rw0Kfe+Aa0UHu2PnyUM8
Rg4lgeN3BN3RrCc4C5LyCLAgDS1ivRCFBK9EOCEr+D/MLL0gcOt8fDzHnagFfgovArUMiKvbir1q
VUaNeCxpjl6tp1avE+43NX9rjJ2Kxm3a0WQb1LdlXkx/HrXQekG+EsKKzBM252EuCoVTYiGB0E9z
aMVChFhv5qe5OLSf3rtq2KO4bEpxRupSm6umsxeUvHJM6+lWm43vJPZ8qnVtPqelbcPeN/TmPNiV
c9MVgFdhNTeD/arxjOHrH6+2DA1pktACun+uasVK4lxXMM+IhvZZKFkX0C2gb51F/2Q6ZtEqvkjh
PMMyezzwzpXOwDbEGKl7freVq2w1ltqmHicK3XuGKm4+93WanB6PsnNgSGO50dF44ulw5Sb/7eEv
47zhjaLfpFNi+aSpw3TW40VqaRxqyO5O6LehNncBVrSjM9NKvfVzbYeetuahow5HPYmd0yGNr00y
Mqmw+otT+NuEQLiKupNl2myaih/QduPPOvSdS03McTXTMklhEFolPWh7KD8/Xsyd2+7F2JvzoRvL
2KoUTW9mVpQnZLkcCkmk7twemp+wtgdb5J5LL/n6FP4p+8vQflttrJq0WzoFUSmAn7EAEBHn17TP
3K+0RfCYnAbkrPwOkFSoLlHMzL3ceG3F1fqMamBxBGjZ20tSsoBmIhLPCKW83EupufL1MXy88fSj
1e/QIX62wWXUvmlMw6c/X2so7nDcDQuY1a/747fvTItpNjwgGugK1d9LqmVnkaJbDckxCXNt/mNs
FSuNUol8V7jq7yqRHgpGoFMXajGJV9+EaXZB6phKKGLbOuhq7e1gMlKiRhJs5869XRdNNAkDs2aj
BSkCXDQS7yelQjNdDMB3Jiem6domdjSHYLOyP9/DRB+ynce1cB/zUD5fZgs5wZuarDawo+YfdUHq
xtLr4X3qpPnBFt7ZMwiyYBbEG8odtH1StMlwlxzk8W1sx/4dqlHmv008NX/VozIc3ai7Y0lmKa1K
+x6U51r0rwcbIZ3esebXZWRbVw3w3nWwoFc+3p17Q8H1ICC3KD/dvZRlRLvO0LhWRT+KN6syrWc7
LsZPqdLol8dD7VyrxLjc3PBY6MVuw7msnGy1iqgS5rOVvpsBBj8BXvkP34mwlJXTYU7tfKeI8nHj
qrJL3oi/lq5vgh7w0fM4dMbBhPSdAwAkgeeWdAZKzPZoK0jIpREqD7fJXR0F8HLttKdq4io5z8CF
ksBoi3QI4JqBGdNLx/4ZlSYCv2lrqN/7Fd9vUpNqAeFqadmnrpj5R0Q/2ZijKGOHjm8e8797a7Gg
c04Ewk5RuIhaDWiHnWZ9ScfAE56ShHhZseHjqjD+wS59Ss+qFWFAkPQuKKTHX3Fnw9Cyl7E/JCjM
ozd3J8i0wZsLiAzIqDYnGF3LyUNw8q3opnePR9pbXexIAVCipEEiJf/6bxen4mZR16IWj/6KjrIx
CNaLO9vZBY+GCgfAogiMIZ5xesRg8fHIO88jwGo+KhV6yYHczHFw+jYq9ArHujEtTinr4TdZNl3S
Pu79olTHg5nunAwwwQCETF6k++4R6JwF0yZQ44NtxqeqitZvIOu9g3B878v94ovL1vBOg0MXYgWP
mdyiFX5eOurTB2VCmAzh3aPIf28oMDH4F4G5Jc/ffjrqhFYcqxQUWrsKmyRuz3BEcj+DrH/wrWTc
t0ncIOHKDiY8Kx5zuba/75IF0r2qR7izmKkyXezeaL7pCiJWgVdFybmY0+I9NNM6/g/nQKKf0AMj
gLtD4zST5qxx6jKuAOQIX2r+q4jmN0PkNB8e78bdxeTVQcGPCOKujkBXAAixZSU3R4lTlOZiM0Bt
1AwWrToKsvc2vtyC1LKpWNw9cv30q7G+JGj/LEVgw5X9kUe5GlhevLx2Ggooj6f2yxRp+/WwTiAw
gk/NdtmcNLzEbHCqKAA5k7C+0XTQvzaggN+rIHS/WnUhPs15gzlP4rRiRIk90v+tQHt9dCHWqIE6
OMoSEO/gAOuMTXlFi2BYfLfDjXHCXrc/D6kz/hitzq0B1DQzNKfZaoqw1SvrlbmW5pFN406HhdoB
E0HPiP/alid5K0YTxZj0Vg7uSENdKf6uyXt/Vk7ajoG5mi71n1afwxX482djcrv14FHau0uQAZJl
J8kc3Z6HznJnp20cmP2rVX01bHrEVRbPB23FvVNH/xLUFF9OKkC/PHWQhPoRl0Hp8buUgC6T7jIn
xWfPm5sngM9t4GHG/fR4s+ydA4quEllPB+su0V7JPLvIpPU3OspPKEfac52l4knP++GgYLJ3DFzJ
JyYEo/i0zQ/WmAIFARd4vlVVvruKqf0wujyL0TVbq9dTVx5pje09dR4Awl/QARiCm+UUHnYotiX9
4EVbv+VILIGX4DVVK67pq/XUfzE6ZTnlOXv38aLef0iDYhZES0gSOzDOzoDaU1Xc1L035Sf8vScA
4O58cjEuDuYBt9SmsMTB7rmfLoOSx0OHRMntrtW+NkQwaYojrBL15ZOumD8nOzODfI11jI5y620X
VVaoY6x6UBfaweExMidTilXTs9ieDnexjDaZcGwxqzr7BpQnt/wpWVdYiNgKnKAkw3dO2wzxgd5T
Ju4dy/sSdV31psHTSfc7Qlg96MZcHF299wI99L2gVkjuiLEDIkX/XNdJCslnrNT5AkqwpIuOjHoU
WtpY/oPBWGXBlFDSt93Slz+LeCUgMnvd+CsD/rH6dA6L/OCRu79M+E3o20D2JaukovbymGvVXCn5
QDCtFkP/ZIzIm9otnMTHe/D+YFNWADuAPMGeOKNTpoCqKsItLyqs26hkrgjqPFF0fzC94si0Z2/z
kcKBIaYYIVW3Xs5p0IrEHRSu6Ewkyqsit1TfU/P5RDKpXgrVWM5DXJmvTOR9DkKV3XmSTIE0Qrj0
zpsICg3Mx4FGP2hHqA0jGKi24RlTNDSXHi/p3iSlnjbsIPDId/WWxujSAiYlsV4siquAzJIEZeQp
ZujmSokb3BK5X5qoq1+lK5KtB9vm/v6k9UK4gqqfRHpu4+c4je3U5AveGmPpgiVPsvdO7Ah/rab0
YuqZOHjznL1bjK4q1W3EUaQyz8tvCph2SZpKOqCPRvqc6P1UwQGuyx7SSIv8O7aMRcvHhSUSrJUL
OTWnY/nDybzOPTnuMFdX6CZL+wFxN9gvq+HCnhVTMr0ZjbV3v47JpPQnamZp8bw6esWtOIDfDMnv
LOWptbM5uuBrnWR+Fy2aFwoT+7vz3HidcSpGUPlIuUZl51OqGAwIEmPzPNlj2mPFFdmofula9KrI
RmgTlbvaX+lGu7GviqaU1J/KfI7qQagBSP6xhtTfVx9yJ0FVdJoVozqhv1Qkp3aF6+E7eUvNLOZd
xNHCzEcJbzXQGRtp/ClMOqkgEAGHw9FsWIwZ3SZ7/GnBE9DDyZodOpztmHPIE3dxgrJbsZLVrb6F
Gdgp5RSuatfDMJnHzPbr1Rr1MO8i2z3rQyI0P6/VYub8CrO+KWkxD+cBMfzmiTjO+FyUtTo8F1BX
6rCZR/WdSoc/8YfIHkW49pNmfHh8BPZOm1TtlFpnNHG3e2JA24GXi3b7ksZGSFkHV0LCw0sz9f3B
I7o7lLQt4T5B8mi733ua1U1i57TbvbU4c4G1AXor0asOZ/rHk9o7WXIgHAFpb97FXRbk9bVIRvqa
iDwY/tDa6QeSEPvSz27/02rUI6ja3gtAqZjWmJQDvgu6emcdwQw10KYLp7R8JYobHB0VjtLBjbU3
MxiM1IglI/ROL0q1B5s2Aq7tq5q2wUQ7Nhy0pvepyI0E98uRkNjeN6M1BWCT+i/P7ubKmCMTHXEX
Fx1DXesLdkpNWGVj92Ggt3l6/NF2h0IMi6wKy4g7EZCYh2ZUS5HebHUYX8XIg9+02uhOy2Kb/2En
EiAT/xswa7WtmUK5gF/P05lVLEvzpHSZ6TexaE/ChH/057OSRSBak7bMvjdK0b1tz4aoEVJeihkZ
PmWa0ydkxKKI/Auh88eD7VzwEHhRn6M88kuQanPBm9qC4IT0FDTcLDBWzx18uCKDj0JDfekRkH5D
in+Ei7jP5minAbc1YCyQ0Bnyr/9WW6jzCsVRlVChmM3kJx2b5pSZWuP6rTVjrU1hP6JVYYMnhs3q
2Z9jZfAO48J77i1wJf5xBIQp6CPd+PJHOGrLlczTcgNK7VCtKRvljeJNqJDWoslfo8PiFh9i+MEt
uvfAJgMcburPhaoWPL0Jei0Hn2LnoAJXlP5JsvZJf/fl75m1Qh/tpEJAe64QwkN80W/TSvct0WYn
u4+OyFU7vSPpmABHnU1GWULdLIDXTICpHKIJoae63y/e/NQMq+untXDCzGqyJ9up6rMZr/EpW9eU
OuwQ3VYXt8THm3DnLtQJHMG5Ejbyn80P0UZLTQqXLC3N8+HJiazkvVeY0fnxKLvzpcJKX4WOMkKD
m4PV0glEFBnvkNSVUAS38M54OpuYn6OQ0o1ueXW8GjEAUoSgtZAWiTswLia154OwaufeAptExYnm
AD9lO1+k7KrKQfjhNi9zHKL0x2ViZWuAwfZRIWhvU0HOR3KOmj0B3HZT1Ria6TVLm2Hv6hcAI4KF
7/4mJcj4246d8eAd3blPcCyyZD/S09FO2pzsQqvWXmmS9JZXg64Epve6QH469yM1Nv4eS7X7UIxu
fbB/dr8skBX2EF0Q2fN9eXSKLomSAsD8zYwaY/TVqnMtWLt6+zcxYv0WLkT6uUoG68kSy+sJZXxS
vVK/dqI7kvnfnb8UIoKWxA1ub9dbt5nvWvNprU6BJyzy8RXdreGdPSTDhWS8/ULVYT56nnaGRfIB
NixvLuyMbXks7nsqdFRUr1o5Y0hYra7QAgMV03MLFaAMYOUjH9TVLvKNj0/VzsjIqNEtlLUx/qwN
SqN24s4e+8y7mlbvnPW6LK/e5MwXxYRunKL1g7lMeaTLtXNhAJmVtiuSc3hXDTRQaHFEyaAJPg5n
MDL5yR6pcTye2s4xxe2LlgzVCWqPW14o1CeXPiHK0SnQ1VBp0jhsTePcQQc/2MA788GljzI0Fy7F
sW3MFK+rAKrIrV+DuvBno9Xf9XGqH4yyg6hBEpjZSDAiA20zdCxYrR5TFfvaYFY2BVPfKB9Sze0I
C6c4Ufx1qG3zWYWTJfH4dYPwrOiq+HVDYSf989iNT8c17CF8wabd7Bu0ZSMnUvv4FpEsnisUGD5P
mWP5wlmPpAV35i35Q6CSeeVktCOT+t/CDUL7HMwbKG+7xFy19KJ14THXtJ+dXqxNkGpe05/qeo0+
JlLnIijTbnzr9a3x9+MNtf9DCIl5deEt3vU13WYU48AzdENvIsJMqkoCXG+NxKdQFsG57rRzJ+ol
0BN9CYtk1n09Mu1/Hv+K+23NaqA68otjfm+ytjSVVWP9q1wHtUbfmd+DUJRrIzpsFQcnaHfCbDRu
CMIMtpz+cuXrqjDFGFvKNZNGZYERN6nhJ5WBK2wOeuIJiQS9v1RCVVLfiUZLnAsrbm9oIMPEfjzt
nUcCsCPzpTAK7QRN1Je/heG8rLesmN5ZJ4BtV7X9MUXn7U0R1+P/UsVIcHBazQ9L3i7XoULm+oQ5
qGn45SrQ6Hr8a+4j4Jc/Zrswmsp7vMIY0Uu1/CAsB0WvSVuc101aT0G+aC4STZCTPTd+V6ML9udX
AfEewFZOIPqJyEG9XIymq41hRPnuhqI3ahImacwvZPRPzBuIb/Os9t4sYxWd0fKTAneKd2MtlPLg
Fri/+CTUnJAPwrojvdZe/ozUZDPG9hDfMsvpnwrLXpRgzZNuOBjnPgziz6ZWIXGLtFa2377qHU8o
kwabxJyhCTspuEyrGs6rZQsfUTTl/ePPu3fGpJ8IpWXP5FXehEECUaHV9GZut6JWwm6u50u7joOP
bIp3wLvYG0oyvgHPMD3EYV8uYemOcelO3CmppSR+TFMvjN0Vgb4SoZGDFGV3LDCZIAWlf8svMcbf
LlIntcqiLLP41qeig4oGKNLq1BlsmXXUbtsdStIDXNJumihy5/w2VJkBIJiFjd5tror3COOYnwt7
Gt9g9uV9e/yx9jahxEM7Eq9jU45/OVQXKZjb2ynsLXOcTmYdKWcny4uD9MPdG0ayY4CSEkxQ+Hk5
jFHEVhVNS3T1kmFOzk5iqv3zgoxG/K63tOFr0ma5FhTOSvd5rJv+RwJzJ70gPlVmgai8ygp4IJYE
DJ+XfiqWuUvP8Uit2G/6Rf17bnk6/Tqaqw6hozbJ8H3pc/PSElms4bguVC47Ycf/Jmba1j5vES40
wkjmNKja3BnDvlNgz6+OlYhAp6L0b4k0CPmPZc3vsCeaI58yWD6/baKK7ayih9kHk6eXJMZp6zhP
sas2ZjAKYZc8qblxhj1bNIgBDnYbjv08eycKG9mIFwNYomdVX93PqZbNxWtsfHuEqlHEPC1mis1i
h0fWU+6UBfgQpxbp05rZxnc7xwzAj8ohjk7ZPBbrxcknpTtpfYViZ63WufuacH95imO0On2pY/PG
UCow0cukDF9aNy+iqzDa9m9yeE+cFLXOnvWmb1CMmgpEgCDa98OpB0OOhlWUoA7ZIsJS+Z3axR/J
CmGSihjPWb/TsXrzy1JbEMLqWoqDiWJWP6j9J+nBQ7FzDkADyaapqlkkVZvYJUpoB+to+VxTc8pf
8a7j5pvHQD5Wqs3i4HzfdzdI+KUxDE81BFpP/pjfDl3UtpURl21y8+w4OdFPmH30wtewWNX+hCZK
WBY56ouOOBr4PosAOUOZRRYMLQiUm3dg0KvBaB1X3Ew1y76kOC98nbQpRYddd/srrsK8xX0d2wfz
3XmFcWOzqERJPXaoOi/n6xoiGprMpJQtqu6ty6I8oTr/djLd9VXqmf+jralc2nmkEF8NzcHFvdMz
pWZJDR1iELAClIxeju5Zq2YW/ZDckBEtPbTCxvqCLxPFt6GHg9i15ljd0NPUOx9qcfEdnNHwbjA8
kknkWjN/1lrjkohhenp8H+5sOcoxstHk8n7dAaidIi7WpFVBTVW4aPJ0kj+mwxzONMUOdvfed8fV
kEuXLIBnZbPhEqTk9DVtBZoCiQ2ldB2C3Cv+UY248tPB8070jI8683vT4wo2NRgpEt60eTBFuhT5
5EJURBNGP3OBaNcIgbXXqaIdCX7vDYUUBEkk2blU43n5hbMe+BkBFttao91q0fsJx1YbscQul8vj
j7YT4ZAP00mW0hPS+uXlUNHkuYBTTB6xdIkMv8q9+PU0VGNP2z3tLwnUMPXg9OwMSTtS9iOlLyVV
8ZdDxri04LjnxriM1eKEx4D1if5TfPYEAm+ZNSsHB2Zns8gmLx0aCFn39bsqNSYqGEhkJ57OEz3M
H8s2r76Dy7aDlWvSt6Zl+Q83E+BkVlaSpaCZbm6mHDi4Y88euWPSDEE76vZbZSlJnucuD9Bd7oO5
rv/YvJGvqNkU5FGjQCne3gxqI8fojjYx3WxViD7G1F2dIOJAOP/hE8pohBiVnBQY3MtPqMVdhWrd
qlwNTKl9ujYiMNLKDaUm3qVKcuX0eJfuxEBU/qH0SCQxxe7NeFEWFanTz8q1zdr6u+OWQ+Bm1tFG
kX/KS/CbZCLTXqBlSFVse+yUZFxTJ3OVa96V+mVahjKo1tINuqq1/vzY0QaFn4MSBFeJuznhy7x4
Q+4xlKnH1fOkQPgoDO9bmjbuCW/PIx26vSP323BbQmkKhtmmP0zuLrzEF8LSLotR9qElcv0EOu2o
J7G3koDReBwtOhzOVjGkN0S3ONHsXRdznXwkZqobSq9mMIxKf4DV3RtKso8hO0sd/G1xaqmhcWiI
eF67JZNzqeons55ZxQE2+eNd+Ktbt9kg7BAJQKOJfV+H6VrOVuYIPOFKvXyykRofznYUxZ/7EalD
kVV4HU9Z62UnbKzTv1tzaCd/ovQMUGlYOJGmsbjrU18aqHnnJM/2RzXx1v4TSsdmfzLxkVEDpOmj
JiyqVbXeYZqmX9wys76mZl9NgQU255XIS/ujU63WV5Rdid1te82NNxTlnOjMM1/9XedGgUDo6PbP
EblQ/NMl8Fx8eB84eyUzwLJg1jWRhA4YdtWflMj1/NoEIu8j89+7P7t17NUTLNb4e4JZyeLn1qSa
V7ct1SmIEnX8lunpNFyQWLO+UI/jkSJDQSXfEMjQmIoWZ/7odAvYg8VJ/y0ondMee/wxdmJOyhD8
W+avPCRyX/wWc662ndpJjQa20DP7VT5lUbhoKK3LLhjJB0mzAkjknxyK78HZ3dlxFF1hDkGwR8Rs
e010GgGUihMvfhhWdZ74O8JcdNR7Fmv+8HiSe4UwiZUgxEUVlPHk2/bbLPta6cGZGcpVwbzvaSG3
hSKmZAvxNTtQyRfF5/GaglbY5luzNH6gqta8f/wj7ueLmQv4dNoTJp2nbZOgwAlxsEogiUVfe4EN
jDeIWmf9ZPTZevBU39/zoMZlaEALm1R3u7RFYZZObNOPn+h+PRHdKk951gz/Pp7Q3igusn8uQ+xU
WawVDE9dEr5j6qi9rpbJvKLIqx9hvrT7WxfpKzTf6GfZEiC7CXT6uUHlDpwVaD13eK/RNfuRjfNq
Bwhf5mMAxJoSOsoY/Vuy2f4z7gLrZUmgxSarZv+AvJr8L51aD7CyKj4t2Ag8TWznz48X4xc0+OWl
RpmVlhO6oQS3d/VNyjW57paTuCH53d0qajWLrw6i+HdU3PiJtAJpVB1q4OuljEfy3mL9VKzZdKpT
xQmt0VHPozPYb0dhr9fHP21n49GtQZqDdg09DmvzSIphTWZ8YZCed7vxgsNg+2RF2NuUtpaHfz4U
rAEgvzr5MqpJL8+Zq7i0wXJkVXplUEM1H/BcKJvolBvZoYjRzvYDjg4Tg2cELOe211kSFoCIIx6N
IX3/GCmhFn5FmTG7RMYw/bBRjK0DBfhN7Hvt2H0E4zOOPpCm/odNWaN/3cdIX8xmN5pAwqj2hPPq
6T9rIF64L7uQZXwE1db5LGK1p7SnVE3mN6PRfcK9MfnqtsUkfINe9tOiz2kepnGkydJLNX/3LMC4
oWoNw7taYrFDw16Roe8UDX2zophRwNRiq7YgT6nGj54eDOXfvLJaf+QN+XeeKuH6PVYENg2JJW0C
He+QiGp0lXxsxOodgZR2doiEVJJhU42mJST/+m/Xo0LHK+sEuiqFm4yBPq/lSQe2/X42qiN8ktxs
m2MikQb4SNBxwBpksxkHL7eMyCP9W8v0uzYY4rIqVh+4hdGGutup7zzYECFu9KqflP1ysD/vcxj4
gBQcaPchxkMD8+VENWAV7pBTGG6NTA2L1utDaMhNEHsexsLwQoA1NkfSPHtTNojwpXsrslvbQxFP
TpEpSJ3fZjV1Ty39l2tvd7I9P0zRhzKKFpA3URFdRF1RV2iGFojw43O5d4dK0pKMk+k3UAN9OXGk
cqbFi/QIBe8+Y995eXGlDRR5/y54XWj/8yg0Df5I4+Pag5pMnjB34lFcaaMrp7Y09XdTlrpf9LW0
/jWnakLMyxkp3q+TcgTP2FsumhFA96kN7dRlGhOomtNG18Je3QZ4CKA5BLcTYsCa4pXt90miO3B3
1rl9qu1YqJ+1pDPdgyXbuV7AUrNTwQSBq1Y3IUOZqGRGWUt4YnhLMOl2/s4s+/qPKRkkSGxHGAOS
qbrNyPosczq055XrUifqFFqKJz7MMXp0QbVUrX5GK7z+9Hgv7DynbH4HchJkmvuqSJwTY2ZdH12N
DNfPsFVq+9IV4+KdACN5H12a+58fj7hzvYCAYf9LiBG0qM3m67QI6HkXR9eWC7EhqD71BvWCOc+K
g9rZr3rs5nohlkdRDBE92WzaPEBW1kRZsvTKdZpt5dkUXu74JKOrGiT1PP9kw62YIAC4AoFcl8Vy
zVIt+TlRuylDpazbH/gNGI0P2877J7JRgvRNxdaerWyy3uGoMk9+pzWpFqyaOiOpXChqd25HpbRu
i15TNXM6Kuj/aB16LoEeTzMxQFTHHs4Mc/thmBK8TPVljsD2ZXr92Uo6iqokSaLAfoZU8jSOzQgE
IRr6n7RbkErSZ8X8NGorzaW29sp3Cp3Sq0c9i4SlV0zvA1GJ+grzMk0LzdG0q2eu77l/T6cKlLU7
pMUaRloO7ns0m/W9ScitBG7pZdBwi1Jpn5KsRJPfLRtNhIremtir4ap48aCj5u8J/QH06NWCVkTr
erMV4Hfg9EEy6OqA+3U9vG3Uvi2onjo0T0Wufh7gknwckHVqfUUo43OSN3WM6AxXcrDOQDirwnM/
GgYJFcDt0XljAHj74mpd5QKcQT4yTCqnMc+Crik49zWd17Bc17nxi3ak2YW5ZdwGPesy+muMI5Pf
lJFwQ1fYLvdREeVDiIFPOoSwIdQcQZbVg2AyVzm8Ez1WVN/J6vIvmBL4MiHWnX55vNnvnxg8P6G4
uzDdEPnc5uxj21suvT/rqlJMPvWKnnzL0ZM/q8WIVvFszWesFo7irp0ERzqNsuvJ4+AUb98Y0ZPM
WFZrXxfUxVBJMhsTnSuzWix6kgD8fdto43/y1sDrjOqkyyfRRbvkryAsZd3BEtyf95c/Rl6tv4UT
yBDxcRQHdn9WxGGJHeGpshv9NKuHjno7q42jInRt6lq0mLdES8cuOFiTbl41bs4AeL96G6xKFLhX
rt555aA89wbqYo+/8c4EAc8SxHDJyIaJvGJ/myDMvD4ZitG4jlybl8hWmxBpA7gZ05Fm7M5IJOZA
BfgXs9wKiye9ja9CiunOAEA9bHor/dCrQn3VDJb49nhSd+/CL1U9gDqWhLHxPmwmNSlJPeqxd611
5cPKst60qfvkdQkagqsRHz0Ke8PpNNZ4EJjhXdtXK80KWFKKxSl+O6dV9GZAMKEFXhoZgVmsR/ab
dyspO2syMyHuBPa5lQ/H9URYkbqC0Yuc4nM09hH4KgWL07pclSP5ibsYRg5GwQ5JBF6ju0IrBoGx
lSMreLWyJImeSnBEVpCXenFqdLsbgnVp8NsbcRqJuSVF/rYb/o+z8+qNG0vT8F9p9D1nmcNiZy5I
VklUdpStG0KWbeZ8DtOv34ee2d1WVUG1Hgx6gIZaYjrhO+/3hrU+YxZ36gVT7/1SQVpsvAffc9Vp
RxBr6kQubevbZDGd8mKEUttR25f1dcsSeqay+OXt82r35bEpZwxSQThxHh3JTFbvCmKPF6WFaw+X
nTaUa2jQQ0MYjBZjhFRF/kmtZRYaOE/WRqiJMf4+1JMeCUciXk7dIvnUZukEv6EdigFpfSnOYV5H
pR23CQBDWxcaMFj/wfRV3JXtRyEItoPG+FEnD+CHMxq/7X+7XQXrQ6RiUD+pul/PJ09HrYZjNnmv
dTc/tdViw7Fa6PEnOCR9envunnqiTSYGpQ/44WgyNYY3xSv9jAi3k3lHTSyvszbTw7evcmoKYXTi
ISrabIYOpxDVXVVxWGFU51MRFOT6XICvtn7sgam+falTE4hDPbwQtDnspAd1nD0NJC7C0o8GrVYT
37FG40vLvv1Oyip+LGElpEQ3JT2lazzD4LNpmyxnTgCnJhBEPZzHNhk/D/36A2oEdBH6tbjRAj9w
iwMFNkAMNow5QG6tqBFhpOee+8SHBEpj1nIkMLcsidfXXIjLoDTX7YgjjRvWddVdGlhOR2+/3V+U
y4OJygmLOoXFiQXxsK1m9pqr5CrxeAkqsnYIm3WY+h31Rf6hwlBA7HIOsm6oDd0giMGysfAkP6zs
H3AwhUKzZlbTBXiZK9ZTT8jTg4yxNPehiCdJoGqrWO48bHHSu9hJmy+isYRyvUqMsYLFc5Lvo2lW
1NhKve6x2/WGQLWIOjNjhcAwSeIOwV2DZpRROzXxZ1E7+XdXFsUHUrANN8TZZ3EvdZPMo2Dqu/FJ
dRY4JrM5TS+TMJtzFP4Tg34zQIb6sRk6gBm8/iLqNLpOMRHC5rh9f6GpybCvR0PZN6Ko929/lqNi
BjyE1hy7PK6GbIwHl6rLJe1thRDuhVo7gAzi+YOZ5iHKl/XC0iuOTNiI7d6+6DFwuV0VxJJeJ/34
IxYGEG7RWtgmRlj0KHvO5TXHAfo3HxpN064ySskkqOnp3c5jZ92vQ1HdKgAa98Iu8sgePYQywtTt
Jw873vTMee7EdLB46/jVIOPn7g6WATYua81bsABdsZuXWLHWd0syd//Oe+c4gRBH50B8WDznxuCI
rHO9SGnwqMsxCGqCuEzN/sZB0CCjXBmaly4vMBR/+92fWOUoRbYNggPBJp5+PbZ6vezbPh/jCGIy
rR5PeOE6e3Gw2Hm9m/JGvRJz6e2ElszvCer9bRYsXx74geKSAW4ejTdyeZeCzBaP4tKSUSu8LFDy
srose9niZqWVN71Xyd0gJ33flpZ+pktx6ukh5NGP8SjJUH2+fvpFs/NS6zIqQNftP292DveW0ai8
ege3Pm2ow04rB58D5BTMjnqWHX1ifSdEk+1sM4XhDraZ/5cqnudd3Lgu48jc1LvY5Q31Q+6WuRYK
ueoP86orNSfEvvuRr1PKwCucr52VmtcwOiYN0+TVmC8FjcynODYpUmozSx5m1NHtmWFyagny0Jxv
uv5fpkCvb3TpCwKuR0rXOuu7p1nPHcgC+cI5fDKS6cwmf2LKwXVD3E7XcTvDHkw5J5lnpU84Buiw
WumUCuunPavy69sj/8S75/wEQQCaLmDN4buvU61UFaVhAypW+xLnLe1TugixV2NTUQPR/bbGDfUy
/bCN0YHj7lH1Xxiib6c+9aKpqOOLASPxfOdUsq/OnAyP7S64EBxTQ4e8RWviV+ToXwbVqmPFEecU
LrUmyGMqtcV2wSCk8UQ6htJ88OJl/DboJua4bATiWS8zk2wwzwR7duqsvcqdNht/fwC9uin99QAi
o9QhtbNzCf7slz1e8fE7nYjlXafG65nC7RiJ2F4AbAV2MthQFBevr9UZtdM3repGsxnLiymF95Sh
QPadxmsvK1abAKGF4TNlMlJWZ0AqWZfFmUF8YsawsJmg/Bsqwsb2+ibavFsLpR2o8Nlub01bQY/W
N/EVrr3ncnlOXWpTm9GhxIf4qMyv5dovVsXIakyR/BzEKHdElYvPjt18fHvOnJiZDFy4+ptKnhX7
oDzQLJC0DO5cNFiDuavipHm/DqlzxkvmxMzkGhshEu7yMTy8ujQurZ6qFyuq9bOaivxyIi3kIeNV
J0HhSfvb2491YhvYJEibmQFbIZD0628l8ko4iVq7UTNAU/adqcueytnJ5y+pVkG5MhsvfV77Ur6f
S3TIwYiH6rkJcmrUbspfsuJwO8CX7+AmMG12hq6enAjnz+mJ3lx80fctkXTuaNS5H3MESH3EfPVK
Q6Lvr+EIrFeLS4jWmflzxMfgoLFBS+zHW5fqcPld1hjvK6lakZcCfybSNXzNmopdruFyXLWleLfI
VQksrITObMe/9tuDQwFqCebs5m+CQ+DBpHEIc3OmpLMj12mddWfOg7n3Cog1fpv0jX6HyWXb+wb6
0svGM+KPqXDij7nnrHfLUMTnpvCJYpiErY2RzCKyiRtfD4uYI1ZalrEV6VU/EKHH9/EnhA+hjS3K
Xmv7dudW/fr89mA8McewSHRwEoQYfKwCZ0GHJN9VdlRJ+6lbu/oaLUJ6Bpk5sWTgKA3nGeE3YXaH
PVCOlSUqdh5NZMSTVerc4Ru+yOUbCZt2t3v7iU5eDJIG3RcI3gStHLzHPNkyyRfw6Lxqohrrlqst
7Db0hsn8/WodBBqeJi3trd9z8Ml6tbLj0p6tCBQHdkbViv2iWsWZGXJynFK0IplnW8Sk8KBqntXK
mOIlt6LVnLti56p1hfNPVebv407LRdCtWn4jsyYvAjJs0zvZQm3y63ki3blWKxyZf/8No2nfksPo
nh+1tD2nGYZyKRipepNejwBLjT+huytCdXRNeWZrOzVCUa9Ar4DwdgwtglWa8+oOdqTQ3gsEvaSA
TOPyzJHo1KhBdAvhFmExW+nBpzRJGRrrhqvQxkesZ1hTUJjdsod9I/+N14cKn/1s40Vhdfl6gGJl
2FptzaXQAxR+6U1z5OWzF8ZJr5251Kl3x9BkBf1Fmj6sOtOsV9YWgWikOkp1NXI9mI7zuTDQE5sJ
pjIb+Ed/gHywQ8jAAypx0YMz5bLK+y6IBY+DeBVi8ld7wepYg5r6nRrJxuOoWkuCx5u6CA1zAtR6
e2geb+bcyUbu22xkqbYP3u2Q0DF3M82KHEhUt2NRjC2LqJ2MBF471Y2+CP3c+eHUJTf60zYTNnzp
YOTYMFazhBIx0lGqXaJb2mxvkFztE8Ilr2ZDnkNzj4cq8AC0dD7qr1iGg60bEH2sDDdzIgQEY5hX
fbIHT7J2dQ+j8O3XefJSABIYx23g8WF32ZhVA4akZUclUZaoplXSQLEs3XdDrp6RiG6v6fVmzFPR
86GadqhhD90yqMBoNBPVGRlt7+zUeB73ixiftWw2d0XuAImmbox1VkdAw5KfJ91tcrij63P+2/T9
tg2b+/WsVHNDSaH/ONFMMhEciKT/QGKWdq2OMal+nTZdrEbfSL8geSnzjTqd7vDmOcdVOPXCWetA
w6CsHB8TR6RyuWUmTqQOWrXXEVcEprGUl5pOv/7tb3sCB9vIhXxd9pZNo7rdy19Pbg0MYzTfdgTp
GgNVDMD0lzJPFw4trvKxhMFwoViV96HvZzua5zrTfIlM82Yt1em6d43uQmZj/t6Rxfzz7VszHf34
azC8MRHBThDj4cN5bOYujw7nM4qLxBufKb9a891klZoSGIrhdHtztXEwczAt029Q9QiY0ouyLP7m
sKbt51T2JEDXVocDSFbABrTfta1SD+2NVZhW8UDFP2S7ruLP+2M/N5k/OkX3Ey6b2/xYalsk+06D
wXoj1DrXbzqP7u5HK+NE4EtC6t0rvRkT6EKL2qxf09Ib6sAeTHzjFMtbiNOBhJc/Q/rppnA0Fmlc
KI5RaZfC1YQReG1smwH+3jL+6RCzVcE4mDFjC+hkJ/ntME49FqXI0+dwxDOe7chs5HNpp3mxh5EP
hyutMKYLEgV/kaB2ZSVC6lt6EgP2ust9musjwL3iDaU/9Hl3JZdsiv0MTcLsY+OPgR2eT/qDmzV0
UPqhw2GnKBatCnQjG6g9oUe7MI3m8VtvNaMdZHoq01DtJL/ZZ3H6gHVeJ6+KrNPiyyTuVH1Hih28
7SHxpuFzIY1Kt0MHcNx5XqdeS/a1OTjxrjUgdu9mN1uIhoBDu5aP0DPc9mbOM62+nnJrafZ9yZHg
29RUsxpAb7fHoJ51s9lltcQFq8H2s3+nlq1S4jO6Lk99Z9VmiNKj/CBwoVe+kcDZ3CVNYaghqvra
mqJhHbRW+NJOVPO2XMiqCTrTmG82bRRsilFY3xypW/GDZg+g3TjcdY+W3Y1FiL0w5DFNpLCwUFbr
qo8dHK6/+I6oI4FXsf4ZWX/6QzOkR8Wlz/NN1SHWvLBbhs97BLjVMy0Op/NB64vUxx5G+7LEujLc
I9aaNb/XamHc0Ocx7qzRXicsscz8u8S+tP2cJmW5XIA3TzeYYzXVw8qWkO6yxNJzPx+LZfCFZc9X
hOSM8X5am/EzVjC6Fy66Mr3XYsu6VtVC+ewt/A/P4mVhD86cKpBLGn9tONZZvtrHxRhOYllxRPC0
2vF8mTnpGiAzaZ4rerlJYJqt8dADcozXNo4+GBouPKNvVNJYgtboiN5KWV8+OVMtnsXgSj30qpzO
hQpfR14XcV8ZF4WSGfIyG2X9A6lVO4W1qItvlSeLzi88qzf8luPofhV29pxhG/JUOSSk+7Za4hOW
KJP3KRtSVaPvVWjST0Y5v1NahVowz9ts8D2L5pwvOzvT9ibETm+PzSGZLwrH8HDepBZtOjoaZ7ys
qiORgwRfFkbVxtykmd3mZIl/F5OrdaGmtfMnmSx2GpLQ4z7YmOTVY2j3s+G8m7W4MgMji6W1p7uO
XKE321RwOpOa+mgQjsxWWdpJc92jiIiVoLeFs4QGsmmIfakF06puNz5ibzqcr6ch9WIsMSaLyk8a
hvLeMdvKuQZvE58qQZ/v2V0KxCHLIOP0Vutzzf4850txSbEKnT5r0gGmblfOk7iei8SI7x09y/rb
3GqdJsBh0rumUy7yXaJ4y23rqfO3MV/BwBAOEDqQa535rk0LoT6seFF5LIV4w7CSluaLRgukCNCr
evOV4Q7meEEjcriZAQJsvyRJK/EbfF9wkYTKLR6yfIZJGY8diYgrIhE/NrQR5lmf148TWY0IHky5
TsjLweYeZDuUdwq+7vHlGLfFuJMgSgmDrlosPO6y5n3b1Bq844U31llr92Hoimb6rKUyLncJy8v9
KkXuIHdR1Ce7dbt7DHUJNTaGQdXQdjcCVSuw1OLjbr06viuE8+Dg/mai98F+7UZrcdl4h4JPfFl7
hflhJG5/29uM7X3KfgBZtC/cQLXnLg9wA++WwDZI3wprvBuXR+KvimWfGNDZrptVy8iBSeaseUyV
QWgXJgr1D6lcamfPt3W9Ozb7RQaknY33bdwkcwAncJpu28WBioYrjCNCI+vXAqsIbA79MluGyjc7
NS0DpynHbl8Wup3s25pymi1Ok+XO0DHEpyDRmr1VkW4WZMkI+2ssdOtFmrPQ/FrqJQbwnOJ8gDwG
70JsmO8sZfN+hvnyTVNk9sNxeuOhrPCOQc5Y59+zoZ++q4Vj52E7JoPjTygL1HCSi/kBpDyHmaqt
KiIZxt8jG/JQhZ5slq+e1sUfRnserpu5Xn7Orj3TNS4X+Wnk3M06Uc9C+KQfdo+TvpakM5fK2u/L
Sqs/OcbQfm1jLfsAlpwSeFOU7Q57T41AjGx0n6wCzJiA2zorwhrrnp+2S1/gKlbTsYk0WTdpOI2p
et+4StFF+Dtnd6t0JzsoYJSTcT2SMxdgKJV+wni7dTiUMKqDXHWqNhLQP/OQvre93IjGth5TKEEx
4RDSUX1MvOefk0vHBictgqNcxIS3PQbIpm/1Fi7DpW0lN2ZZt4WPqiXFp30RfRiPA+uZVTgrULAQ
A58MeuC7in4LXU6RzGug1Hn2srbxau44VJAlZApzeBqTRmsf59mtPtNbnBSkSA2mPLWVstKSrKQ4
kVzaNHJJmmhYNwzvaRqX9sUkxcbcsRRV6tdlnDtrH/exRlZDuqjmTnRtfac7Vf/VwGKQTX7Sxa1U
ev0LeIJYA8sY5OwbI+cXv9H5exdts2R22A0ztBdflGvrXjlopQ20YcPY+0VfZthC4G2Hqbnd1O+m
NZktoO+qlEE8qHFEKel8sTnsFQEQW/zRrTGyDdylG/oHSkid/aXMWlS7Xu414aIo60vtjKrlN5KQ
lbCHosDZ0bEX42oWupuHaPUXbTcr5axe6KPVXw6acKxQafIxvSl1Z33fj01nXmxh8gnub+v8uS/h
UwZS6I4MUtcrSr5Ix4G76KHmQkWyCMujXmjvCHJbl0sLi1TO/Em8fhJJylOCBC7vqyabtMC0Jwwi
58WolBRNbrza32sxdP3j22UviNuJspf8VYAITBjg6xwcXysqjHV0dR13s1R5bvFWi7GNz3AQt9fe
KIO+l2oRiHocx8CuXHX1i2EYbrrYUKGE1ASQ7ZYExR8BCuTSRiyR7rM+EL/i58CruW8m6tiFvcp0
ZpQaDSkoneo9L0a/Yg21ueOEpVMkZGmaung0k1GZH6e604ugNWvry6gWJu9IyQo4lWtrY4wbs1+o
GBrnhD9XkPnXXrQs2SN+FtQhbabsCt0T8RV/JV6vW3MbZBQVWh+mLaBwgcno5N7HtLyX90PnuNlO
GavWvZi7Mn3oW3Uxn3rNmA0ydHQsmtnLtCRowRowo0iZW0lYth4iShVtTHzRCIU0Ukxj+ivPG5rN
v3cL6rnLK03Ol3R5dbwFsnp2ffRIih2oqohlaGYGXn5uriraBQjWXISjklj2PvNmrQ5Zf2uJR4Td
NZfd7LDbJ7qet3ejreEhAJG6yz85WFwpvouHZXaNZLJrd05rtvidkFBMKpAB8/yTyenhfp2h9wa5
LQwZtDJf1yAxMK/27YHWKsfNRX2YK3csb2GSWh9Wy8ubIPUQzO3GNNGqneYlDUnDeE7DZwWXNC/b
sVmf53nVPseYirAKVG2b3CiaM9Q+0DrD3qyaCkuHrMr6CyhE3YP0NtYIZgiVxxKtz9t/iAncTieF
A3kZOFvqL7GyujQgklbZibHPRODgVsMxSVr5ENStN7xTDLdy/IQpJPaK6HgHQdEsxse6tUuZ+JVn
T4I4d1l2d1Wcdf3PfO3rR1vNbCoXy1zc60xzkxukSrEVjKvZ8K4zPbEuvFpx8b1Ty2a4qSZ9sC4X
xaZcQiBaffbqsrMhj+sWU4DW4+M4SfuqbWfduxgWLUfSWSXLlSitvvHbzIrHC5LftTUUtlt+kRla
I+zPRjP1SZ83Pkir9b5SXOUfZq/TrxPaH0ogU6sqb1oXbp7fN7XiXaLLlbeluSDymorVyS8x6R7i
YCiAJ/eizFmuKiiQTUjSn2x9ZqmKy0unu3dFipMKVMgaB6OhS+o2sMeqeTZNMrqYfaX3YiZVOjFl
1tbcscSrdEGSBFI8amhtDXTo9xZebc34Xqq1WdyoJcJw1FNL/GhW1Vrh/e1mX9iZnDKwS2v96AHG
/RzXTl13XVLOH4t1buWFgshV4PhsbH8zn7NiX/Sj/T5ZxcYTVx3B8bO26rt2LLuGdotlfKfwWJXb
ZfLkh6nGT9IfEVaqu9LNugLxwOI4F7ErMw6ZFYb4+4YO8Q+ltNsFXj30JH80KqPCytxa3mO01dVB
CrKh+wbm6VXktXV/kQ2V5wUCs+MmUBcvUQMKh6q+njPoMbj9qBkfSwrkjqsnjcZPFSPeZUUbe76q
2F2xp440qCnJsOWjKtbemFIJpqrF87XUR5kHwJ1zhQ6xpZHmNGL6OGa9S2PF04ePed84ekgz07YD
zaLmA+8uyYslquZLMiSmfmF1yRzG+dhiegR2nAYiGdSo6I153FV9r8igWOBURLOe4IGujXH+QKVv
P1W6TPszzYYT0NAGUCP/3xrOWIm8hmsar541a12NyIobsdOmmkP3xDnMwzXlDDR04lJcCeoFOTdE
vR1iYTSa7SwuBwN7TysGfphkeYGc1l52hURJdQazPQapsYSAG2ziUkV0yiGAivEkSRmKq0frCOGI
4sq+XYVpnen2bVvnAb5HYUH7id6ahgXMwdaak1rUlV2iovtWs9veYjpmemXfWAt6i1FV22AxSu23
u2tbbxF3FHrlJ+xwMdqJHTNT1YgElep6MLsiajx5zlXj1KPR+6CJSy7l1vl6PTJceIa6SaxOBMvS
vdfBgUEhxPBAUrz5ses8NfaXlFb+mebCqcvSZaODwQhxMHZ+fVmRVCJbM6lGmtGq75QsR9FbWtl+
BCUwA62Av+U3Xj52Z6573DGGkru1EbF837z6D77kOHJoMNNCiyqnMqNCyeUUCrVA82EsIMV+osbJ
9UByxk0uHa07g1OfmhuwYzX6CxuR/7DXgamOWnLw1yKv9DYsK8keME2p/NbOz1m4nbgUGg9a4gTJ
QBo6hMQ5t1alIjiyku8xhQlwU+DE8XC5iPa3jRF5IHKD6H2ZGk34Q6C/MdSkSafOiurBsHYxETT7
hH303dsF7onydvOdpb+t08yjxn09YhpRSVU2kxUhtVKoGy3Zfp45un0w4qnHEUNNXt6+4Kk3uK0r
G+GPReZwZoxm31RT6aFbAX7baaPQb6bawfC0LM55zJ8YlVvuDbJXEp4I+zx4tnnET4F0ZpMTWqN1
u5XojV3cLnF9KWJluMC02CUOUkw1EEKrpecCy45f7cbi2EYkuwMWVwdrQFUMnBKaBt2MSMy9o2bx
tV4iQTK9UQ3xHF7O7EbHizbGlvhLMP2hMx59ylLDaQFzIiNaNxgROsQQ6mPindmITrS+uQykRZ6I
/tORHZLm1BzMu9yMYIdLTFKsYbj36rzuKSyn+gfMkvp+GWrrokgx2PU9O2/tTUetYx9q5F/fHk3H
n5idCENfFdtL1p3D4euuhKw74IARMV/NjReD0Si6Lq/Avp13wNw5XqKe9F2zKi7evvKprwtt9Bfr
6kR3WpTdoDsDG/LQ6+67Wc4a5+yl2pvSre8mLVZ+e4nlSbccdKiKOOkezhszxeFzajsj2uYxi7ho
Qrczsn0ZN0+xV9lfgAkq8Pp+3L/9oMcTlowEZusmtkBudri6KvmIMNew9cgukxUbOEuGs164ILvq
cuZSx9sXlwLCxQSQqorIzteLEfBekedWYkSdEa9hWQ3JraC0vseFP98XBm3/0Xbs3651ILWSer6V
OpsGbBtif+m5jfYyNHLN1UiYXRd5Mn6xFvVcTsmJ0YIUi9dHFCkJZIdchnZMm4wkDTWaNWF3gSun
6htR0+KWUAev2w1uZp1RdZ/4bIwW5Gv8A4/usLjKbEnSQWKs0VJQz6tWmmElVmd7qbjVmTruuE+8
hZfDVvJY5Gh4HHw24kf1sbGkFhECtO7W3ta/bfZ6F+g6zaseV5KAzbvHgEOCdGEhfGZFOvFusUqz
cYDB+YTq5+DyWVqUTknLMhpxQtz1IzT2ws5j8JE1D+Rk/hsTAm7Whgf9Mp055KhVBd3gSqhrNOq9
GrRr0WCFmo2RZY3lGSLksUEkRSSDc6Of8YJZ1l8Pzt6yp9qSthpVccPMVhVneN5yKjpfm9L+xSvJ
i8IczqhbP889JQ/Yz2eBWrrX7qToCuS+jjoSFT579W9XDtwaJQPmmRvN5PA1mJSztgQJwJ43s973
hrF808Y5L8LJbc2XVgM8PDNTTywPrPRwAzH/I8rosDvelShdbadAmATjKBrVYQ6X1SCU1Grl1RYA
Gkik22+vfieINOhROCqwIOFLxhrx+guw3ermiIQpArl2NvVLT1O27N31ETN96DTd1FtxOLDz7tts
xhFME1UVFvXgnIurOTGjTQtdDq35LYb+cJopAumJVnVsvMta7GOw7EhXB2undcM5+tCJS+FRQuW5
LYjHM7p2hMiqrTNjdu1dnLnirtAEZiW1ou/efr8nipZtJtmQr8gNZEa9fr0ozYZmIKgl0mkJdKES
W7TCrKbSzqxRp66D6yAKHh6LY/RBMabPaZlVBNdE1pw3N9D863AZdfXMaDlRjrAGooFEzwZ59fBp
qM9rxWpNNbJnxj9CGpQ1+3nJc33v5l07BpaQ+beFqpAu8lAX546dv5iUr4/UhK6QlbZt1MzLwzGC
LsOUib1obGaU1v6AUzLClaIGeKPpWLbASsuk+rDR9fd4V9AhRyJqvmAP533x7NZ4UYt5+hKTiE70
EG3WO9mB1gdzujmJTzQunwpj0sdnXZPDe6+nc++rEgZtZOBtcG9QBz4XqWt9bfUs7UIy1pUhcAZH
PvVWvl4bQyEUbOuQd4TtAmJ6pkY6sRPA192gmM3D+Cjex8rdZijg+UUGmQZg3TO+5EpCyxe8K0Bi
Js9U3IfTBDWYux16VT76xvzafv6X0mGoDL12bXR5ckx7emY06U2lxPGpStvo7Xli6fytv37ZX9Ja
WMFwByGos+i8vhZeYpVLU2BmHcpp9g2xNtyVijPrd2sBhz7w+llcY7ZAToGSZOlXiJOTvEI2hpGe
oNutB/nU9M2X3IwX566D/Rv00JCf55gc+O+9VXo36iQGdfbdLrVt0NrJwrtwtLQixLPCSu+HdLZo
kPetbIJ5ywwLktKOE5Tljvp1XbyV4EIMQ8V+LlVMUfW26+dQGexyCJRNaOWTn4aaWl37LrmUszo/
WoqeQpCtbB5IVK6bhGk+tfXDNE3D3prFuNyZcQV6OODq6l2ak5cZD52e5ABFyVhgb8Je3EZA6lly
0QBK2pdQchbSCF3aLJ/e/gKHuw8fgH1AA18gmPZYGfkr5aZpFwnYJ+VnQfMr25H2WHY3A0BMtwfl
17/gTY+1xplhfbQHcemNhL6p2sH+4IW9/vbkpOimothjZLh9UgRu2pISlU5N8qQ2hTMGKWEhypUt
MJOONKFon5mdmJlX5Qox/rffAhAkU0sFnoDFuk3Bvwx5R+YQ4Ol2RcMQj2GDe4Kfa7n94pmQF+y2
agPTGZIzi/fRmZMXAEQBKQ56HLTuQ9IsGQGg7W0jowlK3MhJxPbutQowHH+3CT+z3JzpvqRL3Ki3
1ZygmeiSTtihkrcD9Bwtyc85Ah5OfQcroW0/AaMB3uP/X7+HtM7yDKPKJTLrxrtPpJJHrjoZ4doN
xZnPf7h1cSne9jYAKHz0IypviWCUGn9agTFkfmmKqrxqYdpdvP1hT10FqxgY7Vhz4fx9cAyqCm+N
FX1Uo7WUVZiuBULjvjwnLTkxlA2O679ieHh5R/x8C3+nyS1YojOyzzdTcRVLQHfYOZ3UQr3YUulR
1jRZd+0pnX2n1fV0ZtE+nsfcAVABIAnWGKCWr79cMw1QdMxFjeRUxpeQ67LLDu3tPnNiJyqMfgka
O1nPFAZHhfz2ETleMoMxOqVqPqhzjBFvu3LCV5GYTqg4euyQSKsgZ073sp7VaGyLzqRHSI9F05cB
Fz5T7a6h1qUCgz96oamTKA6USCxSztzbkRL/171hqoCegb3laBsrEw+bjlSsUamV+nWTT/bWvHW7
b85KQA38lbGaMYajURoOW5MQ+o+31pE69mYawK5O6gACKG5QSzvVmY+MqdIve0F1ESiCKFDfxt+r
DwwB4h7E6WQ/GsZgz37f4joTSr0bHmzOEnOgwtf4Spzw0GKp3Y00LGmnPU/M/vu5SvPej7fyxe9F
V9W+mqjTTxIsMiAf4eSZbwl6dH4Jpf7BxMD+qypFey6z6rDA214VEgHMYvhMxz6gpt3GmSeGNeot
Lb5Trdq5qfKEAA1zLbzvNQS8n8QXy37vNL398e0ZemIVBG3j6IkTAIjTUa2MeEwfmD9rBE83a3bO
ols/iwRbCt8sKmfeeFXxfZfLvAwGFsc63IqGx1LMxDZopgAUfPuGDs/9vAwdcwogqa0AAnZ8PZMU
NASmJ4QatVXTZPsOI4cRJyyi2DQDz2hfpAUNWQ1yVxUuppFB1GUQPb99EycWYqznKbhZvIAjD7eG
2VTqJF76KWqbPgeWV5edqhTxBwq/9swSeWLlwOyT+gsMk+L4UNFpDnFMcb/O0Upj9L4TBdSOqmuD
KWnVq5qVP6yKvPznS/6Pl/k/kx/Nwz9LvOEf/8W/v1A+9Bkz7eBf/3GbvcCAaX6K/9p+7X//s9e/
9I/78UcvZP/jj9vndviDZeP7s8ia+vB3Xv0JrvSvOwmfxfOrf9nVIhPLO/mjX97/GGQpfl2Oe97+
y//vD//48euvfFzaH3//86WRtdj+WsJt/fmvH0Xf//4nWTJ/+ejb3//XD++eK37vw4/+W8aw+Off
+t9f+PE8CH7X+Nu2atHsAhVlOd96ldOP7Sea+zcM5inVVH7GmUD/84+66UX69z9N+2+/ihd0johw
aB0xqAD5fv1I/xuLziaj5aY89lz7z/957lff6v++3R+1rB4aAOyBS6JXZRL8X93usM/obKjIkB20
RceofJZhXoVJTBfYnAWvAKuU3YjN6pXiJM2z0WjyUe+n0l9ynCzhHz/h+q0EqS76e5fxdpNNmfkt
7lroWXmGeDpd0scUksoedq15I3LAN6i+jvNFyxEHtGVcp9dIqeoHTxflzdQM2c8pMf+bufPYjlvJ
uvQLNarhzRQmM8mkdyI1waKRAARsBDye/v/yVvXqS+q2tGrWEw0oiXBhTuyzDb1AQJoz/Mm1K4dU
wzutn+WVIcQcltjE3ugsD5eLS++HXHKsNuZcJLMzOrG5eNCFhqJPFIkLj2KQdtwNenY2GGuNjqdA
F7khHrz1HdiItuq2vaWVAp9jUoS9vJjPLGtrDktXD7fzOm/HBTexwwJ7+2KDSpG0hA7sSOAqL9p+
vgQ9vclMI8kW7w7CQBFBW71PCaKKTq7C4TosI6/BSl8DPy9CvYV+lo5paBdrHkGz/oBuw72TW1PA
eusq71zVntw75bCDbVKFlpufm1Z17WaP89reaU6lDnnmzDfjmta7muBfOAzZPH8j9mi9aBo/4+7H
4QfIu70vKlwpjM20wopCH8L1DN4lcv3eHmt5pq32AwED80uZBlZUZ7a2J2ssRsl7JcCX9puhmtu0
bs3LrfW7x7lhmfKIRTp4rTY9ZJAuQoUj/RiaFLTnuYQpOZQ9xwxrcYpozqslyWwZXAdj/j4i0zcQ
UoZQRNEUpLUVQc7BsMYb0nes8vN9La3h1rJgDzdVpu27FFFS19nXjoaNqdkON14/PGOPN4e5tKKZ
fYRt3D5rcMpbCAefnXy8kuPylHVuEK6Q/rNyfPOs4s4hYTVZyvJST83u3F8FPgn1lu8sW7RJ62zH
YVqOEkaeVuM11qm33FQNCuKsTJp6epxMPyc6icP5hSZ7rQsH2XETvaHG2GzcNiay4cyX3vg0eqI8
GvQ8jint3B6/KjjQbi2jYq2tnT51dUwuTCwKPErkhyl9mObBNoeWmS1nHkRUkuaijI5zIpeWAB+X
hLth4/XmaXpOnkCyNFN5qYJ5jIoAMqPb+8DVlo3MWPPfjVmzd3AXUyQsOR5Ek2GMN3iLg5tkexfn
ymj11n2h407rrNh/C/LiDaUlOlhzlW8QT83QaDabHkm7HKRZyHPgrR9KAZEv/hh5YjgajjjlfK5G
mA3ecplPS5coJ9vRwcuSaRbHyRzLeBsdJpxF/sFsl0erK4xzyEB5uGj6DoZ6Hw1WY50VnWVd9W13
BTRs30LJHIB95XuvAUqQMX8NonrbwLGIqgFa7ArRkndub4nnaa9Lp8qL3i3EndIFod8rIg3PbiMT
Xn60VBy1Qkif0K7tVoVMBPUKE8Q9qty39+WKz+PkaFE5pNn1MPBEnchfTLCB/UQ/8gnna3s3Iky5
R8xxOfga7yrX6LY2515/omBZP0VdnFFHFpdutthPZbOZcVddD30gY38tRKh8O48tjJWaNT2F2+nW
k7PUJNgrvzgGUttZxQoxy9aeA1nou0aVW6yr/CHdVOyyP+6btT54BrMpxrrauyiKonuy8TmNRKve
q1zcOiDsN7SJwzywLyFjga8OT9CQakAGwZgcuvs0Lz4gV716o0QUUnVXXkEAlltVVVi36QFsUZw7
3WAz1F11plXl9CS1usbO2dLIM8XDxdykt0uxm323pkBdFNkprWGptp8EfEOhRtOXtKgUjmXh9fux
pP4gc0xfQ9GcOhmGrZ0PnVHterEsocgr5pMkJRLu5rbHKAFeNEodNFYBq2GQgn25ubevT3EC5Za5
CXLlt222UQmQ33Aiji57uFT+EUBpOwaTlt/BHDO/F5A4yxg+pQGVslbXfUqeclbepiZ85aSqgmKX
2dslPPsoDfyGnATDzT9crXQPxhSI58wp1itP9epHAFfyx8JnO8cD89aYhB35/ry8nVhFrytnHXLe
0yMPspG4kJlxJrMzn60omSSNHOVn1X3tFR/DYHix3Uor1gajeWqHbbrrzLp6otO6hSbHqRxfU8h5
ZnOrtZNRRKuARhaKzX3WFmcKm6BOhm75vnrNIzqRNp7FplkRy8DVJMv3OQe/6AsisYncqGLI/VnO
3Jbma5cXnEJGzeyfCmxdMx41zeGOW5lFdlMFtcxspLxrCK/Qon6uNB+qo0awhrZoL9bUNRcIYks/
RkfkPdi65jv0wLvxxdM08xBsTnODPf10FmAle2G2LQmRttAgkNJLa0Irm9SFhSJmjoxUmY8dkqmb
CcnXlBDgML2Nuj/7xOBN6cEoZfdEEo7zYBstZvPkMCH+6ckVCQ5Dm2qvEpbg3WSa6h5yaHNndnl/
TykC3RbeQ1TRJoQrCL0+NdB1CJ1Fqw2c5Ro99nY5yX4k2qnq9qDy5WNrG0+tLBhiY90eg26xzotN
La+8D1TDG2zcH+vWtaFc8/Fnxj9aY4I8rUePjPMpFJnJCjllnNQMBA5ls2/JCYpg4E935ugk0nc4
I8IvjLM0uBccJVC0XkmV3mmlx07cpjDHZ7HDvv3RXav0J27c7m61tEPfr/vK+cA1LNZ0bz/YU1wW
25tu7iZs7eM8J+8QRVO6XhdVm1745ThEk5jhFk6vPnzqOoQ2xYpXaN3bqVw8Wu0Y3NRZP8hw2dIe
wI3Wczq2r5CotXjNoJMyfC8dOe4DjzmKtjiGUj3ttS1zHm0D9hNlhHWJUsq+BVFHbOflIVa9WwLS
099OiIYeFdOpZvFf5L3ATzrxhR3c5FnTv+LI4GBvzDaTVlhljkQfhrUQ/lnuuC1DkOovGzpIrsHs
/nC9/m2tvO2xkuPMy6nVvtNH+8NZnTyh9urZQRUCM0WR1kvj6LRbde/g+b0rUkK6EJLu53Yb915u
vHlCfwqsYYxVD+20DZR9yOBSL2GbLi9VWhyQ4uxN5qWjNReZ3+6BMVgloUGGG5j1U8E3VthImNmR
Taj5MQnMq+ttVvx1l+31tJitUFQi+wAle/U0X12btZGIbnEuIGQ3d2ikMES2zfwG+M18kTRzj402
tY+ZW1nXMwjvwa3WJgY9MKJuXuy9xB7xHRJsmky9SXZlaVmPc1a1lAKN9H9adYUzo+lId292lLNt
m8WOXUd4P9Eknq6J39XLsSXVcO/M3syu5x7q1C1g/ebVTdaSS7e1pjos/eCHQS+ya92fxppYjxpC
uTlqsZGlY8JhHZ6WWdwiW/C+oZgJruZNbgAlLXFkxWS0jzSv+zaC9j0i68lXDLpEXlhaYrcgqGhY
ndwErvyOL/rB0obEM9L7oLoo/E1aYba4zIphQ94rfLomUGHSM1FNxs/S7vtDV+dHr7CGc5UV1rHq
Mtj+qkBNl6/1mQKvP9tGz/wmfTqX2HhXBRyZFs6oU7ilDuG590Mf7/1k9GjooC2E/A5rML3Ixh4f
xE0XWZCYRWrQy1+GPqHTaqWhhzqXWWprFGfmmoHrn8Z50a7dd7WgMegccueKpn2eiSBlfKB3rWMG
fhbD8EcZ4TdGHvGWQf36Jj3WTLQmHEtl65w8citRS9PPiTnPQU0CaKA9BGjCNhwnvKyi+m589BOO
deh6SRO2Il83tLtt/DYrSM0SwKyObBdXpNCDDvmAm7hpcqFiQsMiKlCnigh3XpzuPxlDXyZ53kq4
YZb3sCJJXaIhyMq7RVj1XvNTb5c1WxsjfJAyXF3N4svXZjR1vhV1a0FIOrqG9aGavT5yLVFfs/5n
O5FRyPWD0hNQmOKaiFki1TNHvUL1ZkJromx/ojrdXksCkMMhc+cd/lgPExFltNoCNUdbQ6FhD1Rz
JoaAkYkR4JWWH5xtdS8ISs5Cq1T1la1GdS6arnowOQawMHGoYwOxo9riBuYqs7/zdsYzhDZunE8V
tv69Nu+6znMu0n586SwdiQnGYCViv8I5OMYE1FynLHmNfuJyjYV5QL0NDomLfDQoQaliadO5weZ8
Dsq+7Sut1mNftdpxJmgm0sA5d2Pv68eUnQ+XKGWdoTaSB+HYWpIL2WhR5431c792zpno/C0e/T5g
BzHWuPPq9cCP2FB1xaFl38+l8c2dp62MObDe6TJ4Q5TThubahME0r+Ew1HR8BgnX3uScTF4rx6J8
0Vl6BhvptZ9ZhOci3XJLTTtObtz191tu3c3KPvd74SSDa9xwYPg+Bh/Wkp2Zot9P4xycIc+gxjWK
kFiEu/aEPE7WHJwj2/Gwx7eLM8YH0p9hHp650Zd0apxIDO03bS6CkDYdIS+l/WMWGLI0Bc7z1Rwa
9bYLfOtykYRQi7SrQUvzn5bDjCCL1iWOw+TAEExO4on62+J3HvLO8SnoabyXIwLPoE4vyeodI473
1ZWy7IYVqPIP20o6S8y52LnUc9dDyp3GhI0tj8PayjD1aY+0usYgPrnbr1SXC04JIYHeYb8J68Ie
GwIiEXxLs4osVe7IX3Hu1VZrOy1tt700nJcJi/tnFsLyMBfld9ttrCxqNcJlIqTi2pPerFvSIc/e
8+nbmMxSB55l+TAT04utvygoL4KBswIH+tCkQrpr01RbQmNLZ4IbTayhs0AXIpH65EWZ3qYxVkRi
z3+Euxks94XY3lc/Q2qvDWhFGuz1xdSlN8hcOO9I78kqGmxvPCcVZ3YgxjcxGXrkGINThUydxOow
AAlEF04Y91953hTcmVAxUVml/qXkYOSPw2VR1tU1fuf90UI5vJPr6O7cAUmgo/xw9iRKH4vTkdWv
l/RRSVlzKDDlcBXI4F2MPmnFazPReetRxplHq5BmXLoSAbgvH0dHu1daqyJTOpItqH8ZBnc+cKhk
vDp8DhkEVSgndzpIO8OyT7AhzdlVCkHofHLW7dpYqu+braMIsibvQH9UQ4mIdn6seyrn4srENvFs
4bzsdfwO0y/2sPvz0CCiIAJcMROR1fvCNeIOWX8EfZVkyYGrT73xWgxqZGE1vwsCapJmLiKxEYjT
TagsA3ClhK9nURGjMPSnekh8nyyittpukXveS0OeSYJQMFtYiRoieQo9v9Hh1WNfsN+GqZbel+ab
Zs7THtr/uusXVbwtGSgRMNd5NXnfvX46DpTr0jCq/azYjNvSuGev6K/HCjPQ2iP+WserD3G2fUxT
bFI9qLwmLejIsdPdpIYb2QTJSmhSPQfrYSwnnTA7N1QGHhVd1jQIDdCVyMGZ9oZeObfKtYt9RfjN
LpiRyLii/zajKrruywY3rMJ/DmxWlaYV+zId0YiV6SXSefPQpZWK1i1DOFP3j2iZdpYSF22tPhAo
4ZTSOpxUea79uhTbedPLZxyM1G3dew9D6tTEprfUsXMw7Bvbn64q8IKISMfDaMv+jCO6wkajRQ5o
qyyqbBKYWuRpIdHUazLW5m2gCo+1VDPeOL690TYuKeZr84ywwD40+y0mgSQNMyAYmzI6qcuO+ZTl
TWQRXhEW0nGiHGlVpLE9hxP6C4NgOnKrdJRydXZddgaSj2xFaFUD/hVFFgvb1S87wrNjxxKPS2pd
6X2mH3w12sw8IJ5gUhzp3RWT9anO3wmuacZQicF5zawCu8W8ue/M5XWwXDI0asKjStJoObehry46
cjUMAYqhBnUm3UVhDISaqDe0O9OV55kk+wZ3jjIimfqQVSB6emkWMZ68sVoXeXBh04SZo78YbDzX
du1f4nnEHa2xGAwZlXp5nJvm2wgb+KChddu5jiouDB+Zlj0mMyvKlYmnh34aJ83BWhjleZ0G+3Xw
byk89MQdiVyckAfWhkf4hwzO0Z2yjLQcMEcmaEgJ+DOnKPvhr/m7VbQuPbO1Dmf06yFLFMpM3V+v
pbQO0mdyUk8Vezk2WoyO8M6ZVORuYx+tqTPcYTEQBkX1jJZcnm0m2uA6J1NEGRe61t26jbsnqNj9
6afUyUW6L7vtRc2UE8XEAWOrbSvaACzIBUVZqLn28wB343sQTFnkbWlkmWjopvwd4x6aMRbvzaMk
ezZqXvzUZyexGrEy03TbLuJoDv3O7ioVqtIZo2GxwAwKLBOWKs68pnmg6ZTvF3s54tDhs3GseEWs
1qss3fM6HS6M9LsHKTu0luJHhWg30k4j0Iae4g9dYqiOGt1xmuEIv9GLlW+Vxy13byE0HucAJ/AU
c4lkq+t9OmxbknsdW20piP49JYOlu8KtH3DhI9+jMlmGOPdVlei6cBlWzvQoPq1HN7d+0sYzLuBq
oBbD62Gn5a66GMdWu/D777qcnjV7iAMIlLGj5Icnmwn92lBFI2fBhFxqOuFzF6BznJs39llBRV/i
eGupQ9ksL8vmdXE+LE2MQa+yzcRwlytAaOJdqvexX55N4ZAV5QaIhevcOgiFl0wx59uFgVjyYctY
3DXbZrTY37RRvCL1tg7BdDnW23ggsua9xJsrWaW+XMyEBsajWKod+DdlC/4a3nRhFPpxHtlMln6N
1lLJcOvcq7p2L7E6SNAbb7y9Lo8CBP47tM/6S0GvwV9MJxk7ZCuEl0aL9qNvk57xL5cbbLzwjVF7
s/y5bk+j/jK1ZlywN25l1cS1Vf5YnWbndxUF5NAgrdv6Kh5LHbnsQKZSW+UnWqR2lqEOZTxeeKzm
D7pmb2FjadVHPmJCUzeWfu6ZarsFzrRioQ2oCHVVAeFrzTnlaHoxM7MKrbn3RHo1aC4eFaYsLisv
66KuXx7nlArdyY85qszIGTUt9jEMPmkMn3G1PcDm7pN20/KjTT/ukte/7LTROaSjzY225C2oAGoY
r2p8HrVnJ5h2BCIllFVuqGMDEbl1KuhYGurergHTZt88z4ztDGZbTtKKeHe1IsGm6KgrMxrH6aNJ
2yuc9NMdx6OPgD6M2Uo60ZV+1NpsTw43b2wTSW12ABxuolVmGRLSF9t6vp27m+OTxFpZu83T9+OS
GkeIVmPSGp39baVQCqU/T4zAGjOhHGYAcbLbZZa2/mFBhbTjOFVRaHf9rTkJDV7F4uBtUzWgt+7A
1u3bP3qHoGrQFWNZ3jHby3YeEbEvJZOdAwgSifl+zZyDWzAIW8wFMJEqzwxRJLjmR07GAdZ76coh
ZDvaeaM7npMesV4i7sT+YjKSCVP4ofBQi4KoAItjdcP5rh5vRs/arYG4V6iqY9Vk9XesUY4i1cC+
5rtxgF+GyohdWfWPDVVTsVI3KyWnqIZCf75MtC0aXwH3F977Utlu5FJKrHqv7YUnnaNy2akAwbBC
XZskQ0Efui0AgvSYCIG0j4RBFRa7XtG2oe5trs7O2LR2pJxmxsgGo2QsSSavNU7wX3e5bLiqlvq0
gZvMLCoT6FyYZv0lAOlPPOpVpKVke4UGlV+CgVF/PUwY6FW5poUrxtsxROnssPr4TVCsPXijZh0G
jfgETTNofncGdQ/s5jlecmTYrmqDy15OYx6OImBe4ynByirSKsJC0nv0FvbpeYS8fwryPJs84dbR
Jt08j2tvbC5T2u95yB6UJboc/L1YOTobskTqqxnBjQB7f9N02VLd+b0W6W3d7Tw5g/Fvrf6KfdWF
Vrtx6jfFWdBb+TfTGcx4CljmsasYd0R1iTPz5ASP71uWrMZ0j8Yt/cHHlcnU+FhYev6JolEK/ZtW
9fpHTm1DEAeu9T9amRecJkHE/HHsUAoH5bvT2/pFXnn6qyo2d+82w/zcesvyVII9R1Vrtbuh7LBH
gQY8yiJygEML6wVJvXEJJOTshaLQHFkIr9OgeKy3Ib1YSmjteW+6b7DBJQYRnBNiJ9C6eB2t/GkQ
mEWFpZi2q0bW5WU1DOXOWHqJzY5TIKMeu+cRksv5rNXpDnSqp6qtMH7pU/OyWZSK6615zaS6wUes
j3MdLKl3TkHFvfCuGBDjzgjoJ/DB9Paesq87jkXtvBBWhoFY7mTz0xIIcT7WtgHOlNrXK+TJDCxy
1s/RSthHpzS2+0VQj7iVsVB3kDfJVmtm115FPVy1mbsfKt8PNU/532Z7UR+T049xnfrtrk2R/85K
33akndshjldsi/MWQ34x7uzSb3ED7frnxnTWC0xT22NbbOkHciUwuCJsMsMFR1Q2o7puPmYPINsu
PCvutv4REiH50L2WbR+4mMKwKYx0D1Rq4SXzJPpSe/WWIeVk5A4Hs9bHW7TZWexDeI5FU1T4cAkR
uX2gjlhdLGxhFBdlP58mj1xxIKmXqJ+oi6jxpJneFOk0H3RY9kcjG71oRalCheBV7x0vgJhOWq9A
DMMSeVM70J8syzvFCT/5XzYTWZEY2hKNMnkI/oPmmG69A665ZYmVZX5caWSX5MpW/04r/6+IGdfd
j+Z+UD9+DHAuvhItPlE1/p8Ujv8P6RhYufyOjnHz2rzWn+gYf/2Hf9MxwN/+ZQBXQ3hgJ8Gr2Ifa
8W8+BujTv+AKEfiAfw6KHz2AK/EfRkbwLwgSDv6gJ9dn33QNuDf/YWTw++BhQOGw0VKfgnjs/4aR
8Zf5/f/lYzhoXU8S5dMfKM2IYOJR/05gbSBH9HaAg6Uc8nyHAte4N711Pmz0L2KT0uhKq6fhbNpW
E3Odxgzugs51Lx29EheWpmNAN/Y2MI8+JTru7/thyGQf1sug4bpU6HscpWScQUeJPG9p/sAC/0LV
++vufZgprHfeKSnla2wUIYoOMbGBleD+6d/UeUoPNKhNAeq1FvHQOC+tIIlmXQVhjR567/NVbBLk
znBw8rELVlE/b3agHjtSDe0EcIn9cqjL877pCLh3x+8QFe8cDl7PHpwvNvYm+E4ahg74ZokZQogI
Irmsy17SlT7mgc45dRuGuA56NxmavL3Spxp37lbrd8LTpl05+uaOLrw4KmKH/0Dm/MzHO70P2Dok
4OErDffH//o+HPye2xHlcEKPY3mo8J1jextldkwDmAZrYZXPmG6YSziq6e1vg/4/XJ9P3B4G8t+Y
Padru+hWIEw6LvI6WEZfRlIFX8IfeyMZZ/7YRBA8Ysy0xq1fLMCr6a4CT4/BOVWYT9OTBm/ifDW6
99/fxmdS2ukuTop7Mqpwa4f9ZH2ls+aY102LPyTzZBmhphxKnbn6qXn+k23WGx7u6k+x158pd39d
0nfgMtknFiQs3tMt/Y0DPnU52aBwZhN/1t3IdP3nWqq7nkoi/P2z/fp1PeiwcLtO+lO8l04ExL9d
qMHuDG83d0hsUa0VScBbu09Jctrhf2THiwdO0iuKczEJ5w/+6MZn89l/P2TAYgDNj+eE7P352rio
4FzcjUNSpkO7rzsMhHwXi2S/z7yk0tUDxVBKfmwf98b21KT/h/jHrvDP3LF/eviA50dMxEv45S2z
97plCqgFryZ91tP2dZHus7AqzmkzqSuDsWuaP1FMP5PV/nroUzzJKYQbzhi+zJ8futDmWcdWZki6
GWEfyA8NjRK+0u8/66/jB8I8i7lhYplisAZ/vspI3nmPrSVhX2UBVSGwGxasoQ+bEnzh95f6h8/I
tVzYPjrsO5+14vO1PBeXAdk7is9oH0fpPYJk/wCJwJwPgxGaQQq8GTffjRx6AI9vf7j8r7MTazCk
QSf+H3vh1+zM3t6I9LK4/GCZH4pev76o754+fEehdMC5ctd29N4LTAxF7sFZxT1OAHc59Ev5qbOX
QEXRCDMiIvjn9/f2D1/h0619GeBDX+dTSj8qQe5ybjbBTWAPb3yaw+8v84W1fBpTvAJPN8n2Ynli
vfz8BVyt9hdhbipBpHHvDf3eb62nylIKvJ1gJ03scj2/9GcLVnyZrbBiKHd/fw+/DmtugQUaijtl
yV9s07+vI4WAmtSOC4PAl/Cm7S6I586Sf3jSz+qz/zzoSVyIntHUGXCfH1Rvya2aIcWfvLEfsxWs
txqeGnZbtfTJ7x/on4YVE8hHzcj+A7/086WEXQW6dEbFQbVThy3znmm8gv2Oub2fnAGuiW/+d1GE
/34861TZEV5PHob+5TsGoKMYSPYqsbvxgbD6Es949TbY3vmUWx+/f75/mrbY/p+MLByuhPr28wNK
4CMTVjei8VVUca3JJXL8to6yteWU1Il53w3FhI+8/3wKQNRlZ/7ha/7juLXQpmIUBMcd4cbnWxjn
lNPzIFVCl+AyYIs/FnISOwT78bKO4GCedWGAksSYjO6pW++KSf3J9OEfbwLVMes/FpZsQl8+dIm3
nDTzRiXO0j6j27lbDfNyNYaHzuieKO0A7ADapPOTmHGQ1pay/X9/4TN/qnFOC/7nahmPD+ymUL25
ROPoX77DVIt6xHdLwa6Y1kRM2kVQ6i3tEJEnA0hgb9N4KnEuo8elhQu2gvDdLOcU441J3QChslkN
Yhs88mukVh5gZOsx/m1/Et7+OvcQY+kWdSnacB1dwuePpfsQbDZHN9i47McCT/Rz8q/2BEXS74fn
+odd5delk62EWNWTHI8xan95K/1suvg4VkYSOP30UZbFPaFx1k/Ox38YhOav759JzsUQVzgkcZpf
1hQhUqNcyr+AHRNeYfe8WaUdrU1/s2TUlUUKnJuptdmhiDlfMpymMWmYITaAyuolmegeFm0iX8jx
LL3v+O1Nh2FGyts1SHRojOqhkee3CnAJyLD2acNygu+GNabdYUeevrxnQ/MHu6av3wrLABTSPAtT
m1H11UNpHpvc7XK5JSMHKBqrNfYpWesAF9sEr+NK+YeX+HX1//f1fIP8VIeDpH76+79VkXk9iEnv
1AbAu63Im3QHtCJ1499Pla9L8ukqRE742KQwCqlZP1+lsgujLnTgejMlqH7r8rdtKb4PdnfR13oS
DFv9hwt+HRpc0OIc6OJEpaNH8U439LfHWroZobVRrglGd9lzJ0szyUf5airj3ahKeqATjrCihSDw
+wc1/uH7nWpi61Qk4qRmf3lSVNYoQH1/SSqJ6U/HLmS21kM6gLyWc29Bde4S4YhHf6Mp5t83enEN
2+cipQLC3/IZNxYRTkH+3ykyHYf3wUGBNcqjgUym8um49vf30WRD3zAXkgBCU5wumX3WpRBWgm79
kxj7S07DX9fyEcudDkDBSc74ZbkpV20cKq1YWAMzLGC3JsM0tItxbtjCjFNCshGoEbub8erM6W7t
V7p7Rge+1to7hgd20nPx9vvP8g/DAXkoMZZsF9RZX21sRmnnXKtcEtG7Azzhqo4s2XcJPM5X01qf
xZgV2I9X+e731/1lq8Y0jE2SkyCqaP10aPj83sFsWM8XSEEkcP2s3A2DzsCrS0yol6ZIcAreMPga
2yMMPoAHUSovlHjhffz+Nlyby/x9pzrdhom1HzowtIm/fJKxktaEDHdK7Gq2PpwufSmn4nrWzRGH
1eEHhonuw0RtAzkWx9Y7Jbr1UBENXptBfgsT8QxSr38xTmV7WBTZJraXZeRpQtc4SmBXvHS39tbT
VH7d4Wp5VtobfnPNBhdKr5oXp5bOobU2/fvQbeY+JTBuP+Yj7QXVyJ306j5CiB/WK8IFgN36qp2b
vZQNVOQV/TIuLyZhheKtAV87x+jOQvtkLHdD3XKTox0HxKvsGtN8krO13K3V1oT+XE6wH3rnCo9g
QQO4aq/rftj2eVB7SU4PIaYYrTCzn+cFzra0rwZfgIq4uvKPy2yUj6VHa2HfeYP1p8TifxgVfAnK
J848QH6/LBLaKknHGoM5yRrrwcnsR14qqqDuO5xCev4zfbutR3hrJdmqvf9hLPwyFNiViVfyuS4G
JvaXym2TwrfLSqGZqEdowZVMH00Dqki96U8Orb8/FOPm13IAIAySBRpsA/Yu0tAvq0F9SvHI3WpK
Oi9Ln0YDeVBdYIVde3r6XiDoKOJqkRoWd9pyh2/1/K3SLPGQV8o7Zl7r/pzoUMS1WLTjUPddEyLW
gm2gJHg9ZROrWamvyx2iQzMKGlojg8cv0p1e33coyK7sfiz2v3+Fv64mxAuhp8SVBUCA8J3Pkxq/
jBUG4sxsUqh7vU4VNyoo/Gu/Wxg7bp6e+dOSJXiD0H3//aUpBE4f6PNcZl/x2b24g4AA9i8vNDfS
IcOtGm/cnG7CrhQ4VBuOX5N27g952HVu99LSkYFngVTsTOEpXNNx1Opr2DXNB2kmxbeMxBjOkkWB
f6Kz3GwYy4AglSPRuXipP/uQA87MbvpZ4dx2JXK/P5olttT+bHBykmnj0JbHo/wwjDW5R1qxtje4
uL80hnGle5VxIGjNPnZ+i2v2XD9uQf1qNU3GvMPqm8gD85vyau/7SuIo3thtRTvJWs6qVHmHzjHl
Db5mHrZYenA3rXZ3NdtmTxdYjnWddLA4sNI6idN8YT60ute28QTrdGO//R/mzmQ3ciRd1k/EBmcn
t0Ey5gjNSik3hFJS0jnPpJNPf76oPji3q+qiG+euLtCbRiFTygjSh9/MPtvj92re5aAbuyx2q6BQ
sEvBP6E3p2wzb7Ks5xfmNn6U27mJi2LBedG0WUJlAgZAP7rp66RWyq4+p33R3ylt4f/H9VSf4mxe
KUlFmPnQ8lH74JxtPPez5Xw4KIL4hXzy2RujN8sIZ03zrgo/A3gwq4c8G4utB7TtoA9aelfE3kLo
I67xyGoxLkMTVz5ZRSOUpCI+pDka80bDjYQxwnNWJ2qqobZC2i/bK3UXdPCi08aBXDJ1cRpci47U
k3abNei5QUyCwt0t8cBn4c79czlgScVrozfvK9Gcbd9iNkEM0/yrkRrNpUdShzCfVj/pRyIcKcGF
o6sJbB+uiZWNVNHkCgo5uhr83KZhrPvOWcYx6RpIScgJ54aWliIiDzhGi1W3R5im2Z5UV/6lJxPJ
sMVzcV9gVKZ1TV4Rt7LjYpvpjlT6jIYAhsyjzCro9ZJHbbGyCND6Rca6RmlDncvwVoeAUab3tKNR
SIIzw9Jgq3Z1tPeVG28SeQNjrl0KV9rG5dq1u2HC0ngraa+ZIbkTWgXqWc7Z3Soo8pGY8/a6r/wo
g8IYJNmU7nI3tg5e2aY720vHq764QAWyxNsXXb8+6qBYuiCd/Alb1lwsx1UsyYNwObSsTuOfczRR
Ztzpk0Hby7l1mmpHBEF/vfWRnlK3caJ6XuJt3+kg0XWKgY6qy9uQNLj/mmc4LFTniZ/p6Lb7tbJV
ewvMS8hES/mDpMPK9lrhqNQmFZimhtdeL33zODsxib9VRMbijdCUXI2XzEgfM1M1R7sW/usyTX7U
xY567DTOF0jbXnvpSIds66kImmkRfCLEmYYqaUmTmvblppmqtp+PuAvFta47IiiJZ4R0OKW7nnjN
AJegxshJ1pzQ1UJO1nHpDuE1eccgb4Uu7hfiSNm0GzpTHCDB+0f4b9p+xcUbYuMTz2k+iEgRY3lT
RqYelTTXz4ZoEcvV7G0bFs3HnPnyZdSbIaR52LtSHelehIinSzeu4pfJLvAJc52vLi6zt8bJzd0f
3+nc5xgOVG9D5VIoyVzV6pOBQ0ntxZDnYV92XP2WdBousT2jVqWWbTwbKASPWOaHveGafpCmoCW8
JlnuNCLsvtWre2yF6rGm3eYUw8faTgz2t6aIl0gzPS0qZlAOCibbqeU2fIS5+TG7Cq7mQItGoGuD
BXfHeXDLns2o6W5pATe7T7mi3uO8j28JI6nTqLVq691Qr9ZlBthwi1TVHBaz3MG16xo5pj1ntC5u
6kzYiYr5pdLayK3X9SmdM+OKF8g68CM65qaYYmgd0q2w6zoLE/5tFwTphdyFZyTmQpKa9RzF7LXv
heDPVr3XvJtjl51wOrhfM+ZnCr7n+mSJJt2V3uxHZVXenN5dTsPwzAfxVus2v6Ohpurq1CM8i3g6
tkV/aPDO3U0+vpSqcdqjzTjxSj2K96Bl1RjSodo+jp63/lypM/vhLvbyUPnyqZpr7dtdhc3ak2LM
pJ3oai3wMIpsIoq4rOO9wPFGQDQxRnqB4MtAS+gzA6N21oi7Jss6Y79ivHhkmNIc1zI3t+Qy+cMc
T8TLJCZFNFfH6RUC/ZrUvqq65CEle+FvxeCPIZ/wTJPPaFRGyJQ2U6Fn0ZAwt4C4diMe5K0kwYEa
iLyr6GkhBdCsWHjjpqoeGsIyYCtbtw66rHuh82OmLa1z7+o5rr8zg1KKQvokO0eq0rYTgL4flmbL
Fjx8LbdzPwGeYjouAnfS3DrC4IQF2O/o35oljUiD0L9WqsGicRpwgThEaKe2zfGKOxcij9kPX6+K
XRrjgdkUMCkCdpn5nuH49FPkWv6R62X6XDcEUDCX4dDz1WwOW1OR+GAV19Z3zZ6qNrTzwSMi56zl
3klW1hu9OEAXKR7QR+vfa2XlgeGIytjwec0vFLIt9402MRVJZhVUNlg6khiNdTTIMNAlWY2kCdBk
8ma3lmKOFNcTaCXmcJ0cS73Esd+sW2Vo8hrXtvWt6+mvhtjMXTI43ZfWFJwTx2JyXtTMmoI6u6j7
BneKu8kbT7ysq4l6WDv6tWmynD5SSrwUEfhn7kFi0zd5cWJLLd7HVfeDaaJ8Y6h67HwJYK86edLz
6cR9pw8spRmB3yenosseXGe6mXVb/6wpXlbMv9aBqaNnRZRqoa5Bj0LmBuOCkVtVj4C1zZ1uzHju
USB/qmwt01fRr+9Lakt9yyZND8qIqzHw7YkviOzKnoGSf1wUljmO/ftSdfhyYIBNu2517otZq8gO
OQMXGGm27HJWb7EE2xYFNoGo0BH4TDwFAiyW5BNupyB/TORukkRF6ol2hw19Ye3eUNSD8DteOK70
9yykxUYM4rV0bucYonUnyOzkhLLpgRx+umXrzmAPrCd9JOQ+uK1Ha7QZOKXe7wj1Yk4lTbWdZLEf
5wFaSarRcqA5Pf5e8aOKy2imAgvzuzDYkM3fMc/UHvMqtdR66UTENKJSIynQSFzNXkw4ya/nNzcb
tT3RJH7lueEHOrl85ROiY62VIPwrXWxzTyTX1m85XXv+IXcmRaO0ibEMDBjcaIZGXSvVD9ct02Nf
JKxAtLK86noxnGrBq0L1EhGftAEHqtchllPS9qoWgVBefgBpic0YLpfVz3XU1Hus1ktoJ9kzL3NB
sc56JZ7qBb7e5FG/WPekEXTefMN+8GKD+luHEM1BLem4HVJZ3eWY5O/NtenLLakyeV0MVlAHwfCh
y2S9I76jX9clu2Nvo72IT4YT7MJ5A6CPH82u30epwMPms9A9OIp0u1eUzjnr0/ZxthL/TD7tkxDN
ciJXzVHGHV3vrG7/Qe+GjNI7nV4Lo06MSN5MswR0vahXebe/UTQwMrfqKGflMA9Lxhf+ntPE23W8
VaHdpvbG8JHQ/CdSZ6sDqg5JWWHMomLxiqFW7lob1lXTxtmZLKrLitXwHdKjGKVxecWOZGDU5dmE
tLrRRrPax32strL3b0UtPjFEe/60XK2KQOQtVxlbawiscz7oc269kKBpz0WVLI/UyVBjNuRgLsa4
3U1k8tF3x1xzQ/xWqgwRTBXLp7GcBebvXdvZy4s705RIKVP2aGc4T5me2EAVJ5PgoF5XzsVKqtza
yFLYxabWeOpXLm4buPLtCY0kxRW3LCSWutTm5RlXgwJTo9LzrQ8qguK2HqLcDHQaI661fruZC9i+
dG/lTGuCLWujEfG6X2Jp8eiQ8fqZiSJ5mrScoi7C6PU2ibHQh4wspoe+4Z5Li9c6X9shnq+Yh9W2
NTX8w8kSs0zVJIqexyLTzoVlO2z3K5GRDBcYMyNmmPhrwtFeMRECxD/TYaQee8pXP9RU/tay1rG3
TLIsvnS9C82UAmW8zHPT40qhZnI30wl+ZhSlHZPVyra0HWSPKQFnLGeG/y5Lt/pRTtoAzmBOd/Vt
zzckSTS9SPlQV8pusWqLGtqDyUnQZhc8aH1D4BOnIkfsNd33tVkxyXWaSBVae1WlH1STAyFjIFbB
IAYPpualAZ7Qx2VYl6hcWhIwPgnCoB/yOJpTS+wpDRoi8svN58LjFeqJoBrM08TW4dSItj8sODTb
eNHuHRLIO+4IzfkPM81gd0aUr+UyYUDFwVmr2g3dzjOOcUbwO1mkFzTMufH+D962Jzy4yVKcSm0h
wn52ONRZSoZ6Fs8fep7Q82by5dSzeyRfcUXaM17xX3+JKktep9lKf02Drm/XMSk/R63E3qHndR7Y
Q/U4UyV07J1anheNUi7A+zrNUQv1avZsEl2sfOPJt5NUwUZ2Not2+5V6l0HPVJzxxhpASK2uCkZ/
ioNOm9rz5Jm7mcwkSb5Gw/eetxFMyfGoM73eKcePj8ZqkQ7ThiY0qlgPEwjDAedMbWMm1XwaWaw2
cCy4v2i9f2FAv5qBXDt8IgxdqRHz1bThxEBWuarjgf21TYZnc1mJRrm1MQPBKWUb5XOx6xiJXHxy
25vOco4GdUm3jmGOt4k18ilatX2Y1dhtEmtxodRZ0w/bzGFPNVprwn8veH6rzomYsFUnrfTZ7zpM
tfJ5dWx51HSj1jdKcmCMCw/5pmE/xZ3bcbqrLC4C2XMyp1S1GXoSVowkmEAsT0lPp9UyJV2YeqRy
bjPk8XCrctyCG0uDUiOzkOssSX5xK5XS9RV6GkfqHZOBmuQWzzmcH1J3G0/QfsDAnj0qg7l77vLh
Oiqui2w7weRb02eCUh9wgn4HoqCuC8VBkCts9z6x4ypgMgIcACBIQJXYmeB7CmCjJ/QRZ35kafVh
XTu2bEgcYG8PPR2sFYzGYLZvl7iZHMEAliFSq0t2wZ78XTc0B3scZTDH7fo8VfxhC7QR9ldDPyTQ
NTMd8Yq7ClZRGlHrOWkZgywrb6yfRQ1YjW2N95X5foLmeNsRsrTZtSqfz17GgJGGWieIPaz8Rbw8
L51VhbrIc/BgrrjQc4a3PW3OVpWnhJx4FBxpLBFdIkgnqbpUGbWqa1I8xrk3bBxa1HnEBs67ame6
OiyE8WNIslc+qNfFIRJpd6S9XNIYZXtp2ZHtiObOpg3TmCAYjjnL54gCJdXZjGKpAs/W1L1VZP3R
gFdBpB87NSslPGnb0TyMz8Vy7wFXeLBT2uE3zVRpj8A5SHZTznP1uNF/p0CvAt2ofqxolDUMOIgq
fcLwhLQollt7SIgVxOOOInv7k/fJBybCsr/wsJyo6SIt3zAsgu1j7qrKH/DtufdxQUCrMybrx2RY
zx6p/mAuy+bqYOojKd79gE+RhsJfcvxexnqquraIGr7NfVqbBiwdclGuP/WchCz4Lga9mmZKJyKp
tJeiT7hKcmtnF80YtCzZF8OJPIA/+0Iic8SMSSOhKIavMaa7rjN45Gwu14w3zXvHnMwozXz9IoXt
PVje6F1TSYaCntdsjzeuvCaacYtoeNfb1Jt8KBVJ7A9F+hovS832nTvXQQ7mhYB8cdVJyIdDS0/7
bL15CQ12VsXZIQYCe3FVV/Jyze7edTL7TRCb2BsEtCaE8uvE0QB336B+USfbPNaZQjUgdhDFq7Ee
GTOjH7gW0zJHiWZLrWW/t02zvGptFl8GWfi/BHB2Ohxpeqa7WGpM0woMBfTikYtmp5C6m74MDHlc
xjgqNj+dVbBBFQZ8qNsF2bpOus2BmOxL2Oij/BDMRE60lmUPgu/glMxtdap0a/HwY4v+23cXyY+T
GbIE3Ot9lS24y0UzXx325C+VZdpT01n5b9LIy/lWL/cO2Dh/BOxHW6zQmWiJFsF+mR1jNxALR/Dv
SbUyrMFgLXl46sQJra71eBXN7i0x++WZqtpup/x8eulpkQNJNA6gosZU7uOYg0+S6dlZdEkRIdU3
JxKWdMhy3yENbCzuKRZpwv18sIPRUTNUEFmvIayJ8TJUKkVB68ZD1qqCuWOGdau3ve3SuRm2wIkk
bk66OZkWeT8CsH4qu6nbd6nDqYbuOOTSNjMTJAjuR+oxNSoVb1vfYNCeGx1pxTVlUIGj0ifWovia
Ro4Mtygcy4vpieKX37FPrWJuKJ90HP+ZPIYTtNQWE+8u7ddqsZIfGkcb8pt+5OVtbW4YzhFQatu6
gaXFNlGumh80g7Be095ijCZU8sQa/8hEL9BtrsRI/hxNnsDhQJHSnW3rtjtFwhTDsXegQdjdeAQL
hSH1wDB4TCCi/ByoRw37WglECO23RWnmRgdCbTalRQ3baEeMtfcSsSFQaQUnBcIOqXDeuTYfINy0
B17d8bOjoJdax7kPa+mOgY4VuIH4QsBRYzAgU+eY80/fiMVxzp2h1Tsp/DqinW0IiykfyNciVjhs
st96zBY9UINLLbzjfFOs7ZPUUlY4ctBzJ8nBZPanEwnUBlIOlx3m9Rrkarqhu3Wq+409kX2UVAsG
kj93tFosFnx0TPoYwfZPI40wG8ZX06VJWChMPTae83H0oxuOPFomp5KcchMuRr1XxJzOdG2DafWG
IVXeQ8tY6/zHhXuR1fxCNtYAQJJMod1nBG2XWu69rHDYdmcqEXv3CNO1kBvL3JLuYWbV4m0n5GWO
T4ZtlLvJXqYtw+qCOLYkLWxNxY1WParItIbm/VZq90G7bP7WGUP/ylyNjub51rgeZqasT+Wk+q8Y
leBEM6Z1ULR2Xik2KM7t6jb3kCgyIFbJ/UJla2hVi3z994KLeRNz/iy33Cxk/BMoT8FU8FeT0YwY
lUsd0oxhw2nSIGps4B6/VDkz6aK5q2KjeXL4rV7QXL7Znji0kPkQWPWswvlwb8dpoq7uTrRc9Qu9
eDHmrD72NSCiPK3A0XGr+Q+/8/9FgXdY5zGSWC6CL4L3nwUqmwlTPMO/iNo6s1+WVPlkmi3JJYCc
aGFj1OpvK4451l/S4kUCoOCesrK3L41XwSw0MX1yOOoO//6z/Ltu5gic2AaYdq6Dxl+L8yy9apOV
Qs8IssC2x2mCHvUQc8HcVK20QzumkQPy3X/q6/sLHf5mSIB5DwYVCis2PGwQf/44hLPyRA8ks9ba
KIgWxTdQiZqyMJbiucmsD+zpLwt+4sADQ8kVgYO6g2CwGVqvuqdOuMC16HwwesgvCJHeFexkDUhv
gWitobaVq1ljn9VvIlVnICYoQ4WIHb87zLcbJtqCk1rDMqAn5mfctdcYaubGaIyokrO/K1dsew7y
/BlwcPmpLaQGBAXaR9e/ETTGFQjW6LrPjGMkXOF1eu8IRoUd8PedlvVWiJ+o4DRTvntED5LNDaD0
ufLubHj16pO9Jsv3v/8i/+a8o73hli4ABIq9/+/OXX+pcYzO2EUbkAbh3C07KLj+lUl8vitqwAEB
fSDyefTIgi5T/pUarh4APoBl8e9/k78ZGzBWmLQ6YPJBwqHZ789f7cR/aWDY1NGwWO4DtAMPrcKa
7//4Kf+rNNNzXfK//7cY05/CTrvv+kZu7f/6V/1/mHUyb5a7/7FE/g09+/zBspz2w8efebW3P/TP
vJNw/oFDlCTIH95i5uaYA/4Zd3LFP+iwIqtz86QAYPuXtJNtEITCXU+uySA54t6+0/9OO1nuPzit
s3BA2Qd5z/v8v0o73ZTy/7O03xzC/AZwkGzbxY3h/NWagAhGuKldgRm4sg9x3ntgBkTxViyT/SLc
fi73DB/Mh66NgWY6nVoiK9OZq1h9TeZOT30JnmtgXNnj8A4qc+YyLg2rDOpEfiXmQEXywFGicWf/
GRQm7MUhA3T0L5/5/T9/33+1oZqYxf/6D8FXDZfXNWlBwnh1S5X9q7sLAiEB3kwZO3MW+d4AzvfC
ByjGEzyb2NhSL15FsSN4Vd3YHcBwNvFpcSsGcutSfJISocl41K2H0Vvnnad88eoDynvCSkRiqKxm
iyGFI70tsm3yIGvf3M8mEy0PVRcsFfQXtGuoM/a2WtV0b3jK/cUGxAbOVW8KEhXTTcy+OMaVu7nd
6OISc7QLL2uvSpCBXJ29DwXNbQVWPhuMmuFDbjpyLwPfSjlnR586c43FDQxNzhR36rE0yN5On6Yh
tk58cenvoe6L4UDJp8Fdc066OuzNsXygXBxGg4AW1sxxcjE0yl6qYXIrsrlmc2dl5MA3EFTaT39e
m6e8xtcXjkYrP+u88t/wBlSRKJaBaAvOKEY8CTHexKFIBrxuPgGLsR3xos1T/4a3yqSJjf2iD2wW
Zvh1sQ67RIFrDeasLF8BXHdBt5i+2iCJ5JFY4HF4NUk40cdZNLm6v09GA6SnRxV80y3anrlSxuGG
Gq0Yj9q21PXst9fMWlSNYBq5v3cAzhNzPDujMC/mwGkaM5i6GH7cPENi1LbzqgNkiPP8fq6LNMz7
CUNsPcHExfr0PjgpPteFIeKXylXxttJ1flpg5F2mKbmd26z2FVihsbXIUr/cJM2Qfg3gLovuAXoy
KFFNGS3eauqb9st3Z+cOMguSyErXSgNmnOmhhCtXaKON2VbvjtDwzWsz9vUOJRqdbUSMSsmmfQye
H2KYvPp6x2HLXoOqnOt9Zan+QANo+zA0pnVXGa0iw4tDipvqF4uPdiwEs7d2NZKtrPQBJF5pbyXj
0kNWFcarR4HCxqmtYVenBoRVul1+5vYgHnqxLL/L1EqLwM6X9KlZZbUGPU10QZ4CvmiMZTqv6HLj
sYJv9S5yIP766kEESgc/BwODUBNZ1o2OzFn60K/LYbXNz8Ga4jPTDYwZTver5QXHfbNkgWVBmrEn
iP+Gttw7ruZ9W95wkVkXDAYXBeZM29aJtcjpk/aOBpeo4XaIxWnM7mePohlXVc6pVUZkJG63kzI+
Donx2PR2E9De9OUyfsPNgZTRjOfMR4egVz5YE23j54wzjKWdfswmA1Hf/OxoAA/pUP3WjKe20a6r
8KKyYJ61TPJBMRWoh+W5c7tjnFrPRIS5bpWP5g1SNjob32IUT8jAHdOLxWE9jlXPeAkFvyTxjHQj
uPp2z0isH1o2v3YChI3g3d/AkdnkiQFU6IVRT+jk0y9GU88yN38uchkuLurnndaRqk+dwbrvzexr
kQlwgEGpazNo53xxjxNkZKM3uEFg/+i+S+jKmwICbIMldzNMSdiu1G+jqT3rPgNpPgIrJntH7hFQ
SeOdh5Qbj5Z1z/ZSnGH0byxdRXLGUbI6e72lQCE1NnyoZPQ7OVhMLqzPwnWzQGvc4UJwXh4YJeb7
yquAvMTOsVNOs2eC0H5aUqvCrEwAhBlUoOfLnTHUbxr+qW/NB8Xpds4xm+fn2UntSHeG+slwpsgE
Q/3DVC2s1ckPqNPetAVSPQhXO/sx18Owcw2AF663BjnrZ5Hrwdr8RKqE+Q1kjAvQd2W2j1lpNZD5
WO0H97rMRRetcHQ3TvnCYe5ZeleZyufMslMWvuorzvn7uW+3HE+ZvICzswc4UFQTPwoAyJULCUsf
A6NlT/ScFAaVGY5S/wkd4U4p/YLpbYO+foZfqF0mAHTRkjYPfLkhVpa9nCzQG0pIBpH947CqMNOF
BATYR6Yro1ojzzbjh9Ls9NIyEXaATDjcswPhK4AP7Xo1Wam4Jz2YKxAsrcZyagIXFW76lqS0eTbN
xfb5rtLO+oHdOoKy+TDK8i7vDIhbGK90Lzt27oDIqflnep5kUMY0/bWMePNEgUfP0rvM0u54qZ8Q
MoB48LclrtszpbtRc+ZNXYkWGEwV9GhN0TA5d5AiCs7xzd08TedGG99Rgq8xhDf4zsCbIJEvSlHh
4YvdAi1qBSwBtAzeie5cjEXA3+zcx2QcT0XcXKuVQr5Me3Ws6mzM4O4kGBhZTkxt8sA1ani7Yol6
vGybpLYOc4JqNawg2BszNEQB2XyIKkZvg/NiDhpWNxgIQaq44ztdCwU58eP9YHRnVToXRdfzzm6+
eb9kqMBgBqulxCkexop7RwbgkQX+DMEHeWrRYU5W6lmSFcFZ2S/Dpjb16r6qEddXz9WOlWs/Fg7X
V7+0iUBX/DQgeUvol0XCQw87hBWYUYOjsw0KHtZk8PbZyuSor904UBw0jik8vN2kpLHpQfEM1kcz
uzeozBRvAFS4ge8vIgCmm59ST7sIXLA8OADV+jTDJo1C8aQBG+76oFHrxyTGx7guX43BvVut0npV
omDuuMTei1f3Qe4VWHbExnHF0bP5pAon6v1sW+L2gRyrLp51HtpXr8nxutl8Tb2W3pf67Z1mwlXT
spUU4VwZr0ITL/aCU2rKkYXt7N0s5czqJ/OtUzLyItFe3g1FjW3D6n8Kt7tf1e1uu1DV3rnobuxI
q7EXxvDqtTC88iT7GDuKwQbT2w5989UiuW0AI+NWJOix6RyqyEVjf02VeKkX0HKN00whOuIvirYD
cIFDmJYZCsBA6wZwOx4o8DAJeOgxAXimuXv8sPd93jzJTDJhxr+kkY8REg9cda+EU1yrjmFRvy9o
r0Gx48CiNgUIoAVHI2qyDznC8ndylsfcwa8CY/6YeRb0l9h54Td+J9S/wcl4MDt9m88DnONJf1NS
gRiuMQIOv6E4XvyhBY5a7vzOf1dZ+thAhBGNB6bfcXZxMjxSj9cEtHnbhNfSn9Ir4BDZk71xNXFM
xHIyQAr35cxaNfDkL+BIdrWu71sZu8QLYN3qEv+bCpMyDf0aspsS1blXcRcKjcLEhgcVQtAhVehY
bdaeMxpmNxMrGLmsAq8U+PxW6+5Nu/rV6aiFi12lu6SBu4+uSm/boqxoUE9JV8EZnWM8qxjAvLE5
5ZoOitg1XxNHIH+PmO+mYUKKmps9pe439Ckk1B4ctTlP+0kn26Gnrb21y5pz86pDWr5B82sDbJzT
VqFbdNtxNKIZwpHR6wVp0Jj+LtPoN8wkrY3eG+Y+LQ14hZy9kVDl22A0O1kUR4jCD7bkSDazojDM
Ez/9rgQQj6rpLhY5qIasrMbxIpzctN2icPAhp8mvPG6A/RSslOQ2SYe0eoCb+5XKk4d4XS+G7eAG
EC1JkRjxfGnjbwUqWCuXhzoFXdx0QoNwynR5MfmAFWtiFjqsTXKp3so+TY/Igt2GZwum/9K/lhzd
9oBHDlQT6cHUwS9qPMSpug7GVf42/EwGSdW95tp43wjzlfjdPkFei5OOlcNkHHJ7KN28BF8ESizz
xZ0qvKCuZX5YwJxCM9YvGgL5lqnzT5OyvQ1XMyp+u+XGY8SQkxUUONWlPQZJDeetjruHdUhfs0Hu
dRZq2lkChxJisOcsuuJHG+stS9tk7aSp8rCo9T22ihexgsa0GhUxZAUuAxMf9PLFNpGo3HVfiOkH
NVlBWTr35oj804LlUh4burarB+eLKX6S9Nl26heM1BR/rDRDpJb+jZ19ChOZ3s5mJzMe3jGnSMA9
5Wm1YD72jp+HbTvtrd7pP5oxjkTH7zC1pgvDevl5w95vgLhjIlYf3py82T2Q8FQSZKuBQzFqjzdF
Nf3ySlxdizx3mL9DjSUzzFwHH4JykiGAP85nI8z0qK0GCKTkVpd5TnWgj1m760t1rnq9Cuw2ea5Q
T3aNkyqyTTleMshSs71csgQZoPGpKsF8wmF6hBnG4prYYW89ekl37ASWDjeFg5sRyo2I8quN3uHx
xH1j5cMITBLvtGP9NnR/Y5TTOVMycs3lWdMxqAJX2Fl1+tpZ3SPJDc71LLnjkOPwwehta8N2zhWu
vayWz4WV6BCxC8caQtf16/3s816jLI1cGEsYloRPDoYcGVt5w4wv1vQPlTO5Dy3HbjDLQCqCuDbU
QV9iSr2kKLcmyf8dLVfWdwM/8IdXS3KUxizWPVrPXpAhYQ1Z5Qb/h4FDUo/vst5Gm9TqFhFXMWs/
SmoIPp3Ctd50Z0qH2zGjYkxAfdY9Nyrktkq13GJ7CZmwoFqhCZgSWxiTIM7OU8HN0leG9Z1z02DN
SG+4bqJDv2eCl9wn5IzhBb32UNt4ROemMdTWaTvtTnVT8XXzJJ6mGkuuhiMvym+s95n2j317678R
owtwQFVUUSoKGahBtaxtLBTHxhq78ltqevS05i6elBKDU+hK3dtWfi+2i/DaL4e1/lzr0Lpwp5nx
iwuv7NNc4+WIMtC8uRBGw7lYiUfrxaJQd/UpDyTz0UDM4CXNtIqfgAR729QHDzZi8f4y1Qr1KQVn
oW0sbS69PUFCvE6J33oBbnb1e0AnvCuhwW8QD45KLcSOfJjlU+pAd0GOpbVzWjiUM/TmfDbaCqRS
Pvo4AaWNMLqm3GFU7xxVjuFIupyTB2QyuFXwmwYMTK9zqxkfNXZY9KHye6188bRW6xAxEO6GTauS
62BZ1A/lr14KN6EdQN2ovsce3nq1GVm1rC+ajzjetSizq6inXdb3tzmD5u9nR0M9GWtXe0IzF3Dt
25xqA+6ZyyapfOcYN6MJWk9Y3Qt1LPKbHML0M8OAeeicctp2JSFix261yzqWGuUzI7tiPA9H6RsY
kPw1BffGT1STlB/EuHSIxzhvdbK/BY4bT+T3eS+yg1E7/Qk7odous3QO3Qw4eDIatZ89WB68QvWP
NinnD7cffvSKV6CeTwnXql2FG2TZ0Kyb/tKtjCW26YErcnEC97Wx9ZhCmLxzl42aCoYm9ph92uhA
1LHamEsgDfDuY5xG7RHiJn7H964OT5YZRHOc+gnDgO3ihuPuz6+tnrM/MJ/G0G5F4nVB7xLxsrjW
1ZB94Lwq3OwjtqZcm8W+TyasgO5cb9e+X3/hvijoejPkG20Yasdm81/MnUlv3Mx2hv9L9gzIYrFI
LrLpUa1Wa7IG2xvCI+d5KJK/Pg/9ZbBajhRnFeBe4AYBXGqyWHXOe94huyNIL/iUCAf2dEixz3/F
PfGx+anuFwNhP3GjR5+T5KLBfy/BrpKA2TV44bSSU+vShrnONaSKfFrZgcx3gOXFJsJCdV0Kg6hG
NxY/8thJPtFNeN/7sJp2U6CDq7KSC1shmp5TAgEeAo13apk67o3stLeNPDNGi7LYyeOVCjW/YXjm
jRbeSXSXlwH2sDewNTjAR6eFbggHmKy54jYVZn7jQi1dxzIxbxAB6DuID8NV5M7z59Ti0lNR79xF
ljfhYmlNR8gJ/Y1fTvNnrgpJkewVapPC34DTmXbwW5wsPlUD+WErNZfF976tqCYpX68qvy5uHZ9B
ZtHaAucQqjqSuaojfsrTA0EOXDg0fW2LKouU4WE2qrVCObubY0IjShMDNxoX7PXcSt34Kqo2KMAQ
esEFWnuzKbCQgXAaBZgB16i5tlDqk4t+kToMSU3ILiKf6ovBd73hVjW3UHZcnFf5p7sSY8cMFs6a
pMn8efKC+Zhbpb21SHg6uqK7qXT+QdVuvPcDuD0ulFR4GAA6DVZ0H2AFDGsBUZFBggPXGiEBS6C7
+RgxKoYe7MdHNJ3dYzWaEkpD720NVL+0kB61GKjlZD1gjuDXFNKjdWFpr78leMN/CscGT3nhNjj7
lxN09ZJx8CAxC1sXSelirr24ScLPGj8V2PvXO0gMnyAxMVmcrNy4mpEz47dcYNG5j/l+P3iiQU2i
O3vTEa0tLuyAWO3LtF/42GZTdA/ImNLHOMjwMZ8wz76pnYkwiiBe2kKbD1KPMH0jq6rvJOJRkAX+
/6spnbytwhjp6GrHuR/msfqcgQA+CVysBdEoc2I4K5uXeME9iWozS0+YhBYbgnGRBPSG7jd+VuVc
JYYgg6227vyyr3aSS24Dm3W6mfvepG0oDZpS7Pqwl+7AdQ3YNp1osFjJawUVxrXghwR0jX6J/jRL
8+Ik61GDJFDXOCKeSAGNssG4GJRxwD92aRHM4NaK8JZKh7nYu5OX8EV05sNgNz9S1eKo11Xxt0gY
/b7M9b5cjBdI8PnaNOjHFPIB0DUDBAOuhbHtR/qXywrtyqWKFeNSTtIIyozho+tWYL/VDibT+OT6
eTxsgpAjHjwFt2ehLe/Uy55+Na41SoVJ+cZnLyPRriXT5yumBQ0acFyyLwYcLCaMuKCD4sXtxxfE
yfgPWW7Mu2502/i2MMfFX9dFjLVp3Jrzc5h6usJMF8EBWg9nnhmiYwZRQn5Ff22zK0a918bk3EJq
8R5coE2uKLvvr/AuEjvtUpSuotTP8Jq2muSiGUL/SdWpu+2IfthBakLe4/c1gomqqoZL0nhyCmbk
CjXNehkIEvoGcdSz11yMfTauiRzRe9Ha8nPQpeKTNIZ+n+VWcSnnxCFPaQjIF+bozr8j3mgPI1lB
NzBE5JNB8XPjtFZorchWAqEpyfBryyW0z6oq+7GtwabhYMzxQwXBZ6+juF5YDgnJPMsezBKsSRUR
bog2yGerMW0iZNVpPtQZclPcbrA6LqJpumngbp7iQuHXYEckV+GU9SEe0TGhPA3FdV8V+jaccrQh
2m3TdZin5brKMvxrR98osA4RafRQG75xgFveP4qpMw4Ev7kt9uxh/dFL+u9QatDp9KUPMj3Bv9Mb
dYUUb20lwwYZym0QhtWFEZrzFmdLWhWramGfX4SjZKZhlUYKvB+Y16mq3KMcEU2D4MTNVQ0Z6hj0
aFm1YQloLS3tiVmPEqoq6BJH4vewr4C7S8s+2c7YPLRVXT2WoQksFRl6vsQINM3XcKSMrYXAY+v1
OTT9DiLxjSbTFwAvGsQOAQ5RWQJrWvymAHDwgN20aNA2iCTSRxrG4IjxfonJi2x2ouiqD9o3rMsx
q4UFaGI7iOHo+O3KntZDiut147c0Sxg80CtGBZzqlmE1aTMSdV/tfgjLIKSfMOL+oSpt9YzSrt0b
aVE+wluNor0NmvwlmPGOPZXacfOTA4N7Xusi+Zhh6LGNfNJ5oowh10pKMmcpVLx6NTRt6mybuBd7
GxB9fOr7Wt3QtVjFiRg/YWPGN834D1TQ03PdlPWNjJvyxjOrRSeaFimVIpr2Ty2a8W917UGRU0UU
HeOq7Z4E/OW7fhEQZosAbU6q4ieUgGpHSdM/6rziU8h8+WlAcAzDPC2zD22kILzZuXuoQwtwF3mg
cSpEmN20Wd9fI4Q3Dq2T9OsMxchN6dT2Vd23GJqbg1ilmVndAFyxoTpffImRuxb7rJsoFoV0sF4L
h+ERpI1I7Q5NK1ry1F57Uym3tJz5LjT66BBzGB1TaqdHtsX3tlAUGABWe0ip3b3R+d3D3A7gOaPE
Pz3nhIk2sInZAVkeFXceJOQrEzAUYjE1+FCiGmeuUHxnMFHvNdlx8BYyeKFGb/DJtHUPaU82OofP
zyAAStpd0wOoWY7OHrqoMreyQLjI4LElmMSzs63b8sqjtHd3nHHNHrMXOKFywk52ySv+6mAunaFX
K+uNNZD1pACiyrprvvFebbq8qvvhaoRAXWeYt8of5+vOdMXOisizcSfVnwpt0o9Jt+1AXjKHmq/G
y9/VzW0QpMYtZPwHP/YfmiQY73O3yreOofCY50/FCmHkW0LI5EDONC2iESJX636FmrqhRtfQ/Qnq
8AyIvcxcjdYikaP0qvvGQ7FTNm6zybyw+JzHeKlztugrqab5BMPcPpKaWF/FhZwfQ8G91SEk/ZxG
jeBawzIQn4rhawbv/6EI2u+5HwL8llGwq0BproRkLLcya5tgRd7EvO6HfDhaMshvhmS0v0x9eDHb
3nhJbmrPjV4udOyhJYOzrcZbVXiyW2ctoOIaaBAVQ9Qk+VVA0zarMbtN0KusEplXRxhMJOilRQEd
H8fgb0ahYCvGiCoZeDt7ujWqNDEfJ4s0ExORBYii/T3FiNBbDbkggJSwKZK1mJnHFzZX0A6NQJJC
Mc/KJ6OR1g/lgk3CEut2Y5BNOzpmfWrmedgmU9CskPpj2dOIIwpFTNha9WxL1OHIonHNTi1McXVd
UUHHMsBr0zC6Nd4b+XXfMtEQpXGdxbX6FirzS+pF0ZNfAqUhhGUaYnZ7h8wd4o5SdVWlvnvig3su
077FNCKcJKEtI+MsxcsGTp+AmGZKOa8i+DGuvafQBykN09ldj12CzqQ/2CaZJakuTjqzNowUjPuh
bewjVhkIbrslRTRYIIHeuqnaanouEkY0owfDyPX42S5z2A16bh513+zdRqsP+BsfiKwE/vTtmeZ2
XpdRshFu/hgGzWOdzd4hWRLaqS0uJ3v8bAxYu0Dl7Yy7MPFu8Pm/1gmO32F2ZZfm56Aojl4Ns15k
B3iG98lY3CW6Oc3Q63kUdnbh+cFd2Dfuk2XPEArxDF+HJPVhl6kOCfUsvu96NJ/9HMS0NyQIUnev
VU3Gg0PQZmOMDzQtIAVZuVeayhyn+PzbDIJ9OaPnJn5DNShlksGVX+NRe5qay3eJd8cZrJVOji4H
lWeFIDGdLkeDVBWspqtnzdG3nyMH7mjs2c8+ApB1GBHTwFhvQa8qfd/xSefrtHcYrNq2Cz7epjYW
JlPy0E6er0H3kSyN+IeAl+j8gGM7k2XPyz8zN6c3z9pmVyNk3oB6MNQf5bVJj4ql9FRd+PR/ZDzZ
4icBbPwIEndczOUpHbVtcEq2EQRbrrprWlvw48afir2lgvl64Czcj25OJMs8PCd9STYr0/3NnHZM
B+jwD2KMgiezVhS42mcYCX2W5iM1QXJWYnHAxjlY76y24JIyhra6C/Ef0BcIGwkdqZuUh1Qyr9M5
LgdeMm9hzy8K1mXku7ZCDQO2Mrvm0fNs5AIkQxFk2U5XdJ1yW0HcWhe03NnKiHT/0Wck+T0tIyC3
CdnHZ3NyyvsssBfTAqtf2whqjqDLEJwdp3QOOfFohO+NUXEy8VGv4bC2V1zV+jEz2uaqhcbzRRl9
C2xIcQGnFUbn9xo6+OWYqOiZ4Ov2OE7INlFdLYnLzK/3hSkH4jxhe4TrIa7QK2dmiAF32eNoB8OU
+3YmXhi+LcUGQM2krQ/AecNjXwzJTIOeo55ppV9cQaM1ym2IQXhwWYe2gSfDLCGrQw0oiJFjvvsh
IyDuEuK3PLk4xMAjSA3SidOeQdVo3TOOrIElSA2lFA2OkRKGAtAM88vAhL+HCsTwTllA2xbnk0AY
kUrvyYlQLKyYc5Z8MRBcn7JZpbuh5CBGpVvcWaNlOXjxkVwpZt86USfKA1i4AWM2LAWPojSpyyJz
avxdnmm1BRAut1JLeAmZL5agVs+9NCv3Ics8MC8nCpPrhv72GDuQiQLDYrRFl0wwq+SCNXFZDlL3
p2jS+HbOHM3YuKnsGxsvf7kebGwVWldlR5S8MSOorr5JKk5A5njDLjYyY6PSGO0nukkytfojjAJ+
XqzlcDdg+IzvQ1gbW8/V0wNmG+WjCgJc/SFqrDzf63azcoJr0wqqiyC6i0T52S7iZ6dWoBtehGgQ
qcSH3JrLC9jT1kdJfOAteQ/dhtprwFzZEHtiTIyrqmhxKMBMT62rys9u5y6KP0xtX90N3vwV0YSh
tyCIFSBW6phyZVpTZuPDnjBAy3FAp0SayUguilTd1jJ1Ny6yWBcbKtf/pmMnO5C9SCAHTo4MLjjE
jNo0flq8xLXpJNFTrsZpx3lgH8KGqOQ0zPHfzOw5YuRqqZPflhG0Bn+4rPqclqVqrK9YebhYVUD9
Jvi4uywHlPFTXnsHxo/hjkiYr1FQfcgCkgZWFX0iiC1r1KmTgAJi2572tsP55UVr2Xj5trH8n8h5
5wc40IiOvPiHXdXtkRzWbEsrP528PE5uQKK9B8bx5n2EqvRuYlJ0irMUSBXXaeYlTNsID0n9D7bh
1gQuu4n/JZtz2ibSgOnyulzdjaIAvEKdRPKWWOyx8QUsLiKdelsMNZwf7H9YJFUnn9qwCIkPsSMw
K8Pf0YdeELs+X/ROToKMVyp3NxhL3rVfMLDLKgs2b8SIyemaKFh5Ux5do6QJNoDv6s4clrkoDd28
d/EDWsepnRBViG9nuLbQkIZoOkLnABpm3eaFV972CbnbesrKU0JwuOZjXKRkrkcicZYztdApqFdW
tz9zM46ee3ipxBGkc8L4hNw9wlfwoQFCewbWA4OrS3kV0kquirmqceeAcpSF6BQYoJKCbGfdTaKx
5yb+uVp7ndN/C2pZbZrYG2BHp8XVMJfBIUNUdjmR1QLvwu3ue2cusC3A9LLuunht5oU1rNKW+9M2
CT3fCCo5gi+tlVf7d3Ykp03sZ/Z9WaXTyagKd40Oun5CKk8sBeqkqrtVgcacGwaEWVUmaYpZgB7W
lYJk2sEHm/N5ZNQnwbGYpbvpJ3PEdcJ24yMc7+yoBqwKeztOoEcsrTJhZuvAluNlU7fFMyAltBtY
9iX0qSMuDM2Ntfg90NGmyOvt7mZydLIesWH4ZNHd7cNyrj/iwuA9q9hQ32XeLAVFKVew3sa1NzoW
sjwre8Qg5FG3OTCKXdx4U1tfmvngXvfmDKoT1vIkZDfu+rivj1NL/DhjfiyhsqG8ZY7Ab7Xs0eo3
LtSBAwB18ETu6rhPU7OKNpRhBtdzXd30M8djY9lAtA4Gajdt7fpfojByLyy7Rptmgx3ZNGHJB7vh
fa0Yn6kTMxJ94XdWjiDaa/SVCMVISh9nB2aRfmx/xzqv3zBAOPlDLkFcZEiOnANaA4ebqbyRTs5l
P1BnouxjlqOdql8phmgPFlYCFS4t28Fogq8p4hjOVjMev5dQgm57GnhvY0H+R01YJQg4J/K0vOJH
l1OGRPP0MED5HlGWXbKOfUyB7HB36vBaSlVZf26hxuwD4ibAUol/vU/bDr8ilBwWw+jTWIAhbpq8
dL47cQRLwKG0I/zQSnBaQDKPOXq9tWtCrAjCZW5C/cP8XUp4lGko4QIYnqXXfDCElb7NTD3zOYNg
6y7+n3jxStsUnjg36Oxyc4w5mOKLPogwDjGaojzEieCo6Ri07eC9YJgLewGbOFdceV4fLYYJkP3e
8St/yRJfHOAdCmaY6rbjCJ//4yU/No6R2pWmVnsHGQR5a1G3je02+ccW7K9Y4v9jksULCvibyRj/
H3ngJk/sf+aB3/dtG2Oe+6Po4m46fP+3f4GP/58ccAPFxb9CNnYRDDjeYkMJO/kfErhFsIXtsU0I
LMIaFBb4f0VeeNa/wqwkDkNJ8rlhavNK/4MEDj+cwGB4zo7jSMuH/v83JHDnpT8dzG9sOvmuBTpD
5AyWc86dZjhnkovOVVCZMtz1OHKqNYYYTf9xlB2yVOJjyHfalXReza1pdrO6DzwvSbj8qPpvG2us
6A+ixak+36C6yYeLJG+I7YI1THNcBY15l8JaeILKCNUBC6JkQn+ZxrhCRfCxoW04QbAzytzA1MMq
CHWiO3eMcmx3bTrVUb42E0XmW12L/t6BYSNWvgDw8Iqm/eabHWzSyvCTS1GN1gzdxCyZUJWxkns/
rPGsCGTvfLR6G9KdSPww35haYuCWjlV2cjDc46iKF4mvlh1k4qIvEnOlYkY3uyR20nsjlIK6iKi+
bGeKwVIH00rmTO5UO/GoMoNB0GIK04QERv22jf5Abf/Tu3E8uPlC8KI9cfZuatTbgmcGTE9UWALj
UDcNuu+58o85isR48/ZyZ7KWZS84i0smyoLlP7i4vjwnAmA0tlwHozQxEsLexYBeE25EKPVXk1Rj
orqREUXHsoCO9W32W+thqHT7cdItW2CK21G/8wRemv3xF6Elw0l5sQLmfzBtf/kXIQqeE6w2uU7a
xFT+RhpIxekpgZadxNYUT1RDBDNlfqs2oi7Gclvkbvjen/HrSf8jPVg+Z0muDKI9iebCwkaaD/ZM
Z6NU0c8GSvEIOKPL1Ib+qBQ3VO1LmG/UaXMnSTEFe/EsEiXHUOHoY2XAdgS9YimQVmL+goSw9Z/Y
8p4k941xdF2skBDHZsBg3ygOCNSDdDsAv+d3sEMnKBJo/ypk3KLTZKa+/bJf3gnLL1rUS8vhYkI4
x5zy5ZM1iXoBlnIqAtxir/w8u7abb/E9zJJ3dpXiH3r56BYxiySYxnWFdH9tut+sd53CDtgjSB5w
yxs7tcYzKbNOMh8BNIp8jKe1BgTp3/l5558O7vd8ODZu+5bwUUYtkpHfVsW1q64KrCjxEMTyhYEP
k2dbERvcJH5z8fajfPULHc54rEz5jTgMMx96uVZomz5NXEZWGxyxERsKOxWwT6di8C6nGpLMsev1
OPrvfBsvTaV5g8ghsF/iUgd9lSjRXi6L5ZhHwmyISQrjWaS7Vpvekk1YA9v4QfvEHLrd0eFU3Fz/
dbf9Lw6lZVmFQZKJnTISJu/sk4QNrKcSBJ5lzXmuMcXS4wlTM2rBmHL429urLR/Wi92jJC7/EpYJ
y3Lrnf1IfOvEAMLMZHXGdvKiaSqXURHeRUaQ+bctTspbAJD5EnOf8Z0thNzq1eIMRfBEZ3ZOJol/
/mLByGsR1wSFrTD0qfBxTn3ZFvdtU8zpl8zxZOuvSIT3nT1GlQD9ERryBibhABsRIUBlWk6wosBT
oMXlwgG5dUewvtM02K1am0WfiRtGrhA0gKoFjjkMHudyvtNlOyJ44QXnd+Vc4FWitDVFsGQCXU/3
VWfi6y8C+Mx3czDE8087risHiKxVeBbBqHPN+bGOB2P4EZr1HD5qqQcPawVGwulJ6ljI67gwrRr3
OXr9dSjCEoa/hi3mHlOI15NYayb3wRoiPQzgNoQ+tx09WFngAnMs5n7do+IXz4lRdmo44OiSy4qo
QoRGj9HMoIuM9XBGBlq5kSTn1p7H+SNZTzEhhsivHQwpqlDJten2keEdmDbq5NiFph0B7SBl3qsJ
juIF/wZj511kjCXq1JSVk69ZQZYgvYskPylVls/R0ZqoScrryAUPzA/sXJdBeTU6uFR185A7i5Gc
wYgGBEAEzhYgLR/t29wa60n+LGxV6AZnmRzT7k1pF/4ktoUh68hd93aAVyf+RMNUIK7P0az4jJyY
gZKrO/1MYQ0CSo4lAbRfDaeqxBorrBr2JKIdimyfCr/9QX3jdsxj5ij5AXaRFUiAAiqTVQF5WeC1
VlT4asQhOqGNa5mjxp21S3AhkJqB8xrOQZE9S4FjFOwKq9SXqGFzeFOhzkkwD6tuOABaG8a1MhfX
IFA4P2o/REU8FbdUMNXPPKk8/z5sDB3Bk6zwhf/YMm+KuNkzc2DGl9LlnqgNY3E/Fb4Pej/Smu7s
XkzMclJMF+GvkXuuNnHhhOPjVDXjBSB2kO4qhPL8XUgGwDCqPNHOZeQWzQMkNcvflp0uPIMaKezV
/NXDwmKkzuSVIYXKvFKme21hc9BdtQRZMOLG2dDKqo2vU7pC5hEO0VmIJey12RbzESc8eKhjm6c4
81XcK0wc3S7uvfDSCw3HrbcAPDJ5IJsh758WORNaprpJzOgw2q0RsXVxERt3qUC5TrY9nnuzu+oc
bdfPgpGwCWwVDtBjB8i+Mx5vI6QvveolhkP2Cu832HuhNHK9aexJJgd7xMF23eE4rEKScrFOufVg
lrEjyqqe5VfRYFRz4OVG1VYGVmcCuDbomkXqUJaayM+Sz6NIYBA6dVn315Uoq+JqnjxrOhGRSsi6
BdKHtWIqdO1eaNgg49VU4u2w97RroeZzvBDLvSwO0/40JHnltVutI8RLazaHHA9VbHaB9zVrwqB9
xDMZaBMVRoKlCJex7ohVxUTEjx7bQcbxhZJtpXuAe1rJw5DSipNNOxY4md40U2YwljJzTLDuSs8b
WwOrcpuTYjUHlsw+TVqLDtiJuMVVPBMQ+UQOqdkfoSCV48Fo7C44GfT093LUUn6bOsfN3rsQX5U0
FDWeSVnjKWXaiGhfXogWmDfU8yT4GU2hfZn0ljg4bmy/c+2+uhRc/m36aRddvYuLx9kqgUGC8DRm
zU/Gr5AddWVgE1gCyhRLYHuIZJPh/3thZ+d1MBkrisKCyBvhLkX6WZ6DCib4Gm4X/Kx5+AMeBkC7
EBbMZNzRwOnhQMwKtK+u6WaaF6xcDox4zOnj25fx659OPJIN7UvYJlWHffZXjBDDA88mWHnVRgHV
+h5TzSbv10Xm2c2ppnlAcWXXtl2/cxW/rALI0vNNaRFmx4YWGEs7y5v/rZoTdjgJUUt5QVyvIi0m
wuty7+EUfV/w0UT7EscxgMl5UOsudmL7nQLvZTFJg46omAwNUiFN0/OEOit5DBGqXjoxJF/fMi8y
WxA8L7C+Ybbo5+9srz+sRdcvsImgyXfkeXJHJjr86ehhdpRe/lXIBbzCSya9RcP0njf9y9e5/Cy0
5z4hFZZPhY5H58unio15lOI/5+7qiWFRCen50OZwDUaXeWk1usM7b/H1esK2UN96VFN0rd5Zy5EQ
WWIBP/u7NNDRBbOi9qJ0TSYnNkUNkKvzznrnuwYHkKWRJTeUr8b25dl2NQI1DADo/q5KS1xhlRp3
YzTMiJiD9gqPKAsdROBtDGWX7/Q8Z5308miFWmxT8F9QrnDk8ih+27DwxLDWg/i9g4XSLuqhWIwk
12bB0TSj+tlUw3TIEGY4qJwbBw/uXOe7pCY8d6PKwnonVOf1nuKvWc4NDi0k/+chN1lvDnoimnin
o9AFRh6T7BiWBt49pt1VV28fEi/bkl8/nQsWXwqgKxfE66zzYjAoMD8Nw32bNIzqmxTzFQlnUKDX
WNteweClTAz7nZ/4h1U936EtAXG1oNGffaLwpyh+bWnsMifr7koh9EGpqd+I0RQfMsPDvNcYnOad
j/U1wguhGdtZS5Hz4guw3pfvmWQpyhDhYxnpzqm5z5NBU9iLqcxWwsrVzjdDI2CiM5f9vM2ghUIT
mkxXrxB5J2H3zp/z6j0DkBBqwd8kaUO5LF7+NSHmfGGlqKp6TJf1uuqzJnsaelQhDlar3d8+8l83
Eg2vtPmknXPvkaSJLCx02nqP4dTQ7OI0xwR6wdIhMKGQRlnyvVex956dzatTxOWwUorrh2+L3uzs
1JJDXSJkC9o9KhfzQ2ILfW8WeNiu+743ViA46r0VX16+7GiSFgT3nskHbXPrne1oM7UM+KO4PYba
2kI6Dm8KI3H3BWzvZzb1RyGT4j7vwvEqpJy7e/tzenWIUfJj+MEpvbxUrsKX73SsJIN/FXT7CeLk
lzSzGFvEZfuQScE4rWitHU5z7mZM0vGd93tmo7T8biHwt+H4VIBe8jyKMwgLpO8DUqKhD+c9/G7o
BijZvuHBNR6mWJI4D3V57VtVvM2GXl+oVKl9ajo+82YP/81+GDZ9IPCDePuZvNrnbCOGGrxKG0BO
OWf7vKxgJCcdrjtE/w1r3+mrvdEihMUra/v2Sq+ePisxPrKXBGFmQudghxPXeV+287TP4oUOWwjz
co7a7pAmjvGpM6L2Cg8XRQB7iFjh7aX/9COVoIqSy+KEvL188SVz50bO/rQHVePOcgZY4uQ3fPF5
tt/fXurXN/PfKAtvmhA/ZlSYypCECeN++Vt+u66k0Y5xYmlrzxNotz1p84i4mnJf5F7K3AxZeCmC
DNVlHV6P/oTVXwsL2TMbE9uISe3mrH6WucBolkZtjTlEfsrTFI9P6ITv7MqXb4TqgVAxrlRiU0G/
KJDOMPEuz2sW8lBZxo5tXWbGKOfPBsQNDoAwSG/cym3v88FU+Hv6kzbfeSvny3O0+hLPJXbDwkY8
f1Kp9qBI4ai106U7HArm1ndOPXxJrWjYgyBkWDRq/xJmb7d7+x29vOC4Y5aFXboai80ozV8f62+v
yMmRXaoRX3VXWsX3zEBzg+96g6IrR5iFN7BUw1PM0Ojx7XVfHrfLukuByNSKqB8C8n7F8fy2riVS
4lCaydz1xIbugd6hiZej2GdRyZtudXb4P6zHO+bDplgE9Xu5FbEKxjc6AFB3Arc9urOnT0bCLKeZ
k68RcsJ3jtc//TyxoOBkDjIDU2dHiWFXTdbDD9wpWfo3hYOWa92hEcLbvcShU6tAvnNJ/3FF4FqL
ECq2768U998eaNnZfmzRpu20xMkXoYzYT8CGWzsYEqLiZfnO8PflOfLPC+S9WfQtcLypkV4+ULxB
hnasBA9UYiWC5Gq4x61nRAc9ef+HpTC3EyxGKeT9mjX+9tPQaNInEXGI628RbdtpQqVQlqNHvvIY
GH91CfzzuzgdSU7m+FLm4q31+5nVWRq6qhdbuwRf96sWf6YrtShMsVIf7t/ek68fIRfg8ulR13IR
umd7MtdKzRpy8E4Mvrv1o0W/SfrMYwrt4q+q5+VXKUx7Fk8u4sJe1xqdv1gpIN3YIdghn0/2coMX
vYc9AN2L6UTEY2g/3f397wM6Wd4cr8g6T+nrVaTNwevMnVfGOPB2EPMfRomB44G6KH/vYnt9hCqP
r5sDhUqdA+nskxN+nw7RgBYndo2+vrGQ10+ruCB/rluNTWvXmywSKKJBQb3pIQkrAlfe+cGvD1Og
omXaze+VjOTPXig+fVhFD721I3WmZUgHkb8gcgOlnUtHlrhqi3gn+/tXu7T0HDY2dxcJ5y83LOST
XDiaRfEGjLcL1oORNWDrFLvWtrYnMuH6qfnrT5KkOz58Gm5uTbgoLxfl4fb4pY32Lk7Ux8HMINZO
hVyTq9revL2J/vRMl0KJ7cu8xD0fHhst7isYfds706YYx9WnP9A3USNm6bwfDB8jawM5zNuL/uHL
hMdLdjcJGHwV550t9nxOQlagze00EZWl4Mxin5NetDDptm8vtTyp/66Rfn2ZoDsMFPB+5L443zOx
DZBrqMnaxXmOg3xs2NfajfVVMBrRfSby9J31/vDT2KHUfa67METOSTu5KgdDJ6wnytBGltKNtzLK
v6c1tnFv/7IFPTv/ZXz+5MTyTS4+ki/3CLMjnab9NO/wyOg+mn2RY3ObFck7N/vrZUAegGeZpOGI
6C6Wh78f2P6Md0JThNauNSH/MTUBS1yjgLCf3/45r88XADR4NRRJoIXcDS/X8XxjNNoEaitO/ewJ
DqLdDKz13YwgOA4BGewAmcMu8ev3AKfXW2Qh7DiOJRg6gxaeNYqzZ2B/080Y+EltYDhtY1WnEMIN
4tMc1Grz9u/802pA0AwoFc23OK+EC/oGK2QitBtt4ovc2MWTj1AYTIyzzL2s48lt/3LFBS2Uiik3
XHvLoSB8+WQDo8ZnKET4Xxh+BAPV+kECzuWoqgDvKJLW3/595x8Aq3Gtg4BCfYEcJc+eJvkAA9xw
v9v2xoDcg5pwb+Tlkk+YeUnxl1XZr8WodEnttnz67bPD2aFVRQbAYtViNiAqksjTvEfCMeBSb1al
euebe4kpLCMEfhzn8kILY5wgzi5BfBIY7w6y245W5xzwz5vucOoOnM3U58mR9doTTubBQSDw/8j/
qv/ydFnWt6jR2D8uhf35Vm2h7hOcZnRbDDpHbIswSJ+Y767Srpnf2TWv3iMUDATUC/cDPga0jJe7
ZkRFB//BRqXbqunTkGRVdFuh80sQFlfp7V9umoXv4QC5MjGgAP010v+tBLXhrdkW9sToLIvkGHgp
HnglE9LOb6u//13AjQsU4bA5vfNXONpYadRKVtvZihZva5RquI4HZcv8D5v9z3/9w7io+fi4e1jN
O/sa0p4MrmLg2wsZqe/okryntMbpDftV+eHtpc5vckAVbgPIM+wLmu1zSmDi4n5UB263zYOuu1St
OtBaYFOjPNoiEirRJKDQeHtNa9kFv19CLLoQVBcwEbdxYIiXuwSNEwPqDIc8t/KLWywFsmoVqaa7
mNHAXAapZeFd0Ac7eHAmIijbnrYxtiyEyM1GfpcVkuEF3mPvZRX/4Vlg9AxwTh/M1fgKfvNxgbBc
ZvkknRS7Ypz9bF3LctqG8HMuVN7Eu6bCIe2d4+jVsvxzakE4wes5Jeyz46hLZGjDFCEhecBbZGCQ
vZKNY5N6Gi8xqg2gg9W9cz+/+k6XNReyIW+CTsA8ewNBOBpjlBKNiDNk+jO2e3/XUi8cysps39nM
8vxlL0tJ4FveOpDOecVhIwuLECjorcYxfuXATHjMe3+6f3tP/WkV2nq+T8z2OH+WH/zbWRDPcz3X
SmnkUYa8TvCKWptmoN/5Wv702GjYqJ6W7hB+38tVInvqhOiRLbh2PVyOIsW5IsLFHR+9+r1G7d85
O68dx42tbV8RAaZiOFWguqVOk3t8Qkwyc6xivPr/YX8H/4hqSPCGDe8NjOESK9da73qf96aFvyQ5
WJVokhbB8N9fhONqZzV1BDqgoZoblBEloOh0PuAbF0KGGJyAuuryv+5zy869COmWz+OFuNy3/u5G
uPGGkS68Asd2dnplQ4YDCwU0omiC6yP2zveRv2EXYNqTv19facx6wr3GI4o7mJP127P0Efs3C9rv
WCfqc2VTCRHyIv15vdV3RvBNAYnUbImsXWSXY4qkrdYY9ono/7W6ynjokK0QVwPP+b+0hLu37nI6
8Y3nXWkXJRFtYbHEEp1CZQevfxwy/V1BKvDGDrK+BbOJ8lH/v6nVDuKGsRbaJV5QnpfVD6mbgfzq
a/xhnMyCGAez7UXrYTNiCD3cuNusdHNcbpa20aYjiiRMz7Q5/8w29RK37uZhrxRVqDq34XuMIeKX
3B1HVMVFhhVpmUjxscKTbN443uS/6H04PuuylSfOiPR+wr8ZI55Cku2vUTnwigXScX003tkfSAxz
xHF2O0g5lj//a2KHvBt9mwDj3lDqX6PMqUMxXe/G9rC+pS99wUlKFhqtJm/x5dz7q5HZyTMiNgy5
7N3sWLPxBpRiWw9eH2PJM07GjSjDxcVyac8RVLUs7wKqfs/bQ01V51QT0V6D2ZBUqBaszgZyyTm/
o8QE+lJE1Y8cUPzn9VgervfpeyuYghckBchjGPlV8/hqZB30YYq4KKh/NBqj1w/S8UBxgvfzqJLL
u2cllLAfr7f7bjfzpkQes2TK1qqc2ciHsdeZcrmVd5SCzd5JKtfcOUXe7jAsvZUHeGeO47+OGcxy
QlNgrK/WVy8RMwK17Pd101DEDMQu/UOQU3ymHGLEkCNv7WBCfvsbg7l+V7cJgDJNt5s/uBnhLgd/
B8/JPszVvqdKqNogja5g143ej+sdc7m5MRl4HxJ1YjyQRq3mQ9UXhKF7fJZ73qP1nIHdEK1RGVis
AWV/ud7a5TAsVwjShsSABPvp6shlsVlOjbJtb2VYFyFNmr9ToMEuEyoA19Tq3thQ32vPJj3pLndV
khSr1WXU+QxXwOuRzWc9BkoOvPov2Lx3MAk6sJg41HhmdaPRd7rUfXvfE3u20DqsTmFlk03v9BTD
oTrJDlRTW9/0CJ11aEZpur3eoZd7lAdVjL+RmzHhrNVWinhugjqXT/s47uQfE68ZpMLu8O16Kyu9
yrJjnzez6kdpD+2AIeW07xG87aSr4lej1VOclrgc/9tY0tWg4lWUtGLXpv+J5nz8oNtJ+alJZNjt
rv+ai/4lzQ0UY4mgEAQnEHo+ZXNedbAUBWAEyi13BaK2OwxAcOnnfbm/3tTF/CGYD4KD5ynBaJ97
1XlTEUAeyACtCKqk716QDNr7CO9jKE8NDsRUxo83zsZ3GjR0MEA84HzLJfp93iB1xZ2KXcMMPCnK
B50h/wrkzD95fiwe487Fd+L6F16cB1zeyKPxD2JvBj173iDvtVyVVEZjM6JXz2YSOR91K7P+jWwq
UDYFalBCcTpJk2OEfU1xJxPt1hvq4iqytO5RkUH6aUnbriYX9zzfyjNslqIybr6XpC6fdEICr7pU
1bTNxjTayU53KM0wmxsT+3Iq0ZcmvBRy3NTLWasLl4vJg433FqCxzl7qmQScYWGJ7j4qJtu/MZku
zj6+UxDd1BEEUey5rnSpLTcX9lybQT9ihE+FpfaRHv23mKJkB98ovcsHKnuvD+97H0imgFWJrstC
cnY+vKLW64FTyAyqetJOFKYDvMXYwxWvFfQN78Yp+85kQswGZuUtX3oRbsdpQxM2jnsBb9ZkZ5vT
eJobr95hv1V/suoBO+Moyx/7pdAv183qz/WPvdgMmSgo6ii/IpPBhW3pjL/uUlE6Y6qJFxo2Cxmm
FJ0b3s9+qm4M40rURTdyfWCyMoxkh5CxrTYFpH0Ud5e9HWi4135rxnK4lxjtvEoc3p2dghyI4Wws
83ifz2Kst9Vk9v8Qa3btG7/kne8V1IAulSfGEs5a/RCoQULWZMSCMYvEV8riZ0rCZXMjcXO5JS3y
InYHCla4J6zPbKcdPUUNtRXkbfKvbVJShAsjI4tOHG8kDz38fx5FjmreioQfuamul4mVORHmB4Md
cFH4FWOnvgNqeitbs0yFs3ASA8d1wCdmxvlL1vZ8qkiNE2NWEq/xCWOVauEr8vqSd76pssP177no
P4ILVOPyLQgbuQsu28Jfs1KVLa86ahSDZEBxuokiBEE4TZUvhqw+hCl02uvtXXwa7TEpfTStHCOk
hlbtYU2t3FkZTM84/KKjhtsh9i/lzm5bK7wxWBd7Go25AjHhWzAVdf15Y5pb2JVMUyOYzHL6NPtK
finyGdU5biBHHmak36t5vnHpeafRJWIMOYi7nU7x63mjRYeZ/1DwhUg664e69/UTEFVxYHt18OOS
004JymGvd+vlshdL0QAXVLRQCBrX+Qal1b47l3wqBpXRi2Fq7dZOsGMyHAETOcZktSrmcdMbdhV0
egX5pPRuHZXvjO2yJJYsPAF6BKXnX66XQ6SB1GNsi1jsGx3ShhS4FuQxpaHXv/dic+FzydLyVhNL
ce1aLFpjTxq2VKgEZuhnj8M4RSc4FrcKF94ZSq7ILAuCii75v9X5pI1+6TmSLbvBbDqIkzDdZihH
A+hh9ilyCvuEDP1Wev+9XnzLUSEJRomyfoQ6nTsnrsdIjoz0tsvL/IgqJUEFS+3O9V58Z/EjdIE/
xn2UCu31Fu2Fhe5LUg7cVVN912iWtjXcVO6Sukke3oil19t7rz85DbjpIoAlHrf8+V+bjQWUgNSO
bgR425rP5kL3ynEU3SOGBZ4TYsKE8WoaXG/03f4ksUnMlnXB5n3eaGFOTtpQ+xAMHp6ijcrgoZka
jBNq1m409U5/Eiox2U9tSq7Rz583hUx5NPs2NgORa1O1qXOuNBs0Of53CiztXSTc9sbx906P0uJS
vctfi0jqvMXCSeehCbm1DVEEQ6NNZwTNpnugbLB9MKf4n8kT5o1XwDsdyrSkLXKpnFHrZR67wFs7
RpktPI+2Tm+nweB6AOeBkB6uj93F5Rv/J6790J+QhtOjqwVY6yMQej/UA4vqzSCz4HKVY1TtrDoH
mFMXcyC9ud7Dq/vP+bGlZYThxEh4XRLnP+9Yu8VIKekKpExJWOyQEIKWwfR8H/ne/D/MGmIOy9WN
mwVCpvOm/M5TDsx2PUjrCBVTM86gnPri2YwlNflA9f6H8cMxRyzR8KW6fLUgMvTYUTexwUTLxMHb
F7dPPCjv0DX8vj58780UrknsLZwJy7X3/MtScgiunpV8FEQR8/cwFZ3zwdBi3Vhe4vPr9dYuVx9P
YY4fDqBFo7E+eOe5Na3MZ6OueTcHmu1n+4Qn4wGni/yo52Qfr7d3+XWL1QThUWcpYbf1VT8qpANY
OZR2AFtL3Nk5YobYnJt/HC+MP15v6p3jfWkLUTtzEeEZtilnO2eHhwPv/w7fDtjrQm2dATMxsGeg
FZoDRgtpFAhFveqTg2MSnsHgVor+c+1RIH1HXC2M7q//oMt9x1gexFS1vWXd/NWcrcnlNhgfEw6O
wlA0kHHsLPo5OvZc7MSEDcSeKDqKTbfHm/1G2++MM09iUpqLVgUV8/Lnf50iAqcrGMm9CKKMugVO
EM88ljEYJsp+oZChM75xo1sG8uw6TnR92YbIxSGcRnF33mCezAM3kBLXNFllQTf1yWuIL/Q9YUF9
nzaafCwsKAsDkLIb2/tlYpklShwcoS3KaVOsA6Cxqyzw5yPiTWxt4WtFjH3foPhLi67+MffWeCpK
alETUToPOm5yH5q+rg7VPA6fbbcZ94U/mzcm42X/E90iaLk8unyu1qsLbk+pt5U4Fbciu4pPwpTd
Ppva8gQHaH6qhXcjYPlec2jkEPkvSn9ee+e9j2qPUw5lbqCRAPjUmJgNbFOvz7Dbcft53+S2n984
di5XNmGQ5VWJnJSr9DrwwmB6ACSBm1pZDFK7APhdUTXqVEEPR/SWxMRYFu/5/KI6h/2YmUVsgufY
+RfOBm95O+JAxamp3dlePUJ178yPo5rBSsle7cScUaFe5MVPNs9XDDLcbTGSSRWVU9349subtb9s
aGgQSEUQxVxW/l+rq8gQXHZGa5JpKRSW1f6UbSn2iqsbi+pyWGmHWc0LF9seaL7n7ejS7Ps8JriV
wH3/jGVxcnJyozgVKAc3Ivd+Xt+w3vksxAhooJeYt/V/bhl/fRaGwWUU20hJs5E+xrZBPHlxpb9c
b+WdicPXcCIsj2kKCFdztfZUVM+lTkArT+3PaoxzaD/ZMJy6sunMzfXGLvdgMkZLLEknaebRmec9
ODU42uHWSXhQAoeJNV/8oOwomu+JBmtyzzExaoekxazixtC985UEI9kOOdIXxeUyn//qS2W4arms
LS+iuTsJPDKSjSY7WHbYcX65/pHvTBPaIh/HbWy56K6mo2cQIRhtwlliiguoOALclYX/ASUf8T4G
o3JDcvxue0vyl2Fk8a8Pdek5o9e5DgdtNod3eerlR5e7yr3XZJhAEvjZ/w/fx7OdC+Ciql4XBHKj
bZ1WTTbIs9TZ+yaS2SoL3W22vMMmgM+3TpSLzYYsFoubewt1KktdzvngWdkUWzjR2kHTzm4b1KVy
4TGOACKasJV73ZMgBpCb2NFGq2UX79xc+od5Igmslwb6zPrmlnMxn/hJyNnZcJlVFtKa8580ozVt
BfLqoOT1RwbdnLBqRZ6RuwBi/mN309Qid3MoeCVIuj674PXOCflQOyDnWj9FdTce4hk+mUopWOip
ar8xnS62HdpDWbbEKB32n3X1pUjCEG84yw6go1BUKAsy3Jt5MvB5vv5hF33ILsATCREaAhsihqtD
OcOSyq37DAtefBUCNdrpYfJbc89O/u16SxefhJqMfYeBIk8q2LrPR2v0NOlECLwPFkUsn5g04khJ
QnyjUu6yFf7TZMOXDUZf6rfOW8HbBGtbJcUBvoZV7JMsNbFdh2o2Su8/dx3bIo9w6nEdCiXXGZ7Z
ym01Vso7hJQy/SK95NyF+NvujEzHfPx6511sLy51qYtilpaooVqvPsA4LTjrxjskmU32SAe2jROS
9RBa6pTrWvh0vbnLXuQJi4YMfQQZLH09K/qsyzKnrb2DDX1rT9hzPuGFq91db+UtSPz3BYb68aWI
YSmxI1hG8c/5YPWOi/C3UtVu0AZAzpbR5mV7T1lz5+z8tF68c/tOuMMjK4QuNaniCA+kSWNgspoF
mlJBufY5QySI0KEtczgHmSUsbN3l1AYGuvt/GpyK/8R11H4a6tl7puLXehFhhpNs3+TTFwSz3SnM
HPPTMHYK7m5XesaWKn8zAaoYiV/pqGrg4FQMP46ePv6IBxPLx4bA8EmlhPJ2rjlhPV20pj8fCWGx
/2V2rcxN6U640TpUK36IBpMaDR/CUPWkV73qH8LatXBAzTPnt29BzdqasR1/Dtt8+FGYC3Kod4mN
PETSxtuIzadRd6FQ0VMl+0EF4FzwKXZwAp93SNiKKnAxIWk2Uaan7t4ZzMh48dpa/saZvygPJHg9
yGyhgUuWGOfht4W3NeCskdWIGNFKBpzgW5EV9raFZ5fvcjsdi/rYlQMWAqlDLhrrqm5w4oMBuMSy
NgqgY1juTD/riudS5lG8j9pIhH8sewShyMUDO8tETyz896H1gpOOiwa73MTW2oYuBC2lNlxHgZIW
1uADodVBKoZa4Ms4He8hbY3jn6JuREP0zfJ7tqNumr71oWtlMz6+UGUPEuaQvbsxI5lwZxOS8AYr
DX2LoAT6MstQQpat4z7aJ1FaHdIaIjwUMVCLcWQDriQ1AZh5TiiBLat9q7zwRvvrZY6AmwvgYqtA
SQW3+mW3/uuG1M+ymqg0TvehM1ZH5cofYd+VgeNpkO/MSn2+8bnr9nj7s3NxqC1172QZV7ckYYZx
PuMgdowgp4bB4JtFG8wgOLApLckT7ua4SIZ726xNce/KxlN73LnM0zjrnX9wR2GCBbHxAw/6sNFD
3Epb3dsUjY1FUoSDcfZPJWMg4Kjb4IdXnZ6FnyhSo1TKwnK0eZrGSD+SWrUWLpXPPzXWwoeCa3j/
TUWuUe3NZjCheLoZUQthZaO7aeUC5hLFAFKq6KtK7jDsLLMN0BxuQmQxSlg+KJFczBm0mJQshXef
a5Oi/ecM8fqDodXwYJZD96feJ729b5s0LZ98nB2sw6D02LgzUzP717DTTJQbveGJtWHXSP2XwTXr
jzLto++MVOFsDVz6HlNDJv2jK7R5PwxQID/hg53pJ37rmPzMBOmbr1GKj/ODmidpHUKrcStMFQoX
tWWZUWqMgwBq89GQcnhJgIJ6B5zWK1jP2Wg9+jhVJ7+t2S8PvGdRneCPz4VoDwxNARDvyEbHWwc4
J/gSI23bCQpzW5iv+GE3Y303JHFc33nY2Ca4hqaRgVILDzOFub8zi6PJ2xQ4cOs30Qsm5vr4CVtB
47fiWmeciJkZEW5HtU9uFCZPsQ99fAG3dosl2ev1mcjTbbX0Fq8WHlmEBbDmJdC/mvoyTgaTLa86
YgtjNHLbEMtxAwqHWfCxVlWR2giWfRvgseF8zgGV/utHbAsvNcQcb5NVqIQ3soUbBEeGQOXd7Jaw
Kb0yfoL5S7EhzF7s9CzDrG280R0/sjZ4SVGhiwXhhBl5EpvlM3Mc//Oy0LF9rafZUIyXXlUvvRYN
9Qek1VoRCK8Iq72uw18DqFNaLZi4AVu1h751DbhMk47xyVaPSxScFRWl2aNWpEmyL5vC6/F0xTnP
+wZI0p6/O9rsiVdIj9VPT8YW3nuYBcl7L4lyTLHxDsKKjv3AzJ/8CWPEP8kU+jUbkSPT6Uk5eWUc
py7r9kCBzDTw49xvW7rJgkvvogmU/5Dac7dTXof4u8W1r47pQlcp2M/EhKwphAmwS+YeXokRp1EY
pIQBn2yz8iVeiWUZfneconc2pY026D7p3GoK0ojV/RjmUY3gjcmotmFipcdQtlrH+VkIOX3A7czv
NqY+zm4gEipEMkEk5kM7DOXd5MdjBm7Z7vT7qcSK6aRxxf+giSL2QAK244DjuWm2Ey7pravSL5np
mq9zW4Qdrqktqw87Ga2J212RYza+061Em3ZhXmdi51aegPES1jEQCQlFFr9BVFXeYrc0FTOajb4G
S+PEVaI/6yV+Xr/c2dLmO5g1VbFXcdsNcJONBRLKxUV8HZtSZp8JPM87rTRS7wj1MfrV5rnxse6i
3rin+7Fxb7C4fFWsn+gOHy8GOUV13Wi7UMxgyfQ0BdHtVFTZ4x1m4advJeD4wi4BUhxZzSHB6G/6
USYUlz1LXFamH7UvLYbJAGYNaTQGEkNxyvg56jw33Zq6GnZIicnLqj4v7yCKVPFuGmoMwyA9xoJK
bZzQTIiBosy/lNoU/gPrS1nPiTJmBjyFkIWTc13cCaCB5mcXc7fkAWS5T9yohhP8ObRkkZqHIafC
7t5vmf3dpk2U1TY74j9ZsZ9tUGCfMbsUf2z+EHGIDeK2hRFpcOBCaMmUPJQRx9xdBOI+dPaT3Up7
m6b1nP5wZ+Km34YwtGEKhw42D6fY01L7GM/gzIPSyKyHVnPlcDfV1Pg+gn5zrdMcaoUBYC6twXgU
+I5SBuON/t6sOjP/Tf6s90/8twSX1dDq6r3uNu6hc6YId8UowQUewaSWgFaibALAXwas95/eAKu1
l9Ixf+khiYBffV0nchcXs4o+aJ3VfrWNhmoUQILWdJgG0662fh0np64DXfTYUik1EoDidNnnytDu
iWloXP76njv0pmuA9MCCxPQ00JcShpEAfBG/UrfxhrQoui8NcDTtX+5gANwtKg3rI35+g7EZU934
HekxrIDrO62xvID+vuPgpI9gmLJ34FgU96+fLYMzqdoD7XUkRQzWlqh4VYEr5F5ycmsr9Z4QdOKx
2UeJd9TAalnTpp1MQHxG52ZQGyys/lwwSHIuAF1AXfycpo6XonMTGF6NQwdJhsMvf3L4f/VTmxPe
vvEaestln38D737eQsi9l3frWods8x7KIP7MR8+QEbWSVtXl9zjj+e0Of3RYKGmFeX1eVt4X0IZN
sW8Avbkvnj1Z3MNHcg8PWhkl+vKwMOxmA8bECz/yxEmppYoi08IkrSysPRYrlfFNZio92lVtiE+l
ndnfPKEMAHeAPLp7Z6HB3BCcvakQzj9vqUQiSr6UTFwWn/gKjWgYWf1xQJJUB6CY9MfO4R1bq7Z8
TifoLnsFUxlyYzSGMRJr+R1CYmXtJnxij5o3fbfJrPxBjAbxcyqm/ovd9b+9cDBvlXReHNvERND/
mZQcc2YSVjy/sdqkO1tXTsOReQWeazPWEvJnlNZkgjewtVO59ZJUf3LBiVXBokD7r94pJAhxS1/S
ymhYeI8vd9y/7sw2MPmwCB39qIg4fiGFpPaQrwu8S1M2/DEquDleX0IXt2ZU5dxVUJCglGOMVjGG
1O7MXmukftSY5vnBAHU+bzKX7Pa4SYU0jK3qWk37dL3Vtzzk+axAH8zFCYEeIThnncuLJmQ68ViL
Y8aLC1BjO4Mi2BJbbH9ZZhw7T6Lt5xCjLGQ70BnbYjzUccGFwB41Mb/4Iy6RGy8b5n/FNM1iK6uy
V90mFDjnHmYtlD+HQfbZsFHDoLuYUxjeg+27jbkr+q7rsxv5mXUYGlcvsbz7/y/kfWEtAFTTzYQ1
esdIesN9zYXomTi8/9A2o/unawdty79Q3gqkXLZKEJaYsIW4nDm73jl8q2tCsyP8WwMZFIc2bf3h
rhrc3nuJABnGnzPfUt6DZ+D3fOuOu6yFswEk64XpJEoWrrl4K6xmKqhOjdhQXZxkpvsP3uBhN6wo
TIo+JKRFX7SmGepN2li23BhY4JvPcYa9aGBHU4j/WYsT7h07cPI0pWkPc3hqWpEfxsLMXyHaUgBi
pTVVB7xvyn8l32hhARnW/o0qxovj403NTN6S8sI3lfX5coukjDtTL7Wj63TB5CfRj0Go6Q8LQbxw
Fkb7yYi7Z7xJxZ9JzOGN8N6bUdB5H+KggiiH1wKLAe/D8+ZNaHElttrZqZ+txtjFfjQ85KpxiNZw
9QBAlGRYXo+QlppPLuFS6OmJkC/4qYsRvFJWuN+tSFTR3nS54IYgyouw+OkVXfI4uaFXBdnMk3Nb
jZUrYYKiTQNgxCnRwn7Hylu9DGjWH/B7tMfNaMM/oJKlpj4S6HBt/7aFZvMSHSd8ayJlOCBnGqxj
T2SsfPPUTebgbSaZ1dr3WvFUTu9ta3C8LSErX483wlDU/+pxCPr3+t5xoQMgbLjIey0iveh8+Z/z
biuH2ScwpqenwYnGeWP5kzoach6eiKBXB+IA6cknNw5TLfpdj55xpKBI/bj+I9Yzh2Ma2wl0D4Qy
ETmtw/V+VSdR6HT9qWzJBN3nIRvphjVuQDHpe2KblpU6+s422sEKNFHpyclOKj0P/vPPICO+1Oqx
EXjIEM67YpxnWN15rE6ZO7XWfnDccdvhWg/W1owLYxN7idoLIIGP/QincurhfV3/BW9hlb8nMT2x
oKwIuyBDRPO4Go3WjwnJJXFzgngReYfFggFgZO9hHTqrDu5HEo5988ATq/1pN8ozsfu3q6dMjV07
bzDHxukij/CeqHulyaBrk77dtUbjZGqjdFDVd16vd2mQIpx+qGa9HH+EjLF/7IfKO5XQgMEWunl9
lH7ULhS/tqmdQED7gDiVdeX++veucwx8Lln45UM53herpfMeHwzTmiPNrU6a5/wadU/rd2mcfYsb
BZL2elMXOfGlLeIHCAwYX/J+q7bSVHk5XJvq1A/ar5GiM3sT5gXYnb6ZkkPdERvdJK3lVkFbquLL
EMbxbk6K7jsRuf4eTdzNtbe+LbDR62RXmPpvNgZrk42JgObQTml70lC+JlulYPliZN2orS4IYW5N
mcy36mDflAbnM2wxmeJexPxm81jfFdhOHH1sVHfCv87jVSTy2rrrK1P2d0OmMNG0q6bok5PUtUj7
NFEwWD83oC122ZSr/HWOCVC9+gQ6npPY16J96eftKeUubQIxNFHRPrjOnIeHlMC92sxO5Ca7MstS
53sP14TjCgTkIJ4obsmGD5R5cd7ypFWvml0lWho0uAlV275nlyZmY4/eE+VDTXRj3l3ElOh6JFZY
dyNVWhScq8lQD6FmlxEIc8ux1NMUCz1CciLr/M4gOenh+ZUZ0a4VsplBIKn6F3UdoxcYaTpMW08y
P4+URQABRuuRYJHlxF/zOqqmu3E2tHRXT6Z134sQ3PKNWbxk3VbDR7kJb5ylwoWsnHm+YlRJ7j8e
qvbkukzeZ1lxqD8mMYFhw8Bm99RkhnjS51aEB83MRfys9XYmt53lZNg9A+hxv934RUuLq19EknUx
BGUFL8bS57/IbPXJyxBCsGta9Wl0etSTHTwJw6ieu8aLX4bBD194YJj3rRAN5G0czOpFxDp+i1rk
kje66J1VhY+Ct8hNFhHyWt0zxkU4DF1unSQxZEI9szNsXAOKq92Q6p91MtA3Wrw4QxFaLopZ0qRs
LItR43kXVF2fG6Gmq5M19FG7HWq3HLeWKhJ9x2AWdblp7cGUH42Uf2nvVURYdxrhIuQ2WW6JGyNy
2QF8Pj8CBwbqgy5+zeDaYaTXTnsSElDjfT6T/9rpkd07P91oSOqdhCWi3V+fBm/7xvk0oLSbBPiS
IsHTaq0bNtMMhodVq1NJlNt6hLAQAkPoU1S25AuS8KXObJCCyMCKYhtCxf1VM0zDA0Kg+MnXZmLZ
wG2ar1jIxxnglz4OOlxP9KM++rl2YCVLWO1xMQ2nGtz5P3AD03yfTJoWhFNmlTfynBcloIypSZ4d
a5llbKmHPx/TLM3x9tQ8xXGRZ/Kz8hvjOc2dRm5GCFHpJgvTOTlSwN8/t6Xsyg+WGkxwla4JMZZr
ZHnjanBxR+JdwI69+CThSYvI9vz32BEeU1g9Zw8ZvdxmXARmWOCYMUuLJIgipLOpI7f6aibwW3Yw
iQySANpcWDfkHm8XwrOBFm9lfTysl1wUifTzHyJF6884hqUPaWiPDbSDapDDayUq09+WFPWTvZzc
Vtl3ieSpugHd67i7uTTUw2RHnToNXqtEvEOaFYdgSO3K08FPd77RGtvKKnTvD8acI0H6KKwe3BrU
Bk/nCHdVJ+yn9vf1abv02tnHoPqk4pXU3oKMorz2/GNi8k6DikLzYWGNym96BaHErDm6gMH0ddpt
43oKRTC3syq/XG/6TU21bnspbjHsZeXwA87b1nuflHIn7RPZKPCb23IaQQzpccJtmEwmFvifU8yN
Yn4LWQKxsWSW98k2D4dWyk0DIQkrLiMNkX8oJ3rllschJvvIE0Fixam164XKTkWnj95Hk9QdCFrl
aPpmMPJCO6mwbL6bXld91BQZWOy9fNU+aGGi59UmNKcCVFObWZ/GRBVyE3fjCNvKL61nBfhIO+Rd
OkUPhCHboxeT/dmTGY7U1uqhfe1darKc10J2UwnDGrcDstxldVBZ3wA/Nox6/GISb/2qevLrO0UG
75fmzrr7UEk7NraprLxfXoI7yLEo2v53EU4cGCjCpbPBv8sqDhV+xOPBcbX6lFeC5L0qTPsgAdA1
d6RVcnPnhlAjFkwexZcPteNK7jKSatzAycXkn7TF7/8wNK5xn9V+BZ+ps/vpxi3jbd9fjTBH0WJO
s4RUL3SthT4JhC1a/GC2tUrvB5WWtcFLConWBgOu9D42hzA5+k1X+enGS6vYLLC2TkfvvgxjHAPQ
FSlzX3mqSvGLRK3zDQtu/1mk/SJds80c2tlg5lH2hJxq+tzUBE72rW/ngW+xTR0RJ2Sf4EQZ5YEx
p+JgFk47Z7tRwjjajFpK5hGqTmhCo5N2LjahMbkerC7TTxFOXJ/w64Dg4nZgUhm0FF8QR1+fEB3u
HkCHff/kDsXwp0ZncnBAWL3Ohh2+6BpVhZveGqAtApT3b+yeb4W/50OBlRORYXZzYuhg4s4Xm+9O
sLMKxzsNRRhykqh0EHKLS0X5042rNPrCqyx3iav7xo/IVSL5IrkMOz+FN8A0TIhm9ltHM40fBDGU
aje4YE3P1hC5vXE00mxKv/C6wTh5k3t4v49bcmnaV2bZTMxThEX0FDaxnuxIp3qUJM9tPwSJ3WT+
18iI/WcvnC25VQ2rtIVXQ6hdI2VRPSGdqHDvHNvm52iMFamr60Py1uerbqGwAbglwiFuletumbEL
NZ1aF6exA8bATZ38nv9kiKbbj8XcyMBym/4gihS+Tiy04tXWWOzVBoVEM9eEcWXq/2na2EmOehwn
yabE3kL77rcNqY60gLkVuFz+zZ1RN/qYbgvwU93HsfUape0r0ugcoaVJKerGKHJOC+GldnOw24VL
Cu3ad/4RBRCsT0YzetWjl4Hk3LkylYyg8CZSzjDN7fvW0srmE3LI0nrJkC/1Dwo7MTAP8TjX28FI
JrFHWFIlw6aoTWNndt5cHtpycb8i9Uu32m7vfmgLXkBPPpjoj2XpNmG3GZ0JlyxP1k34rUr1dDE/
nJoB+wkvs9NXJ7R4sklWjvZFNfZ8slQJ0W7DNuffwVnlxwIQAx+3wRm9/TdJMo/0XJ1o0dfr43j5
qkM8x/1bIDBH/3xhKpjkOtrcrjNOeS2TAlOj1vvBfSsCSyrxnv1lYBEZb5QRznsUTlOynyhvGPa9
ywLYdSC0onbThpM0H6e2z4zn1gXM8iFtlfUlQlG6BIMLAtf/VHhCuZ+iOOOsEPrQQKmn8rV/rWXu
xr+aGDfRcnl8+Hu/kba/9VXK8eVF8/jJbwojIbScFkEdc3e6IZB5Z3fhN1Hb7ODzBM1zuRX/FexH
nePlXuFPJ0cLPXnEZ7J7sTTb6h5Zc6Z+stseWYjfd4l8TJU+J7dKHy+vEmjWCNwQy1okcmvQy0DC
kZro3jh1ji6jx0zp0WNrd6rfGnmox/sJIFlxQhk0t8H10V+uoueLmBvEEkdZ/OhJPqyuqnFeMTu6
Kn0g6Tpk+1lp5YfRzKm91EXt3thJL1JQb1FylwcWOijm29p5UQm9tSj6905GVPQtd3kvsqK7EBsW
LG2soaxeuwZJ73awhjrbEg7VBBuhphlBoSvTk7u8m+RwaqZ0PHiUqtkbfY7S/kNZl7l5z3QdCkiG
GGBHN7rpcoCYFYtYctG48y5aZtBfM0Q3Mi+Nk1475WDIjQOZQb3YuDMlTR8rgQ5ZOqL/anRLHeL1
8Vmm3mp8uLcTD/B5G5KTXP78r4YLXP0ss/t/lJ3HkqTGFoafiAi82UL5qp7u6XGa2RBjIfEmIYGn
vx9zN+qqjq6QFKGNRsoCMk8e85slvTCHa9QGeuBwsBH9dfcQC5aDRFDuy9sr3ibp0FNZEM1bWuG3
eW1VdmiCUolc2lrYw69gVOY3iBj+uEfBJmkgHaPSyYUT4+UXBjRpIkZBALsozjNH0bapAAmkgI2X
UHExJ6c8F8a8X5LamTZ2VpsuM/pAfJ61Rol3TuLX3mFo7e6ej9ErWxtpOHYZE0T+aV3nyPhWTJrM
xMVPkdz7uKDdZX7ShwSQXkj+64z37Oxuwwj4CzqSvDmdMsu46gEn0zi0aSayi0QuCbkEHUjiZiR9
jp/IpH3x6Oux0YS97NMfAzSi/s7s65W9so4xVqcuuoLQSl7uFaorL5ucPji3GG+fpnhx+T5err8f
EEV6MIt4Ge+kZVe+NjSbXWDr3Idw0qiiqd1fLmn7AUZMOlanozI8OszYYY3vxViiPafpddf+UyRS
9FE+dQJ4ELMpGWFZmvpPRjKXX93ESGLwaiPIug/lOAPxMPW5dO81Ll/Z0g4oShi0dE2hiVyr8uua
8prA7ZJLG8Sk3OGsjfnyE9Dr8E6baYWEXSkWEHOV5YV5kTaPK/drxWHJ2HhMq0ZWyQ7gjiYvrqS1
FrpmmWrvgqpwRdTNtd8ftMlyfmixoWElPvANql3ilWNyp7NwG4YQciQgQ+omYDPkfPm6q6Ftll7L
00s9GcYpQ8AVTK8uUu0g0sLAlV0D9lusHt5Vcw8e8ZcD9TIU0aJBDXx1a4Hgc82RSuu08w1NeGeV
ZdM/jl/1pF6tW9G89RqVEHgXiQGn3cs4XhWIUEiJLB1gVkg3EbXEMZvRvZhBtnUkPkijf1/souw+
ZWAyls8Aqod522siqL+27WwdHDcfk5ixcbqW8TKhv74NfNo10bSUVb6pwUL1216hUX5pjXKofnat
1ojuMcXGvO+2qTZmVRLOONZpQaRGt/IukwVf9eMI8PnIuKixd33JCC3kvuMhFniDfQg4ovrOMR2I
Xk6AGXSST9o3ZenJVOxwBbUI/G8H3Fc+qrNSaT2oWlCnrkVBc6BeaxGeXHzCVLlB3p9qxk8XeMkM
GtR+6V1/g7AWAKz/vPDKBKFVvzbz+aQvdxMzasqnBMg5hKchp+wAON2NWOdqgdZpIc227MLE9F4t
90o9hYcC9RQkc1DJNzRSLy3JvMd4OfswfTwvAn3ndrsZyFAR1oU//tanJotDXFiN4BTb/vLQyaqS
27hXtha6gw2cSYnMP2fZ7G9HMlNv7aMZ8Q4JIyGiRQ9KAHc6U/EvSJLRhu/7cu4fSLYN/xBT/8/n
NJgz9zzOeEF9L2YAv+80j87z89La+fdxwkoaRyyVuJETg2VT28EHSupuejuPq3FDX/ge5OXv7fDy
eK2oHJJwLg9Gu+ZViiHNUvOsSg/OjlFnxhF/Kq/bWDKv5ue2qqvPHBXSmjJLgo/UMvVXYIajP6FQ
lS29R7fUSXFNrTLt14Rq5T12+Su/jnNvoWiEGuY6A7vu3I2d5qSxX1ymYlhiNEezRqVH2xDURcGS
+94+Mer+QaWIa38ymwl73hCovkDNezKG9GNQ0jTd0F4W9vdxRsPxnhfQ7Smi4Up6pq/SKCsF8eVm
lqse6mSVzWV0VHbS/SxuN11HMpMcsYDO5j0KKShC2GrIqu5OXnt78a4lMPSN1U4W8uhVWFazXPIR
BCko8N7/AwtEgRvvxKHLaQyGhtsIe/f20b1tMUN2p4dK0eCvkOXrUZzpQWTJYrO8OJObUTcUsXAP
Qaz8fSeq9wYeiX9yJhch2Lv5o9spFDFaFdTvdUZ2zZ3+/U17mYufYSTtmVVjyL9+9V7mNT3m7jRp
3UVXUe6bEIk6Uyu/JAmYwKiVKZOtHQqTSOOJ2qu+Z7Vha8Odn3GDQVy/PD086gtMDW+7y3ky+Y1Z
9PKSLaM2i8gcG33ckF77qPHPzmTYTw7DjccBcIwWAVR1ivfD0o6Qa0Q5a4sG2mPyU7Dbei/8D22t
RtsNFz+W2qe+0Oz4PcFQS4/9UizNYYWhpU9YyrfuvWrDvdlQ3AUA1wESMeNdM9iXm7ng0iwt9CAv
SeXn2bfMstLq2U1HH7BpFpgn25tFDeCKsA2mglnlZmwKoT6j9ZTvhKuB2+fqMto8wk4vroBj0jeL
CO3e19jwyuoD7jXVsy5m7puiWOJvcT7itd3WdlNs6qb0P2GBUaNPY8zcOpllx94eVd8iw3AUNR67
YARl2+rk1LmwIi2NJwtj8Yz0QG4kDLDyEA9x6e8WZTrJNxda1bixcfV2tnlt1EyL45SuwGL2EHZw
OB3Kd4lTWFjM14H9LVaZoZ3kZLr9s1ZMSMPnlStDM+2wngVFYoqDdDrRwVoDTHccOB5taChbyrDR
ExFsMXhR5tEF0RAf0slgbOgUJmkdwAYPVSYZLMt3/BUdmpVIjTRJE6LeZLpR4eZ+mYcglgvtiwuy
DQxkanWApd4+vDehCiHFtfola0YZD9DIy6+LJJ/rQChJLppbGcOP1Bn9CBVHBf9MDdomGPCWT3BK
sLZvr3s7uWZhbhgGBh7lJLHq5cIybZiD+G5ymZdUeVHtaOmhd5XZ/gGMLfqTaI3GO3QgbOtoJqL9
cFTlfsWRMIerpU95MH9NHCqogDJuZAYfKlFXwzF3gTSfEttAmyKU4N1+pNxk97jQtyAMD3kwRmpg
jPEpu0nizSlfrNKsskug0TfaG9nsbbB6st95VhdfmNSADUViBIGcuFDFvqT3lEZ2ZlghbUQPUDxw
zjuNo9swzG9aGbo6E1NwoteE6YS6TnZFWV7Y81jFYzZg4+lg1J136ZNEaBHkDNIFCATWrk/a7kfl
xcFX4P1Q8TWrVsPntz/xbeAgkcRUiYxtrUCvsQmJ9EimcF+4kMtgXx4wXdx6RW549Og9/6ijWH6n
DfwXZ/Mib/HAH+LoQOUL/AMI1stNVZC4FDkuzRct95sUqFALaQnYv55vaWDaVkTTV+RkdnbRpWM0
D4r3sPEL0Gx2WCZaOz4ZwnGrM9l2AiwCjHIAasum1aMQuU6WMr1zDm7qdCjQfw3Q6eQwUrh2TwJy
wJhuUM7Fm+zqNOS198Ev5NyFplsPH9DXmPIQ4TztsRpT784I9K/i5YvXBfsVsbgVZgB0iavq5etC
3wgI3xJYF3aNX+VHrTeaz9LWayg12HPAU5CelTqM9JpZlObWEX3mxOE0d3BavMwY/RCQiTOE3Pi6
HqaQAX6k0p/rh6ZQeffe1rN+3tfmXBghI8LKjDqwUe9VO0606AEOWmnka8Gw5Fujz8X8Qdc12/+Z
G13+284rAdXLFCMez6U1p5HJGP2jaGZvCudZON42tr0h28A1ksG50ie8THdq7DGkCu2EQWNU22br
ZBvCjGZsZh013K/mUHcXlaVtosICCqQ1RAmI8/eTZRT+vd14HVsJD4QGJNOdVSr+xuOXwR/N7Fav
TlM31k7Y4AEP9Wbx9L0zV8OzLwTcOmclV5G0nGdnKHcq9uqD3kBZI15jDmx3xsk2Uv85qxSwSxc2
YQiZ9F4ZdPNLbXTs9bUEImMkpb4KxikYsWy0yu7ULgg2+UUhftWMBw5zq2nbxkRhuMi1O+HhlTUB
JyISTJebztj1yJrOQa3iXlOnoh31g5iaMYp1s4pwxlIHg5wkFJY33tnya/b77x1PbPiLizZIzeiv
X2tQN1kD5tdvh0NlL+VHx4u9PEwZt6BhpjMDubMDriPg39WIRchB0Ue/UfXzZKChU6QPhwZ2Nu2v
SugwZnqv2czGlLJBg9G6Bxu6ea084doYAdLAroO28PJMJ+ao2hbc+2EoAucLJkkYPzV+klfv7CmT
cN60rvhYShKtOxX8a6+W65BicZ3gUJm9XBg/qADBK2M41LLvNp5y6mXn573oQ0AU3j2U+82rpX3N
IBqtAG9tC18jzTvsi0RF5X0sbYRSp9zNtkEpzR0CQD+6hmLj7bvsb+PjxcZhvQDVWS7YVX3hRm+7
DNQQVIt76MDOFZCu2jkZhsiuRJk9tZlhq8gbFnd5dMXcnLpca9xLAf2oeWrLjqq/XYzkG6QNU2y6
UtOg+ksLvEgWENs3pps5X32j0L+3RDQcWWa7zjauqrOPFSKt+ZYLLwgOwq/M92pOUfLNK3OqL1UX
uOoQiKJMPwV4IzjprpLx3JpbNpwd/xRwFY3vKYN0ggdoO7moqNUHWfzs6D7NZdgmzlhvysxp003B
NL8AtyliGdmLCVusymR61jW8kXYwULzkS07RPRyR+mo2LYTJ5AgPdWwjDFWQja6IsuZFkQZvEVAF
i9611uhGUF7HugXvYBnUP6iR2adqTqphVUAbu49eFuT39KRf2Rt0BbE/W5FzcMGurjXNsKmEsiI9
znViLB/NNDPCOi/132rqluFdMaOTdWd7XIcVgAC0clGFogMNZv+q2x2IkWTPKcQx74zinTf4BpLZ
mGF9wzBa3PPUuk4ZYFf8f/CDWg3UnL8z1H+PYepa0sWYAfjA0bfobNA1BB87bfwYZQMt6Zpt1fs6
ZZdWNvfOwe2Dgi9CwpMEFgjYtQSrIxTSqNngcMinmIELxumJ0VgPbJjx59vvdB2JXJ241ajeBzlJ
fmJeY6oxzVso1Tr3QBGhwtasM/gI0Br/qxUDrxOxLULm39QRXcuXccsI0EFmuuQfkqTR7C+jPirn
VHa2PtyLkDehGVgpXiZIt4BYJpRcRUghTNDtcHYOAzaBj0yv1bOe+AbSGlWzoFxRMG0M1FjcGcXc
BGa6qhiLU4yuQMoboBulcOo4zRIcvBKz1Z03A/3cjVbcP4waY6nntz/ba6vBvlzt+tDM5hS+fJ2M
m0pAQLF2oO+ayYdZb+mb20Ar3qFx+e2/rsX2QG0Hghy1D2u+XMtrnbaogaWDSNL7n2oq4+0AxM0K
U2/Wn/7rWi5kUliL2Fay4jU8uEwKzU88lZ782AELM07Qwi2AR91GNv54LyG7DWEcctp33KQw4dAk
fflk63jMBfsWH5sisA9FMPdPeja3m2UIfLC4ZX/HXuiV9Rjp0u+lkueVBlcdSwjUepnZqXtkwDAi
ITalh1Gv6UZA4gn2WS/EdCeSvL4ifvAAB01U/6+eEJcxe1qGBZPM1vks/NZ40jujPxFXVNQ5aty/
/fnWmP8ymoDa4n0C7GY+eMNMy9FLoHmuO0RobdnQkLJDzdHrrTXkRhjr2nwQpVw2CW6d+ziwyt3b
y98U5ysNB9grrxduF3LLVzdECd3Vw0bWPyoAVF9T9CrOSTXpX/XSLr/6oyYPTh2YOUSpyr+UiBGs
jmj2qVxs/c5Pub0++CUrTpOgt05Jrw6NY5WIMdM9PVbAlzZQYuaf1EzermPo9ZgZElZ3A+LmkAN7
+P32W7iNDYRZUIT8gL8iY1cX80Lq3QuncI8a1/5JopWxFcivfPDq9t7t8dr2CnCUcbkk+ezXts5l
EOfwRlmqqexmB2W73rR+5YcaWO29O6Pd8Paj3cZ2QgIWnrSzGEzSTnt5YOnxIy80G2xnY7atULVZ
f/Zrahqj12EuzRgGRLzVezyK28ekeILsRr+DT3Yz5h+qjrI2nuyjhwzKP6PRlaG7DDAkrF6PmIoa
d5pMt49J0g0IlI4/3QrEfV8+ZrAI20UqAVJIYU+RVMLcBHYqn+O4ih108pLiSRvMfvzP+RXLggBh
7MOTopzxctmkivU16tqEw1HsjaR1jj4TtDCpTPfObfnaE+K1BmloTQioFl8ulQ0iRle0tI+QT/U/
fex3X5CAt70QcgxyFNxCy0NVgmC/82YpCvk/vwxRTI3+tbL1cuUS0QYg6D0DRddSzyW6teOx6Vyq
UqNkXhJOXZAHoR3LznlX12Wj//DKtD+2nCN51KtxisHtCYcsaTQVFYc1AzOIzIXpJ/BHE7uBvsrK
eVs6snv2KrP+7jeO/TXJPEttGI7rH7lrpj4ywUNowJQTZRwFTNLhSbegkG6XMS7bLyZN2vmiSq3z
n8aaUfvWS4MGlWeslbrNDPPO/KcBmTRGts9rPC1m7RU7a8RaYTN2zTJ+7lGBsz4Qiw3Q3yWY3lDv
4GeFVV7En2q7qsy9WUE/2Nao83yuIAAkG7MUw7vGQrAlMnjgd6NwjeYJDyDvqGXTVIRCuIW3Reyo
/YB0gvvdM0vvg7TjBSEl7G0OqkusPyaI7B+6M/ZaBGC3qkPN1kSGGj0zuVBaDdt6AKm8S5shb7cM
hsSAfVIP9WcpTfcdnimkiZ1Rzo8eRo/PK2Hoa0VuQ+3G6ws98J6nDBWzNLJAidYRExO//GQYVT6G
Klf2PwxSuxTMrbG0WzjP0tr7QzWdh3LSQAzYhblVWouh34IlqAr574YzsC6fUWbZoecx1kVzFh4m
iuh15RaaTGPQop7G6MJ98OOmziJKDw2OipuaaIpkite6gNn8MLRdEu/LMU8fOgW2INT9Rv3Efsa5
GJU9DpRsifYzQ49KhLijFV+TVeBzlZzrWv29hvRMenEwICyeENyytR+51S6nvkz84IcK8jLbTanZ
lptx1MY6Um0zBSc0MvULcroqDvt5bsswQfKMKt2ZjfaxgvhOY9NsCntnuDWXQacb0HTTwAgek0b4
DuJ1Y8v8HK2yfA9XrJ8i4SNo8bMxxqx5gHoK4qK1kRH408PRTiMHkg607FJayxaxL+cPQ2Fa715J
xw+dFZFZIbKJhvMYY+6DDI+7IFnt0afcUC7Gw2e96LBtjGxp2RcJ+K0fQgAwrQInNk/a77INlvc2
nI/l++A59VxhozyUPxq0b+RXc461742SnJ4WF74RaaUYFhsMALlQVLeiMSt01bqhlnBDUh11SLSQ
qk2uQb49ewhbJFOYu/qcE2BErkdyWeBG6Gmeax84jWP3XJg1ahnM6kCPpX3n/cylqSEks4xolUJW
kXMAp15Pv+RIcaVhPgdY87GZnZ+6Iuc4FFLR+YR4tJK4EvODdOGXH5B07Z+ybjA8DKGRDYtqMRe/
u1a0NoopTattrcpvR35bX8gvTF2URM1AlND0ZUq7cnag2yY1xtiHajGCJSJ2Q/FvgN/M5wIkXf/L
E7SNf42a3TRPad6kDrqERjyi2SWd2onscuiOFcjcdl/No5pDxrHAWrRA6bRupeY02KnRgX/M1VQw
ELOs+Rdz/WDaFII5MBOyWWjh2DP43fJmzf4JwLLtb+jjG1+6TlVPwtFcf5d0/lSHs1mjaTWYecbB
6JfhQ+Xq03umc3WA+UXTD8lDv/JC6E5IpjuGhebOb7Z/6p/zRPce/KSGp+IiIBQcs95MPlWMk10m
7Al/ILBUHw6em6waemyVHZCi4tTZbQOUmr7BudRWMGtZyaKM+l7rUNSBYphtZtnqn4Ny0bqNgulB
I1RMA+4wniiPvtVZ1kZC42oRIFqAqDT9ShIBtu7bl7ZN3G9VOfmP1KvTCCZkGLRwLuwx23oj7+FH
p7IJ5/IGLadoGuuJUTTTM/Bk7oR4YwduKdk1TjfgppR1QkUJDAEzbFOV/dYAsf1RRRL8mFw9ZXJv
tU60lmMYeBjB9GscMqIPzgLzOZNJ+ry4NXi2MVAEjiJNg8+aNlqo1qQ4Du5pMi1HpCZn1MnjOv4y
JUVbAH4fxLcJL4QHr61gqmpLMzykZu4nUYo79rj1B206BkFf/1NoAB1DNZuNF/pSk58TQMR/Os1E
8rt2+7bdxmVjD9EweeIXmPFKhF3t1YEVjoAgaFZUzMv3zYjM4dIYMthPiFxhOdSNmoErgM5HWnok
9NJ08kVEYjC/N8HIp+E8OEPxGKT59FlaSfE+EzFygFrgtvWjnbWa/d6ytWBOQ/K7uD9OIL3+yHml
4XRW3ubvi2lxzrNUHsR2ba6+NbGcvupp6+Q7nQ4evnJ4dlxSrMLQ0Cqk/a6fc9cI1eC2NAW6zkn2
rbG4F68yNDP0prr6WPSJ9ptRgdEeESBTdPXanq9ig8ejToT8H2FH6JYRrPS6wKMnoaiLZQObU8Vg
mw7WX+vxHMDMg4kmECqIll0+gFZx4Ys3OjiZ1glObs4Fgcy6nZXHLm5Vf7QoVOQ2k9mgb7sa17gw
zhBSjYqsby+WQJMQHVGR4pNTFxK8Uo8cb+gK6agHB8D8o6JIazeZXvWomvWljUSm5YpLESTBtPNr
DLcuNuO7X1kXr5KU4JzAN6pSZuEgrP7ZL+E3kMeLIttSpw6/B0ipX6VFM3KLqKhEmszRKwYkgMvD
GJWw96WImwHDR70YQwPiP+P3gI+1F2ocnnN/gSq0Em0e57rxyLMEFRmCq97yWBW2r0IISgwIDFLs
Kpx6UhhunKpmIA0JQ0Mx1JAeYSgwfnqYZirAgEo+SM3vvmuJrvKLpav+t1HS/giXGojiB70ssoRv
WvlfLDjZfWSocvydacaUHweYmdXBNJo4OfMnrCBqNKQlw95EbcRH9SM7+2mvfnljYrRR6raO/GzU
Mm+2Sd/pQ8To1zIOuH2u3JtlZggnbEOae7H48tlJ0VLiASlhNr0V+z68y7iLKfcRsJqHxm1OaYdO
RShdiGm/J8Svxd5fzDjfIJwwboO6Rw21Bgb5e+Q+kbvan0BeKTyH7QcnVy7Tv8RL/gnsXnVh67Zm
tmE/j0HkJLgPhSZttfQ41eWc7TXdnxG5HPQWjTEEb21QSVZcHYpcpVumgVC+C6+3PiMfsdRbCQcE
hPcwk5cFwTKv1qQTgnITaeTWNCuXHgl5Gv1tbXK8QxkE+bMmNAQ2EiaoftQsnv+ELKQxA6E1jIcm
sOrk1BstlpzWbNj5YcgT/3caVAjAgTUc3V05VVkdlWkat9yvIIg2eTPw1YM6reQJ2Y+STrY0qvRL
C/6nC+t4MPZ6teAUhRRbhzC4aa7PM6OojVyUa5QPMRiVeN82sKtDUcciO+ZxYnIQFVQH5NNa4CTV
LNwMG20trZ8p4A11Stn0KAtWbYyAXaoxFNYSrCZrmH6/YLDkz4jTkQo6HrfNSZnAUwZVcAByNHTO
euHyhdAzc72Q7HRAAy5INBQkUR9aQqdaSOmKFgBaaM9xDr3ZG9j0G1dMo75u6qyE8JEgjGD7qf5B
TLVnPAXLanLsq1K0oR5IhXiIk+bnfFomfzMtff7ootTXnRE/kJt+JnDATKgl57dvlkl+dOQQ9Bs/
bfgF3uKUn6oSGvBHvTFiFc1WJTkAJga/O9VpNYqOVp8aRwrRAdXJqW7k9Ggq9GeOJpZfQdjXokwJ
4GmDFM3YKUQ8TR2e0zqFIsv2TPB1YcCQ8UuN6GJHUe6PycYYi6zeFZDbg23fDtr7PECH/Juf8n8O
G2F2MXperath7mwU2hMKHgapAZGr2aA4zLL4FZT1A5P5njSlLLTntl7UR78LCnF22kHmzLSZEGmd
JH77JKdTlGuyqi8mU5X8aNujboVGUPPlakPNwzsGTl4QZZVs1IPdl6Qz9MQyDSGenNTLSdrK+wDs
XfsKodmKvy2q7d5JAHVyr/Wt7t8RZn+tAMbOhZYJ/U7GMle1tpPTNhhkYh+TsT8tYyE/mEZrRvGg
2Tu9nP/0o2bu326e/K3fr0tfIIuIHACLp9Bf2xz/GmkoxIpbiJPWEW6ol12sepysTUkCD1QGcRHB
+KaRDgqeXWue4pQwFDZqNA+5o+HHATcJkAD2esGnPElXpWZCuBfSehRoT9NaDF0jSS96lw7dxkyE
+xHtTru6ANEzftILqnb4gc0pCrc5H0/OwO42wzggjYMKp7SeGy8T5tmcVDldOgVaC6XHYuRl9HkW
FXpdPfpqJCiGGny/6VveNLYT1otv/4GfEdtHA93PTzo9//lSt5PzxZXwa8KKK+SPIKJY+8CNNbGT
9oLIJI2JRpw5o62kbuh8wAxQu4udXRcdeh4TFpR7eLaNPAkP7uJxToUud3QylvMMfKraGTA7jW06
u/mnOfCH9FOjxXO5oSRkYmMPuZVxO8j/6hAO8hMIKO1Vk2nDqj/28gvCNph0p8pR+RWo+8yA788M
f+eo6UrvYxwXd7rxr/RTWY8eFKMNDAuYqLxcD45SQ0c3do5uE4gDnu3Zk7Yof9kUnTt/NjsYEx7v
8GyKAe4PstqkR8PY2CcdI+Q7bc3bjuoqs0ZQR9XaYDx29exkTGYgK885QnwdD10zmDuozzYKzAHi
hOjAdN8wrfmRpXHs3ekavbb0arkKdoOhknNNwjDQamHoo7tHJL9Iecjsd9yi3S6g200WF1fDPx6v
6ezlyKm/fWhf+wQ0c0E1gNlnIvkXWv+vQ2vZrZ+U3uweaWzHGxOvCi/k1MQNeANtiGgZoDug6DwY
oSEBw8AgmBhdY0rrvwObUEx3AtcrvVDQAPwNd4FZ7LWBqgWfAp1sj87dMvb7RlVBu9EmTT8NU9EI
mkzZNG7ffgevvH6WXI2LwQbQnrxqaPcB6Lq8Vs4R7I65EUOa7JXDQD8VdnpCzH/a9x2ED2uxy+e3
V34lSuNLCeIa+g2+An8/zr9efm9MAAkn+s2BlP6uiJPsewHCOJwRMzoOELBXSCuWY2+v+trz4i4G
To2jx6Fb//2/VrXMMk7W1hKwY9RsvxdFYKW7EZH8SJmewuVAxahnDygX7NJ5Ce5h219dnvkBf62y
YtfLz9q0SG/QeOh86ncVKP6zP83qqVXSq6I+7eKfiaj7Q0WCW965o267syA/AgZ/BsZCpBxX12I1
0WWk9mdCNlCEI2JIUIqoYSGRB72qsjDzB9zlTIoJV4zuA9iP4j93wTnJCEoyaVixDdcxD3keC/cA
3zlCGzd3JSoER3hQl9yrljswqduzjWEFoqMwY6FXMeq/upB7TwGjX4grA+3OcWdVYA1WeUB6SmVq
F+1lLAuRhyt9ytsFbZ617wPa0OluyTP/okZjvDdguaH3rZp6sHWNVfuMQfr19BwBr8qAYOsf06Z1
9mZHfhvaJMR7twiWM5IjXYaUxLQ8eUUri/Oggyg825ULwaZczHID5oRiPjdEt9XKPr73cW4OJD+P
swhzCYwQQlJXRwNCDtrGIBGPblqlD61JbziqcJ66yHI2LhjmAojxXXF4+0DexLx1VdrlK84FlZ/r
aQXNzbIvh9E/Alb3nhB8AMdqNir7btsAfcMyt/07K97M8EgJyQxJ1uiuUQxeDbqmxPdjf8IsARFv
Ey2bqkwPYsaBLyX+1HcWW1/ai7wQAvpKHoUwyeD2BpvBUKmHLWmlJy2o7GfVW8slL4VZhmopJua0
ifdzlnW3T6fh49sv9vYxHQuEGQAWSDwA1dfP/a9IlzAvgP1eZ6dAuiffK+PfUBWCnWUgPHXnWN/u
HJaiL7qqevCVblQj8ZXiNA7ZqWhGmtxuNu4YirYbI/HM34tdI+xHZ/DOoq+82XVsCDYVlAbw7KvP
uPR2z1Anz09Oie1o2LmJ+a7z8vacJkmxHPtCGAONqTlLDwnq7u5/vUgANrB9oFyjl4l20Prz/vV6
Hb01ydZsyFEKwyeJIw1cZAZv9OwKoz1ksl3plk48brXEHT+8/W1vnx3+2N8KBwIZtiBXwY2YocyF
SfQxTjqIBmZjlMi4UeAnfaJOujbUx86Vqo3Ayul/3l77RnaAdAnEYoDyNVqhxImrewQRfmtuStBb
OgzUT0jedNVeN+REOYss17FXTNMuU9WCMenTUsafoa2AWGiGVfBZusibbGxZj1USLVBwi++GPzXm
GY5Qou/zsrMO7pBP/7z9o2+jDHkGqOD13P81M3r5tRokYmmo2g3Jdnxx6fz8M4Ou35lO92ucAvse
u/f27LEcBn3AFIgx9jXAzRgnxrOt2xyLBCijTbf6jzSXfCcro8/+69x+TaEYz7EVIWWz4MtHQygL
XFndNsfEFv1zPkhoI/r/nZcMlIe2Cp3Rj0LM451k9faG5Y2CJiJwW8CXaO6+XHgAY8qdir9CF5Tj
dKJVbW6lVY0PgqT9a5vSC+iAVVahFxRoWGW11v/u6pEuPtiG5A785+aNo7MHPgy6OaMUhLyu3kIz
a3SvZGsdjdqdv/TMoR9tK7GCYxnY4z0FuJt4h/zBqg6tI2eOBtz1kwO/xrShBopDx9DE8CKXnXEQ
bDz/iGlwjz6t2+VxNGNeVdzhrN9sZJ8oi/1kACaSfaVfVWqtrFtR0Tk4Lu5UmKHJ2XmwKgZ+tTk+
uo13R+b+9rWyHJAFpLMg6d9USAmKDxONyvHYZa7aNHLOnpBEzvaTKu5l5rcvFTI+uBo6KKBeIBu8
3E6O3ZXIBlTj0RR6ti9tM95mOXiiMqF/DPnCfFcaibzDNX1tUcA8wMx5n/5NxQUUBHS7Y4/HYDXS
2qSVW4zRiFtbEjINtotDsrTt7wxX3nuS+DchHAYV0TNYKy9IidcaXA0tMM/Pg+UIhCz+Yi+J+Z4e
OKZOVjzq/WkWEPIRoCo1MxJBLMzd2wHx9sH/4rjIDiASgEG/ur4G5Nw06lr7CNE2aEOpe2lY2Mgo
S5Wb27wvf7dGLO+EqtvdBNbRI15Qd6FPed2YE1OuZTN36bEWTX4qDGe0IkiNXhdpNO3iw9uPeHNU
UAACoeyucGaQlTctuSBlymJ43blpG1WGvmgYCyZJylAWYcbftMt5w/95SciIK0LPtIlB1zmXqGDy
+BiNnIHoGYyPVcFAs8hIEFwcdZJTk2AS9/aSa5R9kWAiUL1qSKxgZotL+SrwAT6vYjbScNaR/zHQ
qfbkcGwkU9jfby90Q1qnAwdgioBnmTwfLL2XB7QDT+FmmT6dsxZc2P8oO48duZElin4RAXqzJVm+
jVrtJG0ISSMlvTdJfv071NuoqxpdEDCzGQnDoktGRtx77iEhK7IMEvrhyX+ik/aja3Vy9gLiqZMs
6MrE/ary/Ba3DKnST4y+p+RnVTqT7YOScaYr1eDlzXbWtZ99Pd0M2E/G2x+ndM4odTGop7qg4+vr
eBx8HXHGg4vxbV9085X23cXrC9eAXdKaZQEBlGTnt8fD/wr3VgKML3IpnWNHWs4dXr3fkETiHQh1
bXhIG0Pdp+OU7j6+ERdvkQf4iVwLuhimQfm5/vlflacWA/MvsLWd8C6P9uAXMNn7W0uS0XODa+1a
QvrlA7aeKqJaWqOrW+XsTBfSvdw6KgE0u1VrvsAIB/dOrJNVX3mSLy8pPZmVmcYAc2U0rX/+13m5
pcWw215BklQ0ybzp62oEgKQO2Wthza48EBIetQ/kKhbjTzsyq68fX1cqNI7w97v0x3fPRoaLyy/h
y/f2FwwldbXdlsuxnbz0zpZEXobKhELPL7zY1f2kL42jhXMvDZBE5PITaW3idzcYUGjLNCud55b3
5qnUm+4XkqDpGfSjyPdKqtsKdkjeiRsPxVvytSqmXG4jcJfRTWEISC0jg8obtBqFeIkbM/4lkzVA
xint6cXo+3EErau3+5lRIOLWWii/4zqS2m3DKDSe6fKndXPPNnS4wcTSLqVPe6tMw64bhu5pZr6b
bcmLqy3iafJF1XfoqE3NJ/vJKr4XVaMRZsjU7luzNHN3Bz+WwOe2R0YRYK42Pg2yHKvnqrcETJxZ
G4jzKYzOUvemUVa/YtXR7rV4Gb6VUrOB2ODgehaMLkDVLIn83U9araAGbLMGc7NBQexxZ8Gbm31y
UprIMjdD7kzbKrJoxSzYCba6EbvR0SMpDcoMRGfCO0dvzJ8qBBPpfav16rQ3Bqu9myAqMdJ2htja
T9bSxzsyKmUUpK10lE3SNllx2+ZZdDCxCUkir+xmeJjtRmqBVjEN5aOHlGor0CqJsHEgpRArybYn
TNRiep76qCjvzUQjzqwqF5yLqjvap9m0miiwhoGuqUcsCODSrur9uZLjqcenPPoVVqZvJTwBB6l7
I7MwZVo2hALD9Vec96bqp1Pfzcw9Y/ljUHAu+wmyo1/upKnW3ZgZAGP6XNc/e8PcirsS/+l8W7c9
AavV2BRESC8SjUMx98bJTgtMmUDiSHhOaKJ/swntfJjihaAB/KUzuTEiceKA+W9sgPc1vK1DPqq5
0yKTRwSF8dyiouqyLaPjEUUqT5pOfC39mm1jkOm2n4qVZ8sCjuVJg+L03ziL5qeq1la6IXRPyz+Z
DrEdN4sbmdpOGa1Gu/WixmD7OdjuyzJYS33wRmQSlmNNA0kquaHd0GbLfzoS8K+/kIwXA6of645n
jbr3ESJ3Pf4aGinqU030AnqywSi+IQ1wxW8m5nH2YBHPKH9bTIky0PeeE4WEx9nR3hBNDQdhyEqG
22zCdxMFFsW4NOZPgwEJc2Ma0E8PMxlTxSYVCwrDgnegDjOz6bqQ4AU8SYBvR/MAU5o+NBNrVfvM
i6sYj6QUM/p3RgibQW5M5k9GeVMeinFVy8DKM3V/GfK+f0ZEo78SQ1/KT92UkslZ5ar2lMQDOqVI
cxU7nFGw2l/SOZrYMUBktr2jLhbzP3z7PA8oRdQ2cLKleFiWxH4uCHDNwiFWrWc6DjJ71ilTCY4z
Hdn5Oa3B7lCJxJi35KflrRK4ZjVpGAPQUY0hgUJe+Z3SrPtON2j5Rkye+p+aFMyYxhjZxre+y9qK
AUPn7rCCeUCIjQjcaKRNEbmzBv7mUFqod9Fmj/xF0+tFSzgJW05wlJ36Oc/k2gWRvXUzqQXunE4O
VhN2JAKWpwav3hKYANlDd+kMsMIOsbMByI7hXnYNvd9GbZfiq8KoAREhtjzeD2skfYH3oa1v6JRF
w0ZtnMgKVGnTYtBBlR8xh/H1M2QxfQfqUpPYgKKp9wG1eidtMGW7WQgNsrZRWVsgdrQpI803XaIv
XUIeU0D/BnYpMqrqy2jOdROMydR+mb2alzaibH81EuF9TYfRNG8dHUoDnEBrOCptFO28ylTW+LVu
KPZsjKs89XN6Vcd60ZNshzqR6qOolVqXQWpaNnLBvk4/a3E5m8cKC2980MkJPTTWMlQPNePPWveh
6wCYRoaX3HpmNszHATPPUaEdrRGYFpX2ZtVTv3g5Wr5w6ApiaqJOmxRW5Mr4SipKQxCoh5J2R2Ga
OqGLsEENYgn8m9CmTomgd6EHUEG6j2X16BV83l7NJNfLT/XQOd2xdVskJmmt18V9w7qj7CsymX9F
naUtxMU1OjmsfaGZMjSmHunqjIwO5yczXPeLJ3TvFas1yX0g5woHBghAhRAJpw0TRSC+PiCFdifI
aqaBz09TerQ36cAW937u+6i668B8Tyd2+CRdBsVqtkz9Kim7/itBiHVymDy9u8ldL8tugF3KY6HG
ufp59KQJYdQsNT9pdGUIZ7sH7LyoY3MwNACCIdsYvTjU49inwYTf1gstyrNHKVrv2QQIae7banbi
16hS0+nTKkT6ygJS/eiNWLldksTIjzHpnu0Xi83ctCGLl8VI+ZNy6NbgrZ5Q/mjNcXCjeNfAz0w2
KpB07TsVkgI7RW8qsDORelCGAvsoaN2KHBhyHXUL/UiyOBC9nWSpd2B/l5o3WZpZf7Pos3DuIJ1P
7a/Bjp1fkEWrastm3+z36tL3/82dQEta1TXwPF7ylFmpxoS0CtcZPIIYCqjdYpEs9oOG0FSHtpub
vzxg+BFhpTLWtuiLNTOUtrC0n3Vsa+WNt3hNhGYbQW/+GjU8pwdMkVr8G/qMbvoZs9hXmePu2Ytk
aUXg5sW417iH7sFQEuslJ9ohJed0Vtn60OiKT441SyjYZasY+1lxGjOYElDZJ3gt0/fEScY+TC1F
VU5xY+fiZA5OLgJPJKZzE42uuksw5+XbCny4+qxK1SN0F56Ej2BBLbZ4x6vyB/bfRkC+b0x0Og7x
UIFEj2DvCJgxte16O+1AdgAyAUX2yq4ykVih02dzf8cKJZJQFaLaxGNP46FQ5iWriTboejusNUWt
d8J0ixfFSFH01cpgRtuiNPjgN3DCtigy9CnUk1KPd84i53RLjUjmhiDBM/VHTdTzbTmjsw2USbTD
RiMwdgjtvrdepTfNIgAyxEwfWryTbqbKy380c5No29wbEb31Se5sXTMeKWPcKqJC8xoUn4biQWyf
ne6HkxLTQkirUIffTuUgM6r6FBcWBEPaJGOsuynU20XTe98ulvQ2K+vcOgAVT8I8WtN2lEUaLdyU
0p4B/jidBSSjNqINJfCMcsrJbAjgg+Ik38BM5NS68STvMzpFXWA1tT2ESemO7h3bzi6+Jyo5HR7n
USl3BegRSjoa995O6TunRHZXiRnZVdOttmq/9rJZ6X1UgM4nvCBZfQtly5k+s1FOX2q2i+Veei1B
71QYehNORj1/UaoRfbRf23mhByMz5XqvdOrohG2SW8oG2w3Kb2JF6nAsLTkGE1ZyiQ0QSVJJLmus
TD+JHYaZ4dSVYW54uBE4uXox03+hZQezwSjsb1lmZu0matIpY6WigxFK3ensfUOUw0mQ4ySCZjK6
28SwO/vOqbHaEIuO1LQ+VfAfzI2toCkNYuoysBxKqqHUzU2DhuzkeuUtKuW6pb8UKU0aVBTHxQ0Z
IXgeJMpeVAjIdNeKm17mQ8NAyKJ4NBvFWfWiDSszyLUZAW7bPcm2tLJQq9ySGHQHYtXGkOVwby+p
Mv+cFqUCH1mk06FRsxalVkFyBzkg5I90gcGXQP9Ue1P3sKhiyG6Q5nukWHSdB0UJF0qlqjdLocXf
bBh17SEavJl1iw2g/pkQDpKekepTe2K46wg5gP8cj76A8QQdtWoYrOdiiY0tX9ShCN2U1m/YE4Uo
wlJM+d6OIPTfxupo/UDEXTN/7j0n3inkKewTw5Nk67VZRkAzOhX1ZlomxQjQiSdtCPtFK7ZFQr0W
SHQoTxyaeO++mZcK1FJrTzseosbC+pJKNYg6z8ju57wjL4u4x4LGSB03gT7K0bsDPU25ZMZxqb0U
y6o3zAnlzI5x1M7xs8yGDhQmxOa9LfJE3ZBjygZPQ1FqBlWGcC+0qkplFEvHm5gG32oAsbOSNV4Z
jEQDF5QifTb9cBUKEj/vXUtuhOflZNBowqp9UpS7+UA9ovf7ZfWNLo1nQ5unGRmhnmRk4vOl6j0e
ha7UN12CaN3KgCbflh4Z9xuuMjbMWG3ZafT1Yj8Vtk71uXoYxKmbi67BqWLjixl6iWUkL2TCYkWe
3pS7S/xkjl209ajyBcDxyWtfnEgf0yP5H8kTgHZn3uQzFkDYQynuXoaxQ1ptZFLmMhjboc33HeFm
FpNr+iLgFTWSs/2iRRKOMHOw4iCSGcrpIrGtr9EyoxGM9EVxN+gKqZzhxtSSoOt+6S02kUqiBXHG
GlHBSrHy7EYmttPdKrYOY14nN3EvOtclxw+zC3Uu6rQeTlYsVe5bMWfBOLbRF9tFH+PbeJfCJWdX
iAOF5mlQT7J0jiJmPrrJ5Dh+mweToI7R0GW3oQKJuPqIde0XcBQ12kp7GrMjn3R3oxhyKUMNftqv
lhUki5AJ2H37s8+q9GtTqKZ8KfIKO5ca4U8rp8T4iYegmW+dDiXkbtJK8S02lnE+qoXrEr6jVFn/
0EVtfyzg4VRhPBXGtM96Xd9CS/fQCM5xkxyLyhGVitibSPDduJBiGAprrviQGcmAWICmh+I+qbDN
2+PE/ut7swjtd53Y+BBy12zNnTFwbyUfsmLjSYussHIwFMLBayNpmtiHd4uFhPocCZ3e4REjC1wC
OIQGpm4RE+bLsaSR1m+dpaplyKbGmgLEEtXzXDQIDhEf2B7+uyZjJVWtxXwlsD6Xm3mE8brREC1r
YWMQLjwwdyxeq4yT2BaxrtiPOrrX7rlRyIEkzbwozFAsVmwCKk1cxzcTskMCHfvS8i3qbCnv+AhP
fcjKXViHkR4cO19LRYLVZAoRzeibHWINkL9nR7Pn5+MzYBUTAfxye9hlMO46P03RBfsLQozY9Jsi
K8q7qRTaRJFoL/2GjY5KDKVozel2yNruAY9Bl+5sGLzWbtWoHycbRYBPSAuWDwtOd7NbNAg4DLdL
tb7NeHm+twkLBXnbJEVs0wYoLwJ0AF3JJjIAs955dtM7L3xoNedZJBrlvo/ipv2uRVaXfmrQVGg3
btfyCQCr0Cy3mGY0tMPzXKgbw2m8H6ysfMfKSsY1BAmqSV9tZmS+bYejYpMPSpNsZSrU1w5Noxq0
Q4z4NgJqglJynsQvW6S9yj7OVnrhmwSMKGX4cdvsXFZE08w08aOvcipGkOfDMJVxEJFMZnTsVL3Z
RtGshch/KnoRRhvMXeOEI9++Hc8hbZmxTzYfH/688bseHugYvGxmnxoYwLc9uzTKu6kyPPbORlbu
qpLZe6YVPLuuG7+ObexdOd55l5LjIVJEWAE5j07hua5oTITaMjCLT1IoxVcj003gfpa+SXX2ZEHE
rfw+kXq9M5UxF1cu9fnQ5s+xV/UaUzKTHuVZBz6TjdJFOsdmr5ISkRg3R9TnmDmcevnST0X5IuNW
vv7zBUbdATWIKZW+OsTfXmBGAqk7521ySiKGA36CnfSzOTUQgXoJ3zHF2iSujFEuYtw4UbKT4XW6
8Bx5WtYL8VcrGGO0rnliSU+QNONNV8cRsY9Z/8lwkj60pZ3v4bfVwQA+WKNRiVfYGWzvytV+506v
WjV22dAR6X+fjRRSLIVNh1HgRDqs8epFg3avVLI40RjCG2xFqTx6Dh1iy8Mk//E1v2BLrhcAuYKF
fgfgwEU2ZId5UluMPj3Rxa3yfYb5huxTgY+Apq2on9scKy1veAuLdamX5VDPMe9XJhQ8S/00Ak5q
9Xk7zBhbYXtQxxYwlmuwDidU3On3sYv/lQ2zqtrAodG7B5hnMi1+e89abcl4x9X2pOV6Pt6ntiYo
mtwcXwie3HrXOvQlPxd8wbr9x1fr8rVA1AEkyUJaj9Dvz+Dqr6fFNtLOTTMiF41KLbdtU1KQKAo+
Yt9J0n7XVU0+HlOzta9FFFxIIJguYmV3XBQQzDSJCXh7zn2GOU0Q4H5CBMNWjo5brtD/rnUkAEKo
uPqc4oeQGSYgHWiFb7e6HQw0W//TCEG/Mqt/99cw80TSjISYqfXZ+KJzpEXAhULSmIvahLJ/WY6M
DkgRs4a6fm5Qm/WnOWuZ0eEe+pY6IPNC1DpYMTWcPB/flIu3hyKCf9ihs/eyNP3sFVYkQd2e3oub
ZLTyFz1f0kNH/hrgSjw5/pjVcq/3DuacyriG1774JBhIwpAzM4hdmZDnXD5AZdQqiG6OTlYVX/Sh
jbbEz+AeMo3xhIH3Gn/p4lR58AGiIr8BHYfd72xZ1mAxLqUxZ8eJXMAgnibr3moq7XbhN/IIrD3p
qX/loxxfu+MX316OvOJnNMjV+MTPETQSglzXml5+7CSuCHJT3TZ9MKxhlrh4/6g2BuEE9owEKHBj
WcbhOLPT2Tpkxe5mtcVjZs/D7G3abCy911SR6rLLqFLMrWXnabwjAX42D7mrZWUY4VW7ttJfvLqc
ACrdNSdIXUVEZ09JvUROWypLfpwpn22K9Um3P2NIddV1RXO6n8QYFCA2YSXXVxTC7x16jQolDU4H
xf5HrfvXqlEvcxZVvcgZyhfqHbepSAKDZLRnhQ11GsAU+E2o3rUkusuXlDNGtGhyu5gj2frZV6WI
YDC07lzQwFRnwzemrNq5c5l+BiZZsrdBNbazWydJMOjp7l1GkAd8B8W0f9otn8GPX9J3fw3Llo6W
EKEayt+3C5iloyh2Fzs/9p0So2RaAVQjka1PpsIX2sd0oq97R295IZ6RIBqs8V0a4Lhd0nvy2/sr
Kq733qQ1dhyh7DoJPvfg2PU0jGqhFseeXLrE7sbNysHziyrCJz8IrGuOTs9ZjXW2gR9finVxfDP7
xTGGA4LKCgsanpCzpTzH2KG2NGOOSmw1ezvWqtlvJueH2VXi+eNDXaDVEYxygvyLfwb9zXnNynar
xJ2VVcgG4uJgGLlihWXeJQ9znFXVEylz1dcZG4b7OIx2/2ysbGNfRdi2g2RempNf95r4ooDeNk9m
7uo6GIYUPmvitc2vyR6d58GIM22rapM6P37849+7TsiJkd7CR4P4e1YO5s3Sj0kG42WiSfDUNeIl
ndvh1ojs6EoR9O6RqLtQpFMFsUycPZuMaeHdi/ooFFXfrvnVDH5i2IBFvYLZPz6td548lqBVUIz/
Cf3I+ud/rQZe1zFkMrT6iFHfoAvlFJM8INwRd5PSakyLgcs+zgT41TAMCne68uC/c67oK5iV8MmC
a3WufQDBsZD1kNXHvinS+yEu7E/d0k1fNXUy9v96phwIYJkLtpmmmXu25CpVO5rdXI5HgZExzHos
ZkqJI6U19PxWUez4Vu2X50EX13Qr50KSNdCAhYZSjb0aO8az+9mUo+pENMcZobnJTTE4qLaRrZtX
LuXFuo7jA2O2xYtFM4I4trd3sncTO9HVdjguTq5tZA9xoBTtsoOQRhZB23Z7KZrXj6/p+tPfLB4Q
0UxU6C4zS3TZ1tmibndO5tS2BTZVVxPct33ebComEE+qxPLD9r1yPlV1azEtjQRlcdbm/X8f/4R3
TpvyA92MS/FDzXP2EzrayTEtVe8gHJBCdLohxGj6spxScjOzoEJC7OcDVN2PD3t5U23qHkJ78TNx
5PPAbbXMUmui1j1WEABiXxuV7MHoEVN8fJjLDxXPDkWkir4LsyQL6Nu7qiQ18zHMz8fYQ4P2DAYG
w/HCFLF6aRdPA6idkD+Z+F6iKQcyM8p+O1GdC991c9gs+3rA1vn54x91eddXxShCRgRLiOOc9dr8
tWa09ezBqVLGYz7Y0td7q8F+bWbywCpTGj6El+xXlEbTBmFafTB6ugQf/4DLi88PwNGF5o3Lgovv
7Q9QBmZPg5VPR3LhjP+MWTEGX8nN5Z/fKNdFSomyGs8WvOu13v7rPHN7aueudsbjuHI/ciN/wWLm
bhC21Dduj7xuHWIcPj61/4Pf3r5TNFjIfrM1kLRrLvPboyZ1z9jD1uVx5qn9hFq/rgNuhkqyd7P2
XhWEfU+J0xu03zAVUzBqK+0AbfEcRpYhdJ8YDS25sxIlPpajGRGzi2YL/guRNpR6Wdc5YaHJSA3o
/dODbPEUo8PB9WxShnUYxRz4/48qOKIqkEWvnfqVo4EXS7oj+WtLlN8XJDzVj5k7e7jqGdwsgTP2
w5MgAJX/FVV2/cjwrGVuMCWJ+WQyMR/ueaHcPWz4TPumoXDyfi0j8PhAKuhJNkMyTvYNeSZwR1pp
tzaTxIZRb2LHarGh69zzkClV/9pHon6BDeLVx8aqjO/0U7qZ5m7ZkHLK+qCVob3q5YO6wXmApnPI
d7UkfO2VGlT5VTKt9fardYa2MJeFqGm3p404FvJ3XEnvBowZEgOevd5FS+As3m5UBzY0DIzHG08m
+hpJFLXPZjpnT9lIWB4+78hDejN21oiEos3krsLj+QQugyE1PW/eDxrQAx0dpKPx66LLSN8xQE7l
rywFlrGRUh1zeriIXw4kVeEI7awJLUvrGMotI+zxMWUy0nxNJm/8FGE9j8LWtBBPjM4ilvuaxBpw
PnrrTJ/0Os4UHy1y8hix9coCYZOMuUG317gHCGzYVZq0QNTeJcQs+aWVFO1vLhIjtqYu4zIYUnfl
gxSO+y3K86G6Ut1c2GholECNh1dLvUHvwjrbNYIblja1JqndxqS+QIoRMUgTpgGk9XbGFx2pxhwo
KYiZWyN3pB4FUN7XB6we1Pvc8gQSvagfJH4j9MHboufsD2m8GPDgyLpWGZx6Rr1cW4jXOvjstVx/
LZ5seh74ps8+r5mbiHFWiTdxBoQpNj7EEYN4WiEWGYbnKHHkZ7ahFcLXtrjrcMHskcFox54c3G9W
oSzzv9btfwKT+dTzATIpac6+e1Acy6LX7RYFBr62NDJps8zKZIWe0OYrH7vLviSnviIe1vPnI6Se
bRLwsKNSccruyOvNjeL7A/ukMjvvJ5bb8VOhIa9oXVrQTl4Vn2PZxNsoR0F55dlZl76ze4BElSWT
hZ89y/nW1WPjOIxRh0ugm+0dSqfxlozIZJMblXblUBe9lLX1SXuBLg51OL6Mt6uwTv+IkmOC49rq
zUOelWh7RjGzMuRV3GjBWMf1l4+X/otKBuEJ+wouMuYydsvnn5u6dLCu6c0aG2E9AF2qDoWaKrd6
VSy/FEUgEcnq7Npzve5031zTFflg6tTgdHpROZ99btKx1EsP6NUJ5SlSKcQO9rcF+x4zHzvtfwIH
ADNmJVbXBhS3848J5lwczkuvJKuGT73yzb247rR/waG6GlpvNgXnncUlJ9ZUCMc6dWIxDgsblm2f
m0qo6YPCnAwnw8cXfX1tz04f9xjeiz8GZYqKt/d5GW2nNdvYPLWjZW34Hkw/01xvte2CSaPaqG6X
Pog4qVPQoRlkp4+PfnHLUXuvAxVGl3z8yJd9e3Rz7kiWQj16iixe4gELCY7KdjoR04jIgBZy8cn0
KuUaSPidi+yiDNWt1VSFg/XssFYjDXccXP2EAswLCs1N2pecQvFnHotSfUlt3fv88YlelIw22x98
PyQSosamwf/2ROcYf5ziRdrJSWb9BXoptBMkOrtudoyfuFI8hKrIWxlgmvrOZHBWX/GPvXOfPYcA
EQvCL+v3OelDTF3GnM7QTm0iqi+FHIxH4jSUELG9ss8KqR5yWzS3GKH75spNvli10GJzfxkj0Sal
53b2XutDX/AfPe2Uzf3c+Tielie99Rh4CzqWV4xdl0s1R8MfgQuD49nU6G+vtGkYUzWwFp94WdfW
s1JtskbtyVKmxg1L1rW94tXlrwb9xyNuGX06SF2m/3y53/6Ks3M2x6SLlknV0MBG4tWqbJZM0FEG
WsxILl9pu5tBXQjR+sIrxTXz+XtXHJeD5vHU8YadX4O5QGJSSq64HCInaJCxIK3UFXW/otuTK7f3
8skixoTZpMpGiE3wuZFfFHah2g2MyBhwnAG9wEWpVxXiwFzSThBSmf3PSMmW5DaPquGaJfPyVaZn
h+sKHypbFUIl3t5uI43nCluRfVKWCPWzQBIwh/OQALqtnSSMa9260j9+94iIDHlk6RuxNX17RBeR
tlfROz0ZZVFvcvzM4E7VUnuovdZGF6/r+4/XjnfuJvt7Wkx8kdcx27qI/rUNMwctUqd8ck6Nlnsn
Y5mMYlMoWaQiDO6bKwd7524afAaBInmMu5lwvT2YragW5nVHP2W27d1LI7MfUVssR31cGj9Tywmw
vpUlkNwi58rW7+I8Ka3wl9nUNXhxLho404igoy2W6pRWwuy2aiZVKuNsqavQ0Ru0eh9f1ov7SOeb
J5YFQbd5gM+59ipaa0obteFM11QYLUoOWH+zE+Fe8SFHV/evV9bBwGADAaHA0Wy+PGdXtk0d7CZZ
e7IgpG3rhjcTAFRPYLDhbLQq014zJU6etXw0Hj4+08sLiyRrjSpYB5asi2cPkDcq1mjpc3vq015/
UO3FuM+UIgtS5FzXYlYuvuicpUv1xspL9glorbdnGRes7F5iticmce7BEn12bPmaoxwdS38BGtn4
etpc6+K+cy89KElAIG0b2oZxdlTAaEVRCglNoMCsFMBMVp5aQKCPIzKiDRLk4crDc/mZwcWKOoLZ
CUsBDrn1mv/1Ui5x4tqKovUnJTLzz2ifovanrYKh5pG1S9p8wEPN9CWyrOJrV0Rpe4AOH8Uefamk
YrLzr3fYYAtkU73igKQbefZr0FbzasXufGphloN3WyULYv5J2XZtvb1syDlYedm6UjHD8+Emvz3x
qi+GuAUlfxL0EIqDvgC5SEc1anb6VNLZLSVd8lAawtk0i620T+pCOYNYsjLn2UfbUafPH5/8xZLF
L0KeouERgMlxkexTQ7QzY6Tpp1r2wgVDonU5HGK2SCeU8OSyxQgWk0DEZdLvSnbe7tPHP+DymWeh
ZNVijOlQepzX0HPhzoLhmTyZKNFepGsMZYA/Kbf3S5Po5jbBNDp9s3rXuNpMWDeef5XvfPTAMEDS
Yaf2Z5pnvL0bLFi9xX5B3CO7bpZT7nALnBNCVrQGvoIrqSmDYqpE9l0OMNk3QiwVhhQ8BN6jlrbu
4IU1cX0INjg1R7uyop8/LNwSQkOo2k1iyvmN595+uR7CHKPpXgD5NjvoIAobRz+JkYfv3UqZ7kF1
gWWiNS+FrW2WiAZv7i+N01QHpY/7we9ZM5Zrr+/ZI8PV4pGhQGLFoGgg2+TtZYuW0lPwAWJGo5E3
+xMt7G4f5wMWjdZ2ptM4W/OtpeFd3NbjDILp4wfm8rqwRKnWn1085ThMrLfH75iualwX/aZxjXpX
cBtsPgZAwn6OpSN2OjidfOvNeZYVfq5NZQ1rI1Xn0OsjGWhGfZUBZZ49R1wQh90JQAQ+hzqv9dsf
VBKSGMVKSp4mpos9TLJm9mP09Nc+D2f7IC480UBMSkDXsIpcfHTz3pvhsdfOjZMrOHhwfpASOloZ
cPC8RGy2GYuysoMSd2Xhz4sdJUEjO6f4t/Xy/z9jnV3QcXjH20z27tIYleLeZBaybr9Q+NE+7Phu
BLZNfMSVw10+bpw1swtYJYwYkfC9vbpeTm5FJG33ZjB1aNHZrFUHU4kwR1ZxFjR5IkNH0WzA0oRT
X/lSvXdsAtWZb9LMgUmzfjr/+lAlQ1PUcsxdYpLpah9KWlfMoaJJP8RZK5Q96B7h+XEyl4+rzOua
RuZsbVyvNDoDPKOMESjqzsfGJs7acWZDeqN0hXU0xViGrFjWdlG0LmjnWdl3cXKtHHjnnMFRgVpj
zsmnwT57vTQWfCtTe++G7XjahDk+ecDvQz2HtpmkJ9FhgkDfYj0Y7aTpV17u986Y3S5KLFgXdCbP
Do4NGC4XzaYbXtN644xevp/TyLi1Ve21K+NxQwfd3V5ZUC7eK5g76CYpR9bBOXf77V1G9SbkAjr7
Vs2EAZY/NTv3h6FG2lNlmeBgsUt5hZ9o42g/lWo2iy+yrZlQModJPhVubj3iS8zzz8syko6TW2LG
LjVLpxSvkJuitsZat2hD4Kn1mu+0RrJ8fAaXJwAlZ636PcCoK2Dh7QnIeMnJbort24F0XiAstdY5
xEXgbFcDJzWK+qkvDLVnZBNJRkHgDnrcHt1gkCXy8S85f3jYRBLjwi6Ex4dSx1l/6V8vTOVJ/DF0
wW9nzCh4tz1lAWIF7xi+NhT8aVc3ztTtycFVi296UnvYGj7+BX/Gxn9/1emHgYhltsg+SGUHf3Y3
oS+VmIMb9cZDzi7CQU1qsV9SdGx+OjSOEkZiyU4pwcDiQFdTeyYsgkXEn41OWC9ThUfACDKPeddd
G/GCgHItK2cJOrUh6dQHkCLJkY0avbxH3m9LDCcc6KkWcWxvcg2JKcmYamw8FNG0WDspR/nFqrVB
HpxoUFXCQdph3AmrqMaNMGOykHtdFfcdBXC8NU1cukGfeyQ6ucaSd61fRqOuNoyvCjfESlL2PtU1
UGajGLh4HgkpTzX7sb72GbdlWahYnYN9azQsHBvmNOXaQ64KeWgFlOJ7zej0dgMqwDBD4rEG52s6
LcuTGqPrArQMOXD/8f04f6NhN4AW4eNIuUCv8py6hmfMiclSj28E9mlta+ljcy8aQ7nrMNOEVkGm
Eqm8V3uGZ5sa5Me8yesjiM6dgaizPqh/PYgkIExFZ9XejUtkTVApWXfoyopzLGdpP2TYZv5xvsAR
KYfY16/LE2XAORS29FJDyfTUuxlKyw0jh6bGQAJCSD2GRfXji3pRA3Ewy2Hn7XFycLPPJ/uZZHjU
tXX8P87Oq7lxnFnDv4hVzOFW0UmW7bE94YY1aZkzwfTrzwOfmxGlEsvfbu3ezNZCAIFGo/sNB1Bh
k4YgdgTWK6TVaqwmGn8jFSu1cDdVPLaSI+XAtXbaUU02kRWG9/IUpwsn/3zB+UXggGiyyjVwZscO
xyyaw0EfHHK3tn6NCBy88YClEd1IfCeOCUvFd5lmnp5zBiTs4XdMSw1JtdMvTC40RIhVBofCMtp7
nWF3NPyiO7sfrIVb6WwomAsglaW1payKzkOKCDufVwiW9jWIv0ehR8MjOlARPDrcgq5/2fOhKOfK
1qY0nJSm3KezqjEtR05UMx7gAhbb0Yu1eG14tXcgjo3KwmBnZ1MqbFLr5Pmjcu/Nd5Gqo5Ca0924
DyCsblHZAxKvFf0dWpQTChCx9iI6a6miPb+sEJ2kFEffgGcwzbh5ttyhzSEANNn3qRdhNNQ2lbft
Wh8da9zA2mSllKip9oouVrUZDt+9fHSerq+xXMOTnUNK9WEnR6UFIIg9e8AMfS3Kqk7FQQ3RB9+k
jeGlD0E1ZuPP6wPpMjedj+RyJbv/XxO0Zl+zChK7SpBj4DmEduO6mQykWfrQ8Ddl5htPY4H10aoa
tTLkEQfPcR30GEHs+FjUwFdNlNrKqybssj5keqfxtkhFD1/JLCDCu7FFjx7SpO29t7zX85UBoOXd
Dzyjcxby4LPDzYohoIQeKUU/eEOzeWh1LSjNBs2B6kh7Jxq0a+ok0u58uC//Ccx4ttcX7sJ4XN8S
kE4spYk6CyZa12i1ZofNQXRTsU5NP/vJXayP0Gizp6ws7IVL6uzUUYnWQbACLoA5Q+J7eupQArI6
0tH24E7VeNdENm5Pg51MP3n5idfrczs7dHIsLkQQfUQvOqenY4GD8WK3cduDWtX6QYsHZYdlrn+P
vaG+a4Q1/KeHw7jwAc8Glaq2EkAL8Qu39rm2pjSq6mEaq4fAmaY1ZiuYi+t9stdECb4OiI+z7pIi
WTDqPTtoclTyUrShKC3RnD6dKl5oOrz2Vj2U2gSiULGi8Tsow/D2+oqefT2QU2R97BapU8oVdDpM
SY/MNBRLOzgfZl96bmb3BD37We8d7bM7k7HkhqTCz6yo4Z2OZapk0BEE3MMQmfkdZwDRf8kAtaIP
WyQ7L98/PzlZM9SBC4KXnOdPpRpRB4s7+N9j46krdi/EeByrQsTYg35pn8zdKKk5UQcmg0aNz4GZ
NofnjW5eJc5oJY+TH2CnFteUhzeDFwvavdJeZaoqw0MSyqrfi9JOvgEAQqMAwUcswAoPDUqFaqO6
1oOhfTFAKpXrDGuZI6Y/ab+izuYoPzoqvdhb+EWZ/m6GjK041k7a/SA1RTlql4oSHnKXiuwd80T3
BR0csmAsSMD/QzmPyq+AYpVpSdtxrmPGzOEosi0g7PHoPnu6+HU4gGcItANOH2rj8Uqq3alf2zzX
RpwFQxebl94zj9TaArgfQWA+xUaJ1EJs8rqhQ4oi912NsZJ+m0SYya212HKGVZYlDWaZDeXrtVvh
BPNe9FkW5tuaLnr/kKXdgMAA2lD4Ha2sSC/ES4HD3PCdXF+LNn7TDspCtJO578mtJFvZSBFCg3Eo
4M2jHZGg6ZOSnGJMwuqLGdsVbkP4sNxU0Af5AAhX1Te+I6u/NRf1tPvsjiZhpdmJEzi/wfZk8P8n
NQdw5+LhUfoHbrcCfK0ucAHqJFyBZzgokuujnU+WpyA5FRgNOkh0AE9HqzRHAowK/VAijIODVxpu
HRMPQ0+JoxvLTYpbxIFQxEiTJduCeZtD1m+xyDAp3NDukCWG06Ftgd6MCCf9YLdBfA/rMLrV0xD5
hRjR/FVY9dizlK1+wAYQ/ebRbVe01Jul4sDZXUpNw5R/mzyH0E3ST39Fjg2fKeLOfEA5Tz02Io2f
/chCsCMpxrUOElJbWPGzu4YoJW2E6NThIQDm6nTAziucrhhbFJmyZPpb1fH3XlKTELvy1wj8mOt4
ij8pT09MBgOBEQquyGDkaWedjhm1Lu6XjR8f+kKJ7gMx2L8QKfgRed4SYfBsORmJiiD69FxpsFBm
+2k0fFOtezU5TOgawNXW/LLaGHk/2pzeQPzA4LbNF1b07IJjTDBdiM/CtSFlmN2jouwafFz95IDY
S347BUIB19QXE+hTJVhITy6OxYExKIZZgF5mK9mFOCyHsZ0cBiTdVqijaj8N5Bx/GXnUJQuX6aWx
CLdUMKlm8+1ma1kwehaYWsLZLAmpUMQ3vquK21hT4gXh7UufzeRqIwuCJHw2LfRW6Gj7WUrQKeW2
F+oh6tFktrBtLBC009ol0tr5MSDaEHEYk1wBd6vTLYlaROAAZEkOiIDE71YUu+9YKDQ+AOC45fTj
HrYKxpK3+vWAdx522C0cQXCAFJA13LVOBx7VNE0RJuULel34E80bc9uljZSYjN12V46jg0qNp0Xr
LDZRtUPA8V2H1rfwbeW3O7lk5K8gUTJlXYQC6yz4idSyOpzwWHChDk84IB6ssPqTBEOn3taIoq4Q
cpkMHCiBJlLfWqpin31vSrmyLcOpQWEBxtjpIkzO4CmICo9Hs00LFCbBhrWoqWDcaVHpU1EZqNPO
8t3NwuKffXVSQkoFlD8pE0JFn5Vi2xYL3RrpnaOTRJVrr/JKSb4YRgVyaV3VZVd0oCRDQCitM2ov
mgSf3qPhmaVrG2U+bT36bvwH9DzSmB0+25614h3t9HdOZqXjg4OmtQmdzxG/Fn63PNYnnwsRZGpF
JGeyCk5p6XS9eqek9t1V4jGCFrEpxlHQCw6hy2N+aEDIxSJ17aCCdB96mvIlSgpvj5Ju2a57UCDq
Gjm/8LX122BhF83tXzTgJbTWJFOXtFFCa05/12S1nl8oXYf1N5zbFZpPabhGJc6WdtGYkoJ7qd/I
zhAHWuFQUO3a0jabzdDUboyxZ1kOz7jFyV8Y6V581IZY0RYi5tlOB5dCYOa1Sp6OMLnMQP7JZ6JC
mIXaxsmjOg6luw4NnRe8sOLHrIEdtynivjGRDhIuHFW0eJu9HeKuvnBFnO07SLFcgVSn4CewUrMf
4VpFX8Vp3T7aGd1HEerRLyuuVDR7vFx7HRGV2aB6OX29vm3Op85jmfIGfGqqY2ct6tYSNT66dvtY
1I1ALNfvbu0xHqSoZYKOgL4urCzeKGPpPpe2s2SmcGF0UAPANkAgkdzoswhb+JT6hOqJxwDFuzcU
HFSx4wncY37K6zv42RVh+0TRtgzWfZcOeC1WlEOfry/BWaAhlwUF63DqJQdyXqoo6Lyb3ADtI3o9
/s5VwmrFNh7/uI3mr1FXrL9/ejwJ2YPiYzsuGKzZgagdMaW4OcTHBvHFYDWMtRmtvTwpnzTklf7a
/lgm++tDzkXMOYSAXm2Iq0g2kEbO84/RjQtaZCI/BqS5Lpq9/hgoK5JKxcC0UvhwBG0jrDl2JQKs
22xQbLEj9a1L3PdAyr1beqB3DwZaFxFMEbMK1WEhUJylEjBC6JMiW0/fEpiu3Cv/HMKxQJJBr/ro
qKPlhUxhM+Ikk9fCf0/8Yax211fkfOeBV2GVuVjYf5QzT0dj+Nga+qo8ek4+Qp9T0DXzIutrgK/q
l6p1v1OXhqYedvYd6oSqunDYP4i1J9GaRB4MBD0uicSmMHA6fh1nNeCQPjwWEFeOCbaZxtqGcRU9
DbZf+YdwMEfxHsKmzzcIKsflY9glJo70BPfvTZ2M/o0DY+OdgIYmJVK/XgDuk+fYLsXeEgPMEccB
1IDKGBWsIYYrhNmsPuzdRC+emHtOFgoCW1s1KsKAjzn7/EDZIH7OvFrRcG2O8ucWH2FvX4H4rDfO
gAjxpqmSPN/6hZEi9lYaDVSAtNQwxmx85QvCjHr8jDdI+8vr0Cp+BZyaTVgPoNf+MGnWRBypEv0V
zTz/HYSgZ9zZUj9y66SOn/4NhGjK+0QbS+MNtal2XHtGWhsb1LICf9NAHEL2p8URfIdSHg8fBaJ0
uRspPwx3cQ+M/74CcvGdWkMZrS2scptbBXqTcdvFULWPbKFC2w3dZGBCheokNDclaJyXtFfLUPn8
7uK5igUr2B+kMc7SYhUYPxI20dFq2/5urIvhVQeW/ODjWMDpM5vqr5JU1kh1Rotwyw1T59NXGgo6
FDx5wvEL1LkxjJqogtNNFkPxRbzUShq+hmHWbmpHTf01yoTNOlJU89GMSn9HWUVdSKPOzxenmB4S
lGR2kTcvV6a1M9Gz0v1H3wqjehcX3qSvPLe30rXuJlONKHk92ea32BXVQcDvTTceMpnJwjJ88FdO
zxkPLmIsv4PQBwbk9Jyllo1QoqdHxyifJvznfTNSv7i10Tz0fde4cIWz7IF72fmWw2m5y/Mi/QZg
PHBfJi5/+2sal2X8qvlZYX+3Unpg93HaKNZSH0eGm9nP5LEmy9dkndRCZ+GoQVeK9wWNVQ242N2o
x369DjOuppUSomy94toqfl+PgOcdSOShafPTfqOQI2FPp0sTZYCtPESRj10DMnWrqH3+GrlNXm+L
LpPyoaEFWxLtuyaK36bQM7K1niv9odfiCiS/YgSJtXA1flz4J+sg00TWQOos0Dqb13qsKcdcqc+0
p7qoU++x9EPRPo084vUH3MyafoOCk4e4ZG564fNoDZZycJJyBCenFl240us4TF8BUhf9Wm07Om86
0nvJtqvHPHkHq9CXe2z9eu91KMUYbAs6Ro+1NqrDyyimbNiVvhGoCw9XXWbes0lJTSsDmTjOJOWk
04U2KpG4IjeNJzif0606BtNvVxS58cXR/WBvtJUXf0WnkHPphX3k3XmZ1aS3Zivar4ZdIWoags5+
sM3UNL/WaVg9OD3lij0oW6E8aHnSZW+ehdXVS+Z0urKucyf7mvp6tER6/2BfnUzE5aVicKAoDXFD
qrMnRmhjl+lkqTiqjdMglo8j+7CxVWRuX7q+caJVhrJkeIPKbg/vNBUY7KSj/2UKzMDYJn6c8F8P
dlt+NtbwW6jlgyqnJyN7r6frG6HnJHK8uI44MzvajRIaweMUVcWdDzxqneRp9r3yUYJcsT7D69S7
nxTjg/Ut6xIURHlDUCiYB5nOjwsaFd5wNAU48xXAGfNPZteRte4RIP2itmG/MOXzEgFav7JYBjYD
3YMzlRAj9EgbQXkd1Swyfql9dzfisbmTMJJVzLMc/3o38au15vjFU8ND90DpJN0thJCzN4v8FTYV
QkqF9G+82coPg14ZLY+SY6JPyOSIqjLbjZIPUsDdQ9QaXWRtuFU7auyFNXb5vYGkLEZtmDkYSN4T
nLWvgzIZ8cGy287EdQTV143mpTGSQKBg+pU1aksMlvPAx68m/YJlyYuZADjLvbTGh0AMm/fYNCXc
h1TvfnF/ZNO2EPr06LfTb3zDkf5Xu9rZKo0U3oR//azg0rJkPiqP/umJgtmCogxZN2ph4DFPt64Z
mWgkJHIBS9PZhbH7xyxa/VWFFfWYpE3pLeSdZ7V0gNofLRKDPiIaVLPrcIocddBbdzwSzuF9h830
VKIovHcjPfgSislaTYPH+XBEbX27vlku7BUqOdK0EoonV/FsaEr2NWXszj5OTde+d37SRDRNEMPe
+ohXPBlN+l9UeOL9+qgXFhjdKcD6UF1IheYvTBgJg1c2lnPEWDjrVkoUJrvOsafvWdvEB1FF/10f
7+wVQ/mAjB7AqyNbjHONo8bp6qaH336ckHm9ySp9eBVtLZAAzZeQlmcp1myo2eN5spNacYvYOtp5
BlDYDWtgOqpVtJuwCntsdpxon3hZuh2MIT7GhrVEITpPruDTULinbo9CBjIos5IFKoDIbfueehzM
yk1uzawsm5var6eERmFV37g5dtpbhDSz33nbo9Sk8BCfbtO2Mh87Oke/jKmLnysghGINmyTa5Uk4
LnVPzvcdDgWAjwlRUM6Nef1J6bRyIAnVj6WCsq6rDmKj2nX/2vvjIA46Kmx7P8A58bNoKoCH4EYk
DlYKecx7KLQDhjomQz9C40KX23VKfK5N57mg0npDoSG4vb7xPoRBTkMJCD1KiTKyUciap3NeEw1m
WXbOEV1WW9snpBWIsSSpra1KNUidu7BVW8EC2MOtJnp73LVB4yncyFELdsCocmUdR1C/9wl37ZFX
1NA/GJNQwCCOpvq31CN33Dtt3t4ITR39deAUVbKq3MEpUIDV1XhT6EbqbSce09ZetBqwSXxBOqlH
aboJEt85Eh2Zj2bFptGxvnu2hGXufWgY4bdcVfovFATr/MeoNfo76vEKkYE+jrvqorK/Ddtu9O9q
uuffsr7Kn5EyF/5DzzMZLwHYj8G4yvvW+nt9Vc+Ps6QDEkEgatN+nD+jLAy7RVFrzrGlXxZu/Mzy
lW0OXFGqCuEPsVT5P4/PjAfqFX8pikNA407vgzYwFNSYVeuI2xS4GaMwyf4SWhNIcVvq3qmcZtpr
YySwfbDxdtoaHeH6tsRl9CaMHL390RcZKUhcTIhGy97vRoBzxSbEA2O8wyhYo6zXZORt1xdqLt3K
XpdioLoE+Mt8ZK4RkZV1PqBP1h5RenL4oZkebvQJExaHiqn1GpiSwJ8Oiv5flohkm9C+cp8QJMmx
e8xDQ9tGY42HTEmxYK2oouiSlZrqjvipSIPfRnfz9AsrHkxL7eXzMEprmSI1rV60hNAIO13yIImE
XQFWOHIkJohTRbhSc8e4a4qiXNWe4m3yofrhdWqy4w75dKuVZWNzoaUEXoHcWt5f/1S9wJO5edKL
9jhycz5rnh/+gJXvbKVuzn4aRf1eNx0Qs+tf68I2kw7SyAZRm5fN0NNRlTZVps5ximMz9IW/gYTk
b5zSNW5KTEM2A55a7S3hMbvJggJY6vXBz69knhC0BLgcJRN0PnhhFlbkWml9zPJUv1GroYjWqovr
ZkwZ8hvmbMnP6wNeuAGAanFJAYgBgzPfmjChCjsb4+5YVEbTbQa/GLTbTGTBJirDfh12ZcBTIUve
rg97YZGpe0hWHnJZGCbKn/XPp22TaprcUPRH/E6N9Bs/ACaC4wDZ3vRBUzZ/aim5fcgnTHW/OP7Y
LsSui+MDppJG8zQ45mkuoL6cNKwQR1fR0VmqI3hkwsDGbz96NSJOo2GPKjZKjRvtC8XC6+z6/C8t
u4So8IVpZXL7ns7fgKhdplqCJrKeaNXKbOPI3Zlu5z8bud6tkInAbnYYlGihsHFhf8kkkyoCwQih
sFleRKPL69AoY95T1d/qfWQHqxDvnF+6HxFNe99bSjEuBD/UFoAUSBQDLKe5aFduJ0bF7u2Pg+tE
w10+GPl/xHgEqBPHTpp7ASz2TyJbiHtI7P7vvnY6ZVNXQ+evdYwKzHuj1xNlr+AZBGY4gJJNfczB
og3pLBHsW9ON3+qsi+yFb/SRFZxmDVIngkIQlXApXzCLBL0e60Ux4kUWa1H/rOPdbGzKJg3o5Rs+
fuZBEj+FAeXp9YQnULhVMGFoNhO+UvV9E4ZRQTMU7+lVMahKskFfSq1Wo0dPeB25VendlGVWNCvK
s6WBOVKhJ99KBB/7dZEOzn9YOmlfscbh/OEnQEMSwc8iWfVTAAnu+mY83xTg2tFWlfB+iVmaPbSG
1NFKw1HaI1s1vqm5lN4CXp+HLNajDaeiW0jHLjwyaWeAZERpErwCV/rp7m81OIWeWnfInlVJOq0m
nfLhqi201m/WoYj6e44OMv1WkGPNq+cWPBQL8v1XvdBE9KzZk/3rs0sg0XGEP2p9iBfNE0QFuap4
aMzpqHuhZqAra4Zg+LxI6tuJXRKrAJOvj3geARiROjTtX44jIfB0Deqh9LCy6adjayJn25upfhcM
yqvvlsSjAq+M3zmBZ3990PMvTV0EmWEKiZQ3ScBPB8XAMHPrtlWPhV6MmzxPpIdXHX5zU/WmH5z6
9fpwFv+70wN0Otws2vT0I9GA7dVjh2Izfi1e+8MIrW9ZPOpv10c6T1QADkHAoVBA1QLNj9OJJa45
aGldqscyG5ud0/W+s6PUZKW/kPQj/U30ZqCJZZgNQM4pcZM1ztNYbayu/4wLE+YZzc6mgABxY/6i
FtgnOmPoW0dHG+tpRWteB/YXqNsGxOjCKbrwLWXiTSQHiUeElb/lnyvUDN2qyPuC10iXTnsQFKO5
Mq0UBlXd2Lc8cTJtd312l0bkvoTuLfs25PynI2KFZMJsG3B2rZT8JXaScO8N5oA6XyaCzYSO0EJy
cmE5ZSWKhIiSATnoLE7UQYNJIWa7x7ybhmlrZlbnPqmp6Y0rIGy+ufAslXFutl0hppAJ8SKm0Tpv
BANR1b2u9rRjERFgMsXw4j3o71pfKHqfJx8SPEgzg7xDPmhmp1AJywmMUKIf+7YQa60x6fukVr/L
IPNhIqGot2i8xQjptZSNP/0JOSG8n2CngN+aa7h0gWEMFZXYY5JWmFt1kX9r+ABNoAKLTY5Cx5Lm
kpzLfE01UjWpagjPWJ19wqiilgjqWocVl5u4dMUIQHoNnsR4lz5ofuytPXhlzy1qPAfFr7x1VAvc
plB7WRLCuBBwUZiCmCOxLIhByBDyz3nhTV3lRtxrR27g9MtUa8kfGM/pjUnY7fECzcxpoym6qyyc
00ubmGK0w71K8nNWVhR9OUZqVWlHmrzG3uvdLlopMgLhEun8uv55L45lQeNCbomy7PyJTL3JTAr+
/GgVVfejwgISKQcL/HOnoX3yP4wlYRM8bSX9cZY1FEqM2eHAvEojG/50Pvxt9Er1zvxZCETGFs7M
pa+HYAQaJtRxQAXM9pEWm95UUzg9IsDt3ZijEW7NOG92XqNO3+ntT6uqnqK3z08RQAjwn48tPK9T
FaUphKgn7Qj/kLQjSNS7TK/SbE2fhYbp/zCYbFoA0Kc+Ot+fbeOWaAZa+rFIUEK5V+GRbw1XgX4Q
Kam1sJwXQjmFGOBwNo9MItBsOYveFX2PjewRZ+HY2yRwrVTe1Z7+o6p6ZSO6qFsyjb/0BUkvCQGk
H1Ka+PT8TSFiHoWSGkdHcatN5BQG/l2OG2+0mCauVhvOji2tLQSgCycC1BiFIy5IOgnz/tfo1AKz
Z5P4E5X6d67tVPtJ6aS54ZIzzefrn/DCqsIF4jJGcccF2SB/zD8hBr3WzptGm3JqVKe3fd79LRtk
R1FpdFT2Z2IsKZ1eWFMGRFlGHgkS2NlndFyc8yJKWEfbKFXxu2s6r7+h5GiJPXvap9qtQ7fYIHwU
TAsydpeGJvdw4CSB52dlT+eKxWYscAM1joqjlE+AtbJk7xgI3uzBqCU/eBD1+XpCMv9/yHtsyViF
HsuphINwOrAdJG0eEsOPk2InmxoFEHxUo8k/TIFbHVWRFvXm+me9tIekhg/ygbwMAG6cjhggKKEa
jaEfqRIrT5Hh+PhvYj6a7BJ7ypKFhb3wOrIdeSQlOANgxrzvNWglDChTzZ6mmsefG3qZvXGylioB
tih3JGjRrsN8ZdW3GcL5hhNEj2GpBHeUT7SX6zM/x8ZJSiRoI/7hX3APTqfuGmmQNBpWr1Fg862L
rjVMRKyH6KWop+GeW6W9beKxPIjR7n3EuIduY5dD/QeYJCXqOEUn20U6ZEFo7zyDoqRMHYNnE6ka
Iez0Z2n4BwvHausnH+oHQth+SVoBNusBwA/lXxTYvyTSfjQa4b0u3HsfsfE0pWHz8XiVDB9O3VyP
AtBaEuKg3bLpy7+aMgK4Dy3rocpDZx9qSfaS13m3bfXIXNkiwJbRiruFQHN++FwdBQBaTJLPyYPu
dP5UwqFi5e7wREITi/UQAXkbqIY8t5odIySmZ9jVVyicLNxR5wGO/UgtFvQSHS3IBqfj5mWbdrFX
9k+jb3R/J9drb6EANcobaH2uYMsMnODTNxWAUopVJOXS82NeoDTHrA6wSXKPWaDtwzrRdWybcR+1
jMx9yabK/3l9y58fdvmMRKAF2QHugI/T+U8MD6eoR/NddY68k4u/XddZlENt/2sPN/LL9aHOTxeK
JuB5yJ8wKeSmnV2JZhZw2eZJ/WiJbLrFnz6/FRX66Fuvz/w7M0UdqwuFug3bBOPEqg/0N8toQxTd
LS36Fhpj8TtKtKJd2OFn7yAIFkBNEa/jOxODZreKXvtVC8KlfsyEXv0dPHWA2kTrYkmL9Gw3Sf0d
3pHIukC9PuNBt16Um5ovxkdIHG6/N3M8OW2z5YmOxG/+F1tfe3d9xZdGnC24H9stygPD+CggZjRr
tJ3SGz9om4cI+Ms+ivT99fHmm4nzKRs+kpfMlUW94fS8VHajwGGKskOZm8kt17JxKAz/qKFHstSq
mYfEj6FcXq1411LKmzdL0iobMcbJskPk+LS0zAx/INdPi29gZqFeuq39UyuKfFwnWmAsnJl5OJJj
0ymxYAfwrqWkdTpN0ViD3gs3PQwDLagorWxYf5m7CmyBByx0UeNv3mbu9+uLO/+YH6PK8McmRTJ/
HoySvDK9UglT1Hgm9V4v3K+a2YTgaqaHPiuThcN6cY70DelX8xqg7Xk6RxwfcBq02gyxph4KXEBz
SF+NgAH9bakF9bopA/MOorAhFrKP84F58fByJCXATQ6q+enAVeinUWIO2SH2w/EuiIs3IaqpoWXs
azdRMkRHKNrDzWfX1qFiT86MdyJ715t90axTS9/Kg/wQYFacrYrU8JpdGplDv8kt34CI0DfFwuVy
aaKSdEhVhLwSaOzpRLsq8PVYjfID1nDYG6eNd6MaIIADUOBPSECka/rgS4Oen1AsekBUguzn0NDi
PB00CLuR9nqZHyoUkrZdNGkmSohiOsQ1dLZPBlap6EKNkQoTzxFwF7NsqqkivHADy9sGWt4bsofr
x6s0U4fPVvQZyIOhBVPVoKmHssXprCpD89Mua7xt6HOb+KNpvkCL7lYSb3xs3bb4nDQ97UPGkyUl
ekqkRvOjiA2cpvSl423jonR2Tc7OxMSRTq3RD2vqaAvDzT/ax3Dy2cHMJIx8tjs1ulhuqOjeNnXL
6kektNW2bO1oH6ZxtZCNz+/Cj6HQT3UBZlFemPeANFSWMOk2QW5khbUpAh2dMb3NFpKcefCWGwKg
JNUUECqIHslf8U/SYVU9MnDIcuNNhRVUYBb21gxBd+hanu1shZdG4fUYCA94v18/6OfzY2TKYYBw
eRyzP09HhjiR6b7dIVITG97O1noBnSBYUjNaGmW28XXEuUQlWm9LHNMQGtDsXWgDerg+l/mF8LGK
rJ50naWH/qGB8M8qIkVjlLlRe1uq1JL30ZvroAjHnWu1Yhu1qB5cH+/SrChHIcyBAQhV+Nk2JKmr
ahP0/raZnHgXTZCj9D5dkm64NCtJjv6QiAQCPhtF9dWybrPA3daTa98kVOPCVa3nznYqjHFr2xWk
20/OC7sFBE1kTiqB9/MukepMvhhaLdlNnVscWnusDjgJx5vro5wdYgDB4HJQ/iBUseXln//ztQJ8
41sjAZdbTXq1Vm3u0KHO4607VvnCUGfgbAk+Jtxym8GY5dU223+KXSoKRoHJrgmq+C0Fpbi3PIFz
ToZWxg8T2Z8n4n+0NRoX76O2sPxjazf23yBrBMBIysLmwl6dX3byF5ET0m1ljekvz2ZfTinIBx/P
QiTustvMaPK7oQzzDZq0tLftSbsb6T8uBLNLS/7voHKr/bPkCf4OdQkbekelvd61Wu1vfASp1l0M
ffjzX5citMQZkEmQvJwOZSGpNGEfmuzMsIjICeFgQRFux/ymc+O8/B9GA7DzAUeDrjivgwk/ERid
paCQmgiR4FrnqKzJpxp7h0pHtVSiOTuSEstOeiS75kDa58/vDvTT2GZ5sqvQY3hUecWs1QnWUJyF
xS6LnX5hs1z6bpiRMDNKQlyxMhD9890CK/Y7U+cWGM1Kp3TaD1sjcvJNFZCVXf9uZzcRFS4kNfhL
PvGBrp4OpYemHuRe529N1IbdN2S5zOzGSsKivsVW1DHWuKL6qJeROoJB7CpEIBeiz4XJ2iZYEa5c
qQYxp5yqWotAeCyUre731h+/tvGUGjKjfMIIpigWIsOFL2kjBkt5GLYhQA/jdLpqMPXcSyqZRFIM
NkoXEei/1ilDYIJUyD0eUvVUfva2R6uKJxrIWw4Haf3sKYGickvhu0l3I1Zia2Tq2k3Z62I3Iav+
xJ4Vmzaow/WUlEueifOvy2v0/08JD1J6j/M2eevbgFYnQ9xn4EymvQS4oCJiNI9I1nfjBgpO46EJ
lNX3cRJS0Lm+t+ZfVr6Fpe6uNNRFPmZuyCFdDhwf1tK9mrlujVWjV/0GYGVsO6Et6VXKffpvke5j
LCqEEMZ5eMOBOv2wUeQ1SYZmMoq+nR5u6y4zcTb1xwr/hkhvN16VxPGLawf9bYtIhvNAyuAF++sT
ngd5fgQYCxoJBEDqp/M81QgVZLq9GNFw1SlufE8Pnr14dF/isvGep0Fpd4jQL/kJzbc0I8FAojoq
N5dLmfJ05i2/ZkKTc7gPK3Wo/zZF4qXqzkO7td0qsTa1P3PCSPh0fapLo8o//ydEuQnCAHSR+vu+
jqfkXcNp1dr0I6WBr6YNWWXNs7p/vT7m+X6i0wnI4kNGHrje7BurSmF1epOO97nSTO42N6Ku2wDT
TrSVGzX9ErjjwhQhd5HtfWCeee2fTrErUSHAjmm8Bw5u7zurDd4Sk3sbFfgQh6oxjpZSpPP9A0gS
ox6KOniSg0Y9HVFBIbVyQ+wLtIlIsbK0Fo+Vqmm1WzVQFfum4zp4bHXbW2ianbUg2EMkZPgDfViO
0fg4HRg8R2350djft4GmvLm1L7CuzCJH29RT/qS7lXOjdcDDnvzGt+MdUpbam69YTnobm0G7xI45
j1pSaEqqlMOoYjFmbxQPFYwi78LhvopF8B2cdnCXFOpfgRrSFw6Vc6QjE79wXVULAes8iMiUkYYs
hwlkyNyxZIpF1lRK1d/7Qz7s9MgINgFqMO+l1WoPeRjGz31H1cv0p+aISHtWL4x/ceJ0Omg2SNCm
N7so/K7TasvhM1DX6oAs2F5NWb/DVjPoantaY22RvldGlf61x6Z4v366Lmw+eGvo25ChA/yby6eG
lPKEPzD5NJyULeC45FB7g+6sxNi1m95qGzgJar3wtL84KqQv2d+DYTvP1Ac6AfST8FkIizDajqYz
3juAJTa6mpQ1otFtvidmLsGRz3o6bHh6ibLvhrYQ5aXZSUs0NbRaSB33rg+eYPQGdWNVcYS0rx16
T5k/YD9QDLj9JdZRkZmfBip+/z8suPSowUOOdddnX5u+C1GTvvy9EvrdTwSXf4ShGuLcWWfKix9G
1UurhN7u+qAydTy9J5k4AlXyHSJRgbNB1TFqJ611By782t4rUBlKRFdD/8/1YS59VtJK5Edpo7K8
s/VFMFQ2xfBB0XCyJ3o5Y7JyVUUt14gaO8HaaBLtOEJ3LD+ZOssPSznRlfGMbsb8CJsjHu5JlLGL
nbLc4frqP/VV/Zo3Wb6wcy8dVsZBQoRMHZyDXOl/bkCeiKrQm264l+iu16Yaxze9SNwbJUj1fuc4
ozgGeu3x9gKEuhCwL9yE3PVwJKSFBiTq2Vf0J+g21GzHe5128YoD1N/rXVzUd8akaUtU5wtRkeos
AcGgYAqqa3bVI8jgTgEeOvda3em8QUpjE5qtfssTW+y7KPuDernxnz3Er6YRl78/vZE+iuA0PYHl
oAl0uso2j/ip05zpHo+U0d+RU4pcXUV4ZgXr/+PsPJbbRto1fEWoQg5bBFIUJVm2PLLsDcphjAw0
QgNoXP15MGczpllmzb+2yk0A3f2lN6xKBvlDOxdSj72l2G45lFz5woiHAgBAUHqH7l5ERWmVY+lX
K+EYBJ2GV3Cabw/2poqzP/n0FoYSDqw+acC8y2Jub+kg/EYpZC9zLcKBoqqGcHX54iVeyks9aHzl
wMcTWW8DR4szy5nHx9YstjZaNIUFK7o8ptdG2eZl+qndjFLENCBcE0W0EkNle5+Mf9FxBcDfrKi7
WJqLp883QteVewUKJnNEaMRAmi4ziK33A8jX5npGTlC9+XZqR57el7e0A6/kZLuVBmkg54488GI7
zODGHXT91ZnWQolX2oYhtm3JQIap25TtcXXkLcmCK9vfZ7xGTgYUlkbARTYyVZkoS1NtZ6TCTDgi
A/JdW+npTwjzdu+mychakBqe1Z+q3F2+FoMOxunPh+DKcQcsjW3SPx6ldI1/PQR2g0fR5JQ6P2Ee
D6NeyeJjCj+hD3Nnruv/2DXatx03J3nvLphCNfXraqUKJn/QG/1cu516FJaEwqpgMRmnNmsa78Y1
eiVSUK+R9f7/apewZgAjRZ0WrX72rWw5lgC7PxRgPF51S+p3CM/O0GcrdaN6ufZNPRiFXNxUT1QV
vz4iEXPtjCbXzyV4nmgcAvt+FCoPDWE2yepi/b2aGix3/KTfpVaf3QjC154ZQuOOy/2neX2xfL54
yJimBpagyvK+N3LzHpgM5ffoBxldRIadd7GrdhzQn/fRtdNDqvH/Eta/N3p9zcyzapiNsyusJS3C
rt1q+TQQqcfD7giPmqmJVWb688/LXrtHUa0henAxECkvDu1q6W1hahzMXKus2MCt48VXOibKmLzE
QDLKZFiZLlr1Wt/ADV3L8xi97bouIKCBVl3sZUdn2oFi3XaeaV8VkdyPzkhfABrrxzqoZBmWMyyZ
z5Nslt3Uo/MizCZNI2ys1PjP4Oj9DDMI3J2ASInA0/y67ezW5gDNYjvn7QC1pwIh3aeIbSldLLFa
BiRz0Vk4LosdnGQ5NHHa2Xo4ogd4YyNcK/iwLGUOShkNEfySDwcuAPlMh1+CC1v/VUlXfIUfoUXj
mBV3hVotXKjcTgt9OdBF3wrV3QcTbRRjQfLyRui4choYJlJoI7zj7dOcX99KTgQs/cXkGzVqunPo
zCXcNtsSa9YsnsxK7+CCtfkt1bMruxJl7F1kiDHwnk39uizSxV3LdF2dVaCNemQM2BdEFZ0dpHBc
H6HRqB0hW/jpKhDFNuga3njuK7c6Pcgdb0PPChTFxQ+wNPrbUlHt50q3UdvBVRUVtPbNbzzjxiV7
9Vm5Zumd7M3eS16v3eEPz+iPGAbP8KzGcj37nEgRLlx4j+YIzSocVVk17wU2Sv3xz+f/6ikEU8Ax
3GEx6A78+qq1trNHFLn5wjhBRLOtnCfDQLgMQV5R3K9a18dw+MU7p7EpsVd666HTd+mt8vraC99Z
X9R70ALA8/36M2q96w1n3De9bcAAaFURZwIafotH6I1HvpIO0cphhsx4HFzxpUy1BUoO92NPP1Ns
me97tx4TfP6M939+sVfC2C+rXJycrB+AZUysMrm18Wla6/StRWDvYAz+lKSG9F+8Nq1PntsPsQVg
6NOfl788uECP2KL8hzDbiGaXqEwywcJZ/U2dqyENHn2v7t+qfi0/6aopUJsSZtCGckRR78/LXj41
4FvAiExGKCts8AcXo6aGmc+A5ZN3tvJmK6MMpE4QImmkjlUzCRkrtxA0WkX/0k8+No4YXAa3qEOX
W2n/DXv6CZ6Pavq3OyswljFQleGdUZOc/XifmdqxMZSgPOpq9KobV8Xvb5ppJoKQUKiZ1bLsxc4N
sCXv0c3A2kbVfzVN2UcN9gJndwuW9wrWWeIVvhH9+T1fZgv7M+69Zd71LqJxeS9nviyF3bY+HqKY
TgXCV044TZP30tlAGDc4pmPy5xWvPCbg/Z0lug++fhNg7cXIp8uFf1apqiJdTvJ9vurYJCO8UcSD
NnYvRrC0tyT8ry7LtQSUHzYYGeGvb7eSDs54WCKds9J0ToYlYfiSgwbvZS7NGKUODyFjb711HV3e
EbzfHWy1j4UZEBH8fl0W4UhXn4uAPSRcWYU4iwVB3Lg2QL4/v9Yrm5WFGA+g7gm8+7KOtdENnbKs
9s+NRwOmrQJ56FPHPDWQFz79D0sBjthlPOHuXJqXjF1vF8FS+mdnk/njODgmCly9iBYTXfL/vhTx
7B8lEhrXl+FzhEXolX0enIV0+kdDRwwTGJTzaZm9W/DzKyeBZ9nnvzs+ggHPr1+KojDYNLieZ6ll
87thw9GDOU56XtIsfx7FGpz+/GjXdgbgSuCydJdRstk37L9aS6vRtWXpDca5LKrpbZy26ntqYhf5
51WubXtglAx9aUChu3ERPbDGBGZCVnf2PWwCI9UglR8O3uScUL/Q06PlpO1xtgr/FjzjygWOTRXd
JPAm/7Tpfn08Lx3nzJSVdRbmZGwh5A51b4PDvhsdDZlhAIjmsXF19SChEWtR6jT5rQv1MiHazx7T
OuIHcGRewUVJguCgVwaZa54X2dtjuNleh4R6Vx+GZp1l5Lu1IEsoCwyIzZr50n9/8wgh4aFB75fy
5OLCWbgOehsdwLOXj3AYVjHc4dXSJYWWDy+q0PxwhKUY/3nRa5tqv1n3h4Y+fHlewN5otLNy42xZ
UxMXjO2+FVPXf/7zKr/lerxZ8Mi0lhEZMRhlXdxqetv5OV695rnFQ/C+ZUiTuNMI2lubzIQZuwe0
TRNPfQZDvJ4QJI3HIvBf//wrrmxtmBpoGwCy4xq4RNuYTuubWxMY59WxZztL4PaOdjRUcKSjBgmw
Cql15lcZkt5zyxm5ETmv7C7oy/SFGX4jtHVZXRXWjLbbqNtnuWTZY9H4xsesm9C062Q9RWpbm78t
7LljHynMG5n+lauKnsLe3AdTsX+IX88W8aQbVdXb56Kwxu6ukJ10orEygzdrXB2RJz3C4uYteZMr
EQY1Cb452BiW9S9SsjTrA30xJ/u8QlJNUmcbP6Dn4gNIt26Zm125PKhjqGVg1rp78/3XB/S2OhOL
EOZZs8q2O0yDubjxPGTCxlwAECwe7xQUzrvF1tripYelemoXEdzS2bxymuBq8XF51Xzoy/fc+GhW
C8zJ4G0GdRBOhV0n6JrZ242tdOV7wvDiS0LJwvnn8jj5ajH90S6s81QE2c+OhtQQbk4/JtnoY0GV
z+ON0cKVo0MqQsMT+gL50OXdtPkb96DZWud50bev9VIxBhy398Us/CPo4uVhK4PmRjvu2kNyXtDv
pEn0O97JNmcJYzG3zvUI2ddfZhu8EZhYw5F2QmF8CwR+dT0GvOwgCnD6H7/uodKuyV7nwToXpV3E
XorPcaEPbdRbTX0kgZGnP19HV+4DmhtI0e26rMgP7b/nX/G8IhKUchOYROJ+23UhPeNg/ZznypcJ
jFhjze7SMWDYm4o619bDgm75LZDnlYuZrj/4qgBp0t1P5SKpmCqvE/lUu2e/t30hIqMxcvHX0kiP
FGMosBh2ynKezWQKyrb8CHBESXT6EA7BYzldq1vp7+8vhbIJ/0Ua6/SZkf769aUgRelVquvdc0uH
vU6ybpT3Fc6FUWbZ1fvKq6b3/lgFr77V/g/hn7WBdzNQoiMCYP5ibblBUmRznZd6m9eIWIImXya7
ykNvrRPzw+JPxRzRfsOAegTr/vefN8Tv9yWbfbe32CGxHsr3v66/mWjfFFpqn+Fdd3a4tc1ynJvN
LcNet+obgf/3G3NfDA/WHQgLnmL/Mf/afVNpEgnt1jl7baESv8zbQ9Xn3p21jC8kIOlr4ED1bK28
PW5yLtsbN9jV5XnHtDtRRaDV9uvyhSyEk8lxl3Ua1QOINCZpSAd+WHJDxVDgUfOXwGHjxasFLuSo
25k30q2rbxuVj/0tcFNfzqYCPCU8b/MIxxg0f8RR6MNoLt2pWNdbB/3aSg6LAPdj6OlezhWGrSt7
N/fts9bnd3Xmpt+zwtYP9rzmN+L8tdNDmQVrkd4lX/biCiPcolFpDQ5QlWAUz+hftB46p3nRrM9N
LrMlj+FOBm/gOfXsvK34D/73LUySQT2JvgiQo8vPalVl7fSuc662xToP9bh+0PNeYgXl3RIG/j3W
7gM/EN3MTHZPmv3f/7WBK1VZaCAGzhmTArePOhL6Islcq/3050f6PSzYvEnqRuLf/gkvT6VmT8IW
vXemXs4Phr++n8cUJfUqxYi6S7dbjaxru2V3P/mnAUCz5eJgZoJY2EvWS+1ZreE47m6Y09K2d+7c
ihsbZv8e/wZ+ACiC5LoPQnCS53K7qHi0Hh9Kyhzv3Pm1+4rp4zKcg82VzQ/lr/bw1Vyseg6HdOrs
039/rVwwpg9bcbfPutgp/iQXR69S9zzojMxD39H8SHSOE2lNXVah0VXf/ocFaalz/nYpycuJ7WD1
pt9lvntGiVdMd36NdwaSe3X2bh6aYEmgS93qlV17uwBr2D6k3cCZLj7l3M++NSvNJeMX/XM/t/Nd
7vXuO0fI+m4rMn2Mar9o/3sZC1QMHjGCo2QVkON/PRncmxVES3aQN9gimkBFUrAOVf1QFgKhDWdS
KllSbXtZpX6LF3/ltBjcqNyp6FGQSF3k/GZnalaRF/65TTUZ5VutJUWTF4el19MIJH17YxtdOS3Q
J9AwDNAn5dBc3HjS1LvR0FmPpq5zAqDnP8yya74sOCLcEIa69mgA/XeyMm/2t+6ut1LE2r2iM+cK
K9HnWk8A3NjRVhsz7CLvFrHo6np0HknPdt+rS9xwOdep66U0INtp7k/rogVPm9uIb5uuxqemmm/B
wq+9SnrJ6FSjRcme3X/Pvy7UwpvhDOMZA8CybeMRK8sPCy6Ff62W0m7B+38bNZLeEaOI/ZD5dwrv
xR4t2wYNxSALzuncO4epKbSPjV9uydj26oDz7hDZmlVxy3pqjo2anlTopY7xiaasdaO2+T1o8lP2
iR/bh6B5CSx1C3Js5iAB4Uor8IYo80+tcowZmeapPrmGsl5tu8+6w5BW7dc/X0q/kf/398A4aG/0
7hhT6yKKmYOfoVMxBud6M3Uotm27a0EG49dRL+Y6XO1mPtkB4iYaFnEydPAdZQwW4PITK3v2P+0u
OruWzq1zzDV1sf9MnRyY6/Kfs7UL0l8crawXokJOY046wwQg1DlVZUW0x6YpyqsMbQm3SfU6njFb
fD84FPrhNOAOFy6y08bjrC1DGztaIP/CdMixEpmDA4gCS1JXWXXnDLFrDPZ9Wlmpk+zeLla0rnb6
KdcmulzwTtT2us957gxRa1q0OGlpqagkcV2nqCwDV9pRY5u1gfJFKudMoorZGOUWoX9TpE/lprfV
J6Zdw/w1080e6XSXHOEO/kqZjyGuT076qklzmMwwbSxvXSK/1lSGU7g/DMvfc7e/ZCxr50Vzw3Rq
luWjjZNUgSs2ukmHfCOofaa10CmEfrq2OFnC1oI3Z8k9/y7Fw0SocCQEGHMY9HM6HtGTywfYnFsW
NPcCa0YZeiVGyydXF3YWjbOfGs+O34N4rYScRZQX2eqipwEvS7zhJ8Yb2irsZmWhq1qGho1C1EkN
JtytQPlDcRyzpW8elC9m+12eIYN2ViB2i6Npj7UfBZXZeDhLqLa5Q3hUr08tjNP1L6AZaxO1KCem
iRko134bq0FVd0gQp21iydRR4ZRRrh20YUz9ZGoso4kY/2R9PLiZOb5fpGFuP1IaStYjyubG+ggN
uF6KMHAQ7njSUK/H6hHxgfpZum6+/XC0oSoOflkW+eOEXqJ2WDFnnt57WYuKYYUvUhdD5d/ZVEYD
ieAMum3O1hPw1y2Ihrpe/bepy7r1b8baq+HuUrnVdF+7UzN+31JGyyJepgUl32SBb21H6LAHnCzD
2vq6Dv28zXL0wa3ekmaEnYOe+WHRwdn6y5RTykyH8Dh1j0GtRBpnOWXfFGJjmWllGGi57T9sLmp2
idat03JnQhriz7a66PDVYiLk5sVjuk3e8FhoUNDqSLjKqo246Ftju1uZZ9UGD8G5f8owUqSetqbK
zfJILI3bf1KIL9f3SOfY6aG1agB/CRrzZXbnrB1yBwm5NJ5YEW1Wf1pCQ/VLvsAR3kDWxTiVV9h3
tWMq3Ps28CATbwxJuhOK4mPwbIjCKt3IkEZdPCHWlo0/snSrimjVy3I0ktxt5DhGyzYC+rGDHvNz
V0OKsAmDZeEVo1Zn5cUSGV3OvC6Wzma0iVPusoytBiI1XKUWeF+1BtIf+ESjexxmVXZhalRTEO50
o+a1wi5EJpMQo3gMqHNpcDeDqF7pyaC6lzXpJA5bz3DPjCwzd80njxHnFqfzaJsP0nF756R8j1Iq
rjsAJEdTpU3/JW0YEty3jetvL0s992uO/dkojbBctir7gRQXbl/0j9IiIJ8te33DwF3T3fEI/b4F
9aR5ndaF27bpKXeVLzNxV+q9J09Qw0o0LfTRVM+jo0YslvosS4PzOmTOFjZd6dk/qs4cM0zry2Uu
w8IKtB2OOnt6+iO1G019tUQnhlcjy1dxP1RTXn3IiqzXdypOpn3BEsOy6bvjmR72wWYHz+mgS/0+
h1G5nUvNHU3zlKN6nopw7BgexGaG3H51aBwXvERfi8b9klu9ln0v5Dw4IIQYXSa5KUt5rITQ+4Mp
ZzO75+MO4rtAamJ4dFdHQ93atSuds4CPVL58k1lbbQeoYX5Zh4Z05vkuWxCkIMz4k/Gd/r6eZeGA
GIz6oKUDf2T5RVrdDaZyvUNFty57J8Zezk9G3mvzSRdjs76yQTw3QgSgl5E72KM4zq6x9ne5Oev5
nZrEvt3bYZ2/qc7zyu08TBmjJ3eujfKE/s6SngtViJlLSmgMhMxsKIyvMwCG8VT6fYsr54Quz9dW
EFAiHzDSVIdu50/zlljZUK5IgQgsn1+3oLOdKUp7G+aGnuW2/gVaqHDu21wpNR3qtcnmN9MakH9Y
fIKCcSDsNPIYCBePlJDOM4zrHMIFfhBiK8suKtNlEXfEwL7/iDBGN76BlNNVl7gyHfsvq2L7ECzW
sfUocsAviXemUTjqVPlA0J48N6e3Cf0+Te+Y+65tEOVT5nanRpeFdmJtz33ZFrUUf+UZp/qEiru3
3gnNLICYO06nihAl1OJhntx0ojId/fqr42rucpbMQTAmtadKOa9MACoE1muxuGZMIEApCqlYVIMI
mkh7HaveUXLBNRjG4lEC+Zk+0GO2u5iMvaM3OQhHuCIEpka1EvQABZ8Vfe02abEuQaSzcZoOq7il
K7znUpBFP/ZlszVJNfuaNYUglrMibqBca1Gr+e6IHRl6MHooERbp7nJU/AkWPfDdiG9rIsHRFLZ7
l2G2tYWyApZ6Dlq9y5NKU13+2XG7QN1b7jrYS7JaDd7BAN/94LMcZ634gP6eKRMX1vZg3Q2Dl2L1
NE4wikI0aQROSzrntH3y7CX/S+oghh/QBky147y1RZEnIIYLT4SbdIvtazUuov45Dr3OL+zodAfP
Khv67bUrc7sqI0HFvEXKblJyxxUF9+XJkiNGV9sUWOpQj2iq4uKCmUBvR8TJNX1JkS04bI3WT8DL
ECQ+tvASzaesUHl3ZnYGwTWG84FhTWDsb6QGQfmDW6ldk6lr6hhdA0iZytyGIcSyr+6fy17jU6ml
btGQ5UVhIyMC52edV8WLNwz5TOS2kI2Rch7Jz7A5PVerSr/3xcgUXhOkDYnKUfCLTOZ3n53S94sn
IVq/OtajP7RH2VYk4DoaGPCcM7M/QOx0moMUKV4UaS9yBFwJKu3TMqSOx2rAnY+qG9EgEvM0/yh8
KZ3Q97PiC6Lp2etgKR1YY+bNxqFoZI17dIZe8lpvS5kAApGo6lQY1gVHyC52dZDK6+XDWqECdmdo
EuRmXxBG75u6XV4wBk3X5773teBz2lZGEcIZdj/YNJC1Dxrqccv3vmncF6MzZixEnTR9VpvD51yt
GYVSXW/kj8q1iW61LeyXceqs58HYNjsMWjPozwrF9VjtRKCTjsJhGQpvncq4MSaXTLi3HVI7EwF4
vJqU0R25bTPnTpjjaoewIsYXwRSgICjwmv4eOrsfInShNxX7bopgcmeL/CWd2ZCR4WnNS9H14kfl
+1N6NAPZqS9b41n1D7VhThYpr3LZzbkwdIziMD9Ok3xhcvmFBFMG73HM7JbXyRydCeRuhjvFhmxO
G+mNVjYP5EmCTvZYkcwMBHO859D48t4T3gr9fmE4aceBr2wZDsPq64eC7bphvZmV3s8U7BbFWUB5
eMzArogjTsyaihZ8ciswAbMtn82BEeIDWk/L8mZrjK1C0cmlTdzMz4K7CgnKjiRqy7JjKd3McmIc
UFy2j2OtXjLZuXdvr8olWza4Bh/mWerF0bAzzS1I7wIXm93Z0T/UVb3+Xeq42cUOv+RjZWnBlBDC
bDN0/XlW77ZUGQFVlE2agD7ipoIixkWJVohT930VV2qe83vGy00elz3ejSiAZZ646+CXB58Jn42T
lEQp7cgwbd3ScNP1QYuXDkIYs2q/aY+Vhcn9Ezp0Vvap8gavTRahj9axXGy9i1TuOMMB1ZpieRzV
IJkoiXbsvtI1kXWieRUhLrO4zj735daZpx0DWEBSWNbgLsMUovtk2bN77FMxAP1pLIWYYVOtVY4i
nFssz1QW3hKTM/pIxosevyhTQBylWsQzrErPeueXGcfaKr17bpDdIMgZ/MGNyqrHsxgoP/KMS9AI
3qg5Mfs2V9xN7LpevAiqXd4fN4haU2j7WdV86gbdmlGltsQWe3KVKq78Lp1DFSCIf1o3qvvERHW9
jkuBEmZkVU6m8BDER/VNihof2rZDkFznCJFiZXfUVWqdPm50UQFSgNAOFqC9ozE1MtRKN6uLs5Ou
ntE/a7NFqMV+pKUCpTHvMo+oZ1+/96basOO070d/pSTGUJcEFtr5Q7/NBnpcXEVF1Nqr+LtAM6+H
MGgq9eg2eD8/UTu39recL9rEcvVz9ttsTNRwmc1SY9ACMzVW6b6oFPRpXOKo0yYr8ltvPiB5zt6g
WW/Ktgo8ovq0Zlhj5ot1MjI5DfcCT2Q3yn2FMGehj8GL6xXOX5Xlqi8OuawervjoTNhJ4xYON8VQ
dcIpRtWvclXmf61bTy8jTTJzgZGKJQL+dpV1srbaft9Qb9EoGY2gP6lW67tjb+BeEiIcovxYDN04
hcWqZUGc+tiFxdqqVjztRTe/k5UBTMjIV5ANdZma07nqbMV9AEUsLOlPlrEyrCEPse/Tnbu1qDIr
ytE9fqPjERSHrvAnC3l30fYR6tmDSMpNgOGy/NyzwxUhzDZs/cZVR1NrCHMYK62HcWx1N7Sx0vsZ
zGP2uc1NXQ/xuHN/6kOQfXM3b2uipUSKygoGgQWWnapHR9uRCXrtzB45R1BqiQjsrA7xN3feFgbC
P/N1bmYM6GWvIjeYmy+VV9uUTgXXQAxovKP6EWWbnrZSl33kdyCITasuHBCfdFTiyS7I9r0gs43Q
Qmvhm4Pwdx9iJeiuYY/CxUd3oDgJC3N1y2Stak8DIefVVbRAMoRzu0gcETVtGjXuUk++b5dmCKKU
LsaDNq/0aOZGGmPS2yrDQZokUwutUUnclG2VyqhD1Hy3AZWtERUUJ3m0dEPghbW25u/aVceayu3l
uh1napB3bpXvkPMURdUD5HqJNExaTA+GV8K+XW25vUEEpu5b0n6jO9CvA0rRyIR8lGaJKdTi2dV3
yrMOlrA2qOFu3c/ew9wPpREZfVHMYToHMIkDNRrPvrVVyCPowfys2XYl40IpV3KQfP9hQY3mEdpE
LaKAC3Lh8h3FT3MsXT1JB1kj8Ddp3XFquKNj0FLlGHlVrRMs1zTPwjqjLA61NWByugUt9gQjivo/
taLFM9cYkVGJ2GX1EM1VN32w+WVGAtYry5NJV+sW54VCUq+iaeGF2FE1H0VrrkgbroLokI8k9HHm
Fsb3xtLRnpWdYZRxSeOR35KV+Iagitg9S1z+uBdcLf/amVNbQeutdC2koAXt7sh6wemN0uOwUZw8
ArWiC+ovpUNBt8J4SBCvcufYyisoI743uZ+WjiJ78rF2oO51p1fm5K0TWs5mmdzOm7WilaeDr1xK
oIHpOiJVFozT7j02+iQ4/pZTExhWKVPe8Z7BmSuOI3E3uT/wYYGi2piqiMzK6/8Wi+Lc6MZrlY/+
Xtk630RRGl/Wyl/iYFDI6uhpWz7JmWYLt0nqf+wzNRSHwXIJuDmInz7E4tWlB9Jt1tuUBkYNlcLB
P7Ohd3DHMWstLsreaMJxGVcrLK3e9uLW3FTG/700CeJMApa/hVJdCHAJx1YDG5qat0OYCMfVMFJ4
cA1KvH6rXHJQ7LOcHVDvLmHaVzM81MyY+9ATpZkhINg1TWy0vv7kFuOkE5x1E6cz1Qcm1rhl8MO2
Ohxpcy6+t8LMnSJ0U7z1Qm+Yu/fkPxM2bVaD/bJyO0ieJtnA8h7wYgpAQPGzek5uT2fFqtu4mZRG
0iNEv0ReUa/2OzcF0csbMcwD7H46XEajO2nsFG3xjYzBhHnTS+3H0o2Vk6z14L60BOUm6mQuqK91
P/+pl1M3JbSf1JfGxAQvbiRVWzjlMNOiDSez8QXgcta8y71pHZ863ervvdktXooSQ7+wyw3sNQnS
7WHzgfneY/rIj2ylZ3RMF2Qqkgzbyp+bt0xlVK6idkjuLSaP6NHPdxXNRC+qamxYccAO3DRkb2GI
19CQyA/A2eruYNN3Ugf6hxQtnVvroejHjbjezWke2bZWTVHmwOFNSC6G8lzTZy4SnYlK8FGft5S+
prvUFIpN+aYWrfCTHr1Lan4xNVViSr187xaarZ9MTswSQYxt5fda00FGd/Vgywejp8V/SiUchLu0
2Mr6FJALiDglK3oR1lbSdkGlCZBFa/Z0hamSp6hXo0eNLkz7UTFNN8K1ReMBrLXrmMdsHV0Vq1nm
/Mnk2dmJXGTVI7/RtjXULRQyIgamzJqMVpU5bm0oxEV+4Uw6H8bmX2u5zOJQW4tqHjVta6d4tm1O
sCmbUr/TS0CAxSDc6tjpU1kyBgFzFEF51IOIihzXBgbs+XhsetlSfgXD4rx5TunNB2+kHxThOF02
Ie3QafqOP6TDQEGj9ozKzPeauMXVDePhDdtPnw2gd8beDv4naZLbx42apnrvb+byCnwNFxAhXJZq
pykfH/OS7vqxzaT2MtHhNcN+aIaCCdTceV00b5oBGatL3Z+2KQhwLeovTdgXASVwK9F/Dw2gPVqy
UBWt0WaO5kkEU98fW2AXrxmYyyaaM+jcPV5w2yF15PA6VEE1hYqdVsY19V6D9ggDnYRIT8vQ6sbc
S2yv8d41mke/xsmXSUcMvea247oXiRcUWhUxWlAfMBn33/RM88t7P9uk8Wz2fUN+Y5K8JbCTxyEk
qvTW49617WOzUNt28gBkfSjgbIzxMmJ0k1QNh/JgbHPqRhxpuWAHTu17goSSPvf6lPWJFI7xgZgb
ZFhR6u3buEinD7ddtuVc6NKxk9buKX2CxbI+1HRLi1AYrfat8tq+DcHmOikEailoRxQYH1LB5aYV
oXHfn+wShn2U2Y38ybfX/pYyaEVYkQ/8RO+S4qbtyq0O9cFemUX0WbHrRjFDOARlnZXJVM1BlpSY
9fhR7Y31987axJgIFE+Iv5uan7rJsb7Ze+ETjhvlw5FioMkYFNfdfetTa8fKz800XsQsPxdN5351
mQf+TI2i+5oFGoqAaaoNRqjjdLAmBBeyqnJsaIaNDYIsD5XTqKQR89jFFf0AnpmqLhROpd7V8zg0
0VQq5z3f1lMcZrt9tXuvq1A8yXdl23x2XhuKHSPyxSZt0lfXkxG/rekOWYU3z2HDJxkHUEQ68HSw
t3xNJDf0434q/0IAKx0iH7ZZk6SMMrYD7t/mS796u0qCs/w1+GuxxkWFmPedMlf5Ao6lzWN7mLbn
fiTCJX7bye1c0BRWCWUWn+v/ODqz5TpxLQw/kaqYh1tgj57t2I5zQyVph3kQCAl4+vPtc5Pqqu64
7W2Q1vrHigCHOO20gAqiR7Uv+Ni1V6cBSQhTqnLpmnQEIukPEwXdKokXlGSJv7Ylq1rU7HzOZR9U
6a68/RZzjdyrY/ald9vUsQQqmKswCycZZXWrCd0JCGA8giU4xdGz5vWvzZ0eHIqtKy6amLCGHkzI
EYi5mUwck5egH7U3lMfF6/kEe3Jrh2SQVfm2DAGYOs9u/3Ow15VZyQSmSTtCHsdE0Xz/vMtKykw6
on6HareqFJZ7/841i1FWtO3kp2NTRW/rIGV4kgSg/4qp1bgaManlvgi88lL55Rww3tvmvfaNctIa
ZcUKtaT6LcNXVJuTohj+0uwyjI9RTsd26sMcCTY7VV7BWoxKKGaKr9JDI5440z6ZVFtzeYeopJnS
NnDyMWu4aK5sw5LEgXByVdbNYyfTaUNwksppLG+oWzxYeAjANYFQ9QCV2xQLnlq5F+8zQU3y4MM7
MY8xidVZUwj1xjw96ES7mv48Uza0IS5Yzv+5eYRFuHGG/YEffC8ffF+U5lptmlXf6fzid0QOk0gm
DQidejxSD9GANjVdYmf4GrcIBD2q1jxKatkuP/dpE3mydZHM0wVsYjsWmOc+rBWPpwUr95WXgXj3
Civ/Ta/RTJb10IBVb3uMURf4lRbnzgzWdXKLwaSOXfp3LjOpTl1v69/3qcj/rZzAW8IS3Tx5+Ejd
BNx/WJKVoFU7LSxbfNWraPpDE7MCpsio9/ogYreH33OH9dYG3Edt2i3iJtBrHOCnZozJONIBD2Jm
NC7Cg6f2ilFvG/0gCZaRdJ4hLkJa+/ZwmTM6SiATWY15P9Z6MjAjwu8pTozhJTMz+ewC1lRu7tVf
pLBTvcwgRKOn++fQNTfH7apklBAj1lHoEPdokvJu/Rnq0RTHzY+FzsCLdH4RxdQ7jwLxaHssAsBe
rusqvCcY2zhAOF31017IMGTwdYYOtOBWwDusctNH26MGMyX+ipty1DbvRig3ydy5rdWnO/L4HcOy
pPxi2PvyO5LRvsN4qYovW4SllwnoUv5+55joXLHRRMfFL0HQVruibMkr2/IkWsiF0zT2o35UuEnD
xOkNICC8h2ZPnphkDziHZJQyzdYV+xtn9BHdV27Oua0WyRzi2D/qNSz3E9g1g+zclabJQrJr1qcK
QzBvTnvrGb896K84nab+oFsz2VwSRdm2vPCyFCCBVP4ZUtEDM54qNTsHKnGkOg7j4sl0W6KxSUAQ
YusceK3/yZnKwxkBBPD0tYYWOzdYfMEFz1CCLX3a7sZmUiCURqgtESBWVaJg+cDpi3qtSRFUUZwa
K6hk6tQl82PMstwmeR8TujeATH86vK2U2k5OcPuFLHGd8Ojxpyzs5trVc/y200IYpEjeQB81fawY
uLy1/r1B4TDV9MgWDmWxOfa5tqdtZ6rz899uFxNK667tsmdWKMprSPrOpypLVMx2NLEnoC6J20Md
GDUy1iO5QOdmEcDdaF1RtR0xmWDOrXVKfEGzZ8vieD97WayE20g3eiCgkcHdss10D38xFCdIQ7u7
RqGfNw+CCsDiBy4zKc6ITbjy7d3TEP+jvX3F1SLhxDoiF+58WdXqkydipkLaVwRn1EwOYPO5Y+q0
jwIN4ed2bn2oyjHkuA8rHR0Lk0NyCd99pSm2dA7r2gv+6yaoLKKhi4EB3cKN+nAT2G2PBgCm++A1
LLsmyWPjbA9tb9fdm+HO/8gLp9veiA/kIycSK+oOLlkPf7zJnbsj39ZaYsojb/1pVjj6vprVVvIh
R9a9nIxTzodIM92fh77jShx3augTb/KCX+vgKmKkO16680Diunu2zNhbbx7yhT3bts6bD3MUTBzK
5MZsHINqf7GqrtvOaIHgjZLdnkr/1ANc2YnsIXTutxHkIfEYWdXL0K382YB87yzlxD75FwdGPfzZ
hghScCzFen0eV8UvdJWRo8BLa394q+dSdOmu6YO90zUbzXF0RRg/7zrQ4qiCQY8HUhS74a6MrH1K
XCr+CB/de0tDNbuVSofeM8N9WbW4Xm8fkrnr490Pfhii6tdHmyesYJaBzPPfdn82tn9A+jjJ+uBV
LMYMkzsFCc06bn/7rePe0lw75yly8g8D7oT1SK9wYTDvUZjIZZp0ljfF9GfR0H4HuLHm145AqDzQ
wdPGmQ62Hr+xKttH7QdbdynEsqTAQTqVVvnCQj1xpjVP3DcfeRDlaRxM05/WLBON7dL/Wd366rN8
NNWvHc+deLSNx7I74wDgjYl+NwTlfoTG/2xI6SB6rB3fCx1VtMqy0rt0Lg5tRt9bf6qmov2w1eoF
R2tsFVBBuf4KvTWOuavafPmvde3mMbAmwLyGCWRJPCl3cV3iKqJIffHAQutpIrhGaT/+3hcFVYGb
vDoX0o8fUVsAXOV5Ef6Vrld4R27/2Hsdwm10jiXT2pp1ddEQvWg1QeLTxOucC9/ZT5Dm7h14F7ie
N3SvDlLUI/hG1CeiKvVfzyHdfEYawXnj1eowRWOtj6Yf1Hp06SKjeLcjN6j0iQg5wPj3B8sviWTD
PuZnEVsJRE5Y+7/rvgQGiJbb8VIUW/4HGnv8HdXbE0LzuM8aSqxAvKeYPnXtYK9LZlpXykRIJzxM
hQIcnat8W6iwVPo0e7U3pYGyOnVyWu6opFzCysp4dGIafYNmahkkWS3UumuL19ZjWaBwYnnRuZkv
c4XDl6Upbn4xIHSPKF0tVrBg8s8Tz6TLNra4aDPHoomObVuV/0jrCm5N20P4RdNPbLOeRdvfoUDp
mZp8rL7Dkl+K7++lesFvGibI55oS8m3pH2t/Dduj1sPk/pRb1H+bcW0Amy0FMh2qcvskObdgPdhv
AJBvW+K+6eIp/rmhAHIfa7fXP8t9WnqQxm4V57xd2hphzkSP2NCjXkl2X5gw66Tg7Y+UA184oSY+
ufke5kdphdX0IEVrAui+0v8uo8H6D0lsMSe48S3rdWMqwr7jVqZ+21oL62QX6ehb7DlvTr7WzaHv
17k8+SaEeZ0Ywu6RVDVXNFY2eScFag6P35WAx1jng/KbYXzlEWQBHLu1sY+WsmaTVkEtp4Nh+JUZ
pqRBfauxXDRaHIfLRnD+22cbHxOQpgRky1zYEn2/Tau0+d/JGPk4F3RxqurILQGHjSqZ0Xt/PpZU
XNHIDDMc92mLBKTJ8tCmU6GNV0b4aQ/4roKc7a8NkZ0dl3jz2LXZOcabqXqmD7psRpHatT1+UnrN
lzeVt5AvIvc6SvRS5IgbYhd01CXoIma48bgMIlGGczKh9UcMZoKmuhaTTV3tOo7+t1C6nx83oRnu
vJ2USKQoVpzQbxn8dcWihnT2plVlYi+Qz5gI0Wq29fTaJ/lWj8u13ffNOd42A8Avi6coMCDuCbeu
lx/Uxu2VxGtYAc6MuzxAO6D8iFUdIznylorBUQCkpP0SoHipURexSG8SKmNs53K6BkO5B+cQz5+i
eG4qtgsdYl55qPhh/KNeaTmH9PH7Mgn62n8o17p9Gct1+mShyVm4hdW/FrntX7hrlJXF+yLZRPf+
BtUvrbhM3V50CU7roT7k1dS/btC4f+p1ix+90R0Nc8xU/VOMlADOMLBDWiwQ+gDdu3bO4eYyeyFv
e6qtTX9bomp0siKec5NOxt1dPdTqIgEaSWCB67pNpvaUWF3rfLO0dwgPXaf7MYRdU2eTtKHemrlo
7QQVlxWmdqTWr7bs1gv3/X4XgtDDbXpl0WacTi/FbvFPUCcGS7Wwo6yN2o0YZlPywYe5hZyNUnrj
J9AfW3xQkTddnbo1Hx4p8X465PmwHiqztdcVZm64kjjaeiRyi8XH1CjrZ6cwjb7TC/tS1SOjTHDl
k03rQIC5yebZ08fmDMFxxuWDmsAhWfPYM1Hfgq6qmtVEyDkEMmnyNlF7zDDurNX47kd19815iACk
Kdry2Yqs8nC76vcsWtwo/46QBB6jKIdorW2/RS0i8+kjJwUDMpbBOCJtP/fbrOl6zgJuckIKnRIB
ES9N63GhrRt3xOpNZqG2AXcsYozCHDWa/ft4X7lfQKvbOSXteK8OSDygjQVddO0rFZb9l9eBUKTG
szv30litau/DoehgtZxlHLesKp0SEg195QHuR7WnmZ8Tyany/S4Bbep7+Hse44M/ldWYtYH04Bfc
mqVh3UnBPknWiP5RxYtlLjlgESSpXE5SbvXrDF3eHFRZ1O1bmzf4mWq+XWaHjh+RciIIkKLAjnVW
Va4afhGkXV7poqGzy98bD3xRoFK4nwtWpYz7j44zytCJS9a+EUgWut4B7wsE/dwNont2/43EmlQ5
xOUkqm77JWtDpf5bm6bI+aajtj0A8yPXXVh+/gThUDoZFLFfpnErXCttrTz87fsrYQwrxHW2FhKz
/dDE5THsgvC+9cz0l09VfFvjNo4HyRJqnd0+pIo4REIJO0VhlnwIa2daUBjWw/wHiTUbOwJy52EI
9/3HzOs0pFUu9N3GLL4e7L62/pBrbu438rbKkxFW9Gowm3iJ07bLdA6WnWnW71TjpLwodYtpl7TC
1O00wVgKFSlIlswHBoWBmCYWhDz82P0N2EY52qUQdszH/HluvaK6bAg6gjT0tOlIrQrdJRVN5TvH
SowWF8BiL0smd3J1Yc3b2DptQQDHN9nt/LgTFyRpyMrngScUdb6f5FZooAumONYnL1/X/GycCcUT
HXRsEGPEQNLUUe1eWIKwsi287X7KWUmL6lwB/x33tnYfyQ1FIGI7Y2Vn1rwDrgLGLmFS+Ks1Mov3
a/lZVlUkfu0sUMVpABRrU57QQdsJ7EtvLlyQvs7QqILnrUiPwsyUA4psj2yq8LiEYJ6pMX5gzoa8
HzpqG2fnykYlV/BMj1wnQ9BZv2NErd+1r5yWbyGf/ZPNEhLe/iZ3c73xOr7BpVIqOIk84m/KgpMa
oY31SgWkQaCMBapOPAG3soZz97PO0ZY9EJtblEfX9Otn06ipSk1VB+7RYzeDpul73pdlmVaOgDhs
7MssuK9PTUXi7r0H9iWO7F+hShzorPDEjAWKWQPiWWc8LEJk0ujpzlULpQ59zjkQRQ0frxDyP90G
wXKKKpV7TCBVs3PgCG+6D1Z+eWknK/2iOtSc4EL+5CbxdJPZC2jd/ujne1087a2r4ixYXG85BtwR
4T8nHMMPLLH5elzhMMNrHUfzH5f3Gvyjc0DkxoByrMQCsCUnrytQq+xT36UMT9ODPVr1XW3P3rER
2jzEY2kTLsCV8DjQZPCORHIODnuLpQFRYDS7Dwh8ocnE5LovI7XCRTpJskuvuTTeD3+S8VPnya3J
4Po7c7C1379hAnS7uwL5BzWTTWnBj0W5OC+xBFYJ1sGxDiGUIzuNV39sS6H2964egua88xM/Yglt
CHILEMScqN4e7/EDIXWRGofETSdSS65tnLpc6kERZKg8TZF4RnnMurvPYhy6M3ZzQXUfAdSEXsIk
xbkCRSMKNSUUtfhHQmS8nUI8R1tW09v8F1UsWuASbFtBbXj70eDFprW1zK/E4arxoN21et/mgGft
xma+blvB3g6pepOPF6WyUqWr6msVwL5JwD2M0DX/1XZzeA9Rvb4gRdn+u7UO4zMA5gahQeRKeknZ
dMO9rjx0L73R3mGp/PpjGW1gGMNNmFmIbrdkhNl5RSez/F01ykkWgzp8doNS50lfElF2w/THu6VY
o+tcDvGPAcr4kWaY9nuOF7apufTUtZaN/1w5Wj8Nk738tEY3ZuiItXmSfHMA/aPfftaSoX5X/rIm
apy8727nTUW2RdZbU/jdXSd3i7kLG17m0bv4IDsLKpG7pPPDfiV9vQv2v/YC8D7qmzhf+d1PFbH9
bHXLXNNCeTlFYKUy8tbDDTg+VEsgj83aj6fdDvvvcW3di8r94DIvVv8+27N9V3izgEb1WIn8fiyz
eIDq82fnAQHlcmCPNi9IT/8re13wefDN9DXJRKK1mSxIZkLJ0uX7uS3j3/jviPiob/zTKE9WOKon
dHDB++2FPjUOlJ5Y+bbN7lXn3i3UKeqj+2IEAHe8zUuI8oVg9mX7hZA3foT7PcZx+9K3kQO9yV2b
DrF3rPU23xVkPfTWQs9w9N0tBilCv90NSBQT/u0KjBWs9/M4Dz/yieDMtBpR4pj3ahSsV6R9LqmK
Rj1kKOWC9+jWgXXww9lNe3bNB78MQjTio5r+C4LdCY6N3YYP+9zKi5mDuQD6nSRK+GhAPFLpR3zr
PN1gBqi9o36Zj/ugh+VQ1s1GmM1oh2kQNf5P5eziZccA+jFFmELKoZieBtEX/xn04oxWpDj8DjrP
+lxYKH6JSXg/etHZT7DZw7M1t91VFsLMmVU27rHgrri3B90dYoDoO1h9puRlc7p/FEwWCG2GtUwi
bwwOC8oh+HcnftyUf1MaaXUAZ21/2Q3aqKSN7frawhefIjTSEGakrX8E/Rb9Vtz6Vwe69F/coTgK
H214EomWfwGzZs6RR5QS6wOplf17YSum+EjKO6AybOtdsY9vTq6s3z7OkwNjAOStluB18e58iclD
Kro3zmGZJ+894l05N0ZX0BkaILNq3gru7Web2mlexil0/lTxzXSx+gV6P3+7cua2sIdOPyN1jyv7
CLkWfsTF3t0zIg+80ajSn+3Gaz+5nEOou9y5WoLQT0QQWz7QSVdZp9VE7Z3Vo8xGOCR66BW7W/+4
nihf1gBfTlvV4jHsm/V1rydnTdxZOkc9OtUvoXP3qzKTXDFcTNuFYU1orCNe/kZ2QPe1EueDaNj2
qu+pzF2+fpFXQCNSO78ABNQrhqQRtcoW8MytQ8vXqSHIn1GAUyLAjF3EF7vzBFhkjIGJY4TQmi0q
sA1ow/tWDPhjxr6rDmaQ7gNiyvFOIY+8cxBwJCrs96eV3LAyRZ5ni8w3PULIqOSoa9kjD0CFw3M8
NhuMPgjie17M1UsD6Y201BIrcHMxFL+WLe8X/FZIiNQuhv/KZS6yGWlclATKj1kafGpTE7suN7qp
CSZ/iBkjH0ehsCUF+L/+wqugQHS9aH8f+hhPf4zDC+NYcHNiXQshnD+MVx0NW6hF1WUfvfxGrOxO
Kc8MJbb34iqrcq5sYyBFeyzE8j100lgJGJv14ZZyDpCN42j/yjVi+HMjC9P91YsXLieF/7D51bRb
Z7HwRfl0YG/Z/TRaRPMDJaTfIk5pers7oDMxdSbndtxZpvrAJoloHydsOeveN/7AD2ca54rdo9ku
7BoKId+tlRPPD2ADCUoSW9aI03YUdBJPcmvVuwhK9HYpDH61H6tQ5uGzivLIeSg6xNEH3y+iC56Y
/T/isasuLbduKc8lu8Dw3HcMDUd0QetqHcvJ7qL9cRCBDMfjzJ5RF6c5BKurkkjqUWPGi8etepMS
Xa7m3lN79NVDPQQHv6oG9WNxu5vco3XHbcO14KNbnk/uhKqjwkW30yQ6bHAPB4SyETIGtecS17BA
SmHdtwMqRprnoGTYbgerduYRjTfkkkxXpHZrkbkmKO3HHqYpOjvdrHI+T8gc+ZdDzgFMNbu0tbo4
OZUdn928a3FCilapJYk0Wl6XAT5fqM2yojnaZqrI2JmtYxhVpvix0C3vvkYLsZOPyGKmBUxjdq2G
clAsBO+B3S79ReO0CyFFmLuvHpKBmJV2NSb1Cicn/7xFmHmoUP0196UXqjzj565mCxbNidaf/EZK
ZPiBWX8vGG6tH9vESflrDq1uZT/YaqC/pJiLzvoiINsheWZncm1egkXZ0+MIo+tcsFIPzokEjQml
vDdBzvAkNCPGqLXtqsdghNNDFDlb7sGDuglP7ZD36l8Q9M0MU4MC+Q1XQ95/Du5iw0MbxwEhcVfJ
vKqr0a4e1w4XLMA5HTNOWmFEyk/7GqywbCxpXB2uJRSDb4f6NCsi4o7uLJQb+Y7fI3Kro3Dcyv1Z
qioUDzCeG7/eaRbz9phDcUU/cLZgMLD6ciDvdh/i+rlFOkx5Oqk/+Rk3ZZgnpMtv+6XbMOg9zXE1
57D9oct+sQv+p2XCpxUVZxEt27qlFViZ1x9Bc4fqhbQev36izYMDeY8sJBV9MPpgQDSYTdOTKDVQ
SFII2RRxquAtfP/EDxiHZ9sKG5TKOJOX9oKVfYE9Dieo9CQwQ1EQ7MQG7f+02mixf3s1NceHxig8
KwecxWMO5YkZ6hYdlE/xchoKhqDDyHfo2Fmr6G8/uRsdm+6Fsz1iyl6qCayod0bX/TVagkcknBvh
iPSmmGf4FXi3pCY7K2d+xWfjr/e5BrlNOOnEkOX8OsMF9d8NDEld0Y/oMYDkc/ujtgZXPvsohuqn
3I7gxSUgxfQPzWdXXL2IL4NbqUS6nbhgKMV1VIHRJzSMJv9NIreZ/k1y8OdL7wDYHlD5ljnPbLHJ
0xIuprsnaUHEoO1Us5+VXHt9J/o8zzM7RBCaxsZzvV+4Tr36QIy+Mc81eiZxnEEE8bT22LCTLYyA
yHAjw2CXPUs5aGAh94MonDHgIXVI3cmspjROZtctz/4xAvEuPpkZlezhv8XqWlc/ltVijlwvDgTC
VIWVuKPoVkecAlRBQGw3pKxzfQQ9+naGntW07Hb9Mt15no5HSNdZ1V4mQ09sCrREbfabWKEfYJlY
yt+CHZ8I4lvb1Q+i2frw5LdwQu9m7Whsw9jAv7/Rw+gK1gnf151BJqRvsuStTikJlPILt3FtLsVg
uz6nHK7WgWQ6v8bcEI+qPmx8KMt2zn1ybN8GOUAvOO7g1XdDPlrohN3CggE4RKDC8kmFdV3/Gu26
4FVl13f2NhtCrLL5kQGoc9Rxqe1hHC89NqNuOrV8JNv4ESjw+i8L74qzAdLy2j8PkT+3wbuTu/ib
k5JyhiCzqyWq2KgK2UbXfiz6f5qTJE5Fq+v46BdKY2BGm2/tp3x1G3NPRDlW2J2NSj+HeElxtpJL
8xIabbMQuU23pqYl1oc3Y3ad+c9A8rqNW9GHZAiO1UCHyNMSD1PTpSCior4P/UZ4X+E+0AVKydHS
H/vRp9AhGTmKSwu7Oha8iwy8OL/vwsAGk2ip1POuAu91e3A5Lzlo0TXGdxsEwHBBurBAYEunHx6k
MzbNNeSehcwxkB1DgozAxDxMu7GPQQ8ye27dlaZF/DHuVHy6oqGDHowyFs5Z29vo2u+T5rz9W4bu
UH72DUleLnpUHLQqgXfcZ9RMdFf1iZ6bAHVQrdAIrTQ0lAdfgy84rJFmVtfZjQGqDoY2p/G+VzaG
GzKSmnBOZzJSq5c+gqjukzZaB0THUIJtsompin9PhAbOBeC8KKuS8EAys4/eVHvGORDYH7j6KfKX
fr/gsB77P/gjIDz4KVzxMo6gnvd2hJi6zEZRsK91Zl3yV4zbisIBA2qRJ3iFETgPDt3YdzxfbgNl
tBd+gVk0F+tpYoL9z98Dqa6eygmjEDpYYExCGY9vu1XG089SICvwONeaeLxCCCkBJAlBNky4P7yc
PafhcyqzMjLQnQw8MkjXImqaE8v6iA2i9bv2b0uQWPkcEHrR/UM1Kct/rrl1eiazIp4chTtito05
rbIkxi3p4+HEQ+hmwik6Hzi20sUHHoe2vizIVIenAD1C+dLa+K6Oe+2F/cVstWIQ2kmAai9uNfis
zCGuQiye0e5bUMhI7X7rXnEnEbWnGHy0mcdOH9tRiRrvuIo3fSp9yy6GrNZwBWdsnJDy+a217c5a
mqA/yG6yv7e+bZsXZPr+rNGo8u5dO/Rc19oBKGVUxw78c1jiKP+LSn0xImkXFNWZRBUWRlmQj+H4
x1qbfN/OW1GEy4ffk2fRJ6VDsFNSkFpCxgucDkB+pIvGJ8rXj9i3VmcNwkx2hdbHEepVfnUTYDvu
SMteP5Fc6B6zBfeP/cNFYsPNJLxqmLLeQ372ODpbBOu12VZxsggHQw3jjUaAJdlNfuTy52DVgOew
VZEUUIxawX4eW6e+CcegSF0IdWt1LrazTvUpZ15azkPIuF8zAdaN+NqBOlC2VpUVf3rLQIBDCjyZ
qzVZQq9u/2PELxDuEj/L1uLDx+b3m6tCSUoHYOsrFNDipjXabQYuONT+uUCAtX0UaMDIrBBc19kQ
icD7y/0irZPBY0bUal4BaOuSQIAqcaWfy2MVV458xHYpqkOkttH7Lw+tUM+pZ3WeOdakd9WMJOiX
V77BIph+A15RGuyRfFWntvBAhBKcd3hxN7910HkXlSBPYIlgNISlFcFyc69HSqjzfvZvM3MxvotQ
r4ju/aWqu6OaVFj+UznHGYrRYm3ND+zX0XbijCfXnAVoLQgcZz60bx4yjI2IBdlLHHt0+z/b3ufG
ysZWM0ssk+YFCXq9hT/IvTf1PWIbXN21vukDpnCpunM1LBYaFLo2SGtQc+NuPzwVa+9GVQTjHbZi
VioR1lu9MkPi4/pFtsg0naSPD+2s4rUdFE/yKNY3IiZg8I7jNgPMbL7GZXTqmXrKjFZVx96OwqAw
PjVRwcLLr9r4p85fAtSUCJkcF1/ZvOYI5IetwGhncqf17/nc9+1xWUt3PHpK6/gPnlROrMyKlKIb
paic7cdI++0XajDva/TslVtsRFxU3deLDxh4QGZKMoPvLHZ5Zzu9wADGc15P6EcUGFRGcVG736ty
cuZPps9ZfjoGOzadwVxV5r61BAZQBrFwyrYF83h74Xnv5yjbmKpw1eqQC1SwR2kV/bAavBbRSYpm
KVCP5vVOMVXbkxkejfE6H2Uzb+rNcTtlDOJSU/Ye5MOIepPOHrRG83nGJVYrYov2ZXiyQ97sHph/
3nmEx6ku1zc0+KJ83lmft18NChXx2ydpbv3TFBQ2XgYO1mpHaWrZ8W8+1mE7bVOAHgrz5FoXmdWN
akVuJyNWakt72/6X/DKsTgxr2nN4U8MYjThkWFkJN/GVAgDgOZRayIQMDE/EsI+otLm9uXADeb8T
YTxPB+DGcOjRN8w6cDOP3IiuPnvaHet3uhUGlOWoHfz1v3gvpu0vkICl/kLcBc7rgoM1/FcujXG+
rVXOukkgRb3WeWhRUpv5kFu97k/Sqmbe79nEOoy4pAqj/MxeBxIl0lBOI+6W1lJVe2rB+4llcPC0
n2HbK++06qKPXoaCXJQ7Ik6lem36MfIfJyny/nWCYq1/ygFp17E0ezw+WrBxQeIKr6aDh/2++u0D
/ucXH/k09wi3qJ1pSrSr1Co9qhltKCDvfQf/D16tjZmV9BO3v30FOO77VW+RO90klBuFXRNXCITn
4Gqvu8sLa28/fb/141c8bfj3WZMbp8/skRP5HOd1YJ8lCJd3CAdOoDvFcyFPhD+5KH1GixDhqKSf
IttWPOfXrZKWuYUM7OwgPrEMK4fSJj33GV3O7p0Dm8inig/FXRZ1mqIY3Qy0t9lx8vhbWF01D1gQ
ZJgIwu4CLSWdnRxqD2RnKfZKHDrIG19x56ImkxntHSXyr8GPxPSHvJiuXVKDeZJ0/k2K1bsbjd2v
Itvhsf6/qa3YkdH71vgwcQPvfr0lqDVd8W1cxpGRbskgX0/IKP/H0Xk1R4psa/QXEQGJzdfyVSp5
01K/EFJ3Dy5xCQkkv/6sOm83bsScGUlVsPdn1p6Lh7CnesOZ69XPD5kasvA0BkhXORgKdovLsKyU
vOipt+YWT40oYt/zV3MtS7FXd0QC5qwXZ5rYTXBoVqceGT7qFQhAS4MtuWcGa7ynidac1Xvq+MAl
BE9Wcz+WfdQc8n4xYUeSRLrRN6N6DleMFjAr2VBHDXsmGRn8alJXzhcLRLjwiSa8tGyDgGj7sCN6
mUHvLihyTOVVLnnRsJs31eh/OWhVwXNf8cA65wsWx11DFpiSIO+sCVJJ5Xm7oYmSHC2xzJryYnBK
S5hFKw8zwCw9Gje4mD4/rPyD8nnKI6uPA8ir4U0TILk931o/jj5qy/b+D3BC0r2bqFGUuVKxxNTv
GizUDwo1LiSTiCztx9RKXx961uf2i8iATcnhQSsp/sydO3XPBB8dBjkqinyNSV+I6dmxkIzx0bx8
3RG3VPVzUptbhMXrPcZ/nRgak1OkZifeyLZP++iat4pwvc6IdRzWsZzM0YJ5KfYB0IsQRoMmf3Gt
spgWsAyWpX5tg6CTj1214j7Oo+FnnROmN2/HUTczf845v96O2Sfk2XusS2Smi0Ibr/Yhv3spt9WS
yeCYxYn+Gm4wADqe0hIlmXxv/k7MCM3xgtaH4cQuB9WFeZojgte4own4O02CAm2eHa9j5hf4DuXH
Cp1gZmIjPFsx2EckOsmtpRQJyUp0zpeCbTq+YU2NzTueMf7opjVDPt+TRJjX278YCbWdJc0T0Ywo
2oUnG6sfvVxnVby3svUQodPR51QIcVY6LVPj+nTaezHaB96bLaaUM9LvIG7ZVsOUY7bnATtBWYVD
TX7YJ0ZQomsVD6kMemdLIXTU34sd1u5EbrsttlkRAUBIGHdIGhXZDBCU2zMmDJMNooDCaOllsuj7
IPeVfF+6VpLqDbrEDTY8vvKe/UPA6tkgjS0hXZik5z85oWW6K+jAJe9rQ9OeqmWR8ljbF17JJSUd
tiN18raPHQpmYeY16651U5UED5knmDzOVdBzuznqW2G7JzI4Jg9fWKx8bldzlTUO3krp+vN50QoA
NYotInRWWxmjM5WFfwCS54pnVTfF+BxaFPD3EXaC9+kmmKCHFFCJuqNLDM91cqc2STdRHqYRaIW4
Sx5mM1b1pSqGlopoVgRcdTnmNpg5pqh9yPslEV2bk7RtbxdL8cZFWbPah40qx9+tNB2/jNzzLnMi
neKRRlzHKqhbRpldQymkOTpTh0G8IZxIyW8HdIkgAM5dDqegJoWRU/KodMzaSq0g1eseBxgNNSHD
zx7mFFGg9zCdJvmIslsXJ542OFLofY5IvtqOqffT6l6gGvLbI/dPERFFjBawF7wbxzIub6ixE+0C
x4i4jCUUu/wns3qV54nyabAreU/15bbIGvTMmCNM4kWlJJXGbdyU2fo1gsIADMeNqJa8AqHvlI+W
HzRm2suejCnBwLz0xB5YEKm52p2S4WnFlUL/J7QiiaA5Bu5lbDPC5pApVHESxTjW+f0Ne6P3Sq+W
JNPAGtY8VogCbnE2t7msYJCgFNjszDS2ZJTIbkYmyS6IVOx+D90sqSuQuA9H8x+bMG3JLa7PLXnV
RKVaXvXsgQQ7cJHda+7Y+q37bx162fuc8tO5cA4iWCrDwSDT8htdVzyIHX3d1D6rLnfrFwAvSTSf
49UPOnWhdTKWDxR0ykPL8l39Q0VHYcK2IoQ3UkMFJiI88+bNkWF97cb5z0JBjPdlts4v6BJJfHTb
tvibZ+RRN+sSGj9GdXUHp96sPL78g2Pk+ivgS/E3nUA2cUEIvNiGldK/q4JFz/8x3ntPWdAUGJom
l94uNNSVKED14nEZ0KgOyknz6uwkojnUyuY+Tc1leJ68W6yD4PIU//aQVFtIIzNIGZJDBCtnCsvl
q4Y42DzkvIWrn4lep+uxlct8QnQSgz+/85yNE3/jRm1kP/RkmTA2rEqeOrRIc7dYqjDrw9DRT6Sx
uOpp62lvYPEJpttGELQh15vpA5GmzXvCS2KhY07umtj8YeAVDxojzob4mReP+6NUTgKc0o9/mcM4
b4+knVnMJ9Bggs9oy0a7NZWgAZ/TAUsRewqsdb+2q9jh2TX/JtHAwI+JSb0R3PEJOoBBFZ9DnXBm
Q7Xkzk6h6frqUiaN70E/l7XYN8NQmmtBkrF/DjmJ5v8igDsGv7I6MOIxTRAz7hxunOq7gtABlBgV
1UL/QsIMwjN8LHXphn5Bbo8aKcnegHk9yjQHpMsP61TnUqXpSCg1ayP/h6Reo92tLgHDncnkxOUh
91e6W5HnSudhKNSE2F1bNp4Nlm+yfuRVWM/3BImAQsz/p8XD2c6fAqKiECfUKNeLrJ1o/HJ4WyYj
4yKiJqpKk/Pv4P6NZ4i8wduaiKBg1WEpTH3GJ5DvynPlorWuzA5jUTSIsLKOlz1/uEXWVCRITWDv
taqW1TYM1or4Fzg2FFJiumkz/fIRTAPSZwnyvVcNTnDHGBW5dxlZPHPnUIcKyIlWbWV+BWHYOxdX
ktJHfg8XQQpODpM+CTT88NuRPTg4DiiE83msKlqnnWyrR0KnS8PE5cfV3gs1AwNzzcxTJZnXCMYL
EJmKzHskeU4VHv/LbDUElMt6Cbp9opolOihU6uBVAEGkRFhScO125ETGb5bmZd4lbOEUSsvZvi5O
WaKgitkHtpQRlXwQ/by2t5JG9MQp8mnaqzrL5v2ABVk+zeks/Z3LGz1/sMreyghz+bugr/OQEU2k
kecRf95HKrQvfUnG+uo7ALnuFh6ReFqVFhdFl4kRmaEDqXyNqUw9I9LR5oTY5PrHXtCcJniOYv6k
/So9Kx55VJMMKflH3j3FsEl4kCWnW/wl2ICb6Dw+CQnFscBEEQWnuJjHR8Kzlf9nhi+R0RwNOPfj
kGy1mlLX1A+EjkGl5T2g4kARLtFbyY4dool1TL0cKBlKbec913s5UJC5rPs8GecAKO221O44QbJw
HMl83Xr/8TxVhJN6SnR1c8kKwqzBkSJZbnYeati6HxabBciaov5JFiu6YbskffsF05MicRGbOrnd
OhwdyYcUBYO2GEXXjmBjl08XjjAq/uipAJ1yXMMmjiC5t7nTntbFVfYZiAdtKnbrwb7bnIgxZJqm
DOxj21b+f73vt//ohLrhUYZJ9uCnjJj7sjBMVW7DjsKqzEpIPHzgwjKtsGL8DImxToeMYescZwUE
6TF1FACKtfD5b4OqcNOs62isDikZlhdi8SXlLVrEVxCCLe1xMtvegZ/Df6Hq1Xx7nqiKU8kfpz4o
rUM0BQiNdhMzpDgX/seXQ+nEa/Hahcv/K12MY5fU5SDsDuQBiSCWVr646EoRZsWc//FVNL3FPOH+
OCJI7LXox1g/jK3bv/MTDcFXVleD+QlzJCBE7bFqTl4x6facK40x2rddlu4xkeGjZHKgl+BZyvC4
Im2176BNEEHPi9o8CyLt9uQgTYMy8VSVXfloNT+cQ1bRYdVF+mKQAv1dFzBd72uCUROfAqqXyAVh
nuzAoRKtzrgwQppFD67bfNtqDLMtH26mooLVsN8LzjFUP1WjgEohbKWDoiDdhKIUO9fBJtwkklwl
jbNeTdEJNHEGgCMpGQtpE3R8keyeS2Ntt8WJ6evdMqGR/3aKoFvOogcZ8uS6WWpvlCgOrBLl7lQM
tKH3GDDXnkDrpnQHHLiNpHdX7k1VOCTQwMKFD5k7jP/Q65zwr4Fs+qkHryhfsYFJgsS4zQ/4g4Bj
k3UWZ7wy3vJZ71rnhMqZ/EV6UhfpQOyilRHk3T6I4/iZjPhYHqJhBs5C/9ODvQweuAYgwDHprdJg
7AC1UKYmR0tf49Gn5YoMmPYF8IFqdWjxhWMnthNWf/9Od1QfU0Rvy4hVgdcAUti5DyncnPLcypCA
cepna3jpJV9/bHgveczcqWm344K/ckExnBQTVQemb2o9Yo4dL5odNc+xA0Zg5wdBOnPatiDAPGJT
Sfw6s451B80H5j8HmOqNRNBadlSyqe5BVmmdHvMhcc91p/rgimRJv3KobtgXVqv8rULygfnHtiC2
QFiTo8VgRN4PlUcD3OGE4X3fxP2jy4FkteUcWPN35oODJztxRDxCxeNwBP66w9GSGuN24xWNF6GI
EAbZVU1cccd4kkN8YhLAGJ3myiVyhn3Ebat51S88DQjzrkU+LDtYRitZS4xnXx7t2K8PTRx2T2M6
B+oY3QzxCNMmPkZLN0BslXQDiruWk12Bf2j4Q1UnbJCMJZldy9v3zhDG+pJ0yC7eh9c54djvKRfm
RAFomtS/ZxN55bUaqO8emdrqkQOsUfrX4rDdpcZLuuM4l9DufIoHnzm5cIxSduaPCK4Hqx/jEzcy
It4TzmkBKjx+T4oqzZFJc212WRnyKESWpxKeVZHgK8bsHNxlcAzd/YrQZb9BoeDp/9i+bahSu2md
K4CDXepyFpVabpKRkeiTO5d/Mq7fcN463jRxzyODfAhP8OLZM7bGzvTywsvIErV5ulhLjjnL6g81
yPXUDp7JPpW7pmAVBYCk6VBo22iaFiR1d2aOAFIMwvP8jfAn+QBh1+Am9aREDsRw8YwcxwErlHh8
30hha64p0TitKEvz+lqJ1y+j+SzA1y5Qgtql2vkAw+Qe3x9qr54F+Bw+IReXOqY+TdyufEhsES+7
uLYTB2XyyRTeC6dIpurv0vc9DkKadEB8gM14/i9CVJxA2AtWo/YsdAxqamxa+dXjvMg9khwqeKE6
YU5dPVITT9LMXCiihcmfxIJ9+OQZb/Mr0Am9WyS5cdwUs5wLfpUII3UCL5p4RvFXVBGHp3mLhhb/
oZ8f2eGX5k3BnPtvMPT/6CV3CvyACFcek0MzVPWuL2YyxTSEbHYNiIIi55QzyA9RE9I5C6DycE+K
2qrjXMklPNhWK/taCA6GYqTKpLv0cE1zUkIi7Y+JrkOath2y7qZcidSiBcN/rZAkcTRO3Zwv5LES
4BIZUfryQF6HbTOeF/UcYYl3u2IUVXdYcmEAoqiKd2eWyNncL13ZXTo+63TN4tU51t3tmJ5pevc5
7Usn2Zd+aK5rv3rkwFe+2XeKZCmN6bY359Knir/LhKkoANiCWGiaeligG25/dQQNx3i4LpTQ2aBW
R1+brKdD10wMbG/a4c14FBOLzCa2YRn+rkcaV5sKwf8vr9jsKRlo4B+pjpXPzuwEcBBuZhG6s140
iSY8eGcDxwNvavaW8Hcc3RorfFbY3GkZQlvpaZrurNfnTxpAAf/8NGW/Bo7JzTt6FZ76jc5u/A3B
wPUBqtGYbVGPYvKmKHdwuVRIhFzGIiDUO1IxOngUsrttYifndzQ440K0wmOFMyVIN2r3489iJwpb
N1wDgaSIG25ckJseYNmzK3tcCXxf2ngEAuL5RK2gGM+/I5TV4lGVbmaoLDvADXlk1np8arUWlN7p
HZXH3I2YY40zUUfgsFeDj7ByakQvAzWCRQKSpm5XF0fd+p2575l0zamv5uxnKnkIo6y6y1tmp9nf
G7uCcypw7/odghAzDTRtt98qLsKcAIdPqPV5ad5kVoTRofbn2Rzmcu7/5JJB+7YUjy9N6YQAqg3h
PIg7kQ9ZhxjtTJd4DX4pQv5qX1XWrzZLXvIhDhQv/g2b/Pwpsy5udqpp/HIH9GHC6+pEcmzWtqAQ
2BXXOrPqfQQ5QUiyaarfBA0zddfBwv3wBBydO/BF/jM+v/oAsbPi5olsuCTJZGiYE8Qh/LbamTJl
uqy+eiCelvzDUc3icwD2bb4Qsmv7BxmFzdkMHZlSgBHyneI1UPVJUasmeFV29iGoMyr2RYUFl09T
6e8xFcyeXKGlH9YbhaTDEajuhu1KCfcCMpL/ommq7XwI2OenQ9mFOA+pgMd96DhYkG6BUMhLlRJk
2dFTrOZTNfnRGUDieARhOFI+mHNJcntmOHmgW1m7+6K1Dq3ujlsWlOEIpQvitsfCz7mcMxK1Y/Nb
bcWzp4rd6ACYbH330lI493mLWXVDoGs6iZAC+AKn4LLnsfjCf3X5yNpukvGDisrUecGawj1KllCP
Fzfq/eG89JnSh4IguLMpHSl/L30KikIx8QHfXQR1rGhYMvdEO5LtVzYYIm99lYSY7s4Sh5+UzcuE
t8dAYMKtoDbvBhN7aUuE3JYIRL6N8Q3XuGnqXZdC1gY6no3myxOSdWOTDvn4PnETDO3XG/XOjE5c
vKhbWHgzNtLpHyvNDanjqDhWeKYS6tjjWLoxmLCpJ7iz9hX77DCgXWxXcnYsjty70lczJU3zZ4B4
8DiPbN3XVIOMJYJKTh8hJgATvhmHMmquKPyAxeDcTT2pCZeH/2xpQO7adS2fqyBWf1J+xtehZNmh
488vEtFymt7Ag44awVGt+L+xBboP8xx7oAvJg/tdEyOFZ13V7Ip4TbpTZMls8VirpHfRsYwvy2D9
jzAp6gfOFwPW8Yi0feSugMgVxAJSKSLm8moZn+C/UDAf7glN4plnCwFOSunGa3de7jTx9zpzLePC
9cEkPxYDOzlbJtrwroNfR4nYgYoIFoXHTTlSzdiKALbrJgaH8453yx+4tE3KcyGflvHAdKmSXRVO
PmDj1ik/hzCa38GYoyF2IN8+yEqk1ZXTds7wFWUxx/LcKdcHNAvlPgBgDu8bH7sBp7Io/1g3a665
Vrr8Nwjf1dxoQZZm0E+gnXLkAdOKeRh45TTZEYdrDtb+c6YaR5Wl5u92Irpfvo8cTajex3Ht7xPc
3/o7CYOwfyIPNf83Qu0rt8pbvd9MU11zgVGta7IQc/XThU71VA9uRUAvEpDlbOVKguveaOd7Ebp0
idhoUE5G6Wr9LPMQszHmr321U1n8MX7qOj8uVVkKi7G28YGPRcouw/qldp6I6QVhEQanZUAKOEO7
mYJnfLjYfalXJhEevnUbLnfKzUXyHNOb93ck+pfq4rX1+HfypNsdzSxVe8fBSIWVU4TYk81M7mzT
J/0yId7Zwd3NIkJd2oyhs/avqgtq+UT+Viz8Kxv3X1sVMriIMBHuJ31W89KOKp0vQ1FPMZUIzxvg
vZLNfWI3UelbRz8h3U7k1pe9Bg/7shAHbLEczHCWJZr7awugl1sbvgmPVTPAA2e+h7hEPaEkGfFF
TC0K7xPIu8VmSsh7clWMowunSpK8pHlXyuowuAmhMIk9sw3gRO+BjnOS0xSB4z/pmSuD19SKkehV
X5lliwuGrFjPcnnObcZRL0b3cdpavwi/qkV7bbZtM6+eN3WX1uSzQ7h3ZFT6nKYPQwFIRJ36/4IW
yeDeJXn1C+Je6R5TjIkYipAYX8KZl9QuyluxclykK8e/IXA0rD6JMgObll/2vubvTLhmKDyklXVo
w11RYjNf8x5hT4S1CT7jsTf+T8L0eR44kIAMyJWa6o8fWH/YMui01Az4RhCHSEd5QWrwWOvXursW
Iycnd9TiUjirLVvVNnfxszZQ8/RXE3g5fn2rw5Amcdz/yKoBEqHXQBc4UiPhf3C+618n9dkgwEIH
f9eatsZ9NhuLyZVUKR5Ay0rTD0awqrEKtxsuejCuQeIlNTBp5bC1NhN0OjCcMZ8lFajhkVsrCDYY
t1m8DavZQjIduPOoCZ9rSEkVd0ZYs9obdJAw1Ik4RIooZkhMeAX8PaynLhq23K5tehQcT7wzsUeQ
+P0GslhVQWbx89BsBK+l/zxLqBw6rm7/cDAg42gFKwWP4hSdbuNO6fhE69Pw9uYFmQOOTOa3mZjJ
H5Dv0BpkMc2W1cGFD0bvmaRzaMPl5DEcLxt0GNqePdym54H4KllBBUNl05MY8ncwIc1XXq0wRSuU
K06tBHVU3hdrDDojpqlArDec2s91wHC/xYti4FJz/aJWa458YgDywDxwnnsyMykDW9lffCldapWh
I6AFVyb4z5cusobj++pQ2Mr5IV5PyivUsnw0S8dDLgXl1aH+Kv1B0gJAbFxyiwwtVAzbqrtpxh5l
h1tdBH7oTvqL+OhE7r4O9dQ2ewxp8teVqQV/iWla/iKU1O8hRcAQJBdWzUbUvuECD8oJ3QnIezUY
uCikplqvX23Vq581Ejk0UUwajuXVAa22dBxTlLsqilDQ0VY3np/UL/kck0JSM4FbfrQp+mNhqp74
o0V2m0Px6OnBFYVzcPOo4z64vYVt6yrvnvq6ExkFzwLBgajbmG99KwHxcjF2VVuP9ezNNFH/xKtT
ASgMeaLTZ2w4bB+Ruv6o3ZnM/JK36y9TR4QA+WbW+TaeouSx8CYGBTZtQzFSOFZtjCcIiULabOHt
pJTsDinNl2TLTefaY0MoUcDJ/ncf0yDWbxgCZUxhk/R0hmEIXD6c8v9u+zHI+tVdXuO4CsG5EbZi
jOP3zcyWoX3ahjMfQWscem6WnrLLRY3HXsQLrF14vcnmFrc8cnamkXRsNeX2EjWk2JZ8n8/w7ZL+
YhV28CaHa0FfNk/It870Xr5mUc2E4EHAPk+VwFdSTZr8UZRpYZhEFH8PcRclH56tEc4VM+wLGif/
J0nW2wGbYuCL6Yymi/drG8P6GKDurXuRpOq5yLz8uzM38iCNO+fQ8NrJt7ob+HRBw0kfIq+mT8z0
gFnIL4K3sU0lw3ScyaXdLsVtFambhilJiajN9u3kD4h+ZdETpuB22DvpUtx2ijC3KraV+jx5REN2
I0GDf87qZP+4BKQFTn4izmlUr78mnoNmKwcVfy6Lo3NMp6J4pxw8f6o6FAk1sMA8JsCS3G3rz7D3
Jpe31qZglX2Vg5ci4EYGdhAWNku/XxJZR4gghkivqgovZTy0v6RF1bqk/PL+ECOEIwJMjhV/rfL4
EhNjLQ6qhY5ACGA0+8ak8WMUWsfsh7DOr6JeeCT7S1rmsDrC7nEamuSPLfi6HChkSGfDDSVR74FH
YjBO2BTo0Li/nCOI2EPXbsF0MuEy+7sw1EBWMaO8v14eeyT6giUcToUZ0ueq9sFiTAT8890Cu7jd
tu04Q6XShRuozewLwYfFnYMLjTPnWyI/SWbwpXrgd4lvPXAS8oz1xU9ACygzh4ZrTuxYw9LdtSV6
9y6RvuX/g9T/6qeYaf0Gi8djZgTUT9mdIjX9FASg2rv6uZMCUuhgbv0qSUfFh2QA1k8VCM1EPylN
NHbDRSW+vc3aA53AZc6Suywskh9XaELffqv7/+aJ5AEnQtp55PDnCNjzz+pBRgk2tdfp5OFGByCN
xseqJfSGRO2T5CfR0YjjDNvbfCo6AJoyMhcWFshEJJe4L5MWJ7LVHVoCIYZp5BKsy6j7GYcWjf5g
2SLDE7hULE0cNfjDONm8cvo8WU74zZSu2knbU8lhBGbDuMo53iXpZIe5338XOtLJPsk9BWS5j/Kf
jgfTdwxGGN9+bGXOhp0j2y3NSGNVo0/+lbKL1nRb5308tpdV+35yRgju6NtKYrX8+nWoTXCdeBHV
/zjPY9lqx0E0t5NQ+rbKgHGrWSk6aeTv2CMwtkOUzUJKZlgyR9E1+dWviR1vb8McxH61UEezlABo
dCo9lNu1QHMwKvfo/Pvp/I0nHRA98LpmuVoA5xJ0vOC2PL/ctp6JDcFsnfqXkJZFH9Hsibn1UTC6
U2TO0GjOZtX6vXJL/jnOUdjusVgQRDaxcpJvmUK1YiqjY7BpyFxXT3NWDVxkqdLqJ0ZylScTj8m7
o5PZkjeMqNP4dWv+621AR6yGHskfxgHNy5Votvo9nL5EH+XQt2/EFnW4MYy9YCuauOZWTqaX+H3k
wuHbDLubMIEvB3vyFh+udcZRHXuUFKu7fdg2br0b49F/wPMxI48CdNdkQ1+r6u9mTxfjT4bN6v5z
yKsL3hKDgrdD8fs4+0v0lM0orr+6YsZ2Ln23m89tldQUwkGntWqLmFWob4PfOQ67JqdvzExhM+q4
G4/Wn3NlueHLRUo6/juZEQQgP4qjrkWz+hIwyxBiJ6dlH94NCRFMjioVabkZg7DjtBRUp0E8Jult
DOw4ALAC5MwjknB+VZVEQObZbrHdcuBcREPqZd+5KtVQu0Xlz488WvL6X4jRrU8Bwi2HPwyq/gaK
UNa80m9v7YtXRvbFEmFFqlqmhC94G0Ev5LNazFDh11K8rqjvOa9xOeXvsJ3l8isfyqm9ut4oxH3O
KXAed2UZAFOgL5DeGbJ8nDeqqcPt44h6Eu3j6v8GVKkfURJKiEddWeldxylvRtUQh2WD1p4Oj4nR
1p561eo7Xu+8aujbzdNfJDHOG4Xkjwgd2JSAmWmEfs9s2cT3cxXKcOca/ot/KVO2wSetUi9+jmG7
8tsmkozsCimL8BCXscwjD/GW0bqDTbfHK0rdw2xMdmQaL+KtmgVGOx8/025qkrzDN5lwhFA4R2Qe
Uzsj3gHtASKZqWXq32lLAcLIEp2aByyBNty3Bo39y6x8RxR/Mzi+BzINqniGN4ZDEkRGfRCa7KPN
2Nv5MR9mCEfNOq1EROG5xidfhd1yh6nbi4926NZp54SaM5AbfG863XPqeuV/mAWLf9Z0LsangQN4
3UfrR3xM0FKQPUIS2Xzo/874uuSJ4po4xuoNMTRRQ9aeM5kzcR2WkobzCsDoA6oz2EfdHRspa1dN
0id45jqFTt59YF00X4lipF+JiHL3BbbhBP6LLfcClEbHD4YEynBV2LVHtI+mIYVPeOFMtQSIz+qh
Sv4A4wxxcwg+C+dcTE5UvjEwEpQHzK+0O23rkiLLWxLrJnijBOaDE0SHo8JHENLZDgAsKAxSSXZh
ncMQeCvIQkRHxn33RDRCJW+Yf9zk8shVFrsusuJprovcnkLgB9d5zry3VFYUEB3aAvvKNMUlbFy0
NzyLDLxKUTMsyZGP/nbxJ3Vd+lujJDJ4Z8+1g5d+Genf0OqlLkLXYLLQeYgVjs55JROZ02J0YRM+
+kPG5Uh/HWb7gI1EVJML34X/u/Jwbb/4TpXhnqAnkQ82lZBXuFFkOH9zOZ7gZYykwC03Feup5mi9
RbFgyI1pRWzigHfzRSBy9fdNi3tPMywd73vpSBKBLhC+mEaapJ6qse9pIICVziV+8EhY6t73Zf9G
yKn5ZoeN02/Jj/lt4gFFsxKiwkkp1uY/em46QS9TAg9pWZY8Py9tlj+Twl6z3Qj+YNgaMK/QS7AP
7lF7NcYcf6VCbXtR3h5HIW2ube/UYheWQV+/pLYbvEOw1uyp40J2FXzKvFruf7nxY5jUYXKoZINQ
ECY5TkQzLeA80rqXuwBTiU9dUcztbuJ97HyESLrR5zg67xmNG8oUrXMMYl4VQcNveMNhCJHcc+Fl
nZBu/JbXuqZgJBhZZeeUD22wrJSMx6rAntQ9jlpi4+U6Cs5UM6aBMucIh6xNt1JfSNr7Vrn63fa6
u+HcVs99KlGLnXsNIj14gpxfBUfDt10fE8s37qMVjFeb0YM3B3ROTtWxHEP5ledJ/C8hQsxAsMrp
b1VHNcceBtOBJADo/qrHqOb4Jrd3GuI4zfLBXkumwxaTdw0aolJc+JpzhpGeqtYpRcGkec25kvzs
dSFwIRIS1EjXgusLx4IKxndMcMG+3hgH9lESOgV12mPq7mtbZMU2IllYHpXbF5z6rPs/Siq3Zc92
OoKTjpz9U8aw1u5DQv7XXmLr71DW3RlRsRMziFXa3uScK/U42T7EQYKU4n5AxIFKB62aFXCKa7Fe
l7UE1uv5sjOnOhq6/mBdRHfCOb1QW66+es6porvNgu6XMLpERMJzy2lGF0UwpuW0S7HBnkPmSIii
sI+HgfCqKfgcWqexv4L/X5sp+6Wgais4+3ZPxH45MwkF+b0QbffJZloPR+FFIVCEwQBoz0Q+7Khp
dbRyIKgd/KiZD07MkZANt3TtcqgHqYtzXZB5h4TiSRRPvjSofNEcL8cUf6l+8JgQ1rswjKZwP6ax
uN35KKayPYkwD55SMwXdV1hwRprjIXYwR9zc+CPliBg0NoXfSSs7AcoGWJ5zBYVwxpl1SQgYBzET
VRD1EeO2zLOoew6sp85BpAoHzK0/rAcPcax7iqZ1+CfJvWJhWJt49d3QZnZnxI2Fjbq07iYHsf4O
tRZ7w2kpODxN4Pk5fEPh4kmJpCsOHgPH7ZJJWwafPaF5yudL4Xx7vku/DacnqPek8YxfbCfgE+qE
/bC+rCLr5XIU1JECBmwq+oI/x+zjzPur49wRaSIfUtcpo2YWOfiwMPWofeqqPPA4cZ5IMHbeth2p
Wkuu+1VRvU+iIJ62TY6lQLpa+2ympjG/7ZBUd+FCUGsr0d7lMTJ+1ENPgu0TMUrGTLhbW0eaNzh1
gPjMMu0tZPsjXgRzA64YS2QFO7DiZ0a5JPvaREvl/MrJIN5po+JlG8HLsQcuCXIItXfIDTBRMgkD
NlrHXyuloPpAFA9E8mhAFJEfbp95wLmvnAhJ/8fReS3HjWtR9ItYBYL5tbO61crJfmFJtoc5gQQB
8uvv6vs2NTUeS90kcMLea6/Paogo8Nhtdi21ksVzVvc3BnMQNA4ghHr6IrgOUYeLjghFbJu+pyjh
frNMlCXfoWWAgThKeqeuiZtHd/C776690UPWAWbykCSLd186I5f/tEoLV6nsxKXp3UX/NKJI+meB
gfFAwdzT0y9B2L65fRNk54hFd30WDMqOfuEpJBW2leK5Z32I5sMN5bfv3p6UIpaG3L8u6OCgeDE2
zwX4odmHRJOkVCbaZfjtulm/W/sMyjdBkYQHsUPw8tfFzqm/a5BDRDvLt1DtbyxVnyOeKM8DHdTS
ctNPqnxRi5jF0dcEcG7gYDBkYa8GSGOWAqMOM3PtpEeWySGLwzFLo+CYzr2+LUNGb33xc2X/knQR
/hsoie6hQuYIFCTp1cdRRfP6jpicaiNwbfpX6T6brsp10icOHAhZCJcnsGIe6NaNN1Hl3/0/I+RL
mIULEg28SuWfKcrIfhYDhpI9pHJOzqbPW+fbGXH2Sqmq+LHKi+ADs0cnfrFcbeMX03JOIqXkKhQE
Ka99sHUDsU6/PDsLh63RTfqwy/MhTlGDYF3eGDoAFPJN3qu7AjBv9IZGxweNxVLU+TWuvn8BdbUo
AIKli10qqTQUch148NMF/wKcaoBZB4pVezZulJmdT8lzj9RvzK58RfUvLJ0VoRtjH83EPXTjVY8g
PWHc9vN8mdycULlN7jUZLzRfefudMRcKv/x+HCWNQ1sR0cXIFa06PRFfi+b7pcIDqeVz9jTkcMfN
5Nxj/gMbM2Fk+Q3rIIk5A0Q63ykV2/ZUR+h1D37EgXvOqfCCk/CC9FrTSa5Pfr8i+hij1WYEhuQy
u6MLRo29ESwq0/Nwy+J+QlOwrkdRBL141B4Q8gZYGlIAt4FrpepBU6W2/Lb4H6tEBs+tV6nzzSS7
7rvbggBYhvcUArL6JxdmabsZlRRqYXLFdzgA3TO24JAlXBdn2fhWzWac/0xOM7YTwi8VLS9dnNfO
Xhl7e9ClDGkdqKTeMlmRDL0xPEjfbOQc+eumcPD20BBT78k1hU7ukp5m7do0UXheibYI7lFXMhWM
ecWnT4aYuj4mtefYbT4mEzSYRY070Cn1tB8ZWnCbxjcb7LYO/dB+L2k6wifm8bXTuk2i1bw7gLy9
xwCsF+tn8qUZ9+/6xcEEf+vZrqja1fDALDEcDx1NBSqMvKZxR9BY2e9paTWDRdWbP6Xp0+UpmO2A
eXuaE4JzOG+xtgUmmJ+ZpLgu+rubvoorJ3+AgRk1TOAYqLHMJ1RrK4PFtM8Edo71MZ9ZKG4NGSJn
0UwheRdm4hStirLvduD7osebJZd2iXxGfxNat3GeWjLJlk3gjUStTAP8xYMw2MEhgBEIvzOBk72S
ASLdMwrfiF9DZ3NzUGAE3uwAYH8LQT0iP8XOOes3O0dZdGgK1zmTpIRmRZZQefasQqmm+il2h21J
tCcunBJpEwEdZek2CxThTKjdCkYnPHhM3X5EUi4p64hkfGAcdBNnQqPdZbixVz4NC68P4wcViMk1
eDAGFk17YADDih3K+I18JsmR3EYTrHFv6K0iicbrzY6hbveUlfixt0M60imgcFfkItwSghcX4Nw2
npxZsNWbgj9R3+jufcL5LR9Z+Qq5HcLMRfoJsPCK7rC6KGiL63YtMZaRktaU5kzQXvnPBQ2UHTLQ
ZxcvUkUG98Ab7HtbDg7y5ilxLiWpSuF9Ibw1ORdF0NUAs3z7L5G9Lj45yubnJimi7syuFq/sJmJB
9lwmrr2RioVhkhjPaEg9Qi0JMrc9zYVhZcogyqXMcfWEg5Yc62mfdnn3hQlxrR/5Ntv2jIeOoLal
AId2xw4RUwGPubf8LSl5uDN0ODZbfH2SpALJCHvHRcN+3ulTQ0x3SyQRBXVaB6SPVOjae/z38cbV
eKtiwLkCkW3RnWtg0iB8mIadooEICliCDLN2Gi0UCegsTF9WlIHRiS1haN/rKcKEMkJuOClfVdkW
Kfstg5IgnO5lytDvhIlpnNfYYq3keGPZ98T4wH92OuYCTxmfEHHpecqIx8fAeoycEpFqz8bru2uI
HN70Rmm0BZFvj87SFFf29tI/lpwgZyOsyZGGAON8SPxAk5zCAVx6eF+DuH3EOCuOIak2ICu7Vo2H
JUfQ/8q6MnsjSLXtT20VO0fTTKSRiCFW5ypm3vhsWXeW39jkNZy7OFyLv6p0CESFC8qDz4LUGz5n
JBvnyBkEmZkW1/o8OFlzb1ZcuRurKg/OcYSxfhvjeu7Pi4aOzRYsCepDpB0LaWchvoF/YyDruPye
O4eMB6YSM9s0clWC7HEGgWfPkHwAsufQPv8DfqjRMrHXe+H7z/n94qiI9pUHigA9wVTrz7pOO/zU
ETtDSUYxE0j2Le2e61D5x4lbB2cOwU7uRi01IFKsFvq+adlVPQmFC4rZBf5hElGLbm+GEu4gC5CV
8heML6mWZkzXfWoM6NyAkUx070MzfcpnMuy2fZ5Xn1MTl94hJna+IF19DR6X1p3SPT6lIcCteINw
r6xynhHRsOBgpushhyjd5DcmJIA3gESm4aFjKB5t0NX0v2HS5Uye0hvpsKSUYzE246BxwroksK+k
xdsEC5iE58QItIRSlP1zR1UmTjQK8jMYtct6uIzNifzRdn2yAnUWGjS02LipV3FBdUTwmFV9nLzk
UROr/SpLxVh4kv8xETW0dzx5fympzRmhKApkwVkMGmVW4r+b+JkESmIVvfMQ9vo5hmcUbB3HIP9B
nYZvdCH460bHHsgo0lX91x0LFOxbKrv4ALLFT990POZnF8Rl/Q//kgd/DvurRMlXjANAQsNknsBu
z4r5qOFP2A+fZlb8TV1vKE4xeieGghiYQea77ducBuhnVr/I8P9mA1mgO9Zl83QBiBFDlsdOtF+h
8WNVaP3ldQQEQqWV5EvyiyzACMKOBAwI2aTNHwhZWHilFw/xUe5EsgBbaQuSGAu0pJc0Lsr/xihE
YxaCP5sYysSli0nhlrWJeZ2iKJpV9mrVOt+bhWXxtiOUNt2KqVmITMRo9ii5a8a3oI3TbjMOU1sc
29nxQUIkNntgpcYvLpUmXK91O3lJJpiAG5WueAYMClbOKcQuP1TYOuMv9pm7b5QmA/EU1dA+Tnp0
hmPn49I/ElNwqwwdFu13QzNUJ6tQ+G+XOlox9WWuugCWtT+oe5qaAAkqrYel0H66y8cuhl2s0b/v
gCEG2FFDYAeI7IlwOAkVLxlxBH5KNp/bVOl/jIs4MmCF6GRHx+x8o4ume8w7Acox9X3dfFRLurJm
CrCuv9LXg051IlrGLQoJtGOyjOSJCD29HMK1C/uzqfOgu6fUs/yH0gn+g7E3QawaZXRMkzgm4DBs
0N9m2OmHO/IEcc0tsMZSRul8YB/xVHhvYNdjNsQhviq4NJmEt1EiFFxxYagT041++sriPorCi0eZ
vPxqV6ucO0sU53UMG6xITBr9jxARS7gtRp+oLRgGKyEMxulGJIBh3iMKJAsTEIBIVHjk/cn9o0kq
2H0lop23URFPdgKBnsOjU6WWt2gDHyKsGBnosaijaZdzRWvoJrpyMDtYfbMNiXjvq2F5BCUkfdSx
yXjru7BT72XppfMBxgE5MSjw4XJ3s4jVhnBZmKRcuPqeOMsb0Ap1Lr3JYh0gTV657lgjaLVLzKI+
Z0OmEzUMgrQ9EyzcB3Ek9Tss3YncSdqAX1p1LJN7xMQc65DWBEJ+Yqs2Ke1MQsTyOL2AtCKbgp7U
wbYmZH9WownVvaAZvtEWp8gcXdEOD7ym+XpZqtn/XToVXTspHeN6X5WL+B4JJuq36dpH76OpWrpy
vPwkk3KS5lv8083Cgp92YA/DMXynOc7IUSg9ZyBhRCQPthJTfB1rwwUNNsN9z82QPDCprgruvLxm
Tt4ac9/KjnAouCnzQa2g0a6VKYpH65o42w6dImvPKXWbn7l4qseGtpUoSDdK4qtlzIpV25u8/0ro
G0c3Wir0+jAkD0xBnPAMEdNyWMg0f+IyE2bDIjt092Yt0GDmHbA5iRKGx2kYnC/s/PJPXA/Ea+JU
Ho7EAdX/eul0P+1EeBoipJRBPJ1sWbZQZzP3KSC/EsKQLx2kmPD1aIblwpRiO7oTOvTUHVnrpt5E
cmvH9PZ+JsxNbnmpoUBN/YqcbxPx8C67bF0Cve19qD071zjVoWOQ522bvvD8Z7bold5bopxuK/hZ
pft1BfWNWtVp+itFA6l/m5lEw1cemJbkQ6aXdFFeOn2EVUcpJkpipbB8J6hG3ZmXYt/GiNJ30A9w
io+4fP/5co7fK8pa0plt3v9Al0QtIq1Z9LU3nRw+PTZ++0jVOmBk6LA4geE+fRLpAaApRMv4KPoc
1TpZzSh2QGt9NmRBJVusF5AjCk77gE3VPJ2DJrZiV0mPBUlFjvPT4jPsPo3lZKc7MxbxC0gD5gY+
U4uEH12TOFzwmZO3BE5nQ0AFXX6bpGQo4gjN41M8BBFSHonr8o6ocMTIQMgkUX9ESH549BDODxrj
FC6XUepqA5Nlz94coalmbveF0AfBTxBgq9wzecpZsme1346fQZcm6x3dmp7hi3YJaPU4XcVJ8Ukz
/yYNUNyoSUH9QhLH8rjoiDYlx3B2h8ctaw49iZndA6uu+AKJN+ChCzHtgFzo4E6v5NbUlwY0m3tM
1f/57DaOwZN2wPAnMrL2yZr66lj4YD1+o9KXj8ZSFO5cIjH0VirIXVRfC7CNLQKQnLASa/qoVpse
4kB1xCc4Y4QMHFdyefluTQ6Btz7P0ouY/lZmfG7gtzExngI8XB+BIBfguwFREV4SOLPAxJIo027/
FOc+muodf1u7OFzXlcvogpmnxzKUC9HAQIproo9XOAM82MXMbN9FXPMKUsF0B2NN/Exh6Xf7abXt
pR9rMe8C18e73q0UJF+0RXl2ZGswMwqv5HhOPKh5O4oNL9nXUzi+t4umPehzYaAOLUVw6iJmznup
ZPgXk7DmcNRcH5u+beVnOcv4Anqy/Io7Qi42RLRo8vJUOHx3StBRDx1xC0ThopjZBCzI6HDcKXhC
zJmSlhd1Y7yf1Nh2mB676s5DZKNPS9dZ/8h4huQgSkgWt7ZCaX0ksaH7tZLh6XwJsZC17kDFq+ln
0vlEeql9SjD5IrBwhqr7dhxkutsE7AE1bNghJSSEz2H0kavG+w3Ldq3uJgIFriOAFbuR6TL9B9Wi
DHer72GXXUMc3SdyKEy4Z3rWNefZrDfrAgAmZKukwCWs9zCyo3ULxj+RmwU/eT9g9Y6dqV6x1xH/
nM8tXglcqnV+l7eu84y7XWFKi5Fc3JPPkIoL9XmKFHqRgwmOHSFa2R0hvfWu0SlyjS3ko7Q5JQlA
kovxFjA08AgQsvkMtLd0NE1+YXO7PKcFD+kJO+fC3RzmJH6qgCsUSR8cnQOVPfK4NTJD8IotjtjO
JtO5t8d+hI0AoaoxoDF8kpggq9G5FCPzc4jons6LfTTVIekZcIoWe2sh8JeAKVHrVzJrE9w5oh6L
P1VVYVF0GiUJXwHHj5ZvQ/24Utnz5+DsHdiwVsrdlRg6vD0xUeTvhZ1PQ9vQzq2AILAHkhzF/3iH
sQrJPoCIaU+1n/zTyEgn5McDi6DOp13YBLT9zHFUnX1mXstI8zFkDZO+kheHzxJIY4Jxk5cEIcxl
qcfe+0cVspaHmQvqX0cWzq9+IkT7LokHaFaGBc2KsEGyNeEJbJMz9gp1JpUgS8/9MLqvUxI2vJZs
K9xDjZ/KnMmOsP+Ryiz+tEyB6tsLU8d7zDchS9Ap7tedEhC60RI64wO4NuO8yxkrVLoUTBmYN1Ye
jXJWINliOlbptwbAjLimGbPsv31FXMBxQZLIZwrGyv/iAcR8sR0hPaWnnC9f/qhwEu7dUqDmY77V
W6c+RZEnKsyr0v+PJnpAwG/5is6pDUmS3TmuP6GP9JnC/XWCkgI85t0jLCEdlbiDgIWh2EHKm57c
hYfynOJ2xdIhEY9yIklo9Gkg/D4iyRW59TZMGeXqnbTQYkGnwDlhE+c5AdeY9riERJo74bUHzOxc
uPPydZ8lwNf3YDfC8MV1B/bO2F3m4iBmfuIH1NGIs8wYqLvQcULvbo2CmpmcH2LVmiF1efQyTjAc
siGqH3hOUxLOZqb0QI8rADTR1IT7AjqWz0fKMtmeRY4IjxlxEEfvDR4HQHG1ijwWxJ3+EkUvvwe0
M8nbiDsRMD4LwnNiRk3ablhGL5zzDglni2HUCpugvZ97nyDOYW3Q6kOwSU4jSypy7d3Ju2iwwfZI
iUmz3TtxzHQRX0uzC2LrBwckBlH96ZWsPu5yQ0n+luQgTDZ6yvLwStQEImi40mGBuqBswvyVkWxA
814xKAiP0wDFm9FucwNTJAF8VtDpEbub3Zo59KybaCDV9BWBld88rHCqigOTtPSn7YCU4llEjnZo
JjIyt41rWEjRIpHjZ6PefjnrbL/yyITOqQ/6yL8yU8PLh5Sy2ikgJX9b3fvIGcPSg+c6uq6zafB2
G7SFIYOmFa1CtVlmgWe+1NqafUPwTUKuld+3p8khx3IfqJhMVwGExbnrwlnpMzeTO59ij+7rBSfN
fPMWNrS6UwaTvUhY1m9WnAaEkvmCuJ1YpMFvigdOlLGlEjvKhYHFJkXQgLS2Js7o2CQ+MfMYPEGd
yikwT2iv4/o9Ymx3ixDW8sIvsHicjMhFdlWaQNj0PBi9Sd0v9a8Eo/oCYaAvZuclHFtkLoUGsoLL
F73GB8DeEJQgzh0U9wZ5QLhXuhyLS0qmMyJcx8+ry9Ibv/21huT2ffNDqfS7D+QQud/tyO70hBs9
Sw6dN3oPU0z/guU7z5ztXAG1OHPfrNAnKQH5O92wdV5KWFWMZ9Z+WKdX04muQv2tIQ6cNXyy8KAD
RmBnNhN6+c5lNX/dSKagZsw6M3dMU7ED05D7jGzcJsvvcFFHDgTgPkIFOmWzuDhKhPHWkj7Y34f1
TLJiwgiOAXLhZ60h/IyzE4wF5Ll861YqfrhtXVAtlUUDWVID9Nog7I0upUwzMsQh2iB7Jz2cnhgx
FIDXW/fSzWtUHm3clP6e9BtennAE8gI5kQfhlTlzDFtoSTjbwZc4ZmszNGtoXROfW6ybsvQPFpY5
ee4VN+99ZdeQzyfkzyaPZaiX8Y0sPFU+h+hzbuoc7aZUDeTk4F5mmXnXwr0CxQeZD299uRQhRCtM
yYfIJpJ2AXJ9j6yvSNNjF+bA+jeu5XPCQlFAUV13jfWUJCA88ttPGl37LEKvdQHRFvgQGJCFZ8Ei
yaGJd3yE8VElX0nfXsnqMjXgjj3WxSbeSY5VHDVF3x11OAzRu58UdJUsI9cDNmxcDgPMnwnZN5sa
tk+GLX4Ryeid4xU1OM7hkPdJRZo4REhbv8c5kn9zcHLoijgq4ZAmjIuQWQjxmTN4JZISxSDR5KIP
ftuiIrWaUoRkeLpMgibTniAe2CZcl0+ogEjy8tzWexyWMCBRDdo49WI3RpxjmyGF4IPtXMF7kFVS
iP2CrOkWehIG4rgCaH1j0cwepUVTXR1DRhrIwLL/RyID7cMVopUUZ9/KpIQ+HxIioBoqGRaEEwml
k7L+b1Qo0ErYmOExXGLm8pBWh6C+JI0KDh5DCmJdhjq0O0pHyclKFh3K8rC0LN20RujF+dPDZccd
wfCZ6zndQtXI/hWTGAhc7GbQ0snq/dUFKXxZnRY/9EBgLdAg/oUeS7aDi0f8zmsYlW0IIC+dH85h
pPzpyEO4p0gk+rN23AhJWQ198L7rfHh0vqeH9lRYVLGI4ACVP+S0278bZlXlLlJR+SZ6/9Fqm9SP
qrTyPop0ZbeLCjwyYpYIjGOyOMI7DaH1QX2wDmQmDvah4IhAq/lKnz6FB3arK2kGq6bMqeulpBJt
RuorKH+rabFfNvSPUIoQAEKwb6vnqJdzcdVyrf64a+e7+6bB2qD5zRzani39+/pTLWgIj83q9XaL
OpXo7UzTE55dRn/jto3cst84VdgheWgb8anmynwO7hANhyY2brJXpet4ly5L0i+eiXk4wjENss+5
Bsi9jZyRAXkULeG1WegpdjF6P2KibZ8R8zSkcuGGTeVbEhvC6fpkWucPNRgQnCYJxH1HwkmzA1RC
MiiDL8/uOtfPP9pF4LzyKjAZWI3YLyY7m6C32wo7js0Vb0lHRdu2qHYWdxEXsQSEVfc4T4FjxJkW
qN3KhtrvTeD8Ey8zFqziQkBa3/5mbD7BhVY5VqmFJ9Gm9Qudb/YFfo/hGlYsZlo6SjN/G2TCwYuY
Nah9m91IzAAiuy6EI7dVeedM92sb6X670PcUr3MwKA4xGwXJLkFihpFwZswH1gxPikVmrIa09jnU
tcAbNzqan/GmMcGUwoAVFBQP+OyO2bHtRtyvfd30Ccx02Ew9a4whK5mdlT3+naE3DCfbItQIfY0T
u8jDseHRVNSj53bimBNoYtYrruOchezgYLdXT7IvBvdA59V3H0srVpK7PK+fkkNVpCM+8jDHozyG
eJxfmt7XfLCQ5YBOIDLWuC1ZZifLWa3IGA+WuJzmOsRtGN6XxcT5eHEzvyNZBaV2PIOz45zz4R70
gT6yltf6hz2UDb5SNqTlh8obtMxEoMBK2Lojoba7UvVrey8Y1qMma5jgggmL0wlc1BDhjp8ZoddH
t+WPv+Y1ficQa6wqEOr2OnDOpWZOfVxFkxdPQ41Wc0PDP/AfNcbkQOwy8gLQvM/qfnJtbX+VWScJ
YHMWn5gGUbfbpPfHC1k0/voq4Mx5536ugUM57jJHd5pG2G4KSlDiQ8mjYMbQhgvlrj+AYToa1gd/
6H8M3oAqchGZUUSipOKSbqEAZWCD6KSgh54VK1W9TbUnV/pjkNo7F8InJIRQmHY3dWiId4l0dP0i
SjL/1GYICc+9qoWLC7nXBLDpyvoh1C+l9Mb2SiG1jB+Boftltlll2S5wLK5BDyEu7JKwm/5Mgbfm
D7jm5X3ravWGzFs0J2+Q0MFCzCCCgUFHnM3iUQnWrWQW1LmtYBNUDNN9aTUc5NqkFq3JMN+IYB2g
qF9tiToWG1AV/1S8X2YPWDSsiWSh5NxMOSAxpKgigYDOF+NHR29IUHUXoHjD05KsI+s2EjPrLYot
wlBBNeNGSigDCZCNgPaxajemv9pO0qa3AzBponYt2sGK0JXkrpp8HX+5jG0/O5S/aF4Q4VzzuizW
B2eeRfMbxIgqnkg84CRgw29W5OCqTqJXTZ827GAtmO9udCjZu4DK5IQePv1CG9zfQStDdY8uTvDS
007dz82AinG6FWrEOjJxemPhMEQXgLr4CgTiS3drBuvak0ZXIPdD407hU87DiyGshvDx4GgyHXaW
a+8nVsjpjzIMdI4DkuHiRrlxWO7ctq+TM0806RQQ/m75DKb/xWakVrsgpBeAJDIuZ8v3LbYmYLB8
P6ArQLUBe3a6qL7PVn0K9Oo2f9cgXpwzf0PUvBbuYJ9IfrXi3pEi+KQy9Jua9GZbgtuEzoC2ZNuX
Y+x+2sa3S3Xku6gyFtHYBwMmi0Sc/u5zT6eH2ovKj4JVKjFrFS8ftr0bQP2VhWWSs/5O2uk9LbNM
YbGXChMlKLzaPQRUaPWV9XOa/ublXT1guCz00S4MeSZ2dJg33/7UGOKS8TepqAEDIMvye6oAdt7O
SjqgMpDyxjqpgkjuZFwz2NN1OqKh1EXhD6+Gf6zvqoBTmDOUybP/1q2TPedJCYJh4G4h3abssCj3
Icx4IMHB7VGryvCbNswfPxuMpWeeMIOKfo5xZsk+pBEkUd2H8psBIf7BhxX4pyguyajPIdv3nzWb
k57EKb51zPyLi9BsADF4kKjEPwPi4h+QMhAVCOtqNAeSxuSEyCLtLaOQqJkYUcX+B4jIkMi2ena8
dzT6fnc0CI/cu+pGAKKcIsPoJQzw82gzzfWpBn6e78vA7fF9Io67mLzPEqKUcFnsPRfnH6WLk96J
3uIxGtey+uElV78NNndosqHwvtgfkUu3QEVMjnkoCW1mi9Z/tVHqEmE7j9nHOjT6CcwUk+sOtwPy
NoKlcXh0/tz+UJUl5l/leNwvfUAs5i7TqrBnzCXNS5vo+L8c/Ighk12aGDFsDBmrzKe22iINt+tH
ZH15N5KP5m0dj63ldmIi27PC4So6slBNkQK3GkpK0Qb+axerpcJtBZFKufWtYurdxmNxcYtUR3Ne
WsaFxIzexdOMrKbp56Y5FJMN1c5QmREFCZGdRGGExuT92p61cZ5kHRIZVTC7BE+JmJHazFUklGh5
0MSUO/sqCIKrrByN5mP1ykeuFzbxcyIlLHkVBSzuOxsO0bZwOJ0OpKjY+Jja6MYGB65dTp9pdaMN
1SrOFLodgRFzzMz4XbkF2LUYgBCGX9IQZvwHI3NT6TVvLcIc3nMKOX9jMKpAjcUeLccXoxPkABu0
9qu8zliJ/1sLUOFbZXyn2jYLsxyICGThNFDdsldXejireOaXDzZ7VNAwAOnGmUOM8EkLt0PCGxnn
31gOxcVvuqQ6d2vW5ycnzNprWxGcjelvmGe5scXqkd3tM9XZzRjKflkcctm5CCHyfVA5lBctVFve
LLRJdzUkR4g/SyBJnsKnm4LccaT64rGBy51hUhi2zI8D8EZhmX14Luaa49BIlJZ3gL0b+2vGG4B8
1QZJfdRMzl4gBMZ/Z2R86PDnxvV/mXTS9krMD1Ge6GMBNsPi7wgBmzDhb+Jc9mwa3fYPLov4SlQu
AgYPl8drZCT5w2gmfPEYOwy9hjt3FSv7TQAs+qF1g4ncGKEa9ylYbeEdA26jBCm441eqP+i5qs2A
CJ3UBA08DAEhFXwbxGK5JFR+EUgyN/LnDUToyqFZYYXPunAQ8V9cUbHPD0H+8wk9zhwRd4w0d9MU
I+MH/IwGHI4YF+zShTsCsm+XEIqUT7eE467B7ULlae+TnmTug29EfIYskf7MEUjNna5dr/+ijpxL
Mu05K74lkIwPMCaaWJCs/Rep2Rxb33ofWDKifzk3MlEXLh0BHnGSuQg6f0jQFpidHGDhYUyx3X/0
1/NysqIE19cTAPKBJptDH0Mdt/GQCjYh0SCZ0uQmDNILmOD1N6qU9RtbpvcbrDG/jIxZ6zDBw1J3
iJAQ3aJ0MN0VhLmsp1VTMmzxk2BdSigFv4iIdlc++SSxJ5I49M0pSHP+yNy4DJ9QT7UCmQsV13AN
Chmu99AKnWWHWzDCT06ECuw/98bdUi1dEu92BBhQoatqfoY+NONdD6AJtkHklfUlhWflAGQmFuUl
EPypcpOiymQYjNae4xNkhHsF4FphK5xV9LL2EykbyPQLEqw1vjbeBhKRC67Qd68Xzl+M8K53iuCT
iWebTym3N2oCQlPwpXU75TVN+XBTt7/zlpAnM5b1sgWDU0pWsUt1ku5QgayuUuK5/uBlQfw5pdI/
aWJRWJCWvr0Pk3L070pCOWGyUfNDs8dyRLpKkbC27z6cumxoxAq6ZrJsMcTvvbkhbMfXs5zgruWm
/22VVNHOG9xpPbK4rZZzzFyL3TvE5fYvOuKED6Lk/e5+NSEgwSO+As8cbuFAy0dQOfO0Lasb+xO4
BWkirLWGNHnxSt5zKlc/xDOGvR/IEjFqW1X1pNVuSrQqG9E5ZOdmGeXUOUyacQDEi+Y8Pdyuc2Aw
NUla0p9u6lbPlW8t67KcLegytluPoHW5XQnonF9rKvn8AEdLvHQZ6M2NuH3LDDabqThi76kSRhwd
J2qdTQYlkWnEvRBxcyJ2kqwKWqR1OAHuQShQUtr/KpcIM0PCSXuaUbny+yI/ewJIE6Y/sMcKvDNZ
OFDypIo8QNZLy5X9BckVaR44sC/nAFJXzJH7buSC6E77LvtSG3oKUuPkLHshvcF7ypd55bbByY8Y
CP3025TLBSfiWgzXWXA9J7I3ySH3XSZTLGTbFaVv7ZN3i+ZDvdBPKEy8+Ij+xc3gDRcyBgxZBbbQ
97z3TYQuV/RvCDMI/kbPQf+inMqkAAkXne91FwSPJXvCFX4mhtFCDetPx/ue0V1puMaM5QMX1yaL
PkAoMG1TqAk4X4kqiE54btiBA5KBuTfQ/iG58hJZHj1OnfZupAub9wrScqsPLE8Kued7dTG75yZm
t1Rrb90PzHeScac6Ni3hEVXHxPkoCpCU7ousSrq8QQWOc5w6b1HHQI58CrJgl8CjmKEPKZ1FvGs/
MDXNloMSoRfMnHaiKNLon4XvkpICRWoHQrMBcF4LBxuNlbEjrxiT1foF4eKyPJQ99iqeZTC2nZ57
LlOSEq4sQzUDUc3pdgSQEHyz5JAIYemrp+PQgpy/QzKJwqqoICpsA5wabzcjWM797AzYJNp5vJYO
BS7Zjgu7HcfKidlwNlE1TrVE7EfIQYZTCD3DdDYOF8YOEwxHJ3lrbXYOyb8FVj/G2SNTdRhABp+O
2Uexv9r3uZzITKFsyMHTZaRSfsWVqK9JBseARGacMxi2kYJPnr9lWMpxnjpD/OMjKIGIN6Dh3Y3M
yxkxtLl+XrORhBMmD/GZ5A3SF/sqzS5u5cTJxyC0PtVkgFSbMJ6RRpAEtqAmYyx/0wYYtfqiPcLs
lOae7WsevQA/guDLlD5+aFxBUFWHN+3fSsrltENAafytuNkUTmGTW5hGQUIX7iBdNeiqPP/U5wsU
Vx2QNkAB1MbxgfpFm8eeVKR9TYMe7TNAHN79GCdq2CuCTPzNrMERHKpSUnHN5KmVdxYs2r8hs/+j
7DyWJDfaLPsqbf+6YQPh7nC0Tc8iEDK1qhS1gWVmVUFr4QCefg569dNoxrHhggsWyciMQLh/4t5z
UdhhRwS0SS7gn24lP+6cKB+sN8QWElXOLJ/S9dJOBiBhmlGw800WBKuDyeri08DmhpWu33JF3zXo
SXyPT6NvpnOe9/3PPpsHiaKJvOct5RucA/d2N/Zpc4N3ttXTWZHG11/ltls46Hi4Tt+dtsF9UBqY
Q0iy2pKPxrgzm80Wz2KI0B2AY0cb89n6TT6hOFjaZUKYCd7lI7KL+gROrLRfBWLw/Al+R9TdzYCw
Vs59agszw1xUW1BqGmGzc1k9M1tcIS2gV8MzvGsZtGXPqvRRH/jkamsW9wkVcUbtjk8pj3t1h2eC
HCA2ABujZSVcaAlrt2fLkOdTv/lWypxMuzRnoOgEUj0uKbkDZz/RnFk7VTA7J8luIOoGlS7HP5vx
YmE1Gx1EoSvaKJ5KEWVHNyHkEj7LCG74KS9tJ9gALFY/PwVI9JFZtLIph11OhOUSH2kwCtHu16UO
fkqryJN961hr/6MhuS3fFyiS77Cczc+pFWVmh9+VQc9MF6/DHnLxbcVA8qnsKJTZTfbmytMeKk2J
cf8ptuKUbsYQ0n4kNDO7+Iiml1MDqVZ8WHTrGRktqH+ycLKyGLzfmhZwKfupXz9WYRDihny5C0C6
tmsa1LNwyL6GdCy3/KvAqPbOY7zFfcgAFA27lnkRsS5FUroMuzJq0LPYfgqPTSSMiO9GH3nJtYYi
x0awjNBH7rnrpDiS0W1p0iyIJ6/vOAAjgagzluwfMdID1go7jiVBvrgfQ5YBTAUNdE//Vo/uzmXh
CLkdHVtafGsPFRqnJecyOnyytgCo5UQ3IkmkDkisG6ud3eV2rGLZ/GIYODO9iRxbYV6v3dQ5VeCP
UOkVGNoxyEN+XvVwQH6fx5+1owP3IOZkjq9dUCsjyZbOnETr+8x19StBDTdTRvV28Ui4C36EfYNC
ZKbY7QvnLkuDzTtF8/valfj0ntg7euK98QYLiIcrJie9qe21k4d5BudyQC6cj78FPYSIWKomsDG6
ictX3rG3lSVaxjqCY0ul4yX3mnh0B0VTmnWY7Ypl6u5wc075gXOwqO4BRAm0hCDu4ptUIt146Bwa
7K9o7uE+HZxezBHLY2SdCV55ljTqW1JOuJv0NyrePW42PB4jU6yrwIa5/L5gzUMCX/aNnbJ3q9kV
GcNqr9m7mLaDA0U+7Bv+j+CGP4N5XFX8IrA3sFRkxZL6p5rV8vTVC+10OHOTxjqaulPOSbcDNfMK
FjCBROSTsbHvUYQFhF/pyNiYpktKrNC1yFBhz5349Q0q8CAmXC1dBQsXVC1TfOmdTtpwu1pllq+a
2GD/NAnFihQiL87kjzyjbkZ46SbxfhJ1syCuNEF5M+etW5ObntBBTxEMkC/HSDg2hlHUgPCBSyC6
h/nB7YBnz2GVFSQ21N2qmbCf9ikoS39qgLoAZtaNe1qztZvvYND6gokbhBwEP/Yc/JgZeRSHvgwW
/zTisemPDdrsbA5LOZQk3kO6sZ/JDiJZk+GU211sr+nJFU5FXnDmYenxAJjU0cTgGdSk5ZMcPtOb
YaZY3RSQIGIgNPkB9Q00XHgMR6iCbZWfSyAPosaAwWFIetrkO3xriQ7K7N3Cbrz5yIdhUC+qRShL
3lKniCUyPqmXYZ2ZxOuxktPRsj9mEhY0ez/DWsI/ZFvxVY1LXoW47Xqzm+PIFh+5TrosueZ743vY
onN0+TVeApD5O+JCOKUZCdtk+MV2F0EtUyDidjprFRTMTpDXwDpsBvAErwhvAR1zwy/TcXG/z8w+
vBv2Fbn9W1Uo65Hizhb4YsTSQhMmkTMNhVpMmrmykc2DbfTF2Wvi0UNiuLBSuCoVk9azETrd3I62
x6lOVAiZV5hn0OANzPxDiZTjZ0EdN/1C38DYjwgjV4+kobRQUgSElp4rzxjraSAEg65KGB564bRK
Kfzf7NVvfdDj4kF7EHRGmLoAnXCC1sn4NFJ+tcEV0+weUFyI6zMFv1Nh9y3SOx9ikMnugBPWRh9r
IGtte8D365YgFivbt3UINh+f9EL2gUG9rrN1OuZV5hcfEXXAdK158oaTqTqyKco4SA1r9KoPztPs
DObU2A4JfFYvwBUxtsDoapxlIV1po4xeGPcPEzLgBB1n15cueDCjNYnqMbSvQzmq+VLQW6EG5U0q
9yV6NRbJqBUYmGVF+oRStmXOL6ecZKOWtiFc8EE0+6qi5t9bJhgojZhf0K0lFel0KKfdXe8tQ3Jm
YCOXs8/mz96z0rJfXB6g4GwTqvzFKc+QscyUuKm9gRBbt1vf2sJ2x4Nd5pXBFt7j3hKYRZgpyQgV
AW4D5qLNnEwXIqKi333tEafcyEj3v5GHSPlJa+M0fCQo4EKFjEWeCVduzSPqOWJvxtmDrlBnfekf
mevBQM7b3gprotVY93mTNbHM40Tq9w2ePoPRZNXiK9emvkYbkgHUy1e6KIeqnYKokDMmj9jFzKZB
kmIYb/P0uu+7OrgGujDVuJkLdGwxIfbugdUUpZofx0SW+FnKg+VbdYZ6s57lyqEIuREpr07eraFO
13MJsrHn2Xaq6JpTAJnUMOnhO2Hr+GIX9szKF8cZSnmnph6uBPIPZlPUCQzFadh2Ote13M3Y5YBK
LIrvgAXylHilQAU/HSAB8mHxKEQOVDcKAQoNSnJFuow/3SMVz9JLH8jBvvbnYpEHkiGSH/0ktEb9
Sw94C7+8fc004spPVcVM5SoJTmsfSfYCxyZ3rJ+xlsXvAUd5xafh9D9Ga12wVJH5V4YGpdcXsBgs
/uTwskJooi1/c1J2+4QluXQvK8lt30WsmhqUE4Rx9HzNmpIYGBuXNV9mrnvom7+HCQ0YNNIgWB/J
zUrua4hPyykqS9mGbHi38Jra9uuDT5ozITOdX51RGSdi7zR10DIDReT4OLjsmo5DRyzV/Tow2X9m
W0UKB+9PUnPcEo+0Y2EgT7RI0PKSPn8FoeD9kXWanZFUg7nHuJW+iHaM26tMeaAvyNmBi660Zd8t
8YTzl2jR8mmyxVQfS7U4moSlQBClB+q23QmV9s9tNecMpzmMjhni5uqk0zq+14LV9nnymHYRu1ME
2FInoiIPVt8q4FEiieyd5zOAvk+q0ihQ46PA3NAPmoFMnFmhclIsCGQACP/CjGW++JaD03s0vqBN
qGLMPWRAt3dweYnbsZSP49RBPERILdYYYigCZZ2qLiIVI0cpkDN9Fh1RPV3KHppgUeuh1jNQQrg2
mbdDlBajysTptJ3WmNqOreJr/BnFGNn2fmTJJ3RHQOvHysSPbWlnv4SV2TcVY3IGcf8D6bICiWw/
X9ftQMR7jyixXAYY7EPGKA0cb3UjwVSgDxt6e9NJz1FABhI4s3yDFg7XsAZ85Gb9ym2j8tJ8Ow41
sE+SAZQNv04vE1EE25wJ9x9SwEmQzWWt5bC3VdMu12jb4+YGcRqWiDlLPqj6FkWIVxO/jHg95JWR
CYlXOBvyt8oamq+M8PhfGZRN52pLcn6xOiSXIVvG6qrlV0r3CVZyxjUOeRsvtdMHrzHn6JOc86ZA
/8Xha6PB7+yXEqRucyGNZzqy9+Nd1pFPEKHXSBP6iM97ihvAsTPw5+iLsZWHnANKWXGyZea5Z7vV
6fdq2+svzXKJxMVxzU4BBFtceVZh6zOl3sKaMuC3J6HajrGq8tUJaHJt4+9LxB9Ee8WyvxkACQq2
4zwpzE1qCblT5MzMSGBar8w4+fC3ENrfIrUa4gufoAe02UH7vK9smbPoaAI6utnKIyDdQ9E71wMe
xnQ3ejO+Km7e6m7pUjNhTzAOVCLXqfbeCl3nZl279nXU+fiOzxGcTmDpPD/4MXVkOA7O1iGmcfOz
ZRgE8yRlyPZRWVP/q1ttjPfBYAhDQiySKX1duJWavnDeMZ4FPqy+YrPwpRxd0c47lnv2b2JPl99s
Wqvxpl0j5Jg7VUXxt4OEJ4dTt/beWackfe9qgDucpqjh3SMycl3djq2W1bGnrfNCz29l9yzKiEU4
sXbBEXngSMYHUa7bl7YbXkwMheXAGnVDCSKiICCJup0ENfgvdLtZlXg4jhC6hWYQGCbiJHE/FOtg
edOTBja/VLingdp4SUlsL6IlzM7WBNbHiyznosegIM4l7yiL1RDJ6hpZGRmhACfq78xamUanFPbP
uhb5O06y+CuCg2cO1cLdjZojoDMdJh9neyq6+6ihSgzjZIKaXg9d/AFaG/sR2CbFaq6OWoZBMUs8
RI8SsA+6xnEvfY8sLIKqijLMBS5/Au79LZRQWOIJ8Q8LR5USxDwTz60fSkd5vwAGTIDORed9Fgl6
kjN2Czpir0bsQ9jX4h8UcUbVvYdtJOf+Tu38zrEx6t2ZtJMbBRX+ASYqjbt8X0i9XqCuzyAKyxlk
ol0GjbdPZwe/S2PyXlDNtyNoTPSFw7md6hmwGTQN5+QEKAT5qUrCiwZQJPsEW7G9w92hx0fT0fLs
dIdV9aruZXauRrqE66VNWgDhHROA3UoDJA+JNWb+kbN7udBSCMTARLkq684IbBj+2Y5oeg4YTL3p
jbFoYt+XDXuEP9hq8GkfRr8BNnqcEFOn8S3LP0KkTywavH44ZD6eUvoPd5IZ73MeP1uzLVNgTEE0
djfVKL0fHOK+f5BJkvXh4hfxR49jov+1LvirxYFZ7uCEyuDdJrBbeOVnmxTqehywD2AvQUpQEgKF
xnifL2JsbxHiLf1xNEuNoBBJjDXvJZVYxNPuWrgg24jR3RM7XhwRElZuu8uXwg1gNPhu96bgvNYn
XLhNfbfgDLWwTUbwnkMQXFXyQPJX6jL5XhnaoLpZEA+zOIXqgL+cRByoY6oIc0us5tpwMKbnlQMa
nRexgTEeZERGF/QjA82k8KctaEAFHBpY3opwlfb8I1mDTuD27cvuiKzIKQ8OisQnGWMy2/sl+UGM
U6ziR0ZCgHsbNYrilYEEclMm+534wVRu/B3wBaZW1nIiEnBWXMt4f5TNNpDg2pCnZjv+/botT6qR
k39uHEbLbLVA2JxZ7rjxL+K9EEOCKxTqWDcJQm8fg29yJkFn8Vici86urmUyDuMvLng3vQUKwfuV
YdjbIDq1eHa3ev0JJUQcPUOZ2jaKyyqAExQLj/Vxc4wnR7OC+uKOi7V7FjJGdEkVO775S7KkpzjG
9L9r+xlTGR05knV6eZvBSuLQvChKRsg0qtBlmGlq3rBCoeQ8SZp6dgslUerZfaIxqHIDgJDKV8jO
FEVQH4E3aC01YKJmeaDqcckF0FChboE7yt89gI7lhjGG7l8mxyb0jZl4i4DIt/xLmQNJejQppe97
g2NCnb2Y4RASqspgPU/WabfE0hrfkkTq+qo2CGpDJquNTbxV2wX3Xj339oFBpc3dQDxl/cd1WAke
ka9JGKdJlTAC9eB4PqNvn4rLlBhGZsxjAqRPMdJO8eghQP0Y8YN5tx2pxcPRiSgwYCi42H2WnI/r
OJHcvtEiutm0Iea+hATtrkN08s2EBN83KQHiBjHg7ACLJ8oAWaoVNclLU+rlk7pimR7bgABnIoqM
I08o4FwsQ1YjdLlDa141t3Fc9dk1aQ1+dtfULH/2AQBDVtZ4PSqGO0C7PQyb2AAB8LsedFUG4BoO
E3qspg2ICsCt1t/UKF+G7nEuZZS9jPmUou/nY+HQWjKW8VwzQWQ9pMrxu+6FTsMQPRo7cckGyloH
gihaEQ3qrcGgMgOxGPGs8yfaC94GHSz9ryygjT5jhBrledLSSd+48hzrgYm5iZ5EnLX9mTKGZEEz
+x6ecc/hSillL6qHGW12cth2Ps7ZlnjeDipFuUVPzTqbXZNNBkkksJtHpaQ4pczpiZmFdGF1iI7E
kdm0ocJ2CTPSV02M4eagZNqX3wAJ4FrMiZ++t8LEl1lgY2Gg5JKLhWhk+uEqJh2I5lozX5wpwxMm
YqO+I/LW+7BjME36UG5xifrB5N4xCieKJM94VvfbDaa2qat6C1zQQgy84USxAKzB0iATAr5Z9U53
Xid73GhVLYYqO0DuycpmyRugAhoUaVfp9SrysTIx85phRraTtlsAgYY8np65UBzmAwKVrtDzT6tK
i8clCZIE41QiUWwixYbcDBPvbW64H7FEdvEPO4H5wnTeWLcWJgecSj1fqBBBHtU8ojUxbRG86St6
6+FPahrUSBYSfDbKTSr5TyBkMFC3UpDlFIC/MF5jQZaoiSN2yHj99jIasUIi/0aaXJlVv+Uqz+p9
i9z+HV0/y71UzYacWXyGH2hqXAKDyFK5KEl83WFiMP46rNuOp3fL5a7jIb2Fachgs8hrPb6BFS0+
19XtN6Saiaww8UfvEVSQeTJuNHyQWVn9cXuRf0XkzV65rhmBODYI83czlzk2N6RFnwxHUV51S9s1
hw4Og3UIyiJ7D8YKBJ6D/vkjxaf2bKGNT5A3Iz/ZGyyLd2VCYNYu6Gr0V0Dcuu8+p1phz+7mj1hp
vdfA9tw/eZr+T1rTOPrhqssOdfaoWhvypZMTDYj6mO1dXDl75bicizPS03zPFrm81igzIR8Rc9zu
UDDCVDbgSisOvRb/4iJa0ouwR7LIyCLONVJRWByVWmESckXGebtmCzaKNkG8ttO9TUdAt2cVOPpE
/acTTa9C0jS739RZdXpwTeWnFDAV1M6scv3rAdGhjZNKsAnXdcPv2hJuk9JW+EFxpbxiwFjEeTUS
FoVwVdtoVNArZtF04jAof5upFV+W4bzdgOCldTU2qv32WfEFaPjKiuTXgIH8IbYgXx3GVbR3g+fo
Z+6cWJ1J4iO+YUE3Cwyj4n3ajZyrdG9W6neXjhEoeL8pLp67tieU0uW+JtG3Zml7cFi5/BH9aL0Y
FMHntW3ce5jKG10HLFPPzixPEJxwtYcmyNzylEYxJrQlKfR1V6zBjwoKxhiOcBxQN9Y1tpHUpUhB
BYK9N2Aj+GAhmmkvptTu0zQNyWMbOdyFsSBAC+hAPN85/VQB5kBK7u0S4GTXmPrWL3uiOg8Tj6zr
nZrpwtmwOjhqxTTPr8Ze4GTSjLL3ZGfdoc72KmbCSVBeJGKnKRw7OTyyVmtfsnipb7OKeKwdmhkG
Z7L3+8cC6iNjmtif/zh5hnaETZg6eflQ1MfBJp/8aFkk0Ifozgmw1O28/sQ+1T7rbooRkdibN3iY
nKo8UjeRaM73vp5C26KcOlQyXU1oUg3eCjGdvWPGlz9kuZ18YXvymRGZWqZ7PIzZU0Bj61M1RuXn
6Fn+d5ANU7bnSSAjq6Elewqg/fBjOPh4DiwR2utgsymEa1xaTNrWJv/RBQs6ldIy8iZunMo9BlRO
7c7vMw7QuGOQRGwQ5+ouAE723s2zj/lY8flTNUQ8GlxoCIQ4G2Czj03qPJCFyDkFkMv5jNkT8VDV
ozj1y1C8y9Et3gG3VB/D4CGsdOxF3LBwyF6iSsGCHirG9ZepzMpTMUP728/stT+Q4dAhRX6LlN+s
iKCoHTLKXt+tIW+6qM2TM5QHluM99tbpIiraZx0h+AbvtLDn6vgygmdqGsoBgm0QWTm+Dc2Y3pE8
yXz1v8ly7wwYM9m9l3Sbz56yCF3GAKKxA7Xe44JbaD5YOLF+Fkky3RuNSY/y2pUUbVMp1k2IxRQM
pFzxw7JReu2wjtpoIuM4MHumPX12sBEBIeTsmQPv+jHY8OtsW5jm1L7zqvn+slBXVQ563NDs7uIu
HoeQ4dDUsBdHCXBAOAHvmVzj/E0S/GXv1twQa553vQYrNyUkQ7R9RAsWgw0Tx5Kj8k77a3yNMKaZ
9/Dvs/gj6xPvT4rUSe3QcPWM14sBE0aZ1J8pqIZrOzUb/N840InpOmJNsMpSvcH9dZZ7hrUd9A8U
W7fJPLvlxclmSCZAO0pQRW4L2TOjcanPVZdtwksYFHCf2s6ODxbo5ekaVCXLRNGh8GRY4ci7qS2t
3yNi7JPcfnR4rbHBOkei6bdaSgf1+7gJ2L1JbpLXvINJGGRN+5zPpf8VdL3hFuUMxKcKC+Sw2K6A
qsQo9EaMAswmDRqoHg00rTiRegg3jnuyNbvOdcuZ6AMAcshDsRHC0WmLE4nFNQ6hNo6Ss2xqSCPa
UL0fEvhjkkNdmj8eCUbxwaEVGthi99ZmSmj6C1ZO5122AyNja+LKCy3oLmw7FAggbDDVIhA5ZeTL
uTmk0J0d9PiPAOc2PwaoggDH2JzfsBNmjWXbE72d7ZjqrSAcN4OuX0evCPWxdUax8U7NwOKSDwc/
uUMu4ZaZOevNX13Ru7lN+dEVZZVcU0CIez7/FlV4kyVfWJDrH6UuGT83kYjLqxjCBoN5y2ZCkLJK
6o/dpOvniIQcyuc8lrcClxP4nVmZjzgeuKXZcYhunzhu7B8mRY79znbLBl0PE+u9YdOld1OGQxKh
ft/dezS+ePOl1X7xTScPQ6mo/jPj+iFPFokFQlUxZp86wEHtjXSSx8pO4EDhzBseA+KGGDVmdXVB
wN5MzJ98Yse2opNhhz+7bwWQefYh7Io3LzMxNOAqdXUp4mQb//c5esERkzB5BexfuY3aBLWt5808
pQTMVHczwO3vGE4RYTdrm7ZhMuTxa4+cdOaLWw13ui5niyUGX9adm4+4VwqvG0g4CKLfPOCMcyAN
VwzXM/uZk7F8jteqq/Zy6JefDtaLRxYOgwwZr7egvuFh3UXrsD0xZNa9+f5iLiTVCjtc+8DeeFQR
8AwnnvIYMMm8vjtInW9xA2KssEdAGrx9NmM3X04NOn3Cpg1U0QTGI28G3f4yO7C7bBarFC25Jet9
EVjercPTSFZLWupr0r+xKvFxuvXe6zxWh8vsUYwNBEzaoWU6lx021QlWIGcNzKHLLdUdEGnz7nMM
+a+FSJnZJoh7mHu0jXfm+edXa0qnfVOupn0r54k5xoDg+XEpN6sUxa3eV+D1s23Qgy22paTFN1QI
2rIR08C5w3VDYEs6TT8INayeabynrznJcmxFPTE5FqOGJqyYWZa7hEhxO4zX0jm5A2GH1Kubebfz
qvwVyXr32kPey7gcNydDai1srANg3vAYMgK9vCn1/3CoaH+P9yTTB1MM5jOBivW2Nuxfd8pjinsg
Li5V51ZjLDvF1Kz3vR5pvVCHZ2i/TJG+egL3AihOgumvkt6qntAVJmh1MMjj04qq+SNpqLXCpGJS
uYfV6Fw4uWjoe0Qoxd5CLmDOWAniO8xcbLU8Jh9QGVOuHZLJSpmFeA1VgAc/jbkDWHUDSY9r81UW
bHyOOKP6g0N0AFvCFrEN486us/Zs8afkiflyTLnV1NZ+xglp3w1z5sz7oCrQmS2aNe1lIGH0BT9v
fwYYaLMeXJE7sq5lxcoK283GQzauEegFHglvD4nH+xitAW5kRwLlcEk0Zvbj9rhI3l6+RQe22TA3
aEChVaIb7MjksnzVHi1szzRQxIEvsARJHZ/rlvKq0AI2hBaEGyBSIveVzWpvg0AManPSjmnHkOKT
qwObcvvkk1UWH1tHzT/7dN6IL52LYZiVq0DBgNyD2K5hrD+ZtQqwBS42lJ2F3PhHBtAGSoxDht6u
rRBf7kWew+Kx7RRxSAdRG0xdWjufQwNkOuQId+9XeEPIZKQhO2pCs0UQ6yA4vHWwYWX7JDfrxZmz
tD9WpSre9LIkctdA2UKAQb1QnIe+CUiRxskXncjqog1hegiqtKO1+ZONGR5Id0DNdSktv4dWSCnD
7FEYEZ1jRiVY22fyr+ENFbfrMgmL6yWeqhflE3+yxzYRBXcZ5/PPMTEJu6K61c6+rSJD+0qe7xeD
AVgj49w3DJXY5XmPsGGabo/fMntI884zyBr4wz2G5ZXvBVYSMrc1Rc7ek1byvooS1XecevFDMVXe
cCDdSZwm3yZTaZb5eEu9N6cnl5Yy3QkuIptv/whNp7dy5xvAU/bpjLBewq6xqu4FTrt+LO2RzaJZ
3c4+yRFlKLrljuaOHUIKvxsCFTMet80+sZ1WvzGXO3VY2BGeDaInnfVgCZVYOLpwd3CspxYzFfoU
SHsUdwmpl9OeC7OjkoHs9T7lGlBfNw7qU6hVd3hjPAchZpxs6dRqnM7RKAVCSCLsqqOm4v3tMYCM
9xk6cgpMbC0P2IW4cGXN2g4T1vBbM6LpGEm4PjAlXHHRabJx3YOlkOUriiFWd00/iAMDFRQhTPRo
5ApICy/M25qblqEcHquiq8xLCdDQ3yHIYduCNodUZWTMLmPJzM82XD/Ro3Ep03Nvy9LnKS4XoPeM
W8dfK8qq7NB3SCz2DnqN95zT/VfFcfS8gKBNw0qq9aBpOeHj17F89casurZ7kkz2ovbYonuy/ln6
HjIaGFLNA2Cz5H71tMBoMBbLH6a0828bO8sH5WRzpZm3ZvsGxB/UKjGUhwLa6GvCB/zEkgqlUD4y
2k+TGnB9G1QCTXm5TdqCZuxnljglsVOYefI7vmEwjah1J9OAfCfaefxF8cUMlS9lkxWPiGYShUZV
15PLKILjee8ky8ghYrtyCp4DvGjVcUgm5e9cZzE5dpvO9qNpV2r20GO4OvMy3KS5W7NfRmjV/yQH
gLfJz9kxM+DuU9u7xHD6R1Y39dKiPGKszJ69Wl0mXqFjlWyAU57PLUZj8NLTQFzgzK57sfmmtE4c
5IJbDy3sZcN0eKS+t+BDhjzw5gcX2QxeCskJ1j5Eru+yvIEtoMhfy1Qxxq+ucuxShyOfOQ7QNpOA
/2FkgbF8zgiFBpJvGn+8JrouEEcxLpk8KQINq288ra4PL8JtegODsanVAbADkMQrL4DMSv0fOyPQ
+aRwFC5ehp7zcJvo0e+rsw7IXFLX+PVZQBzSRKe8IbPXQNw59DnuCHEARTiDUUnIrdvZzPftrXug
w8fTN1OqBdb6UMDpL09IvlndgfDkkCzFwIXPDdX7Vxn5gVY4O1VN6gRiJwJXMVptLDADqD0jfXwF
mEMycJgkWNZBLrgcP7h/krcsgDC2yzp0qVQWaeXgoVXSoz+n1tsLIkvvJNJ68u47pCJFz/m0w39t
/ewYuP1RQnSvzHK7PsxADVBQlQS1hEMayTeW2iT4jLXroMGThJ7v0xoDzd6OdeGF06S6P5tkmAwA
I7INe9JJfPhI2ck6zz2QowDIBe3YvPzRCqM1QdjlzEYIWT+VD5aG/IAPyz4jKXQlI4imu21GSy47
aN/Bl1+Y5Qjpnek8kRoDyqNxYIrmCw9VnBmH9GNGov8zJigvPcyVVzF3olkjcYy9mDzzc7B715aw
1zOGKap8AMEUZc3cgnCPVzkK/m7pW1E2gL/p63xEQOuA43BWVKshBNCoO0A8IiC+lqSKpFMVvDNZ
R76CFbZUV4oVPpLKPkcAGQyl9WQrwXxGeln7J2EIu4TlKuV4rbPOfabmQ7kVBxTGu9UmOfRgBJqX
nZSAlYRte9mF7BP8JE3FQiXE/Ij6KHU1Ge6esPz2atgekX2GbcY62WZeUwhSDuLdKMr8OCTALAP5
4az6h6KjZZmKjsIlO29yMYKh/SRLpM1JUzcL+rCZNRY1nMvQp2kwgHM8kH9GE4zAGxpBRXDImHRa
nfuuGq6yqI/VPp1cM4VaRgwjwK/wb8PVkbusqqMvlET9W4AqlCIVk8Vv6bTeLwBhE4+JWniyG3cA
Fj/Drd2lA/DSPdY28RbYTH+PFVPqRwRjzJf43fLziMb+EcTS/CUrr7l1FYG2x5QdTnQgqkYEh54Q
Nm5Mb0MbeR17671wMR6HsuUDJp9BdUVIqgZTNViugb2DtAWzQE/RwrI0y35VRUU2a9VX1h1QpwL2
m293V1VewVf2lW5PZUqA4yXAcn9tD13+7iccyGSEAhLcwztAg4i6Gf2SMyjh76I1Ld/QeDj4/IBx
fSVpvnwbCMb016hN+p1c4jTdMRim96EdBjrL28HN3zMT/aES13y461A/RJIPivlixSCisuDWEyHm
gctdjP2ZlbJiTT+mT7mzTVjT0lsmIOua502QOYf9bmZqQ7eHiYDiFUOAH5vs066Btjp5OuFZsAA5
4Hta07dgcXy1T9ASBseGBXWzoyBgUwBUWWLSc7isAZybBFAEAVs4f7HPkdzmm2+av4WY5HYervkc
6cozJ0q3rotp3G7kKKJnb1ypN6aC/yEDsdmS1xIaDb1XhRyOPIp7Wqy53uMnkOOZyWTXhqNy5AMY
n/kT/2L3mdGxfLPLjUcavnV+L/AWP7H/HN7BdnfPM4xyKEOJA17H8RS/MRBI3oj/xPmG+pJK/9DC
J23Ore0ngDW6YCKDa2xYBF2l6PqJp1L4CNzDv/7jf/2f//09/1f8u36oi4U1+39UY/lQp9XQ//e/
xL/+g63C9k8vv/77X74nbVtIEaCq9Bl4okHlz78/n9Iq5l92/jOx06TvehbNjVcOtxMo/CZKpod/
fhH59xfBLqJdQlQcFwWb99cXmXjreNwUQVpqYc5J4sX6gkJ0QNETMNTa/X+/mqamd7T0POXxi/31
1XgUMBtqH+WbTT15wHMF9H1xg/HKY93w559f7O/vnyPZLmhfBWjzSHH864vlgPBZoxP0hfisw6dE
kCdnlOW9//PL/P0dlA66VJvqzRU+Sr6/vkyDqgoYVCDgjOEquwXQoZI3gxpfnReho+j5n1/O2f5/
//ZYiCDwfQK9PIlpS7qwGP/6egvTxJFEPfVYwTXHd1DDfqCUi0cGgLtZ9q05sZpF3F0609SS6OAu
lOHBGBVfFtsp9+DPMuGY5+ibJlYwa7/CA6piGCGTaDiYVZa1EBVw+nBTn/4fP73zt59ei0Dx9XOF
8Ml43z60f3uoF6JMEZGt6hH8Y0lAgQcIaCH3scTTkNyutSp/wiLc4i8zrgvurgLYSGPeG+Fm/dU/
/zB/fyd51ALt2PS0SlJN//VnGRdKahYCyVMV+z0ZVSJWFGyz89N0iQ+LCpuRzZrn+p9fVf3tHQh4
Lf7iG0eepdyep397B6oM3uZopulRmyr6RSxT+cJRymJk84ozGJqEWW7++SWdv7/rvKZ2XeF4/5ez
82huG0nD8C9CVQPoRrgyU5IlkbJsyReUI3LO+PX7wCeTVJE1W7Xjw0ytm93o8IU3cBB0Nf/3f8dM
Z4PZVojDyLdx9yB9R5RA8eKmb555uBT1a+C51paHOaVW6w5WUrxr+N9Oq9Ht/QoNtwYNrxu3gXu5
EpaODbPpmhYICyVOf1UxATseuhoVLXxxGztB4YvNse+NSKolLdoMlULJTYRWb2bugpGHeHljYeZP
/M9h4ooVXAwAfcGzSFeZ53eE3aAoM3r6ISOVINUtutDakh9P2puJ9d/z1GR9RnW/Q1u+DsY6wFhI
9Okd/U1XxHdmEMMqJJFTKUIxXEdydf0HqrM9yg/kokB2gefNdXV+6OkaVXnl2TGU6oPfl/oU3Vmt
hSYUBY0AI9QegpP2IKuxG/ZT4EDUpds22foyqizXOgind9FzrlRMpyBDwANaR4Y94wuxpF/fwxtH
kZ1yV/+nQsQZM9RSo5+/rMc+RR0wQjCIZL2NkE8d8Z/yBgyiq+YFA9KgKSFKFGSD2DBpTrMyfE3f
4fah+s2gE5Y8YVZcxBuSWQJKcH3deHDQPuqRkWqCZg3rPOjXUQIi5S73QpAYQCr7z6pDknyNsycd
82VAft08tty88lDEf1u8iRb11jNGughXZuSK0xJJIjzPDEBsW22KhXbkVyVvOoWiuQjvk96opA+7
XQ8rNL1ry+Fx0pBgewbjBof3xnY+P2Xzt9KlcKWw8RS0eLxPvxWmNCJDT1M/9OhYPiCQTB9j9ubA
pBVVimUmseJYQUyBZUDJw0Mmsy9pJgX2RoXIMXy+vnXmnXG6tQ12Da+t6SrJhXt20zZ5L33EUcpj
M3lPfT0EOxe++bJPajlw6OM/jsyQ9ey8/MZt8+HAShk6gYU73yeny6D1skDZqKiOCHIFOxFhZ29n
NYW3wkifI8Rn3igU8S8rMMS763PW5yvjbNJcrjanWVe2A5n8dGwAYeyFYQyOBTAud0VEjDvuUMDd
A+YMoAMYZ2J+DjsdIAKmZccejPfXxCXVuf5DLtfAlIYQhqErpYTrzI/APxcuYjpgZXMN/orNTpee
biz0JB0fUkRLt0KW4fdIWMESdWXty/WRLy8MafGsWC5LjwWTcXajIU8wITiaawfIfEO0Qd47GB9I
pSO5ktIYV7pFd3uRg9O/eZn+ndXp6jNXwCdCRyIQ8vzZMyPCZKhBvSZHUlEb06POhJm0GdBq0xPk
bFDlpRmU8NYDncX1KHBlNr0Mg2qrRTPCJwpWgCIjAGtaZ1g7OH69dzC47oY/Q4VnUfR7TBG8/jR2
Xmls+yjtg23jGy49URTksBEt2oDWfwAFd2EVmOCh9VPpxqEC9HVP5xaTxKTmFNJUCcUnDEkMMmoh
6CPhPQSoBF4jDmzUcbvqkzcFUIKgseSIcPoVig5Q3+O2/kxglj9Dy5y+edyA3kHlZWlth0GnWNvB
xnA3pRRRva1hjtLUbizy88Bqhf1zgvOa0iCBYXOnLIUCBLIkPf9fM4isZ9qh6UMW9a22HdEGAt2H
OgrI2okFa+4q1MowoULKr13Zneng31wbFqUtPD/Kl0CjVvyMO32T3kMzxeWGEosT+4tcdR7+ilAY
wvChHtIh3tjV4BwRikA61Q686itsqCGC2og47ruyUvUNmTaUC+hG1diL25m1bUPa/uBcUWVbBj0C
M5vGEP3OSQEvfenlWO0ACEdgSS2SZ/iNhHgL+FZjsLYiPYbAikVgXRmQQGsZ/apo7OAWhpqxm239
sZTlN6f3beu5MmABPdtRDfLazAOFCfKIBPq6JiJC8RUwEQINZZ+JT/Tl7KjcTP0EJLXCIcdZQhPi
SA85NNH3ytL7/MEGmnCv46hu/e7H1EHsK+2/GPk40PtWlF5WPj5jeHGkRb+G/WoACYLCtosHmyRp
Cc45qJd08EZtKZLJuQsgU49b1Tv5N3wEwOD0UMe+WkIlSHFqFjqdFkIVWABNvlGNW6s3RPSGtmvk
btFYLUZ4wyVQ5Sp3MIeIHBWgzzP2Pf0cMKtush/NIRF7at7djzJJfYpiCIzDt5ToTb3WvTWZDy0k
f3sTGEB/kftqOjvFujkyZiNL2d3rdmrLl2bUUd+dldD1cCVT1xqf2AhJ+r2Gzuw9eoOR93sNuCbS
65oWFVub7hEMT72P0/ssDhv1WUnf7x6mUqh60Q2B8XNChYTD1VP6uO+NFO7yEv2LEnJjgMrAbAlZ
bFMbRPZnrZy0yd9YJK57ALSAMDZzUENEldriddAKJ0Bx2ipmVxdP5ZvIqY0hfUTgtS80cNZjZQIX
jesDXNMoeTYwO8GFPE417+n6JXkWg/NSg8+hjUI2jxiFFGcXFdhSrcrHIjp2bek/FyFKwAtQHpQD
hxA5H+IcceNB+Hvvnt2NpuRZotcKgMs2z4JdfD84zZQrDnFIbZiCDAq1y8By6E3ieRfrwHBwgJqw
MjM3TYkbLevrBS7mmDrSHw+FQyV/6zd+Xt7R0zGjWe2aQ4MAyoQacGpgTKHTIEJHIR9N9xcu1OhP
gyAfwhzfBtDRNAHDirv2RoR6+dIpxXxIZQCLUZo/m1fqCMwjAQ8eOCX8VDqNQwtAlhq7CSAgtOQ2
AILSPZp0RvNgVcMmCP77q69sQ5dIEPI1AUGdvfpWnaJeO4ThkUIjMRc6A/FT7WLwJNMS+AL0sJ1C
KH+HMq19GFytXmvA72+ktpd7itNOnQZhYZdH3z2L/gZod4mrY4GWqBQNBZCo4ehvObiDs/Z7sq89
hTDLvrGvPhqV6juhFtUHyzjPDzC0hs+MGf3RFiI45EAbfjceIjEWCNQnqDu6+d+jXEvYjiDA0nml
HPMsruyKBht0M8uPNY5O2U6DXjfAtECGryrz3EYJOnCcx7Hsv8BgjLYdoF/IpYSJoMID+Xz9IF/u
Pks4lkVRic1HtWeOhv6Js5AenNxC14tjX+XJtxrx5AdEZhVKgVNxD1Bjgiruc930g9beiK8vAy0i
HcuSinqFCaf4PNCyef6TocyPZltHj11ritXQq/b7YDtoGCaKpBna2fH6fD8YVLdAI1A9wE3AEGeD
DkDestoKm6NHR3xVt7mzjopAPIwiD15RBYnv6FTJGzO9WGSiBXJ0tHu4uRxbnh2v2B5xEyyEd4wT
q91g0xB+diIn/4nsHB6zOYGIfg/fDMZ/41LRvj7jDwY3pGEzV8kyq/OCEeLBOaSzLnoB0Z9MK8BZ
5Y6+rtrqBWZuthvm9cKmRCRWIsOC7/rgZxUK9tRc0+NyIaKw57TidHvRVoS2PBTJi1RBD4Bf8GWJ
lB7EkCBWhw4ygLbYfDKBo9xpYaS/XB/+b4ny5NEw9LlUxp8CaiEFv9PxqRGjnsNjdPyrnLzUogRa
Su506vfg4m1H3UoC4RB2vY1KK/uMrCpEBofz+zp6WbpokC/7cv0nXWxArhh0CudqhDVvw/OXM4bf
ryWYo0VxmBzN1NZ2wjExFTOQfthFcec9dBMGNddHvbjlaPZywhCaoPNuUP88XYfJNdGV86U8lp7m
OfcjvN0Hr0zztZGXbozHidb+vD7iWVWXL2841ry8ANR1V+pntzm8M8D18JePwNTSz3WJY6UNYnmL
iqx5Y5NdLqlp6sokVbd4Pw1Xnk7OBxPXQZn1X+AzVV/z3ngHYWwhIGsC+269Nl5bWhH91ySdKFby
ZhpCcX9SuDgdtOp1WmUNbNmwNv17cjZnKTBGIszz1CPSlfZ9mRH2LYgcuhsF0MulZWRQ5jYBGEWS
84tzMoZ8iJM2eMmpzWB+4iPuq3eV/4ROC9zc698RxQ9mcnqGTDhrLsQJySli757ONGczk0OF9pEo
oawOUDD6kktrgsC8Ri5d1r8BBXvdZ/AWAliTr6eUHQnBaV3n7dAJ5BFccP910+jZxjIK7RcqE7in
1WGYPvcYP3obs8XgGqoSGBEKcOUQ3JVOXJsYNwgbS766RRMZr6BZP7sBIhjOnIW02vc9ujzPRON6
+xNohZs8xsopBVkWskrDE3Q8LOgazSwQ++trDKZNsuovRRqmr5hCBjiIhiHiOxNUXIxUkDT/qXMh
xKvciiof3EptduiQZPFjXbWOtyKwFnh4BVn1G7GNEY2Dti6aT0AitfdIya591OOh/hJUufbmZG39
M0G3MFr7Qz09Wyr1sBLsgDY+CLNVRzmk08+eKtxLkFb4csQdpWXAhQNt+tAwEDmk0xV86k0j9Ba9
QKn+rkmj/Nh6etvss6ye1CqnM7EskHRw7oDy4zFEQx6kgkQJPgWSPUz+jvYb6EcHAuoXNJQBaLV+
XfwBHwh5GYpNVW8TR/TBS0bmrv0GfFbmz2MbRyuiv3zYKHc2cvcoszygTQQ9mMJu84d/pHEgFux/
uhb4pLVsMAMAnia6V62HZ/g1Ry4Usz7ehTt8M01nHfZeG63GQG/fIQKW+TqqpqxeUMCrwV9SkjUX
BVgp4lv+vbUyYCmgiW7EeW5hVujT2MSeynCfHbKlYeOIfKweJLWL8FXVEfYZs53UAIPIN5PdMBBS
LQL8uOylkrnaVXmGQioVxzxftNBM5FaFadp+KkdqJ4hIIRj6xVZl7N1htAljEqdSL0SWl3zLLb6l
xoz0VfBrvrT26MUrQGvttsOxznxBO6mW9O0BTm9wIAc4Txg5wtYwXBJUzfCmAYxG7rxRvHetn8Ai
wQA0yL6/ljTOYULjShndK/xJZr0WHcpA6rRpvs8CL/yObbcGS9MPNVL5bgYRr7qij376PFNYNLXl
tzTJMHnR0K3a9G6AIHIU+s6nppowpi09zKffKH/nxYrS3WjPrkOoXtjsf2QdR3cMv3bgxX5x+Tf1
oYXl/AiADbOFIkhpGrRcbi380oauGELw+htSoY14RnrEom9vh5Z1dDyK/g8J4tIPfdW5YkdMxS1C
TSAG54hvblCOIHLCMnyCLjYMG3cGur3m3fBXQcmWQb/gp44CVGtKCwlyjJaZm6HrQVZ6CGF3O5gS
GlyNLgZPads1v6hGM1d9ioKqeQN11v6ckNz8lehsbkAos5hn3bn1N6iqQ/iAi1mU74cxg9syjYjl
yDAakJuo0aPei8HTOrK9LHxTLY4yv7zKaSQlgRYxI6ONjJ+lbAZvFxctdn1JSoC86jGaCIFw0Rfc
o46XYJGCM6Q8BC46qMvYrPrmp1cDkbnrQNpPL1GrIBnCvm6oHipLi7cl6H6YHU2hvgzsRwWshddi
F4/aQHsR8zUgIUEXb6IiDIulKPwB/ToCaDTpBoB+K9E5ntzDe4zQE7KhI7KCiKChZ5QaHhW8JNRX
jVfJR3sabDDCEYSacEM6bFEolEnxJl097Bet8vocbJSNp977xN+PhxQ8001GAKFeG9Nr20+dRzlt
mepOVm2H1IIuKH3D+gJXEBaUJ6vqU8uqtmpVzh7M92YB82JjdBQpFlLTo3QzKGRf0POmjRDLDEi5
U5FnHl2rLbmYXcx0rOUA0rlYQeLRUCXKR3fNX2CUWytv8t/xGPa/wcdnrybShO2uc/lAQEQAsO38
UmD2KgBAUYy3Vf296ExDPQozxMrTwMUMQzmzMIO7sRGQCykVonq4KgeYD1tcB0LngF5P9SeHvIWJ
eJJrv9F987v7tnVVuS4xXQz+c5giaSDOTQ5adqRaZxGDNHuJE91oHunv+sgnqKhYCenAR1VjfcRe
FhkjP2/7Gw/4ZejHsDZZNTmIPSvenT7fUwW2E5FL8zgTRsHVIfLKJeE8xsmUPlpWfiPkvgzGOOGS
dM50FB5g5+UMGNljZhq1edQcq/4GW3n27gQ3gmMRRbxZHGpXliL5r2ksXVlLUa+3qcErKE6nk8wL
pCajLkhekOVHZtd3S6T+8rR7wowTOqU2okjc0C9ZKLd28hsf9jLJcXTdMAnFIH04F4CCMBUZJYvO
ObZ9AVjOktTJMegJwewo6PptLAG9TlR1loU+eV9R7gZLej1K++AnmFQAKMlRRSKxOIu2aQJXAxYe
2UszxJhQ9jHSQD0mRMCdsdmk6YlWpy/wqoSZiuVJEqvu8fovuNxmyPzSqAFrI9C7Oo+HSXEFOlx2
/ULgas5qH/3sTKXLO7jY2bE2quz1+oD6B3O2QX/N+RRQGGo4p9/cLoqmQIQP5iGqJEhJ9pmzD0qd
MkI8xTYqeqqorT+IXIVP1I417c43edyQuq7o5gJrhPYdRzHuNyEX81qVMv09s9Fpq/QeBCjlouKz
jcKqf7BHdLVvbJrLc+I4NM7JAtFA0w33bMf6ll3jthxUL7PoSEH417rrIdEdlI5EpwGyD7oV1wXC
1deX7XLVyP8M16bHRc+ePXu6am4lNBauKV5MqCFEylCP023TOkhSTTiAEMA0ePeArRz7tz5u4ZPB
S/SHG7/icreQiRpqzklJEVFEPP0VJX2NBF3D/GXC/+5Hybj4MgcQ3tog15bGMIn99WlfDOgKij02
V4TkAWMTnA0oatgJ2Eq96HDnPpW9GFd9KNUdnZ3yzoyc7kbCfdlIpb4HHkJR2OXKt87rinZuQdeL
FfaZOT4qdJD+Ov+6AEcWrab5+MrCSn7tJ8f+LK0WHVvww/kTLGapbqSLl0WQ+acwb54cXgEh5634
T43PVkVjllHnvcis7TcmhkmPkOyLZci9VdNWzcINOkfaqveF954Y6KqGemV+A6euHwt0Ht0bH/+D
H6SotM7AMr4F3eazjBLfe3T+eA0/Iw+s8CQqg/cWTgE60GrMgiWuauGqBMlE+d2Yxjvfh4i8irET
/qqMQvxoOuSprm+Pi1PhKkpjukUJnm9FXfJ0iYDPumWlB0hklTDkFigYON9BHvffZDCpB56Wt1Eh
upS3QuzjEIPmG0tyvj11IgOD+MSZh1c8Y6fjuwicq6QFdquVYRHcxR6ync92gcf1DtY2qvl2oQLr
xpV9fgUxKKcCDXhTWZQnjbPPkPlZmEaJ4zzHCPP/ahqy5m3NvzW2hiBiWFsDsjQbLB3L6uX6cp/X
JHktDQpDwO8Mg0L6+XMFxBTIGpTjAzAW9wcuVHia5pMOy8Rwe3etpkh7h6Cs4UJugW+9cRdc4Exm
oCbYBgGkFAAg4I7T1QaxB6VMKf+QZ+XwfTA0a40zblosTTgu74lvN1ucRrQD5rERNM64RSC5mxYO
Afit2tXFPcFvoQZO8wGJVNBl8uxi0kpP1mAdkoOehuOdg7QWZHYj2iFnNd0j6AMKuHVdH+9eArmt
50zxl66aPHN3/Yt88Du4kMhBQZayLJTYT9cERoPZ9hSLDziPZvtqHNNHWQ02eSAQpZ9V7OjfbTnU
L8D6td8UKP01DPUbT/rltrCoawkOIlUt2kBna+HGiKRGSacObUeLc2llMGRXZAnitRIw1VaBxLkG
0VmMBxewXNpbgOHLA0HoZEsKl2B+CL2N0zVok6lBZ1YMh8Y000OsD+lmsmdTSA/2cWL22p4luhUI
zAv7b3mNt9/RbV4kHSgjJb2zU4jyoNkVWEcf6mZCusXyMoz6+kRpeyo70Y177uKeYRjWllAZgAtH
4OyeC0ENVBho6QdM2eCMWZRwF0Fae39CrOw2vimdG2HO+cU6z0sC6QAxZtJ+MM4GrNOhhnYGpEtO
k4sex5R9sgKQ8Y/ALro9+zj+QidbranhIoHnTEngrK/v7I+mzK1OWGwLU6nzl1/mKJFWOFceYJn5
2Gx5VTc++kh6b7ws1PV9QqctudEev9jIzFqhOkqFnzkTo55upBB8SVrHozgovwWNr2BY7CittMj2
O51tPlBFgtafeh4ysrkX/Lo+4w/WfH5LuNJJxUjDzo6R1ZScGWSaDrxpePeUZlB9LaQtNsi/pM2O
1yvaZgFVqiFIbQycvG5//QdcbGlTcHzpdbkEHPTZ5uX5J+Cg2VCIUTPgiNP/aVYSg0K5h0WlLSrX
w63h+mh/E+eTE0TNWhdcXAbTpn98Nt86yAxqSK57yCIXgFZZdtAFV4jm9w909BpMYusYfnXqBciz
YT4BLDNHskT7AZjENKlYd525a9EeX6NKFcabFoIqlI9OBoCXliUaN+k9tHdRIGWXq2BDrwx2VR4p
curCRtKqMHBUQUBtGuvFZIFohe4SpqBxoR5TEg+LorNgjjmY3A5qThEbVzZPYTdEza1Ybw6cz9eC
DExnp8+9Pnm28+ouxOlj8qxDMg6UnLr8EJlykAucN+QKA2uSvwBx+/sW89w1Cmz9VmLO/h399PHN
9XFpATsqbv2o+QOc/agZpzxr+DmmQaPmdD8E0uhUYMbTQc8odm/hgVXuA+Q9TL/hS2caPkBJQZWx
00t3XTRGqm19brHwGOlFpt3YLheXPML8DkpSMKOF4Rrn6Eqwb0E14fZwMIwswGQvD7xVOA5jt7T1
Qq2duToWxZ65ur5LPxrWhb9D1kPM45zHHEnh2600cv2AzqtQe8QHLLDqeUDVuiyLTnuogUVt6rJp
bjSqPjiMvGfcAvOLRn1i/u//HMahUkYArk8cAKPFf6zKwaGg0pAFjBDdK2/M8i9Z4+xTg15kQDJL
Ivvz14zHLnPx8RAHD87Iu0+rHQ0k8jJk18skWNHQn6J74PsYlSCWg5uj39Ow0LOo2utgjB+g34/d
c9gJ662Dswi5XZvgxg5+JVaV1UTjui/oRry0ALSDZRNUob3KHbvchZPCzzaPi8xdyR6npt1YdTP2
XR8b9CMC04Uxdv2TfnDLk77MjTEYATS3zs6ajqVMW3WDeSgi11/PuklLyyxx0gINXuwoMWPMMdHh
/aNlgdxdH/tv//R8oWmpz4tMDG+d51AS3Fxc155x0F0AIlRN3dgrl7UzddV+BChtviDd0W9xpDfF
J6od2SeXlBsbLNLVez+YnBFZtqafFUI1lX6Cl9g/xXHmGDd2xAfPL9XOuTZFj5am0dlboPtqwkad
AKAabfEFcjvWXnE9tMsU6d9sVTlV+HJ9aS4/C9BZ2v2mAG8BYuxsxBTxAz1NKuNgWGLyn1qk7l8D
Q0vG1WB3ekNyJfR3sPaBvzftWn65Pvrl40sRjlIrf/L0Qhk5PW5j05ng/Hj72pkqVKNb8tP2VIc4
LiAqrcS9nEqgi88W9fFaw5ry+vCXy62jDUFJjKNHvOXO19A/p51ZSi7XyTz4RdisO4QvF45KDdRH
4lCn1yCb6UZ8dXm/ELjqdODdvxCP8/YwAMoWKUdweV7oQ3GIbUkTEBMHe4mNq/F8fXqXtyiDQfsh
Q2GR8bw9nd44or1dF5k6NGOAN9JgN9ofeilQASxTDJ9GEQef06b57wENJBJH53826aJzPkeWNNJS
9hp+K1r8Q9McyoEgW+w7jBhwlf7vc5whM0AZ9NnE5GwHGbRqEItmsAIBGNS5B007WJ0nnkCg+sUy
IBXCTh6Tm+vDXmaA7Nm5Jje/iZZ1UZE0ghCIZe7JAyIjOM2PEpIb9BUUc1SIa3iWpfWvmiYs9Xwt
XGeT8tckR8b7//Mz7DkVNU0Cdv3sEyN1hXSRZstDZ2o6QCEz3lhQIgDjILl2j4cDPO9oLH6OQeg8
1nXuUZUJb73WlyUCOkpcrtzsHFOL2uHpRrOQu0J+xNL5CHWLmeVIN3xLi8l319y3oLa6KrCep3iw
MoJCDKqgFiOfwoUSJLNWTjkerq/LBwcbJJUOWwf8Gpi5sx+EQkGWIJgu0aaPwztRhcEGhooxyzDH
Dw3a2Dfu7ctjDV5KEDUDWOM9d+ZA85+LJIgId2PVes9TycO8qKu0+CoS9GMyRFCrG3fI5aU5A+OY
GDwtR6FuczqY68UBLOUiPugD8tNPTYWw8JbMsVuhVhfgdoraub3KgrJ8t6wpeXNFBwrkP587EkS6
ZFzeACIvKraNOSotV2N+yNs6/cHvaTG6Q3xlGeepM209zzfuYwTEbsSjFx+We5rdPsNByRUp0Z7O
XedR6vyehlk8oNu9cSFSUngE69rMbj2zy+R/3EiSvhwRF61IUnIwn6fj5TDexik0PIwp8JTaN2ab
fZZFUSdACHx0vWM5TDd4opdTZEgW1JFcabQiz4bM4MiBW3DcQ62aot3nrgq3+PK4KLGpbOjxBkTF
/8ayXhSZOb5qLjEqLlEKu+eRaGAl+PLmqX9MUHRDGWkSWfU2G6dMn4d6kBGWM7pb3xmlm3yyqQSM
69H14ZpBaEmHfdmUGON1aLxrNw7WxV6nzw9hUqA6TOXnMjkORlWQfLmH1G7a17jq0zeAEA69+Dqs
5VOH7/j3sg/a5IDZYraGdR/eyMc++BzUe5GWFFTbKI2cBUidnpYoX4/+sYu0/s7wQ+Md04Icghdm
usijJb68secuQjLmTGNyxpZDRQbCf7rn8MHAqpzlOEA8mrT73EzSfVI4Dqd5QLgCYftCrvDCQjGS
7AL6yPUtf3GXSUrqtD8gk5H80aY8HR7z0SYeQKEcg7LBM69HVmtbIyUWbFWH+Nn1wS7nanFtMk9K
+RTXzzPwzmxCJKvK+BhpWrMvKPt9nlRpfiOjfXPBU22AoGIRTUeRltv1oS+f8PmbgrIFakt77SL7
N3Mg5chvMzbwgi/A2OVWxwhs3/Ra9W4FKgfnFYbLxtMqpMay8M8AouPGYf/g4M34dloKFFBnsKk8
XW28LTSstzv7YNYDXJ5FYTbNSzj4mnpycIybFrCLiF5C6s3w7QGWezupZSgf6WUfoRFnBMZDNYtx
39j2f/sZJykTLE6o6grIOYD/iwAna3Ij65zYJYrjaV83uqbKFUg1u1sklRhDyHMO+ldF4As0Yqwa
1USo5jUyYZXv7xxIzeBg8OON8N5xkKrDViT9KkbHMe+A+msSeMwIPSUCE7tpbXf4A7ywe26gX01H
9M0LXCotURbroGiiHze+/FxCOZ8b7XdX537FRcw6W/QoiifdbjpOGG2Tah36pr3ElNPfN1wz1JND
H56cLmlx0Lu/T0Zj3E52FT/YCC7fOG0XMTrLzA9Bo8CStDassxSk5dmxLaqKKMuaKt3BF/W/4OJX
2eta9P6sbOWgdenjgv1yfRE+GJhHDfgBsFxykXPCLgKcbe5xBR1cVekQmo3EfwvB8XVbaC/DkgJU
9znwA226cewurxciMmjwil6OycTPylt/tYLgzfrHplF6CnlML5egrEt9oZDTu1FavoxMZ3oqIGew
3CR54jzDc4qqyTr4MccW377fgWfX8RZlZLN56hGuU+sR1MXMmLa05iFtsM97ASaBIrKpxwjh1aLU
bpyrj24d0pX5OZsx0dSZTg+8hnyqLDsrOIboa74WvOaPbS5o0ejmLHPYhOUiTeJhn6Zo+oPy7YYF
TkXN9vrX/4sZODsCf9tHtBxAVZD6n/4MjBOAweCnd+i1Niv2MtQwZoW/aMCgByA1rdMw74CdoRQI
0rCz1ZuvapCBBSbo7W7Itcx79XCHw2xKJuPvoTehxzpuaT8ZaEw8T3oQ4NPSia5ceuOQvYyQD9XS
wUW8eQTshNBfK1P/0+QHyW+7JfCAX5yZD5ULCHrjx2YUvjgibIOlZtW43MHdHxncieFfwBPwrDsd
ZfW1av2w2mCLgXqQV0aOvlV5o2He6MACUh4sMgpbwnNXdIjz8GekB+WuAtSA4i/aidGyRucG6W90
gZwNOxbtS9cZY/2+dXu8F4lvs+dyjLrxoYG53SMSrwXlHWIywvxuqgRdJsT+jHE9IGEByzRwcPdx
wnJ6Qo3R/Fa4me4uUCULX69/vL9Z3fnHgyjCywEyDmi7efrxsDxPFAL/3qGR2fhrzPpy2gaOZuHb
CrYYAXMojhg3jQ0yt2ntpO0Pg6fsr8QREt1x3VT4+3Zl8yhBMiOG6OTtTwCbZbjE970ublxxf2Ut
zn4uBQiHfu2cMPCTT39umA0d8muudgimLO1WfotR7zL3vRH3D2rdwX1ndEn55De1cLYazbEKDntP
JlOn2HotCiDEJFVVbyJHrg2tkGu2drtrkzoCj46q44/JE+wDMxHFd72P4hcbSzKUjMJJYE7XAOha
55ORPqmit4BuxpZi4DqNcBHscEpgl3cxAsIuPcx9UrJeiyLoxnLdIIV06/wbTPZ8McC5kCOiGTC/
/aeLISjIIAXgeocwpSj3nYcOXu4iBw/qL6pmLORbhlg6jnn9mIlHu2rcOzzwtPwOCLzokXDvmuIu
p+pzK4e9DHRnFr+E+IRGCZTCs4vZamyJKpOZHeMAZ5InzHOm90hWXfhYwS/b0aOpb7zDlyNSjaXs
RmCP8pR1XrsJBhN7odhNj6FfGwLGu0FAk9pdtfDr8YBzUXzj7floQFrmXHfgKKhFz//9nzQdtwfd
Nry6OCLT7+x4AWEvj20S/io8bN+2ovaKenf9rF4+szaMJEVxkzbfZeU58bXUnfS2OEK6qbFSTu33
OjEnPFZwbV6aCPSViwoe/41hL/Mm4htyVv4A63cRVqQ5RtQqtLNj7+K8+IgLXZcvI3cof8HhB4lv
SGfCELiH3L+YlNZZ0UJBI2j/+4Jz4sneINQBJHPP9lRnY+NQEcEcwczA466FWnMfBu+W9BBnKPPi
Rjj9wQc2KeXSN6Nf5dDDPv3AzeD3GrCH6pjDqN+muffNxSTwATR2vUXWJzhe/7gfPOZMjQ4O2wYQ
54W+VEaHvh9Hszx6kPewcxoxKMEOAbtPgmRz3FTEG8GaGEc37oF6o46ruhwzVn1A9PNGqvzR3F2q
Xjh4INyDBNnp3LEkiKFtd9XR97x+6xtT8WDGujkBksifMAmgU3d99n/5gKdXmc22JobkFANDOS8a
1FEkXerz2dEKJVpSXoDfMAWywd1NBVbyqHrO4oxj7TO0gHYfgir28ycBpi5DmNzsGzwmSwdSicg0
EwKUjgW1CxgY3R4Zk2KXpixWtZ9hGyXaCaOylmsEiUenNSHG5HG3CVCPxSfXgaCx0iLM3Z7dAVfn
6xP94Ayzf6nwuRLwFzDF05V1ZaSZg9Ukx7Jqk88C27VNkmopA5r9XVFM8Z53b399zA8SQ9oh5F9z
qGg53CGng6YGxp2VN9lHCWL6yOesVijKmt/KvjK2llZHX40A16vAbVlp37eKuxLqvoFQIuqeyPzo
438+W3SJDCjnvFkzLPlsf41uE9oYBtlHP9TjDPceZPxSdCqGNbKdxkMRg/q6sfCXW3ouJwsAyzZQ
bXgVp2sQhJj+RV1sH5MOL1LYSEDjWYTxNYxErKNaWg03QqvL7IQRTYSE5oLfTD04HbFHv8BJGkaM
vWl6x5VLLpNpCjH0LrNuff0T09Dnbzs5QBA/gTDO7x/XFvM8Hc1TcUmQF7jc0vbUfg9kU3f4iERJ
Ev2gDIPT78afAhRCy7wJDaRt+hgCB2pOvnzlZCfuG9grrRYLThSWp2B0NSiHeHkkO5VbCda6FU1l
GsRR56zyuHf873gLIJKlUP1UywgBvGo3BJl/Nwg0ex6E0xBvwT0a4PukvfzsN6YvH2eQdbwoZvN5
FkKPWsweifN0YhKjGInzQenoyQrhR228g8pqfDL8tFbtEniDgKomVWuQUY6u8aqRo/EQFMEAnBUP
XBSDJGJVKjW9DRIVCCcqUc3WGXhHfLU7s3ucA/p4V1mR2kC6CppVifRBtuo5jwltct9FCkYTIIWX
PQI/4rUtzUYsYkJOb1n01XRwtNK114lyux+BRAlq5agc58amFy/6oPQR+5NMdt4+ivLCe7ACXPgI
4nV1SB2vzoDOJfpXlcX1uChz3XuO8qGXq3Qy62qF47Xxm3hUmV8yjmF+/z/OzmPHbaRdw1dEgDls
lTs4tlqyZ0O4HZhjMV/9ecpnY1GCiP6B8WZSqVjpC29Abhthsy6ZqjcUPOsfdUv5bN+qmnjiPCvK
KtYDfDSSBB/yY13QcDX6Nv2GhFL1JTKDakQONfG/IgpswbErk2SddZTpNniuiyfwx0W8jqrB+WrD
djthAdIdEyfxf3aJp6Urqu85pjl6EHwrvcz7TWlS87cg1KvgJS9oc66zhDwA/wm4mmvo7U36McdW
pv8Y4yT05jQOWdSoxZR/KwPR8pWSQtRdha2OssRIvbDcRJ5QG1hZuXjDsaR2n0ItjHHrxGclwl4p
8nCky9HQ/+BOfuN9cSDMIxGiZvaTq4/9K+VOrD2E6eFtCnvWW9fo1SKxWocovI7RWH2xpxwXAQBy
QbOKY7ssSc7kBYB9pnBWqtJ6/6GQUPxoS71PPjKpcIM4vttup94PH33oZfrK7NW2fxldPCw3uL+O
w7b2k+p36QMeJdxT+wkvS6dNX1u6hzrcQmxW12YnNOeIqKX/1mOPory0FLZxbFcTrC+dsvXDfZgh
8UZBZuxqNGSLccIfPlPNBtcECy+hkm7bj7qhHYL9EELf2xhFJXm8ArTzoqjBeqGl3Y4OzRBq5GJe
2akrXJ2xsYjVCi6BrXfaty6HIPhdKytT/xRACGpfDD7/Nyo4RfdmhvhPYrHtCb14CIO0f1Y7rS7+
wxavaL/Qip1AdfQ1GkNIcgrnZyuCuP8jwsi0PwoAo9MuM7N8XJXo/D8WauQNK0RRS/z2VKC9ViK8
TyWmDdYTBsjq8NSmnbShqFGpXCO8TNa08SHYfgQbaGWP/IvptoGTOthroIiUJ1NiJcmnIVY44P2n
RafMSkI0dtSyeUinCiOgqWlGPJIA3yBsHOAwgPeUWTlfAZ0FmOEoiXA3GARhDdHUVf+pxmRQeyD9
UfZ2F1sedqolNqMN4k8Qf9sx6na51yAmpFfpCFo/cEXwYE/eOB07s8T1iPn6xWscxwPZZFoDJNMq
3f5sNk2gbc2syX43Cnzr9z6V4IdgR1NctKmcOnPR1KzQYvRE1fRFK9vK36mxPvxWsODA7h2Ne/GI
qpK+EPBfV7okUoqIgT4OGQcB6eVbgmpPK0yW8aswomKVWpBXY5yyPlSi4vJGtqT82KOS6G5GkYq3
svClN5uJAjj6/DgZ3n/arh5uiUiGREEwSrTgzQXpYrx5skDPh684UVpww7VmPShNYyLE3jhfvEYJ
FvrxV+82AyKpqUkwB23fuXRFHqnOlLbG+NUq02nVV6F1yIykP41N4S8xMq7CQTkW7zKQFUAVQBwu
v7RBMaxElnP8qga69cUHh421NLcLGuMIcj+ak6lFez/1kyW4yo1Jktog4uqRTEnI4uXAqukFbkf6
/tVOc+UX3g7HhoJUtNFRXBILwf2NFaQMD6CAbjbZ+VyFRTWRo7BSw/2a55jdF+WUvYUkrtXKHy3r
q97U40L6cp1L0W5i88qZGSAf54zPibphalc67HoIL1tw0urHaCjyX21oax+1WgyPqi2MvTZZHQZv
yNtj/tSZ3+5v3HneDIQBQBKVad5s2RKVn+WfCkFEDxsDNCd70Uej0FdGSY9Ta4voDS+BeFerMYny
hNrOAG+8B8xaYxixUCGaby/5E2jwUw6RsEukni9/gh27CuaIQfHSWrUebDyj8QBbVohMeU7cPIdt
XaPxXWS/78/c5X/7byzKsFhk0nUEfEptei6WHfYlYpG1Xr64MNr8T36ec12xVOI8GWGwL4OuCDZZ
Tr71wYB1f74/+nxry9Elz5elB/5Gz3c+aQtbKbCKLxSBoFRleeF8SVK9e7BFB6f7/mDzvY3ADSUu
BF6IyOFTGbMg35kS1AeSxHnR+0Y6HpheuAK3iHIWfTT9zQyw+F4Y8qqdRiuftBx1HbCesMrmNVC4
2X0R1l51xCIchsQqU0fLQDAgd2LCsioLDqAje+1UqAOxOvH85G0AzBhvRaDT+qzdAO+aQSTOhA2X
quJ8OcRuvPP5SM+W4ds8sAbGbQjZusMHMuwO/3ppBrLG8aXvfqlKMJwRCNe+p+0w2C/3P+j1lmVy
UEtJnOji8nEvVw9NcpzE3Lw5tkgj/ZFYxeea/OCYNMO4VgZhP+FkGZ/uD3oF6mRAOkjoHIP+4qG9
gi62gVtObl4ckemsy3VW+xhatk4UPAVW61gPIaKXG7ScsmCXjbXlPLqIOB1KodTGHnpKV640ux3L
PenscMB0Oh0OOiY/w9f7v1M+B5cHSwKJeQeJbiEtzYv1kQUgBmVP/QWz2BJaAbWSZm/gtbjw5l4f
Icbx+Kzk4JQa57hxrSnQtaSt/9JVIh53+eT8skCcYajbqTQ53j8p3lrmI7WLuDEvVxy2Ic5jKAy9
KLmCxEMS5OGDg7jEuBDW3JrUv+PMMuTW1eK0V2GikgtUeHB64BAwaRajL83QAZLdn9at4SCCoOxG
FnHd9EbjwCkHdzJeIrrfPOpl9GRZUfpTxQR6qTZ6vS8ofENilPcuQ86hD1GcN04Y6WQaftJ/75US
T5OOqubre6dEVV9KC8jzKZlalytVVapex/SQj8FQYaeltc1EVEavTTre6G/3B7t6RKgF8mgB6dDY
at6cMWWjAa25yBUdjSJpsYfMcu+NxA/6jtua4zMosehoRXH5ZzJds184AFe3kBwcAKJJzoRq3Rx3
CljAmBLqEUeyJgR2PF1kxiZH6Qi35iD1902Z5A+ab08Lpbpbk0YRkRgJMBzh5+z2i1yMeoVTx8ew
qX1aOcgpbDGyD44TsoDHIpFpfd+qNqYvVmW/+zEDwEAZBcSYCYyEn3C5vg6SMGg2VekxiymWGn2S
r/G8Un6Yoiof2lAs1eSujogcj+CLTQu415pHv2A7/TADVniEh+AqjyHuo+VuwO8B9EySj97Cw3l1
SrDUkNArdAChGqK/fjk93a4dncgewaw6aDIqJ5n5y5vKJYr9FRWDZrxE28m8BbKfMc9YcLRClLfK
xqMbUR75D6FLw9lMFa6xm7ju2g92SiXtoLe2528NGlfUWHu7qqp9bnnjY+pEFoZRdi+mAwrzjb1p
rHJ0twjUiT4k6x3r6bGyq7Q+ui7WLoWq1hriAUqLV1I3IUlW6wpZPcbHZPTNXk/SiBJNmdvILNbx
jzASwRK152ohMUXhxXCIciVIYt4rqYnknMYP2+NkKw5ojMH5piHTtK/stl7Ih6+Hsohk2TAywrvG
PGD4F/QW4c8RGkpzDMPE0/G1Fl8RwrHa3f0r6DrS+svmUiU0B3QXperLHQPeNiK50OtjOyF8vPcH
kR7QC/bwFPOjpv6DbRPGpOBbJmsfGm35AuJ/om4+DRQ7NF9kBbDdaQrzjSoc5cuoZhXGSpUYAA10
gYlGjxlMP+MAU7A1qkv6H4to7UDvYCx3SiMVrmIlFNWnCjJjtoBnubpqJDfUI2QlSyFMvios0I9N
sGdvj5ojOvxzYBZD/irbz4NeF+dRxxTcREJyj9y7tnC7XgXNcvU08l5AepIDPzuImpdhhox20bEM
qeWtNaTfqxW6bGa7riO1EvssxJxpYdCrK12eRpqHEIc4oAClLteyrQgqHeymjlqltcMeL9AcTAqu
9MaGcK3/mMPE3mFh9u6nhHFpH6JBSjQAGWf2aNa1heeVUXdHHU1tHOnRsntE/PXBhZ/zvaP8goag
rS/l3FfHREaHCArTrlUdIrhZsNOFqPg3lq8c85aaJl5awDhWXqek2c7vnbTc3j8pVyUjepYO4BF4
rzweXOuzWYI1AtWWj+HrCFb9KapoRWthHz9T6fsQ1cXeNiPtE/bv4iOFOuvQMuWPVd2LhUW+yvxR
c2DC/AypfskTNvsdeIVkbPckfhWBmLZmGun484RC+mqizYX77BSK57GsSn+Fp+1AwR6ICKQCW3gL
n+Rqv/FLgDqCTqMCQRg4e0ybqC9pFwzxq8F7ncC689N9H03hXiun+pvXjcaW8H3perzq9ZGHcl1J
Kw9Z+kB99nKbCzToumhw0tckj8pPFYKV8apUM+Oh7nEFXfmKqURI9HV4O5oN+v+1WzofXGBT4bot
q2rLGtJcXdgdVwfelKICFGQQu6aYN38fYt/TejUoy9cSD/EGF3oXMwBhtLiWCtMVq7BqnQbByNQJ
NmU+1tVhwOMg2abIgx3doYp/Vabi/syUhm6vEZKIr/U0bPeiT/uF6t9f2P9FjsV/Ld8xdhE3k/3X
xeqfsk2FRbmYqnB8AfFZ5TjVEKuB6olAsIGgEf2qiwKudeGnGsij3pWW656V/jE7JfvG2ojxaSyL
4oT9jP7eviktec4XQAwkNKgYmjLCufhtnHWj9QbU8h1scFCI+aoLLFik6Wn2gFAK0o33l+565RhR
NjFd0k5atbMXMDc90eVKO7ykkZ95mNuH/jNuPfiQZpjDRatyMLCD+F/GhLNATGhKgvnlLNuky/TO
GYaXiPz0q2O7+NI2ZX/WRtRoOPTmn/vjXb2EfFVqDqw3AQzhi7xL//mqEv7RsI7DizlZj4HIRbGO
7HR81UtHqSiaIZDHDhafq9ou3/sIMzT4eApl3DOSu3s5NEIvkQsqcnyhnC4OratYG1yfrZ9FqYpd
0lrmg9oF7muWm83r/UnLSc23OYkG+HyQAbKENRs503zXFYysZVPyxezLqqYPr2kbJdCN98ZsAAyB
OwAhIrexuRcvxwrKysMbdpxeklYT37TBbZ58R2naDc7f5lLt4saOZTDYCjaIEs7m7J0nIO8S1NrG
FyAsVFUbV9QaCNi2LVdCbcMPdVJ5S6Tgm2NCj5T0PYc/s1PSNx0aV13DBAPr51C7GGe7tCaVXZHU
po5TJnK1C8nMjfWTTkXsHkIK6pyzb6pFNtafcc00CURfSr34lIvEOKXj+HZ/o1y/Y5yKfwaanUa3
htDiudP4wvWMg68BjdirR31dt5nz6oMDOFRWbP28P+jVB4UnQD+EFByotYT1Xe4Yq8KTAeXj4Whh
uVmvvLDH2dlPUIjcRUWZ9mvbp1J5uD/o37LWv2eCjoik60tIObceeKTLUclyJ1ywnfI1HgBRYtdJ
BRBAbkr0EJUxdpgVJdIHRIL0QxVqQtm5U6WpD7kOE3cfhIaoHift7NhlfYbo7Xw2kbxH4aucniuU
3aoGyTsHiVVkd50QHvZgj+p+rAyEAyfFovZFpIg0bQuCIHwJTH84NH6AD6IdCnR3gjIOwjU9HeOz
gWhLfwD1Wp+6KIUHy6PTf4u90PB/9eEQTD+wxil/FUjlPg96Z3hrcKGh2Fel7iYLH+0q8pNtJHjf
1EgI5xGenC2VWXaOP1Z2+VpbSpLuQuSKsdRuxsHfa2S72aosLaXdxMbUvQ2Njbd5avUOzteW3hxq
NCvfi8wku1dVAh8qiRBxkN68XEW1LEPhuH7zquXAOHDZLQBk+zneM342TckmE3W/cBivoi45JikF
MFCKY8CoZzsnwMap6ouie+1zre0R+R0zSIydmeJijGy3uXW0pPvlxSVq5RWm3h8CWKvDbio7EwS8
NhX1Gt8TzIMXntL5LSF/F/6JUuaIqx5o3eW3GMq+sQ2/L1+dpss+BFPrH0ivsdDmQcMF/v75mR9a
BqPY+VfQjUDPnfOParproF4V8YrngPHm+6370wyMPtgIlA3RhXZQx17YffPLiSFpKPK9wQ6iIvcX
Lv7P0y2MBribU7WvsMSnde3l1YmUV90JmJw/a27E4im1u6Jf6KvJLXRxUdCNp/rA+0KIKA/A5WfN
BMqVRWcqRyP2MrHXG9v5ZLSu+K45MZovGZc+11XuFE+obhRLi/pXKvJyeDa27IVTFeU7z+t0tR/R
iR4756imUrbYGtx0+D7FAe6CVm07zaswgMW4WW+x5Qr/lXKKYh1GTI3VtW42yY8MRU5v32O/4u5H
pFJf3DFGpiHRhSa2k9kBnm7G3sw3dFh1VF2HGkf5SbRufTCxPFZ6cgdP9MMeZgaO5Vuwzi3ew4nW
t5uhdFx357Sq9+qOkRrvJz+vKUoFWrxVzC5M9knBTpDWYlW77QP8GfeIJyvNh2EIvf6TRgvmN2mc
W/7u43E0X0Y6VeUXS4wm43Y1ssK4dFMKrT/YPnzAX+/cxOxf6s0w8WWRgADicmkjtXUqdwq8I5I5
OH47phIcAYllT6UelfaW7hA68feHvNrE4NUhILKdSFvJKmZPeaVPBV6SVfE65FFlrxpEpD41Y562
2yyw8XfWfGNQv2oBnmC7/2Fkziq9L9mq1WfXA1rUk6b4Xf7Kq9dzUkp1pTZ6+8nJNZWCyEiNP8VZ
dWG+f8G8/+5fqK/E9RbNJdrjsmlx+Y0dkDmGy+v3OhAQ2rtaaNYZZLvjPVa0Y5wdibU0WMfEfDfE
ivpEb04p1q1nivCRPrsd4WGOCdZKRXTpR6Z0xVJwNV8RhIwl/oMTTjbNr52db5zJVYBchfLaJnZt
YgKplz9oBNTF1h9NhAut0X+pRs9doijPr+u/41JIJaTDtYbQ7vLDhHVHvW7Ig5Ni+eUrSDpjk9Wd
+yXqwmJ7f+mvKiX/PxZtRB4t1GDnBIax19yy0hTltR5K8dSIpvyB1kW2VSIdvRKtwtA0Q27DWmNj
p8YIE2r2Q2M5YkmGb36Xyt9BgYo8RIrwUWe9nHNijooDm8B/xQvWNQ4TYMJvqYCAXUBnqVemCMxo
nQftpD9nEU/lwmacP1rUIekIUL6ikQ51d66TN2EyVzp+HZ8GX8VkYurVdt1hLXtGSAWjVU9X/IUv
fz1hOaKU4WVr8fVnEw6kCojihcnJr/r20UyscoPDX/8xS12lXdUGr7Ma4GlOAd8W+/urLjfuxcmT
5EXoBRDgaVAgf3z5saMMu7sGUPKpClIVkkqvPhdp6+9cs5F64XXfbZvYsD4BEay3YB/yhfrc9QZn
3hIDRCaI2ew8HkmwQnYbVPpPATLHT4pWOHsrRxA6aU1l6Zm89Z3Z2zI5IgrU3VkpEBvLJPK1KD0N
EzYNGIBk34Vj9ug818keJuf0ncotFK4mTZZy0Ov7Q1Z7UUBSDZqI1nyJEW/GkmPwkpM72ekuq734
RQ1bqW6fWY+T8Kqzr2jewmV+YyfTRkN7DgYuVJJ5yXcYsrRVhJWezETTypU3mHW2ijSTXncUxZLm
bQ7ae7X1OT4ysUdwEE1ZoszZjaVohnzdi+yUeZH92LRTc2RnIWLj0Fwg5THsb82kLGECb2wj2b3g
w1KtARA+u5/jxvOn1pjyk6tnj07kog7bU13Z6j1cv4XjeuPISBwT1RkpoHe9ZWlpkada2anw/e6/
zB88AGWIU0AnKB9Ct9KfSupS3wGQaB/SEqzMu08sw9NzR7iXlHgO9uHjB0rV2Kxqiwvq0wANJl+5
RU0VN2sL52s1du0q1HzV2oQkrJuKlpS9cEfe2M4wx6mnSHUvaXt5eWs00UC12k/yky/08MS/ITaJ
U3urBiONCDuJMVgNyAe9szYmtxYMCoJcKC/UH2eLjFuKV/dllJ8wEAkONsa79hbMmNgXpbADLFOb
aq3mXh+uKxKs+1/91lkidfqLSXHQEp1tazLWGNJ2lp9wZ1XUdV/kQ7DBv/u3jwtqCgN0rJauxqtE
WgrDcC9ydClCkEXO5htCnQ2dyIjPpaJjL1T0dRzvo74Jt42FKdOqiNL+M5LcysehI1LYE0Bbj07t
2vGa7ROnCznOdYAgfw9QKNJGldr9vJOg42ra1U0YnUc/MLKHsug7fx9xVLhbTPiw4MNENGy9pIyc
rTo0uGrUwMxbJOwVb0lM9uoUcota/x+o6LKfMvs4oxr5bqcbAXFi3Pwcs8J5Bmbo+/s2HsZhD92X
tmFel7W1bm09jh9ylMQXNsXN30A1GGgpDziugpfHwBihDuGFHZ1rYU2bnvjxoOCk+CNJuh+9Ojmv
kZHhDp774bQOqiRcuAmuTiGfgI4WzzZnAsmD2XtW9GVfWGkcnHM1cLaclype0UetN13TeN+1Vqme
dYry7y1tWPL9AgKGUDZ1FVL8y1kXQL4nEdfKKahDHLqgaqlrpNKTfap70WtmDs42dyvE4kO1eTbr
Ij40YwJaO1D7Tz0bc6GWfGsR8E+QpXp+ES/O5c8ZSEhq8GjB2Rg6rVuFuaFthrGY1J2Rw7M3stF5
DvykPhSjW2w4t0uye1dhBd9D9iZkm4j8cJ58axZGH7E9hefEjoJj3iTeSfFy8zl1zPTVVgCybaKo
Sn8OE5jxd95KDA0ZwOZYkgJdKdxM+gg3wmIHaIMoDk1uClaiophUoWBuQQpdiBZv7DjSUXpW1ETh
gc5TBGOKtE6zlehMhNXDYkkbUjFdRd/EUjcTmgifw4Dd8O5JsrcRGpTZoeT6Xy5w4oL0HHo9Pnut
Y39S8a3b1JVmv4yqgMOhLKkG3ZrjX+F1ogkIia785/9UkEZSA1tQFjzHSuA+G6oyrXWqDhhwhZ23
tgM12+Ey5i1crlcBDO4bvOWS6QpO6OpVV8oe2v7gJuccd+EdvFMgtu2k7jVUM5bKcrdmCP6AQBQm
r8xpL2dotoLHJiuVU+fAORooVr8gdm+tuyl2DqKzEpJaHAHur+KNUwIqWrYoJXyPJvjloFNoKwYK
N8pJaRVk1QMvTs4GKiWbILW6DdG60a3zvNCfnNh2Fu7pGy8psShVWBuJWIrT84ZeXvaqHlu2fwoK
MGwrHaZDvWpQJg3XpdD8/2xSAEAfVpqtPOLXZl2Cq6UMO4x0OJu039//FleLTYWQnjz5LYsgI/TL
bxESOI5lY4QnGx/WB3tEw2gVCaAfm7QBeLAQrF2FLnI09hUJiNzX9uz81IitJwJfk5OrRN7W7zJ1
X/nJY5vnbbUKy9F7uT+7pfFmr6KvV0OD/kt4aoMk+j05PsonSMz32Xps7TecdJolZ8xbI0qJK1I6
/qLgfPk91Swug1qY4Smqyh+B0o67rnGSIwoeKhPEVe79E5S9PcuSaCVikMvhaApD50yC+KQ2Ivpq
1l72mDlBvVPwLnEhkAs3frg/4vWGIX1ECYAHTjZXrHmWbqPN3OhlfLKhqq8qr9P0VYxUzAq/AnXp
a15dD1LUCOY9PA1pLT+vAbrgajVqrvHJjbnrlFhp/EdExJpyM9Qoq29cxzcetBBTlt39WV4vIwNz
+cHHlleFMXvJtVFPLGFb0SkcGgBoY+mlykYxo0TbdrEjXntNm8qFL3t1LcnJ0k6E2MYBAZd9uZYq
0I3JxZj21DRN8epHLQxaa/S8j44yuEd/SsdfvlHjWWmmIfJV9yd8HVFT5aJjS6HVpMAHCPVydIjX
sKoTnBcIbvz/stpNvmRZaAR7JfOtNywIscmivK5/NpyQ3F2MYtjquagWfseN7QU2ygJtz8sOXmIW
SPoANbNWOPGJxtTUbevYSoKtmvQjTTrFOd6f9FW8JudMvCojSLgE8+1V85gKr1SSE+8BXgBePoi3
eqRu61K32kUeJQMUa5ryvzwPfNoESZmc7v+CG/uM3PlvwE5pFZm+y6+O6ebkJhM1JwSTW/1LOZXh
PgloDa3Hrg926pSm2nuDVFnO5AmiMc65umq7aTQ1BsWwktNUtbXYwCynfm27ZfGCNGFxcGvh/QxG
ZCj3EOChJ0fCDxdwTHJWF5U+fgLvvQRbkbjTDL2cdTokHvLiSnqqfOrUMIqd9ENXK91PlbKyt6UZ
0btnO+mLhVMta/fX45KkgMAgg593QhOsHRKw6+kpM+NYbOO808dDhUDXwqremB8tVzITyRy53ld2
67V2lmEN6+ED/c1q3OxBgshh83Xukc8RfBpSe1x4W6/6vNSp5T4m/VO5MSlBXX7VCpZ/gA5hdgK1
PgQ/Et/EEasLdCwGe8UIXggla3Oj8qy3b2pr9mguJnVer32tax/EUCECriC2uJQU3TjRmHBLlA2Z
iU1r5fJn2YWuBZnnZyfNgP29LQfdWdEWcbsnRJjqYSFCvzEaxAzJQaOKy4Dza8wE6tCWrGgRItH8
JUgrx1lR83SSX5avm9HCnX1rOJJ/IhmIjBA7Z+eXnlhdqDWIOrtp8GdVDHKsNfUu8UdB1+z7/cvi
xvbl+7F3wfHAOZ7zYjXRJspoV8UpSy0DJTS/zYdHP86T1/vj3JwUWiQk81ASOKaXK4blaxFzNRSn
sUzK75qnOKvIEHTJC61buIFvvHnAu6nfQH7ATXy+ObBnbCHc1/nJdqe2w/Oh6p4mlLQP6ZSSuwtb
O/Z6jjzqZLQLFhg3rl7eGWnFg1Ibf2aXUK5neOAYY35Sq8xWV6Zds/8T39mLKYheWjwpFrbmjVuB
207uEqJfmvOzAYcRcKiROsXJgVD91QvsdCPIwg7BlCYfQr+sgi39KKCc91fz1jwhLYI1Ib3nRpKr
/U8SqTVVE41GVZ5yfazWCChE29JIio0xCrQslGkpo7gaj/VElAucNa6n0ItnuweDckHJJdVOJq3h
p0IvBOAWk877KqVKigdOoy31C682LKPIs04JiqKNO2czK6ZLmR1O9SmYgngXpqP4lIRNhrvPIABT
3/+e15ESFy1NG1CRQMo90EWXHzQ1mgKYt6afYm0UL05e9Z/dHm7JLsuAIK37pLSqQ6dp8U5LYYhq
duU8gBZ4L3afqIXohVMKnog2wxwMYNB2zHiFjFNH5nbwJnM4WwrOXdys+YMrrD0itHG9NHk5uYsn
VI4KHJTzQlPemPur5hh0jkFi6qfBbdNzHHbxfnCF87kdBZKawTBUb1CKhtWgNtM5L+t4M0DX/OCq
PpJ+U2U3K3Q2ht/3l+R6y/H0EdMAc5L1oHndrUjgLaitZZyUPI3eOhGl/saOek/fEu0E2aHGr7Xd
3B/zes8xpiU5GwhA0BWfbfOGZB2JHNs44cfo/IiRovxY9cmwwSBqyYHu6t6XL7vkDQDXx5dxnlPq
XTzJB9Q8dUjyNOsmCPJ0U/fKkg/c1QXFOLJ2y5VIcIgC/eXGDtxWxaIgsE5qmpbPtPXN/4Iur1ci
0MQvywqTdNUaxtITcGvxsJwFCwWgQbqTXI5qK+NQJPyiU9OqCb6GFopGBJ1119Ffd74NrYdN8fvX
jh4ztDB8baS6xeWQdVPRxghq1Iyi0nxWAses9mk/1Ouq6FCMuT/Y9erRMWFiRAlcTox2OVjR0DrP
YOKf4GvpCkqX4M62TS1U++f9ga7eUrImwBlScBia7ZU5AzByADOTZZ0iQw18UFAyH8cASP0acpft
cjfU7U1vwPIYsARPt/dHv948jM69KHXMeOPm3HiqhmUetrZ1KiNt2AulTA91X1WHIkfRLRAAVlae
PVa7+6Neb57LUfXLj5smVZSmusKo6ti9hJOXPxStacLL0K0/cTVO+/vj3frGRLFct4TpyOTNFrNu
tLjX7MI+KcOUblNXD7eUEqNVZQfig9ajoRT7qD0LL1ri+92aKXOlOIBrAY+d3Gb/PONxh6DW0E72
KVCtdOukphrhH4xp6bbwWvE1HIN+CQt1e0hOCF0/5FHmJfZuQNYKr2n7VKWJeUBT1d8iOgkMH0ih
DT42sau3+5/31iaiyagSEdLd49xcTlIZgSgm6I6cmtJ2z1096NkOjf5WX8eB3lhbLSto6qIeF7zb
6AM5FvqbDAtqEkOqefVlYEaVNZrWCTR+iFSaX38OE4zEtiimigclZM0DMPru4f6M5VVz8Z5Kqy6Z
iVsUpKUc7eWMk3F087gJs3NXBerBUgd7AOZW/HZpqTWrNM0sUsfe2dga8uiZZ793PwMipA6NCwfM
auOq5tR2jWoPg1Ke2yjQV6MpmrMWae2Wv4esXJcZr1o9Gk9OVocLI18tteQ/OGByaW3wwedoG6MY
LGinfXWOsYLHYxef36rvChQroujBnMrgMcKva+HRvvG1pbgjnFIWmkty9rWrsnQh3Yn6HCIedq6L
oHq2/BjzwY6msJdG2tY2wnJbD2P11ewbZeG2ug4d6Z7L7iC9SiBdLPvlapd5YHl5YtRne2r1dtU4
ivfbBpU7fVINBML2DsESopa2pQhClyjPD4rWJPZDMvrKwn0tp3q58ejYIpQgK/IG18rsJiuHxGQB
EnGGMSXaVTAZK3Maox+x1lsLL+AVVRlZYDxX0PhE5QegyryailGWR+ndrM9pHJbeOiCsRSjdabVt
bnjiuR5bJdgSzPrbJotDBLu0iXJ5hd805acwghppDgpk5sRG+G7N3Qe1ZFLSIEJDUnE+G6Gl+Lux
Huxw1UKandZeW2CP3aHF3qzdrEqcdVgk00sq6vjL/fN7vY25NnBMkW1fWaae3VhTWvRVI3xx1tPG
2uBpU6wS26s3UajUD01bfiSuKz/cH/PqXuZzIglDAws+Ga2zWfgCJBIgphM0ZzPFqtVr22E3DPSS
pqkWW9Ut318blgNKpL7kLIApnx0bsEVejV1dc0bg0jyXguYjl7+yCxxVeaRgCNila6t4q8UIn69D
F/cgtO+Cr/enfeNTM2PaoLIZgJj/7Fd0nfCLQS3bM7im8BO/FH/4KNh3kLO3alvrB7/Rl8BcV++9
S8EKUAf3M8LW0LMvD+wQxHDHBrM9p5XnR+uCMw2GxKqNVTuq5mPvZO7e0BM/QP0z+3Z/vn9pbrMj
SrWHXIu/sHWw5oPrpUDcu0vPVKfD1z5Rs4M71K2zrvBjhy5ciXFXBEOarJos7J8Hzav/Cxst/KPU
Zdc9tEJr4c1hvPILvdfhU+z76a61iuJga9g8G+XnsNipiu4dYnh9+6gF6r26P4Xr+1YCpfh2koJN
Zj47HZgdd3WWRunZSsb4ewM367lJyxDtSkSNt9j/pButpbEAJzhcVZOhP9wf/8ZJgflCT4WSBEDy
OevDa3xRBGqRnUvXCD9XvRp+DBWtesj0xgPIWjoLNSX9xn5BAZyMnJIgCNb5krVpgoaHq+Vnmuj1
s9Cd5FB0ebeKbPxPV0ptFp/wbQ+Ple6gvu93o6qsc+QbviTQVj+muiNexqke2lWP+sKmnJzqRKl+
2oC99zapZTcbAIvKF3qYSbsqRNom6wGu/qE29OwFufV07YyTjeyWwfsWZZX5nCQI6y4sqy4fh9nO
lO0/0l/YyPTIZkdxUDxk80s9O3vgkO2V6Y9OvyntushXjSX6/8Areg9emyAaSp/OCLZ1g2TNw2BH
ubEb4xCni6wrozcxlco3xE3NegcxzbRWQ0nNQwJlMM5Afs54BK5TgSHTQ/tDqSMHuL6/Qf4ypucz
YZmoo0i8DJ3NywNe0ePBEaJPCHuiGj8GPTaQQUXQZ61TND6MjleMG6nm95FeRizfF815yIzAPwZW
MX4Rvdn/MFSaZxvbx05zE2eTvdNVJV1XYfbn/o+9cQFyDZC3kk/ybs+lLzuaI0Aw6vJsp5rybSyy
7iO4EDQ+fMLU0BfJobT87H+IWeTHIWyBsc87Ln/VP4nHoCe0OnGJOnO+0oehMpRDZ0Ttk0yEnlUj
n04JvQiIlqr1OARpto7GIv7+7pn/vfK5QYiWr+DDzZD9H2fntWM3kmztJyJAb263rVKp5DWk+oZQ
j9T0JunJpz9f6v/PQW0WsYnqm57ukYDYmcyMDLNiLRUqmb7xoUfsD/TdaQCPbv6DUv/0wUCe5QQs
L3wrxhPWH6p8DuQRsuiy1sTTzJyik4AYcIA++jzO4cQ3rubHONa/x3O/PFowABzKApHo+6t97bUw
iL+Haokk6BU5t1dZKrPI1eizueNj1xrRYzipynmq1Z9F7bY7TvK1zyIalpkltGosdN1W0KO07WK0
S3wP8tsHx07RV57d6VQ5sXGKjDz93KK+/Xn0endnoa/BMBK5jHHgJ4gXvUqn1RSPNSXd7NdokL/r
l6I4OYrpHVORa9/VUM0uNQrKPBfwh0M3486nNh71h0l5MycJb6xErRELc8aptq38QDwtoqjGbvLD
adZ/d2DOHiyjSf1WCGtn1X/AkLc+h2lUEgDCRXAUPO23NyobEsXOmRnzvWHyqqORLAvOfKDte8wW
x40PeZ3jC9GTSNDVserl755yMjO/DKG0j3Hlxd8bzfaKYx+m4qNR01hGTn4ylHdZMRZ/WRZNYxi4
tdJEf3TuIli5Quv7/TMqPfx6DZQLqYJwSYgNV2tw3VmYZOSTz54yrDnXmlLBOwHNIGX/5q/7xl5f
CKjWpE40qF9XNoxvNwxCkGrpeId8x0lCqlnwXJ+XYmFIHywIs0BCh3/3et/m69AFPhDeBdgHGALD
+q1NKxqgeTZ6zS8Ylz7qhjKctM6JZpS8VPjAm1i7lgJQQJfpS3RkTmP6dP8HbCyakjYgQ7nDdONW
BZ9cjuIA39H9MZKKrrpdvS+KWT2MtWr/k6Ba9ebwmkkrlwEcTj+d03VWoYeNWGKKI77SueHZdjL4
vTF6trXGuyhRHZ3cGDzrv1gkMS7NDCImWlS3u8z0OEgws9P9mtf3Cpd2/lj0RffBWrr6XHKcdu7e
62PLpATlBkacOE1UPm7tAUZW8oWIxI/mPAvape3Q2Yp67fM8DZa2EyZtHSHqhBIu+kf2XjreFy8n
IR9M9Vlr+E7ZaPFD3XsdonvkUs0Bvx/W56obxkNkjqk4g912PhWJ4rx5COYPiTJZJlwktHPX55h0
vKYsath+owvonExgqtcZIoyjFVXqfIDGnRzV2s1RXz0qmHVpyPypSBM6rCLEQgHDYVnC9Msl7Eno
BwjyE6bAT2mqWL5Ddf/JadEbdBksf3jjmWLkn2Ef2ZySdaU13RM3WlEgsbJ84HbpX0zvpu+8OXQ+
m7VenseEeat/YU8OZNIPk3XSladw58mdecQt30zNErftTHV6AOaffHCHKr428EXsrFA61xvnywoJ
Skj+gDowWb46xdQLay3krvqogI/fJVX8RwMw9EXRGnHK43L43hSlvRcrb1gljQOeRmOX7MaSDuvF
cc6KZcyZo1f8OXG+e3EUHitN609FaMOTJjrjdwEIcU/t59WFxQXTpKHxDawef7w6R4CTcuaydcV3
86H4WXc276Ah6u/D4Djf73/H10dWmgIHS4BNdL0mMHIz1WyQ8FH80E7Up3qM66sxxWbQGIzIjaZJ
kaNDqJQYNdzD7myaBrNPK1GWJddZSDXUvTYlcRQYNFfnLzmav188q4AsI1fLUFAxU6wL1HQMXpaj
BiP4/ZW/empomQIelYAlkMBswe2XnUVKJ0Nv4sBM6+oft5z7d9PkiM+zNqtoeSG0/Va3Lw2aUIDJ
pp/DrOWtQXPyUKWs9ThANaKIoYOlvDHV3Q+69SUiDciw3V/gximSvXosSe5UZy2PmXeNUSyR4flz
jQYbcRPBxFHpGW9FFgAXtLOfW+aYv5AE4yDAqN7cLm+wmUufDSf0WxhEzpagnnVQ9VB90JsxF2/f
S7pBklaI28kbutpLFJMhIQiXKJgAWGkP6Eqalw4eAu9oUdyxTnZbi8c3bycmSYwIxeDAWmOA68yu
CWAT9FesvoAnNB6UrwhPTtMRqoBf921tnE3a7Cb1IxDV7OcqQoghNTIc2G6DJvPqU6rBD182Oeqm
c5deCt34/S/MsY9M9kEsxgD67adTkKK2Ztx2IPoF9ESbduY7PW26S6RZi3KIl2mPi3lzgfTbGSWk
s0d//9YineEeraE8DnK9yrojwhnJ8K5NS0c/NUuZZgyzZAwP3V/mxgmFSI5sh1lcnsl1H3NAIWjJ
hKP4Spor6rOAPqA8MtA4dxfAPdbek7zxdODcuHyUixjvXtcQanCQceEVcQA7SBcfUdBRygsaqMp1
SSdRP1NSfs4Yudgpx71eJZOKxHvy7v+Z1rzdWq1oErLnIgncRgdMDd7LOlbNxEutzXvXcNMWvhtq
BrI7mgK3tvRKyxiqEkkARbj+aJWdcUEYpH8GEFjt3PhtU5IOCmMS6XlrqulcczbqhmUBF6xOU6Xq
Z3Dj9mdPRRPrzSeFPcRV/68x+XS9ePXVUTJFqm4c1GhGiEPlDDMkibqdKg9uWto7jvr1QcEaLIIS
/E1w86e++sJao2i9pxgsrfYGcz5CfU9FE+WWEk4mt/qwNO78VOIuvr31OjDnROJDFEdcQ7n4dpGo
TsTAnewkSNIhedDy3gvge6jOaqzsinNufD2JCZb4TapKlBtubdV2p9tjrCdBz7K+ezWiTHnoMLia
Vvmeot+mLSIZZhFlm3lNpCf0eSqacYmDuTDM90zKKc95B93XOLd7mdyWKegQaaH/mSNaw/48IH+U
RpU4WGIUXA+ibVGhsvqxjY48DE68cyxfe03ZUmAKGkQNvbf1QUHJq+51uFSDBqDlJ3usvo+MdcnO
hvYtGfv+y/0D8jpAuzW3ehZmu4qtKErjoBwXpOlAMBQ8PuPo/eW2tvjoRbVafWvH2nIPGT/ofN/6
zmLXGY2SMDbsoXEV2EMyUA/Qh0NI9PRJQfcN+La5J9a+ZU82+gi4aW9RcL49omUYuqPJ+xd40AU+
ZV6qfI1cZ2CcerZ+NlNhvXkujNgFzBnuChAE2G391mDV6VXJ85EEw+yFX9VJL58r2IWOHYJbj4s9
9DsDCFufExAPGsB/+mtrCj/P7A0xdBYBLwVl49D2yaA+93MsxnOJWtry4PVCdRAanJYUWjtrDxO2
tcH0hyQCDegmaJPb9Q6K00EyLT14bY6IyNXET7Mj/KJUq1/shrLjVrcupy1FGBjww+y6X5PnSmLE
bZgEed0MX/Kxp9ZhmEn6aEcLRKn3T+umMQbg+KZUsTV7FbFNrjdkk6vGQaWEbf+x6QbxqFf1XH+Y
ciPdKdK/LiFD0APmE1ICHg1KYquzCohbG3tGOIMC7sXwCDagQC9xSqwDHNRLd5gikf/lIjx41OMR
ZWKnGNFk17Xs/UQithMYbzxfFicZdD5Iayi9V4XKsizzYchrLo5W2dZHI/KmFh3L0LuMISf7wKRF
nDxQWqv3II2vpz/YB0YrDRs9DwnpkF/lxcsZdkVi5H2XBWmJ9OVJhN383bRDGBrbDKZBE7/PPzWY
7w8tNJU+YuolsUNneR9moPfPzPRVx/sHQX7o2zIFSERZdJIRhGww3P4koy4cqReWBmVhFfMRbVPY
rBHfjq737WzcJlgPHMlk7VInXsM5owmorxUveaCb9USCroKMXZY2jw7uXCy/e9E6n+9b3PAfeEUS
D7pCyLasy4h6xvMOILYI8qgIn+bZTiYYJxb4vEN9+ZUIT/nShlp7SDLX2ZnO3lgs+SvekiATMP+r
dMGOy2xaABsYQxmIVu3gqLcTweyyUn6eY3vXN298Rdp/lKFpohOvrPmxBxUF+X7w2N206MdzJTwO
r0B3tdvxGxsrA5xFSQCUBwnfOkmfci0y1bgugjozVSQE2wYS3iZxxaGwBHQJdrvH9b/lPIAmUGKy
kC5nlfI7v7g0PXRSTS6WImiSUL8g1Goj47zov6kuRu86s0weKL51R0YvTeso+3LHDI6PS6op8/f7
J2rDc0iWZ+InsmqJlbr9JYPQI6hk4jKIG91TKJVCZZtU3K2DDQg6UR2Gwo1MPd+3ut5yyeYmQVmS
RPuPYsWtVcCUvUO1dPYRZW2vM3/nMU16fGc9Dr+dzIveCimVBmEhpceGjyIQWrmEpRl4i1gpfTXD
fZrSqHusRgAPiGQO/Xtt8pI3RvbSIJm87J/IPNBafeGiy6KCgSbdN0ATlg8xmLjfeg++7tRmy15n
T36klw5PGqOvR/RHARpondzuF8cppzLYMMGr+uGS5emJQmrRflE8J4pPhijzZccLbX09OXYm0zw6
xuuQu9fdzkCqcPHrGWDyM5PgRf7enMC1S77Ns5jnZidukp9nvUCeWmo+oFV52VefTwyx5k0lkx2o
xyywZNLVaFSrfBohDIiP1UIGr2pj8YOqzXLtE6lue//Arq+J3GGgPFSfZdxEeHG7w8Kq63qoU83X
KUsVB73XjS82WpgPC8rs0WFQ+vTTYHr51/tm1z7w/5klL2VMmPro+nbCTWsNSzdrviqEVh7qklwL
HVvLPN23s/FFpUiWzEKJZ17V8iAib92kTlR/QcmlvVodYxCnHnxock1SXf026KP9Vgg9a5PNC8IG
rgcwv1XMonQFdDhepfvAw0zzWkVVD92dkiZO+wiZ2NAcKMtVyo/7K30FhcUs+wnigJET9nQt8QLj
8kjlazT8tF2qT7FqFic1rPsS3IwY+df4bI5m+kUbZjMGkDsuT7ne2DvR48aFpTn+p9zPHA9aaLfH
KTWAyGUMAFMXdvKG+Vw7fFRjILwHK7f39D/WQYNcMZPXcOKSsCKUsNpoBrQmAROH4WfhvHjvVA0C
f6Zhnzova7TzZHnUblrDqd6j471XZNw4wDgIrgzwDijL1gWOpC68mka16Q+z0RcnMI2pefa6qHq8
/1k3DjBvN5qef+CwwKxvN7TMdUH2YpiAhazGA8KdokzUxqEZjPOS/qA/JryH+yY3t5WBXwIiCgLe
mlK7yRR64UnI0sYxmq9tVCPG2LmdZh5Cw1Ded4uXa6dhMsMgH5c9CMuGR5REbECSJGfDqwH+aFpK
ug4T7wvilD9rYFvNFUZePbsAXB7fQUdczo8AZscvVheRDKQWQs5vf8URLiDjkBMMTIjJj//i2YnD
qR56K9N8MLdp9jQrek16pyW197EAF6u9L3V32kt1NhdOrQ4mfOjoUQm+NZpEtXBqkAl+3cR69kEJ
p+LUqvB0nI18GJ0jwkKLDIDLCuJn/rI4oGOoBfe//dZxo/Hxfz9iVTdQ9GSMF63WfaFq3UcQVcWP
gvLI2S6tFuA3yjL37W08P3gJ4hfaoPSX111t4cQLavSe7usKSAxe5Xw40f3Uv6UdTcJz3aH+fWzM
BDL8txvmPSE8lhPL5rrJ081552pDZvhx1bQ/Y6vTw+e4QC/8kqA9jm7SnLp/6ci6fLlvd2uDeeZJ
5uGDlbTit19ZGdswLGrT8Kkxt2clNbxL2MNbetDtJTkv1rQ3YLW1w0zPSmlF4NZArm8NAgqlRde0
pu9WWvs+88bhuXKq1IV7JHOhgCnLODpG1K32Jls3DYNtB2HISC0pyK3hDI6V0mkqw1fGSrskzNYf
xjFrnj11FCjJJyE0+OGsx/nOk79plzFvkAPUv7jEt3bhqBs0M2oM366M9gMUhdOXoRho+OhIWsYH
urJTfLDTzt7T5dx6+8DByBQS9wWi9NYwaopqVQvNAJstluFUz4M1XfKoHpUDDE1wHN8/SZvrBGdC
oYZmPh39W3NWl0cjcB/Tt9G/9rNaWT4tDD+Fh1Jfai5rExvnKpZyXPftbp1gXj1Y0/GQEj12a3fR
sxhmwoqxBdhcrkrapdER4aDePiSJV46nKaeY8y9uKyP3BFO856A4pe984ZDz0pwnqylMX03MD10d
6X4neuNKQmnJ7nb/VBnK/OP+OrdeeHJZyk/Q5hCdr2wqgNGMmHDYR343jS4A1PILMu2peblvZ+vY
kKkCAyFlhAFvtZ+Oiuh9PTiAmoTi/GYuTs8hph6Aipqz2k071uSvXiUcMsEBG0btAQDg6nZEITRI
mt3afqlZ4ZNe91VxqqbqWTRNoNRpftXwiu47DWXDQxGG9Y75jUOLJ4LDlyeOOvh62h0AESNaTmX7
7Yz081UZQjtCD8VkdgzyxubBVho1O5lFMu8RUG0snDMLnwtIPOgp1l2iMB0de8hdLFsIyC4KSoBh
qicIkdXhP0QZ6LNHKGZHh3GqQN1PVWKqb/dMYNplGRMEJOnI6kSldZtWZqE6fmWjlDAUGnPYykRz
I/asBR61yWwv9FHzncuzcWFpVYFGRnWADHkNp9JcOn1d7Tq+GA01OQvLyIaDJrx/lDTq9UNtj8bO
V97aawnfko6fASNTnoIX13U2FpXPnDh+r4xR3x/zKY3/rvu0iE/q0IcK7J1zq1w9c6ngkmkc/VvD
/1PvpLZb66aULZGCEpm4fgjgPpzVuUkdP22KBinV0T4g0Rc3BysNv8D4Eu9xkG8d7pcGV8ETg0Co
Js2h7au9UqVnWMfUL8nEwNFDCNwERXFAZActheL5/GYXQgovh20JnUkeV1NBjY7GaF4KvnAZ1zVk
QK32RLupTI9m1PU7w3IbfhH0LD1lAJ+km2sAmaFPeW+boeVHWWOGBwh0EvNQusOeMNyGX4SNFCpF
ypcSP7LyVCVJRkrcQnbn6GKpDrVRDp/jqWbOKZmMufHfvocSvCFJXilFr0+LqeYtikGG5Vdz3Pfv
kth12mNY23Q+U1G6OxOcGzmWLLYwDcGLBoJq7fTNKFVx9ZZvl5UHxW4CrEkw4v+lKRhdtrxe/Yj0
fPkl1cdpxwttmgZuD2sXJR9Gq24vp13mFAhG2/Qnnlug7IbaPpqZWaaPOoij5p0uBnQXh3hOfin8
9x57ztZn/UOLwSvO1VwjV6D5Htqs6xzfiJmzY5Qq/UsdhHmchdPsAL5f30fQVJAdcnx4bggJb1eq
5xPTRIlGIUaNmvEIaXn9K7aQIrnkuWH1Z1dN8vSgipJ27P3D9Nr1wAPH+nhkqZBSCLm17CpT340k
En5Z2tFJaHCmnJDfNfWvLVpjD4vVxcM/902+3ldMwoPKrQTBRVHv1qRmILM7WgMgXVH07yOoFYuj
IIk9qkoS77WXX/sAINjwS7lkyERl69hI9RZ4D/PE9vWhSv6rObPWXqLcE/2bny7swGQLoy0fkUD3
dlGT3ml25GLHcpemvGSZkyyndHYU62oblXPKbHh1dx6vjVMD3oVyKJBKHrF1gdvtHbu1ssbzabka
4tKKiq5UKuDZB6rThk81nHO/W0cTe7XK168maTD1FvJhCK04O7eLZRNnmrqARsOqsrzjhBjkJaG9
mVzcNjJ+Fq27nBByQStZQV/CPBVTn+0VITYO7svfsO5NCb1F/y6KkqC01Oxj1HZJes5qSCJObt9X
R2QdIQy9f3Bf+yOZ/QNul5V3mJBW39gd3a4fLKC6PDlL/ASn12AcReJlxsGGeemphQG2OaRz0f0n
TLt+x+1vW2cMG10ximxrDHYykzmjlhwFemhp32YKAeGRcML+1nQmoJupTD8RolZfk6gwdhzxxo3l
thIhUf4nlVr3tg3R2nlu2oo/UY55MhVo1YvMUb52AIKu9/d467MyXwoYkkCWw7XyhHnW5ks5ZVFQ
aWNzGKsx+uSl4Xzql/yrPnnWt/vmNq4QspiMWZPPIIuyllYECKMWw5wpfl7GcFEsWj/N54LNT84m
LE9TdGhmwGiRM9k7zdwNxwQMhVYKPQ2coboKwdo+QmDIDuOgD+vZvmRwfjrXzkmsf7GhVH+h+CAL
prwif8eLCHcw6rQSsZUEGpweVx6Z6bBozGrl7jK018RSqLHf39OtT8iTQjOM9ioKLKtr0hQDcpGT
kQQdU4vjJQEhUF69ubHiB8YInOaxqGzx+b7Nre9Id4gAnoYuaYv8TS9WWWShVoYmUGG9M5z346JO
x0IJ1aNVdd5nu7eac2sWewwqW9eC4i/VMXaXxvzKqLIwX6ILNwoQjXQmtAur6lFHbOFz2zCzeH+B
m7YgrSLPl9RjrziAqM8pwIqAzeej+KRman0Mx6L1TlWPBunOmdk6m4RdfD2GPoDNG7e7WTpalDte
nASZ3hU/VS2romuXJ6I8vX1RwESI0dk9xg+ky3vx1doY1gojKzwfTdXhklWVEx6NrouMR2te2j3K
360t5GjQK4Cug7B5dS4Nq7YSVFM8f3BH1TmLVvKNmJ1aJuc2NeJf99e2tYcks3TYWRqIEPnnL9Y2
hbUT50QavkV//4PQSzBAoKKa7HzfztazwEP8B3GF21wHyXJ+y836PPRpe1jFgxc5yTOdEvd50cCx
orTklgNQqLxJfiIHqjY75rdCAaojUn5ECratSYxUFda0YRGKny2eS+/QaIdzrYvqqWoHJtMnT1zY
4uQKl0XWnouyLb/fX//WzWc8AHA5cFCqH6tYRIvirA5TPHjc1+FzyGDbc0bO8r60lpzug01bqCmM
ndu40cLUAdVJ7SO6plI6/vbrmqUGt0SYeL4WzU32XFVNeGihKjCuOVUbHZHNsIjcQzosuv5Ew6z4
EFrQ4ASlurS/72/AH4rD20IZJTJgxeQPpINUAG9/S0TZdai9KvSLPMcNNWz3A1PzdXgccq17pw5e
dI20rINEYrauCqDg4khaqkHCP44z2r8iOwnkzh7u/66tZwCRA24bpGWAs1ZOJGp1CzrXNGSmqirM
09TmYnysMzVhxnuO+gcFyovHf2GSKy4Z8GR6vPoqhab0kV6Zjj91i2lwGEX3zM8b3bNhTgahWVxY
/7lv8pVopHxVgSNI7B34VXKp292vYaEri7G34XWqXc2PVQ9qFk6Gol2oLzftgSELHWrOVCmaYxwP
0XsnN9Qf2TKFn0NPTTp0R+Py0RPhVAaG0o/W6f4v3HAQ/Cw52UYOL5UXbn9g4lReaFhRSB+nTsUB
yfPeO87k0X436Eo6HmrdKs6WkbvWJ6tujb0sfuMc8DRSwIW9gUuzDrGmZc7cFsamYJ5a65nKe3+y
EQs7mimpA3zw8x4ecsMlgaaS80IucR1ToLcLdlqtU/VJDf0e4GDxt1nWQ6BXY/ggZqF6zynTQ8UX
hs8s+5NG1cI7iiXae9k2vJJkvSamJLSTXLi3v6EkTxzCZVH8JF3C+CRKTyVGF8C3f40ZoN9jVtoi
PFhz1NQ7HnnLN4Ejwy/J8jHkFSvbsHym+gD4KUinYTi7fZQeazhYL1UcKt6DY2XOP4KZpA+tWTZX
tezi9LzYzR7J2OYOvPgVq2M3tO3YDi2DcLNRteNDboB3OHiJsTSf7SSZfo+LmRKkpY25N9Io17fy
hzyI7IDN3QYdv6ox5mHBeEVmKL4+SwKJejaNz21NNRP9a6bH3n678Lkcb5f2+6vn10JySDTRGAcD
U+zqF1UvdeUwaUwdnwYzi57MtnOz3/AojNeyLlt9x/zW5aKDRxv8/5Os3Z4zZwEAVTUiCsKGmTiv
LtKPS1mKH5lXNl+Z7yrtHW+ydbloDUjAMWCoV9QENK+8aKycCNjk6I6nhQjoLFDpNE6d4irmdTEV
BybcFOXmI2TJdYacTqaIHTDa1icGXk4mygPsUZ68XfYi6l6rIAoMoGAOH0bDC09wWlsnYZd70J1t
U3S8gH/BybC+yYqVY3+xokCbxuw/jS7zJd2b7IPWDc7eMPCWMeYCACyih8ohXmW/hoaPtDvmrBnn
nJ4VMqccGhRRQ/KhJZa+U8/YtIZDlsSitL7Xu9hp3rhA2B36sWg05WRnRjxfRqWNlnPLmXYu96/K
1lllehxOC+mdgcnffjS97aaokrm2JehyjI6enTJYGT/NMfSlUTjvtX+3lgfdOsAcYJnyrNzaS1TE
ZAe1Vnyzt8ND7TmUUPMhKr95Zpzv4Yk37oWrQjeGnoh8fNavrNnQwlGYl/OdtoiPrHN5x0R+9dgv
9UM7D9630kici5EpcOm7FYwTO/dyY7ESqC21XaFeeBWQ1gwhhvQBoqDT5vSh7efuqY8L7SBMEe4N
YL3CThNFYAxeKEb1QF+tBw6sxnC6ousVXtiqKT84keL8QuGoSU78fXEuxrRJjksm2XH7ZVGro3C9
Ij+XjnCGk2jrN08tyR9Ep5KmKXMQkPTKr/Mi2QojNEhhvuFo1dp4zRvHgActpmVXT13/TmMP9lB1
W99bascwtY9reLXfRZYoTYt2b2Dqwz8wdy7FKZRNzWOL73twFiX5GDphfg5Dw4Wibc/81ueWxVfJ
U/WHaeN2wZFemFqehCDzrdT4K3dHIBXxYv4scfy/7l/bTVNg8yk7IDBIindrynaivjW8Jg16iC3D
IxkfI5k068b6MKm52CmLbUSrADVguID7RuYNq2TG1Kd06hqm7fKlN5ovVW0V6ic7tevxe7Mkjndc
vGEo/htqWnttrMgzdwpJG04KrjPyKNpNlCXW41k1oKcwyt00qCMT/diYdvc/JuDcb47RWsOlsKd4
r+u9ucFMTrp/NOleATSpgwI+RrwxMEt7no72ZDk5EduQLx/DdNJ2CJW2rMGSRn3VAVvxCvsTdoDE
4VXOGCCZQrjuJhEtzscCTXX972Qczbe/MSR/sogEiaUsIN+enrwv6phqSxpUJlMrhxEvWZ66tloe
hFPFb2/ZIeP9wpr8ui/9gO6FFeS5aWB0RbZ8nsXShE9J5Vm/3C6ez2+/GH9GJyg/sJvrpVlpspiD
woh5WWdh92VK89Q9Lj0zyp/hmAytnZrD1s2gmEoSJ30OIje3ays6USkzElUBINuhOFg1iZNe2loF
42Nkp9dodL3KOOjF0P6iRTx2/+JmMBPKkYEnBTdg3tqvoROroM2EOqltnJ+tMztXGNGzc6W0xuek
pEm8s+Ctkwr6RpZWKepC6nNrsDPtPqG8mgWj1qjLycuUwj7opNDjsVCF89bZRfmG/JE+oD5DGXn9
hgx1PHQ16ITAjo2RSblGW7JjqzrFsXPHZgd9LjdrlaMAoZJi9wDDYUJZxSZz2LVll6d54PWjK57U
OVmMp3Fsk+P9M7rhzjwpcWNISCUfb+VOkVyIhgbF6CAsJiTftcS00umQjM18sYSyLO8qKJX3SpKb
RmkPUvyHegqs/+2HG40YklI5j9hPYUkRbDJj76D009ieuioz7ItGi3Rv4nDjtDDQS+2HYhhjDes+
R0Q529KFmgWK1cRMqGgwQIMUFSKsk5MVl1Ab/out5a2SI2tEs+vB5VlvpmhpqyywxDz+QEDuYY50
oz4CrCy6Myiubi/Z20ipmVeDnohZAiZ/1uSBWhe16ZwMWbAUVfnFXPC2xylZ7P5oCbzss6dktnZV
1d4p3v4q02OmLwdkh6fRW939ZbIhhgvrPKCGVIiLVXfzGQLxwnjO0agVx3jS4QU9RHWousdGKQb3
P/c3e+vraiZFXgm/Bqkl//yFY6d0OKh5ZBeBXmTVL3fwlGd7MOzwOI1i2smpt2zpf0bUZAQCduDW
lqfQvE1Qcw5EJKz3iVaW30mNwhCty+7n/WVtuQHmJWT7g6Yy4eStKcVETsED/hSUYaRNp2KGZvDc
OoRW9+1sLgkmD9qz9I5wObd2qsbWR7NzyiCKXevvvm9cZgv78lSlJSPR/8KWI08KmRAGV2elyDsb
fgavCNzWyh9SkHOfGPB3nAMnbA8qubkuvCfdW1n/XufLyCCNfV+aeSAyhiAes2xsr+hP6/ZVa+Ly
2/2FbV0/wgs5B0uZHSqb201cFi1mDpQh1WxIbfCf8GO5apR/zMbSBBw4Tb8byNkf7xvdXCFldCi0
ifcp8d8abZxsqfqcg99kLWLeXd7/mq1mgJi4U1C7vm9sy3GTmUMVQJ7mwJFwa6yYTCZxVU5+mpe5
c21QgZ4PidYM5VFd9AgWiFLt99RNtlZIko5kLg1HhtFWd8Cj8w4PJIO4Lmp6yQFaVNTmjNl9qiPH
2vFjm7YIJoCWatQEzJUtyn+2Hi5hEXjWOJZIXwJ+rKyR4QLNiN9KpUFAwfAps1csTWL1VsYS00lc
O7ep6vethVz3IBB2TmOopmEnit135MR7jD1bH/ClydVpcUFK1EzmlEHRKnb/PsmN4S/mFhpxdIXa
fxlF//YxYhbJUVGl7BBVgVVUmopuaMe8qwJbZTqjjb3pQ6gkWnoYoPV4nLW0/Pr2MwrgibBCUh5A
z3p7Rq0F4nDo8KogduLiOvI5Dzakfce+aNonnqdlx51tbukLe6uvOFpRkZtRWQUjE6gdK+QjUno0
fxN7lz9zrXZ3apvykq1DQ8r2VBuBkzFUvPLVc8txidqmChy1aIpTY096fWwrV+yEhlt3gQhBQk/A
S/C/txtZo67Vg6pmI5te/Mg1yL3bqKg+d7P3ZhwuDM/SQUuZd0axV5aWDnCeVg5VwHhYqp/zrox/
Crgq90LArU8lCeNsw2WohSDpdkUoI8C8if8IUqeJPheVCL+mS9s/aMP0pRSNseNM9sytPtRoKQJs
XloFjSvnsAYUqw9VKcmQJzgE6pPttP8i5QQPC0Renn4phXG7QuJmD/UYs4T6CD6yk5M6xsUOi0Z8
tRo9c3eeg62T+IchgSYSqJr15FnMYEkWxWMFRMlyPqVKnzSHTNTWzhO3kdgSmktRAYZUgU6u93FC
9a2drTLoAUKFTwhrqf01r21xrclc3ncWWMZjE8aV+lwu9V4rf+srvrS+evNUp5XhiktotBjq5whF
9RY1R63yDpnjTerJq8Hh33dhW/sqNxRsDWhCqEtuv2LZ2LlapFqJwF2Rjldd0UZxKQfV+Vd2yPyY
oWGyYN0IFF1BQZ9UISi0Uqn/6yXaWH/yKP8oO4Y295A2Av1veFQ5MrcLSp1pRnSn5yaIpFCucdG8
M6cK7HLpfIirKtwbKNu2x0SZxLVBeSP//EU20NRLqJAFVoE5hYM45GNYneYIrt1GdL19jC1UeO5/
ss0zitYj0GzIFmjX3VoshZGhuaJUAay7zTu3Wlq0O3Tjn4W24JXb2n5maASJBJ2X777lrajTemF5
deWbrhyNMc/qYGlT96xM4/yQK20BR0oZXxfGFn2vDpWd5W4ahWUYPnxZ2177mSqy6yjO2yoIaVBP
iJeELrwgbnZICWVOKm68P8ITtvckbV4MRjUkvhas9prdsM7Gmk55hMNx6Z1cYWl13PPSmurO07e5
vBd2Vl/TW1QqEqlN0DKKsy2G5L8MkWkuImg05c8JSJXnLOq6N1JSyngQcArvE/TNxNcrq4k597W6
yPxhKZTpmk59qV6EMdXG+0RNrXnHrW6972hJgPnkTSRlWV1Ksoa2nxovC0wr05W/mWXos2ekUmsb
Cjm6xXtCHVsfD1Qd87MS/PmKnagzERry4q4M3LyhUKdpOQGhaDx7b0546/bTH6CYxdoQqpZf98Xt
tzUYiOAwyAMnq5K/uwr6nIfK5j5carduEZyxjP7h/iXcNCkzP2imJAHT6ola9NlQZ68rAgYzivij
Z9VG8c9QaV37LuqAEx6hxDWanfhiC9glu85gMTyGi17NktJDF46awNSaNktk/WyXWK8uRFOF9lsz
h2o5wY6Z61cYmmz1Yz7mmpMetaYzrJy23xj3B6eanObaiDZO3s8Ee9/v78r/kHZeO3Lj0Lp+IgHK
4Vaq0MGp26HLcyN4gpUzFZ9+f/Q+wHaphRLcZzCYAcbAsEiRi4tr/WFrh/EuRQZL0tIpgl9/iE7Y
Ud90ITusjpbP5ewtgz+n+XwfFZ73+fZYW0dWojrQPKVoSW3xeixev6JMDCW/9FU1twc1juvxsy7M
NPRVKvGBl6V/ue5S2Dvjbu1q6YkA9x6QIV3G63FjQVG4Qc7sMrR97n1zPFMoSaCpUzvtjLS1x2QK
BNvSBna+LnGVUyuUtJ6LS+f2VXjQk3D+Cd1efRRZWP5lddp8vr2kW1OjJgxrBQwAL5zVzeLklVOI
OWFTK4WYnmKxtPm5rdxyz656a5/Iw4OXKDDlV5gRbjBryUpepSLLDSS/tTbp71x17rtTF8+ju3Nj
bi4kfm0cVVAqCDJdf7KiHlAFsfPqUoppOie6oT66C+QcPxGJ4wRpPE3hW5YSeQjZfKeUtYaftxnA
MlVXyouWwoA54gVIN8Ts8+q/259sc2pwOmRCx55c19YQD5zKXPD4tRWR0P7pYzi4CaoTY6CLKbYP
aSmKPQqV3AfrB6lcTDowKJq/KucXmVFl82iQrjqASC01LbEvs5fu4CzunAUDHTkEFcPwrkiz+hPc
ifrv27PeOvsUvinG8ljlpbr6oGDrie50DC4qmiKJHwpVq09ZKqK/mrQGbqV2dpMeYPHa324PvLXc
aP0xceyeCHOrE5LOSAZgxsaVVinqkWRdN317EJ59oBncfe1AsC07ScLmXEm4YBwiCw5W5nrzqnVt
YGyjFBdROmN6yjzheA+KUvftDyVdYiCkrYBn4Bf4v+0ludtjEwkklo2IsFrnJq+tUYNSflkMKgKR
lRbOI7hUic5x8/L75Mad4Q8GSLqdbthWgKCpQM9fut2ApV1N2p47e1Y6Ku4ITQ9oQWTd9OjaBL5n
b8Ezbq9EvQVgAdEFoRXgE8d2bXhTdwgOuFlK3b0dtW/WFN+bo07VXe2n6F3stNlfbTrEDynae9/0
rASza2Gyp/Wz9XR7h71e8l9y12RnyOgg47m6XrRkqpwF0OAFvdTmlBuK8+hKI1S/adOw9fHGAsfc
eVP36fa4r3c24/6SheK6QWx7ldDgKWUlA35TF8MZ6rOem2F65OBaIsgxg5Sfus528tENXKocE39o
qYJlvEpI1WVSBsj8KS9tkTn+4Cz5nU5RdPwqdb9bn9aS7TxMidflpznM/uWZ0HkRdipTre2kVq9D
Gj+FBwD6DjQNXjEnHQfCu9U7ySVteNksSTn9h2vjkjwUDVjlYzjZkzgriJbwQlAKN7BEZjrn259g
YxPyI1ya6TJ1ggOzfg9QGigRR00uTkoGqyttJf4pjR4Fxqyzj06S5O/hWAJaYxPPl8Qe+Y+IjqYH
XindEu3cmq+zAZQLIZNKGjBhZx14an0RLQL5iHhPrt3wFKq14kQtD4D47XlvDgRO7VfblLLgKqhW
swpuCdrGpYkVkUPxy5LxlKPBtoer2RlofW20emtbTdowkOE1dwlFivToVFZS73zIrbMEagfwAPVN
niTyz397j7itqmaZOyWXLsMvBck8quVnc1Gc8dTYVl5+yHK12eP+ys1xfSmza5CYQaWDeAkH5XrQ
hlatUkbIZkfVWMWPS2pMf3taHn2YqnLKz6AqYrTKx2U4l3NjZzvfcHPvMhESAunO9koNUk+sXjMa
LA/E0FffHAMP2iEWkXWaIt4xft7FhvkhqlJ7OaZUa01fm4YRc1I3dLX/yloVf+rBQGlGRQIHJQ86
j/y9ukKEiThN6CG/nI5W+S1Xl5ZeC8yko11wjv58B+twGeCvS2DTOlOPAZN32pJmFzGKcHqPFJZe
3i9tO3l7xZ+tLQw9VVbp4ai+BlomQ5iJuGNWkWnPhxrkrPiZC6Xe66q8voFRLgVMzSeVhozaKhal
ud41jpIB7tHzD+oUV9+VQfwzL7PzljgDrZYWvjwIryyz8lCh/wbb/8LPGHMMZLweQRn6At0O8mwr
xqMPJ0UepRL52jmwsMHBlw7HMoljZ372qjFPfrS6laQ+1Lw6+ZC58RD6+qg2/XlQRPQR3ZXQDm7v
la0L/vdfsbrgVWNQdSAT6UWITr0b3NydzwWJ80GMrflg5Zb+CLKi3/MR3RpWBgdHypqh8Cs31m8x
KaWJa/V1nF6ceCyzQxRF5n0JcfYLOCs4SYiahgoOrt2y53O/tZGwlwFzBAZaStxfD5z0I1ohjZ5e
EvDxj4ApyV90Z5ztwJrIDE63V3dzNMnJlyUI4LirjNWLZ9tKxym9DHDfjs08eZ+9pJ4p4U3J59tD
bW0nojuYLYnPp790PTGsnBvTqnGdwGo+BOCtY1rl6yTDaRB1kaUHnWMAwq2zLE/8qMWqW9Vi032+
/Su2JmxJLJzUXpSuVte/otX6fhnMMr64oRXRlZ8SrX6qimR0fGOooD7fHm7rakM5jd41ohY8R1aT
1uGnC2yrcICh0PPfYKnfxh4jkTQR9lcw3enOcNuz+7/hVrs2asxZwwgWkrNtZO1xagD8PtXLAryC
x22yd4ttHZJfJSWJGpc5z/ViFp1w9Varoovdm1X+rtDx0MkomuHpfG5TT/nLCZvROsZKa++pi23O
lBIFgA7uj1elM67BeYIWBVzfssfnAdcpmHmo6hzcUnXfkOtbqGpJ/h/nZA3+EfMI9rZlrLjRxsCN
NOuxqXvVB6YfH2Jncv64gS3pFkjy8JSz0BdcJXjoucylnSnRZTHNcjrEhR15B2Xpo50Av7WGJO+U
0ylMcJ+sSoLOKMDbo/p86USTfEzbtpBFFyXD70HoyEPvTGvrLFB6kVqzCOBR8bzeLV4xFGHfkK5P
9J9mf1pM64cyV8bRxYH22zIhAhvcPn2bE/wFaMTwG6mn1XEwMoqheP1KE4VoOOVD7NWBklXiJyWZ
UBzeMBiNZdlV48Jc88jrMI4qB4j/JdaNtjjas1rNvp4oufArdL93EsjNxQRCRUeEPvYrtCa6NSJs
Eye+jLQo3iduV7/XQGweQOGkVpCoCbni7fltjUj5EWQTAU3n1Xv9+TTYOXPa875xqqb8iMnsTwsv
4aeywdhAQ8RwZzl3hlvfTK1tKz3CfDihWNV4KJeJZ5wdZUfex8nPhWrCf2+ZnuTCWUC0XzUo+0lT
FsXAgynOHPtfgHDvrdnWkqDs7RnHIGt4Q6iWxmASbCuRW6ubobGx+9NoLFwGu9TmoEYT5gtqWaF3
JtPf097deuxwBCwSRnpL1Gauv51eed04UrG45FqjHnVqfnc1MPtHO1YxTHCNrrpHrdDzl0ZXfvz5
ulL8hEiMvjJ562rbVKOXq+2gZJdZGN9zZVJT38at+9HUJv29iNT85fZ4W3cStU4WlghDrXU1XpYV
nVUqE/QMx27+o7QqykNRZeVxQCT2jnTWu/PCVl+Ot4fdCjWUvPgLxCaMwNXn7JwCZpvTA6TsJ/1+
GilEBa0NialMa6XYORubg/HMkEx9VAjXBF3hVEkXqXEOSm3oLjCgOSGWM/TH1jH7PRnR7cFAUNIy
pPe6dqLJ1aQUKbbolyyCKtEJr3hylZyGUWfFb0kofkH+kKMA3b9mOBZTVCxDq2WXSemb5c5xs+WH
XcflpwSOvS/mzFl8fYj0PcbzVrAhIcQ8i/nxVFxdTXisOfhcQM0QadN+NyvX/UAiu5yXxBj1u4LC
urOzXza36W8jrt6Li5tg8uzavBcR3IDBWXqBpzTRE0ABMzCkeItvF3N8vr1Lt+KAh2ax1C3mdKyN
AwoKiG4/z7AmqOA95VZqfzaMUlGOoIATPVhmLz+5ua2ejTbF5+j24JuLLKkvdLBo5Zurl5zTWFmX
gZC7pF07v6tyo3SfXLcO34VKF5b3dUuKtff+31xmJH+4/pkSBPPrwKdhXBLbQs0vZcnLEeEmr/23
jEXyfVgyz59jbTxhCpxVO3flxjqDw+LIOOCT8P5ZJR6oKlIKbpLsYjfTcxEq9WFwswbhqGHQiiOq
AvFLplVWj2NOnns7WY/8n68qWwwuW5IQTKlurYL9rM9jkpZdhilqE983PLTEQ6U4+V5Pf2NtQTjL
sjtZnST8Xa+t3WLVyDBMUrGLI77h4XEEkNWg/T2Ib6MHRKPMrPH77V20EY5IeGAayQAPaWz1Rd1+
KiHFwIdjk0+VH+cinN8riVTmMCtRx39eqmI4qstSTw0Iufw5v9UBpiqzMFyuiQwtGheellovMaCw
Pd7dxtnA1YJqjjwfr7lhg7Z001A0OYKAEwVrrUpb5ySm2XdSRLn8qIn18HR7Ibc+H4VU6UsFVIit
cj0zJVKwmUjg+ySjqSfPgJPQi1MYaT5GY21Wf7lNpA7o6GJZuPPw2NqhwMc5IBTM6J2sgh/gXED5
A+RblNtcyW+K6+aQJdFw94Yp/jbOaoe6Q7a40P5zmjRRE0yiiT5DcGiOfb1kd0WcaAeEuZK/bw+6
OTmTLSppPpLEcb2u4JmXcTYM0DVeJYaPWdbow5Mdp93hLeNQGuMJQHK1dvF0vdaBs+3mgCBnQz2M
nbpEzxX4Vm9no2xOiNYiOAfQUK/AifB1bSTYywInrdw6Z6U1RUdka509B6jNDUk9GOcTyYpf9zXy
3Aox+sPGy86d6GtRebF2pOjq5Qgpd47+QNLVaUfboUC9E663Tp/Uaft/I68bHcSwAZ0DRgYko37U
HIjwPqFHU/25LNy/O5EuOzF6a646SF2KbqC6XynzKiqyNsRoiCI9rnuhmsTvBeagT2o8R8cir5KD
3StDtjPqVuykrIj4PDkOztWrI5805lKPXVlewiylMZgBpvsba5WaJ52b/nN7e26t6e9jrc54NjUV
SVzC10wM8c1TRFP7CKxad5MaOU9D0TXP/38Drg47qip0K/FJvBTg55icYifl0Rrc+rPW6eb3phzD
NzyJJaZDQoDIjV9ZIMUwQ/Q64QhSGjfPWW9Z4r2besD2FsSgisPipPYev3/rNEITMWW3m3LU+pSE
Xp6B5eChUSdLh2FKiPXykbxZ2VnOzR36f+Osz4RVpg1YHNJ+ZYl/4OsxB9BS4Sm7meV+KbNqTO7D
JHT2ErbNLfrbsKvoKVRUsQenyy8D1XctsNwi9PywqarsjFePmezEtq3huP5+QUXgV6zF72KRDvOS
AOGqAeCcMjFb92SG0cMwFntuelsLCjiN9hBlfdxW5Yf9LZPgmqqjLFZJf3Vz+ieLze6hNHSI6Lkb
nW23uRuwD9z5iFuHkPACF4a/pOTQ9Zh2gZGnFXMBgj7KnMDCyeq+BIX+OPZ5VJ4EpI6dssYWSAGE
N7hZDAF0zG/06yHnzK6ErQAunVAM+OHk07kdhntlqJxg7vQiiOYaHwjPmyfht4pbi5M1lv0eQHnz
u+JNBreK9BSRj+tfsXiitQoDFQoFb8TKV02MQyLwQG7Ai6PeA3htflqoWxgPgKbn216PZqWKo0cz
zaLQNsT9UvS15U/2oj/bxaIG6A+5LyhHmjsRdisSSOVqmb/BClJXEdbMoNXPSNKRCcfQt8Q8YMyY
aPF0uB1Yt9aSRIYM2KUXBqX3enY5xnJNZMCaNhUdURyEOfvTlC2N5ntFE+4AS7YHA1Mie9AyHb4e
bKjGvoy9GbtuFAh/KGGuPKig6b+CmO6Pt+e1dThg84IC4CGBDs1qKGHMdknJj6+G7nmKLgr/mOJm
/tSNGbhHzxqanS+2tU9QpjKhAlHzAy5yPbmmqNTCKWN4/aI1UMSvpvFvkFsYn/doOIiDQgu8PQuI
snuZ8NaychykwCdPb8iG1yO7HRZQik1hJQH1J4I5qbXjQgVwPKBx4uyk3b+EYNcvUNrTVEWkGcmr
Fyg3YljOmcgvVtK1QW2a8RfK8+JUOY2BjVCpHAgCvRlQWh0/m31vD0ES2+6nrkHKwVv4XwfuDPnT
z8Jo+Yb6mX1/+9NvwS+w/ZSYBzizQBFWJ3bu3CrvQ37hvLjjuzG0nbtCaZf/MoSXfmqZln1UQME/
Dagu137ca6IPat59+in2xp3fsnWMeT7/L4Mdca/VpxHjqGqVCaorr7qi8qtYjZKgGtUufsNd9/tA
q92HCebUZTV6C6JQu7+Wesnrgw6QTbvvqw4Nw9tLLKPPeg84bF3Q/lx5r8BZKtx1kbrI5OTQQ6pg
0TtFgTYBFCfoJ0TLZAnzfTOlyQcVAZTgzwfHDlheefJ5uwazgNsjWHuR++IU+mL7Xaoa9SdRhaby
uU71OT03YW+l79uuzMSX2MntPRX2jfNGes/+l3LTIG9Xsbmvx7jt+F0vli6i7ODlGKncmQJkTV0h
cvvn0yX8A9/hpqMssn5P50PmaJTQvBfV6NvPzaRVAtefxltOFu6fycEpO1c9lNHYvlPaPN71iNiI
a5JJQo9UhWpBS/E6uugTmv5ZYyLmKwB5HZwIuEIZ5GHjPc2aV/qhmcTRs1XuC2BvhRowBUj64/hE
iWbdXghTTTQpcgwv9kAvIBh6ADpnXJK9T3VRd/ap9RCse16UziPUeSMyy8gAPBkq5nxHJfTa9mCI
YZzeRSY1gWCp5954P08liKHbO3L7h9JlpfBJYxf20vUaGS3FrDbRwxdv0u0KS9oyxbDDGuZPpcn1
PShzkfnaQE08cMW09PchxrLjGU+IafTzerDCc9RwXUW+6WXOmd3gnrVcfQOCgNeFhOJx/eJnsgqM
bdSIMaxV9wXY5nAyvRASPGYV/xjh2C/+7TXZ2jakwnyRXzF4XVvLckWJ1KIIXwysC5uDZS4WboHN
qD0qQxk1qd90Y2wGSFV6yQ5gWk5jFZ3k6aQhxo3IQ3g1zSVSJomC83BiG3L70Iswf4D/w4vfLNW8
/di1VvUzJ/34C6xa/jzlipbu3JJbs0evgbUGiUK7ahWOc7UCTtSE3ks0ZNZLViozaMe6Mr/24ZJj
EokM3l9zOGZ7bOGNtIesmH6cdMOkELCauh6VfZvrGnrnY4qgEAJRTRmkQCyLU7RkybmgPF7uzFWG
u/Vy/4KncxW4dB5WqdZiZkk31GGIfe/UJg/1gMFsmlU6Oso8Z4/4lvWtL5YSpLyxxMP32/tsKxj/
wqr/0t7BJ2h19Dy91GJtgAZWKPp8sL0kR0RSdxsjvRtM0e6RzH+helbTBcHBKoMEICCuNfDGgd3T
KAq6oFSsOl9tXOd+CbNK+xalk/o8NNX8ORXzEpRz0tw17qSnd65S1opfNFbI0pSVelTcUN0pZm+l
PWQ8EnTKG+31pWw6pVCGGmVfhP+Sb1G7DO8z1gY71kS308PQDcWHakFT52CUeWceFmL+pzwecuOc
5HK5bn+Yja3IRazCWaACTXVmdW+EMBnscUZgNA9pGfAotFLzvyVPFr+kKgVJzTFppt4ec2Mr8gpH
6VIq/hOMV5uhoKnqiiTyXvrGMR6qUscIokZp0j14dpPVR3Mswu5M8SMK/X5M8vDb7fE30j2mSx2V
yjd48bUcrpYrRY22soNXalZ8nxvIxwH6pjjW3R5na23pWuCtQauP5+EqvIBk1hvDqaU1RFE4fjlr
6jsnHrTw3Hlx9+CN1TA83R5yI6IZxBSqN4xL7Vuew98qHJM2eFXsKt6LF9XdYwrtOj6LRM98KJ+V
HRRtisxIFaHSdrg98OZcf/VOEEgkushv/tvAVj/YrTeO3guGGFAQ6rBxfF0PzbNU7f06aFH759pl
zJTSO+EM6Btq+dcjDpDY5y4pw5c8TqEXJXr0fTY0mtMUbdVD3SeTdro9x40gxk3FE1z2vbg0Vt+z
7asyjkPhvWQE0xOk2fwx05MvWTvtsVK3diiZJJGLI4lu4Ooz2igCCDI4FzdUMzkMrbDVIGqwBXjD
V8Me2ZRUFhKNdZQcIps6e6G4L2bTibOJLbPiV72dPhtKUuSnslL+XLqTqAfgH9i5bMqur1x70vqk
ovT90lVm4x1mwpsNIKy2q4dmMBOxU8vY2pbgwVhG6ouyEnW9SaY4TlKMDCj+pEV0gC6/zMGiLo6f
YhtwqHQj+nPBCiZI9Q2QHakmWcX1iKmGV72u46rhsiOPFp2aIsisfNkjum3O7LdxVkU+lJgmpGgW
76VMnfEZNzgnO1W4eNc+5WEvDFxsb/794/0vWy54GUrtKRK366lpMwZhMw4mL4qu/zDDzHtZjOUF
4qj9dHugrQomI0mYMnRJ8u1VglSU09wmBk8KKDjZuRCt+n4ZE76VpbTluVTEcMwtL69xo0ncF2u0
0oPe1fl/t3/GxhKD6iMFldIupKrrsgDvuT6LJzYPStFHI7W1r+Mo4oDxig9aXY47096IL7yUqZZS
roGRsia0VXGNAEnoKS9FlJKFL270lIWx9tQUurfn9bcRYWTyCQ4by0+49avo6WUNwrm6Gb4oS2kL
P/TCuTmpiSyb/vEiIv3halTbyDopRlxvGj1xhDWmyFqbbtdNga71We+3haV0dxY1qu4rAqyLvvO2
2MgwiBvyzOOhQpa1mp3jFWHUigUHttE2ys9xGblHTZ8G594au8U4aPOgx+/rOEryu2Jq9jbOVpLH
+JCooYbxulrv30Vr7LaZQrT9W0cbTjobyfPHdoi8wM1C70mzIv2e2gRwcLXsGz/DUPb7NLb5cI49
MLrBn38DfgrdY1SQJNHg+htgKJDppQOaOVFmg3rA5BzprCIvbmeTG6TWon25PeAv2YRV+i19WiRd
HqYB8qLXI8aRU0P0xWKhcpXGuac4Yl0KXkLNHZ6KsYPjs41IyifHjYzwgItual6GfBiWB3cpC/Wk
TlSI7qJKxF7ru4uWfOiRTRL+SEusPcHlGhME6Mwo7AKIj+H4MnGNvoe3rmgf3S4Rjs/1omZfoa6N
Jrr8tekca3AdkGDTULR/357t1m6jnoW8BZrGEGBXyxtlFO9GEyn5yiaNzeDoN970sdDm8ss0lM5T
oTnF/ZTbzrsBX8Pj7cG3ggZvHCnySTr7CmzZYE8ivepwSvG07luYoG+lO2XZ+Rkol52xZNhdf1Vi
sqQcU+biBXP9VfEyn/TGmsOXsjV4J+pqFLZBOOh97UfF+N5B3LXiHeNq3XGIRnX0e3LFdGczb6S4
tHmJWkQvOCRr00xD7/p2FvJlZ8bhAJ4sN6LPYRmrzwTyfDz0Ri7ez8Kaip9/vtLc6bILwwJQU7ye
PQL5KkomAjMora6OdudGkU9kHo8qCuvn22P9Ut59tdTQ17l7QK0CnL8erGksrwEcQHarJhe7zZHi
j6L8PqmL8J2qzFEV2GM6fVJSs4pOtpfr0xFZZOpDCTRo59QO7VTv9RVl1Fz/JilzR/8JJbxX6tll
OltajN/SS2q7ybt+Ms1Peu3ZZ3fWCuzrlfIzanFg61Q7/YhLlfHNzi0sXVtl4QgKUvME8wxv537Z
2g58FPSLqfZKXd/rheoRM2n7wQ1far1w3ZNtdKV6V2VjovoDQpKarzpKFcw0S9+wD6GlWZJ2Awh4
jeSIHK/RapRUXpLcjePA6ab+oxq7QA4iavl43gO9OkJs7dydU7iRlqCczLMAEWFYHGuWQxyj5yhm
w3sxMms5uIulwvlng5Spdm/Mxrjz2TeHcw1ZSIfsw2SvF1hdKhs32Jht77XFV3uiGurXqaIHk6Mv
3QM3YDLs0FS24gyBlAyaji4orlXiVVXLWHtpzzcd9LbxkxDvE1XJ4uxDTV8u89vGxB/WwDLwa2ui
mWTGwv18+wBuhVVmq1rgDbHAWivFV4Y2d+1key+JVS53A8mSOBa982+fxkO18wrbuj/ktUGiQLEA
8cfrFU4yyur2xHStclzuXA+jO0xehunfQgXTgn5OpDzZWAHzsWsgn3uhRq7m6ljDgMZsSoryw8Re
vSRmpYqHrucGGVtKPXFeds92ZJvp0Zzdwjza2cjZEXN4mQ33FMXFAF6gAuh5/8crDsINAAiSqFJL
eXWQO6weRVu0ygsS/dY3BEOd5myN4segwNHeWfGNr8sTFFlsEIKwhV+JBGdL3OPRCb2raJP7zC1G
3Xfy3D7h+zO+AdkuWw6SToouMcnw9eftB3XqXfzCLkPjpk8Sj+bPYZG/H8p6POhKtddU3zg9v7qq
QC8kQ3kN/0BADG/CAV57b2RGFwj0RJXT2Io2f2dH89LDU5jtv9VigbuLB3T8OKl93L9hhWVlRhYw
HBoZq3qQO0ZKhjkpIAJF9tlBwlVfRtCfF7NTjZ0I9au5td7Bvw+22jpisAxAfAgJxGbu/ZMAUFbP
iFP253ZG65qUuw+B8armaL2zeIt/FtVgAlae0jZNsbzNSkrRaP78cJVq0QPN7Oc9ucytDUczR15T
IDjA/1/vASMzwfjH/MJZNaflIUM72TwXhsA2nor4rhDGRsxGWt/jVMOukeWd6+GqpLFA3XkMh4yd
fsp1uNSnqXCwjM9B/cTv8KXYSYK3PwJUOJnwU3lcNxjCOI4iICnRpdQ9YFZ+0lr2c53Ns+7nIhmr
u0EdFO8ead7uXVl4duoLz8mc2O+xPrpXyV2WQGkykEkKaO9/3d4ctR3Q89ZXoCYjL04qeFQNr5cF
76a+mAHMQTCz+zTIAHYHVRHWd0rbz+ZOYrI5mGwGA/OUsKTVN4hiwyk66EcXzQ0h5kNTF+K05EMh
zksTlz9vR095R6yPgOwmUBKlowSr+npqzWDNTjxF6aVoyhjT2A7w4nPhzsvudSGvg1cjsYnBlVho
3a4f9EDU0YooCsQPGsVJgoy694/SHk3vqC9S4Rn4k0DKCwQtled0ug+NtD4Cbq2C0bKauyo2htPt
uW/tdgsENjcnVSOe3ddzz0XdY3eiphf3rzRphwfIZ80HLYyT0DdTs9uL51vVKe5KEG3/O94ry2ez
iwy7tJOLaabacD+nc1+ceiRp20C148eGakv4aTSyKLBtoTl3vIS8BC+vptpjaG7tMRsgKpVwYG98
/+uZy7uEDCpPL3pZNLOvhnF6WMrB+Bdq6p4UzdYqc2lihwBYmlxwtZ8XMXoLjkQweUsrVf1ucgpM
OXswfr46NI4ZkJqpO7nJRmZEIZVbxKB4JEPL9fwmTaBpijTARfqxl++9cMrEWYNG+b7HIyk7Jc0Y
zee+LmYjgJRSvoWVBkYJzBZgUVxD1sgg+CI9DpwEtcUGOnEQBobpCDfyW4/JENWp39GLCd8QOaTz
p0sBlOrn2ppOQfY+VDnOF6NShm9jPT8PZe5xMUHfvtw+OlsbiNoLCSYmbMSq1QZCmD0BRwgFNm6m
JX2wO9U8JmZmnIqy6tW724NtlcWAxvBwgX9GGWFNKB6nuod8RS2w0MkfqeBUXA6loS4Pschjxacf
QeOvTmNFPdM5ix4KF+4msECr4p7smMVO5rC1p9nRaFiRnFFSWF0IidGXToU+MBZGivMQLeRFfYPn
wbFG0rE70IYpPt1eA7lj19GTQg3nh1yXoVdPmxpfOC9v2+hS6FlrBQqSkkYwz1VSvasVC7FZxR3y
Qzd345660PbI9Ab/d+S10qkaZmqrAXS+LK7bG0cau9bw3GSdB4J9Upz3hVeA0/JIgfakrjdHlkKW
oB6xkViLhJlmVitcJ7gnw2N6AnAYPqAwWZk/Bv7IH4D9uA8oyDX//flS/4J4ypQEK9LVx9UALlKC
FDHgXE2cBlTE/YTAfRfnXvxtqMdJBKaSZns05K3ZojBJaZ1RScRXr7kmc61+iii2VmIxPmOY7n7u
8qV5aNQxN05ZkeWhHyF/vfem2YI8EC2412WQBuUkz/pvLdiKgblvExwtVW2cH138eO41FX5yEKnC
eV7qpghyN2mdRxC2VtA5zkFp2Azo7fbLfPLUWv8qQFa/QeNC9nDohLPvcVGQC/bb7zKWmuSuZeOh
7gmRjos1rfwyClG8ae1kDwi+daQpDeLnAZCTOLMazZ5aEN+2GV2ifNTMoBqcCb/OFvqQM2j9IU/r
varo5gdHVFlWCiCe26sPTqEL4pKao4GXRdXztLg035J6+onN02D6C5WEg4owXnB7d2/O06QaK8WE
ieCr3T1RghOpiONLuiTLhV5Or34avcZYnkNwTe3B7LTdlvvWbUFGK3VmZGVyzdE2Z7M1ImtAMS3z
uu9timYp1Xm3DhyjcPudW3BzWS2SdajdNOHWg1V6USYt3EE4tHGn+0XtLE+8FPQoqCajzZHbyxZK
QUml/7mFENc9jT+qP5QHKHeuN2yKEPjC/RvnavhjyGL3nTtmg3GiafRXg+9du/Mtt9aVQi+XogSq
8jmvBwyVXA+r1EBoA4qTHuih26kPWWfV4jjwik52MEgbWRXNTHw9eBjSOVh3pxrXqCk9sGFjnubd
u84YK9xZnGh2g6JYuvlD32d6d+fkYaL5iZLNb1AOQrgSpVQgjoCzXjn6LctSLWinXPpY0w+1Xkvp
X8v9dwbm+PmPjwnvIbaQhHVDh5Fr8Vvw0Wbo3ZmJ/syEjs90WBZTqx8U6j/DQXMn8J+jh7jgTvFj
Y+tSTcDPXDKz7VeoA7tvGqpoZsITadAOntfG3gFzNOcnQjjWYxvl+TnUALrubKONN6CUgkVUWYpg
UK+9nqsTaf2gWKA5QNaiSgkeuB2eBDaa2c47enN+HH/p2I71hyb//LdFxeFEtyOkAl9494Z6kOdO
7PEQdJ3w4EZYDzx1lWF3Ab164P1//j05l5LbRJlBc1fB1oz1plDnHHgFFu7vbIgNpyGtxSPsP/0g
NGXeiUJbawp+RNJupJXEmqINUavJ00UAMhhCbbzXrAyUrFPn4w5QZat8gkIC4AraSwZP2VUmbpmi
VLy8d18AJI73aaXEAdSY8X52ZiXA7Tb7ouMYmpyjtjq2+aj8S3kHC7zIFnZ3B+Gt/VItjmhOVW/s
CfFtxQuIjniASfmGVw2Hplj6fuo79wW4kKc+NLmZRne6I8b+S5oNtuI3itk/A6IwmrOpVUl0/+ff
nLyBChxMK/69+ubOMFiJswCXdZrCPZdxNx9mMHunebKtoFnCNzCDsQIg/PMsgAS1BrS3hRYbRcd4
HfTyv9Xa0JGRGu0xGw9JjSu2j5NkMT5Oi74kT7enurXdwCtwrcubB9zg9ckKZ7hLqlYoL6EDJCsw
lKYfjoVwun/eMA53HFAliQBZ43FDw6kKJwZ8bSzJdJfVLXbNJkW5PfTHxs2G3wTe9ehTo76+LgpW
sbYgsgEeUXQYj+HjUzwaqt2dYAQmX29PaXsoio8kmjwx132qshBKBayEKaEBejcU6t9Z2I5f6467
9A0jgWkAAkVCS+nl+iPpfWGnepOEL0USi0NWVoPf1oP6jj0c7lzVW5Oiykb1QX6qV0oGWEIO+EFw
9LTEXvy56Ir54CR1iR5F7Y07d+VWWCcLAa7K21Sq1F/Pq8wnfNv0SHmx4wjD2UQdl8R36mEpg8zM
q3uPVuPy4BlLtfPpZGxbPYpJY4nnqFRBIFlXWYycGqwFIvjC46T9wfmoP+eO+nfd6947LY3DMx1A
HKympG7eiUy0p9vfc2Pe/8PZme3GrQPr+okEaB5u1ZPtdpzEcRLbN4KdtaJZoiRS09OfTzl7b6Tl
hhteQHIVBGxSZLFY9Q++Tj6C6ge1gDe9di2CECvjngdKGVTfMCYap83UB+JoOn3x7DZB+g0PGmlc
uK7PZPA817hYls41V+mqFJA3ZB6xn2MT7/nVU6maHD+izolCV8vte7KG7EJwOTsgW3YJ4byJ1/tW
RjAthIMvfRLP9Y9mTqIvYxd/M0qVG1wkRXxhgm+DGRgoCpML1J0R1zjvpnD8tu4hskyUce4jw+a+
IgmzXj74+eCO8OXAgvB0XCS5TretlellpTmJeOzASXwLKsOXYT96AkneyZJHvbb8NOxK58NiGatx
V1kQMh0428c4eEHw5lKIPOerPwz1oaSos8u8VFdYxUcfvQuXQangGIgcgmddP6aLkY2Z2JZ47Pma
W55+9jZvBWmsm5j3gVD1R2Md4/G8XHTc4Hi9QQgbkCCpjqJP4UJi7yFKCEsPpXSF9jkFbHTJDPfN
UVyGW0qDFMcW0d9VCpunPOe8IW8eHVoJ2xzjvi0+qtUVtbL2UAvb3di4SVw4F28H5fjzeic+g/cE
JXS6gVAxFaXtjPXjUkDB/yw45lHaJaE7UOFG91jD8fSie/qbyG4xKK9ol2cf0dZZ7Vrs3tqkNL36
0QgG3dsm1KjuiynTp20jL76Czg4GYJdPCdWDBvvpDHPhTMh9FOKxId/5gf2Q+OoJuvqz1PTxoxnz
MrG/xlpla33qt4M5VeKxmFxn3Mk8tosQoGF+qcH2JpwtAy2gBRK1pbdqnk7KnEVGK2pAOkUI/+uQ
q2qPkXi+ibzYvMlGX11I0c9tE2joiDi6i8TgOsEYuQ1a4IpYAMG5vpZsjmvLq6YhFAWvOq/utK9N
KnfvB7c3uTeT/HvQ1TZBMLKiqINBZ9nW8y07Q1MbL8VucudPbfVDNUX8mgToVfWlE10IrOd2DZpD
4BoBGCKoulpgC8G2EcEGrOysqgPDVfj9duw1z93Szh5/vj/RN5fFMlHSbeT/FqmMtahY5BfYuWSY
8GJJ2nzNR23ytk1dVfH2/XHOLujiXweKERrW+rCbmuVpGKpiEDPRkgzKQIZxMP/b6tErPib6tFG1
k9BKE1VxIXS/yXL+zPB/R6aHdrpfm7k340i1GJ+yX3+IxaHCnQG7mioWV4Xqg4fZEqMIK78qogUo
rT28P/VzB8aA9sQ7it2LnOTpD7DVEAiRWlhODs7RNIV9Z7Z+tzMLVXJhmtXz+8OdOS9ga2B7EFNp
Gq7LTCIgaHP2kTqqbRkKfSznUPkUJQke+YOnt/7tkEWX5NTPTBJiHS+AP+Z6b3Qkc+RMqkD51SNQ
fe+Y6nV0gF1X3cB6NBOA1u78YcdHIEtcxCCrQVqgcLwKeI0Y2m7JHB8rIfPdmLRmc9XKrpAfvopP
x1mO619VFzy+6XBiRv04qTbqNwvR/NCr3vTCXFL8eP/jndmsPLb5bnwMUMXrXFGVKQlBWuPkZonG
gNQdqGtDtd2vBUWNVX0GNznsyPnMsM3bzr/P0JUNDu//iLPfEh1gUg/iO1DL0xm3qjFSir98yyqa
KC3l8yGWkX9FQoIwqAQz//54ZwIe2DPfAIXHmG+SHWVo0J17q3oUudnsNEmUCzs6r1fzHFTVhez4
7OTAEyNpqMNgW2dyptPIyIkwCp2nVG2mpJ7v6aPr122XGHf5VMQXjuPZyfHCWjBonJA1LMzw4jEf
ZiZX5317Oypb60KB1UGF69gYWPv3l/Lc4Ud8kvIgrR/6ysvs/9qsrjC9tujS+pHTMYZZVqL8GXn6
V8NX6guX+ryLrM77/f6g56aI7B8IGMQ8KN6sssfY1avcTSZOiG34nwJh6KE1ZM5z5ZWXJEPOfT34
FPg30WPSIeqfzs+orawZpgSPM5lV421pZal2U4/KmD6RI4/Rs640uosX9szZVYW2CqaLYiR/T0d1
6pZyNcydx0zo+gPoMZx7pT7mr0Zj+g9NlH+q9cTTLox65srEVckmjv+prazLvZ60gUlaXfmIt0D6
PcimJpTKFP7WH1Kj2ESVEyRhMvlmfZVoZZ5cSCjPThomGDoBi7LTGp9Kr6eODA3VrqKoixA7DuwX
sXTzQ022xk4lM37FRW+JC6WXc18YlwoWmUBA7FmFdZQLZCISFAnZwSUoJn/ecEeKq6xBHyIGI/Mf
prmQKoBwEe54x55+W9hsVpUIjPpg8hRPWm402xaC8pdZl/21I0GRbnIs2S9Arc99W/bwIv9An4Ku
zOmovqZHFuhUtMLMKN1EE8JApEHxT0Pvxv04KG2nLFv+wsEn//b+YT33WUmjcVjAHQhtgNVermYs
xOmOF49NL71PXWXITZxhDhQKIaat2ZZiGzjikjjamXuN6LLgARiVpu36Sul1FDzSmPmS7F3hWTTc
DzjLbKsJNuU27YQ7hHmluNaSIHLuk7b3Xt+f97JvTopdi7wssADgmWxoOn6nKz7nvaFHDb+gMmc/
u0l7zHjpn/gfFg3/M87yTqFrgaXxKt00s8RuGw+toSb2/Hajikmp63Zu83qXtnWVX70/rTOxl22E
GcjiVoqE/2r7UoMxKce72SO6F+ykGu6WeetGdjTDM6sLFP0+HpVOBlwF+3mYXd7LyHcrIu22Czxt
DJUWdD9FyyOw7bv6qhrT6jVvhvnL+3M9ExoYGigNbdSFCrSaK4blZp57CCtZsfSx01TKz/fVbKof
TTAE/+RZ6VzYNGcOCyMuQGqk9IDJr0ZEpnyUdmfnj23TJp91K/HAaY118ZJSmfhdaT1+ZbXbJxfW
+Nxp+XvY1Rqrvqk0AzuSxyBuX2pRe8fKlnkeunXfvIioPQIl+uzITt1Uelo3u/+wzJSjgVWgZEai
dHpSumoyI1PyhedexI/gDY9NGU8vUrcnuOre8PH8mucCwB2eaPxZ72A0u3MtG/ICKx352rX1RIoS
G48YPmJG/f7MzkRdkH0U9BH0R5trjW0wlIqqYHEPwJnhJmpEeWO10ajCTovVAYtfiTlqEvk3Iv44
BnoJC38NvfqkQePjVdghc21gD4pTUBN4u0CznZ94Qo8XVvTcruWeBA0OjIOIt7pCwaDT+8/t7LEu
Vd9tstmU/Y3ZFH23bzUv2Oaa2URh3xjOfPX+Ap+LRhS6FkdvMHZY6p1unUrFgSw0kN4gWqfj6EBB
8yED/LJVpy7kCWeHIgfkFfgH9LUaKkIWXBmJlj0CO26v/Wburvsa1meBnPj9f5gVbVSmBBWLG+x0
Vlo9OTlWskgIumV28OcmDcdc2Xepx0XyH4ZyMTgFQUcRf01Y8GY2rrGYI7Rz0/dhn0/23k1s1e+T
wqvHC3Hm3HlA9eX/RlttFFwlRvQf0UY08WztQiWAdn0yosHepAUmAY03llGIhrB3EE5XXUiB3uK5
ORLAA1ESQdmA/bJa1jmIND3uGR1PPwMiUDIUyHia5oCWAtQwD1z1aN5ShnO+lWmHFMcMsv+myLXi
krHgub2EMhkhDzYWb5hVbmA2ajKyJisfy6Eb9j0+OEca8+3OdXLtktHH2bHgM/FGW6zn1o8lN5cw
rAzc6NsGz4e0VJmxEWkHkLqRtJ7f307n1hgcjr2IUSL4SQPjdOsWTie0qaqzR/qmcgL0a+TDbtJn
teuLVtkHyzXUsMGS0p1uDGnUd4Gb4NkA6qv5+v5POROUeB8Se3HAwDZhDRCMA8zTuwJ1ubQuvNsq
Haxg42lD6ES/ojJfvnlpXtrfZxIGmt8+d5nPPUb9+HT2dMLceRIAvBpQp68O0Dxj77Vl6j0NWdsg
CpD6Vb57f55nx+TRxCuVg8otfjqmNGtkV2e8I31VZTfRPNaK5skwXkEt1e/iXtc+rMUNwmd5msJO
RYsbQdzTEZFz0JPRBdepTRreyKbmX3daVnyBrupv3CweLg14JpUGM8OHJEVANmNND7AGWetez4CZ
kbkbJc2x3uXGYOgXlvLclkGamgcwj24utNXm7YzYHWPDZylxUfpqZp1orsvaHuLjQIszPjTCp7YY
oS8xfnRkTgytqQW/RpkIVMPpkqYpaAnTgNZTDQEPa9wL3QT9JksUQHnzGC0ScyrajRNU3j/vb583
c172DdcaTzTUHRFzOB0Z9SEdreFAPcYG7fGNZ2TodmAzkkDjTt3R2hjVLPdTb1wKFW/iEgMvVSNA
KUAUqa6cDpxVvp/WYzmgiC/bT3Xd38QKIeJwqsvhoyWxJalcJHlpchg0G1cbdkynNkKKy3vM7W76
WSp7vE/jKNkE/XRJFujtrBiKljARB4ADp+R0Vk07OGNvZN6jovU57GoNPADGsc54LCs7377/7d4c
/WVaVMHImsHdgJs6HUxkWIbPmV08+TDTd1h7zr/twZ1+Jp1ef1/22aV89u1mYXImRTWq/dAb1xru
s7CKrpV59TQkTrmz265NwhlCwbEIxPyMCtl4jdZm8B+myTseWNpi4vwGXxBF0q1GSOlPTdC626rS
NT2EflKEiBKUV6LLpPGfRsTVd0HIoHS6elMLTmJGM7x4KsU8hCO83k+lp+JPyZRVe1H7w4Xx3uRF
fEjyZn9R21g0dFcbdLJcMWijXz6NUIJ2k0q1ndSd8TvdFrVvkxjHzTIfMx4OQfRBDyMuDF7xsGrB
IxPX3zw5yypLTJ+JfRNGG87VvJGX3IvWfCBSHHIuegyLhfKS8SyH5q8iMVIimnI7y3gxxmba162Q
T5T6ns1p1iElW8mTGDttn/u5/E7dobvNVPcVOJR8eP+4/JED+qskw+8A7vdHkHABOBJvT39HVUuQ
IvrcPDtm4WoitLRi7I+xBUn8qFSAyFRYwylId+hf6DAl8iy2utCLumz4PBf2bF/Fyq/VLymlOW9L
Gfg/vMhtX70cYBcMlxEOwrWW1gAZwLYG/V07uFjRao7zU2lS70LDLvs7S7gq/XVhaktcOZ0abmog
YyDQLaFuHXekKweRRkb6PA7Ane9AOsjnbEodjLCCCGz95OnxLkcm2rlKrca2do076oW1q9KqmI+T
Lgzji5dqSRHOiTck26nK4gl2ZzqLA86heXRnAKmur7OYose1NaKvcy1KszS+5jn/6Lm95VwQd1pF
N+56gBMc+IVcvkhWLkWLv3bNDKAv8rxmegFqXN+bKkhVGBh4K0gzQAulumQTSfqzXkSfDJn3FiUf
DqG+RhiJdKi0AjLes1Okwjlo3cRDLAQY37g3hjaY9q0HIMb41CpIYwHKRtPOiWqjCpc6Tblvs9h/
1pNEM7ZRMJVZCPCr9zdNiq/ePtOStrovu1zPw6Ge48+OgvVx6/jS8gDaBEN1SPzGqH52dhTFR9uO
rbr53NTdpMtPspzKg23RXbmfM/Qkr/JalQ7N60wTZdja7dgf6MO0N3pWlV3YFqORfpmNePhUua3p
hx7Ws69ul6TwoO12frArlHe2ndZzGguvaPbZNI39lSy1PDrUWW92m7GIa5zjiibL9koEo7oZ/bml
9jZYU+Te1bhY/8opiPWhZ0Zts/MsrUpfJntCS77LCy/bFGXuxOGIDKed7d1iiNJvMECKp2BiyY4V
LXJv0zhlkX0SDVLdijKBTVM+lE7jaEeribxnj8Qo2VlNUHxu2llJBBWizD04CKfFuy6YCvt69FND
bKUJYnI39+0gdj5bWoayGIN7lFVNEeqD0wUHMHp5FE4OxPTNGHdWu82FNck9bB6VXrcaFRp0DGbt
vuMai65qdAbKEODVmDwEzSD8XWW4ib/tFLjW20rXRYHatlsG/Q4dDx2TRhRUvWNv14ZH2wBNuU3T
RBnEoGn0f1gUSN2jN5lB88C7yVZ3Tu1UNt3/Ob8xFaoB30TCab1tq3a8051WqbBwkjRApnZu4+um
N8eAq69tnJ1t1UZ50FTgZZ/03MzdO4HHNbheVPXnqy71syCUfgJ+vZwr6Pj2qB1TRStu0+vZUD3H
6KGpzcgF/+q7nTdtGrcWXwicy6pldozCEMLp09FCSaK48+ph/ieeZYJMtqw9kYcZoilIPeA1Gnlm
KPp08DfcVu50iPGNKe/mQdeMIrRywqrYaiWCAZ9sUpLoAZcbQ103TRwYn2y91arrqKzbsd5YqqnK
h7gstXg/oniYvBi9i/Vtp3uFrLedLCJzN0SmQIHKK1M9+xFpiUrMcDA6rzY35ZCWzjcd0KF7LGvA
VddeU8c17SLeDRuOnpIPuq+ZVbw3Z8sS8WZINa8Ph9K1o5thcEeMSto0zlu43H3hZzLESQRxxzYy
82RrulNETR1PpUcxJbH+PYlb/X6mLRiHbQ8+8DolKBt71P7NfyPswrBcRRdgCzd86ndm3+rWw5xo
0/BiWMICiNLrKvs+iN65szUraW4dxa0UEpvQTPb9WG9vmmgIxk3smLLd9oELLGcw61K/z5oy+1cB
cnXudJ0X0URNzw1HLSvnTZ1lzmFG4dkI9dZzX925sn42iF8YbO/EaLfuNONYHAlrKCCAel0X1mga
xRuziWckwL2u7tDZ8hGSsEsxAjWaUwPF3Fn98o1kKjddrpVfOiCLfpi4tT9eVbRZprDv4mgMHa+q
y5sGN6purycyuZ6twjK2rZSTFgaTnCT6d1qm9B3pVF1uEaf1P/c4ATdhZ2PMu7Ujp04Olp2Zdr7D
SUdDUh62aH7dw1nqQCHg3+g8IUNS/op6m3NdqKJLtujR9vZnmHhS3RQtUrS3iNFnfbnP9Nl2b9I2
Sn46RTZ122K2nASdftOuNl4TOw+QzrNhq82T1/shao99HYeNzwt6YyKZ/Tm280g+FgGYpQ0NIjPD
HFBfZleLXtvS1TfFnvsfg1uhCFFf697sr/ShMnmutbBINuWYlPOxG4pIfYZ8jTxCATv3saVt9JuL
zY6/x9U07UcDLatfEs9lc+N0MyAvRP6L7uCIufqiB3ngbGq3zZydNdpK7CeaTf1GuI097jXammC3
c0wwwykH83hV0B9JtlVkez8r0B3TcZAL09gvHFtdKxksDqiwkMNhlrK6bXPQXjvhpqN7XRkD+xmy
tumGdBDr9t5Oq1QcQDH17i7SK9DonfA047bvURcyth0CVcbrVCJKdadDMUXuzxmzwryNlxIqOICY
9Qy4M9Qm4h0jfqpsEHV6gKRua962EMlcbi7kQfabKxxc558WCrgO6LGrCkzXxr5DOyF7iROp3WdQ
WOQnDnxdbw3g5/7Wiam7HSqnd4LPZQlfd9fosul3bTxzk+ZWBhAcClBzHYGhfrABb/ZU5WTQ/46G
xEeYF261Sn8MWqLre2gBpX6dBm33T1O5bsFm98v6OINJ66+4oCvrAjTxbUpE12IRkqehuaD3V2WC
PhvdDtUf52W2TLJ1QrARf8nNpD0OWt+mIYXFur1Qmli9aEnDkIziclyIbos22CppblXlTyb1uZcl
1KgQOPuQ3iiNl25YB7G6JFi6akXRtF3MrIAiUa+kkrh2KgD4EKlgwow4i52uv6pjWTw0SISrz5EV
EaV9EgEjJF9wx30tpSXCslL+B2WNll9BdZack0oX0jprpiZGFYarJ67xEllFyroGzaMhg7yCHnRJ
RPTNN2Uo6i50L9i4VEOWHf1XmgvxJEtiKcwX7rXqsZtkfPSStH2WYp76gzC8/JI7zeq1yeRc6tvA
uRHQpAazLvnkSJvlPEqS16CwEyfUPDHcGX1p3EoNWbtYYAfh1QL7i1Ea4sIBfbObgkWvnELTn/e8
swZHVs5AV6/Vslcpxdhs8slNn0rKiVt3LIoL7z1n/SjinFEUWSr+8F8ZeHVc4gGR0TlJ9ZcxwwRt
L4RRqS+j1g3z0eEJM+yc1pjh8xAInG1lFv4zuIze3NCWgSc1Yb09FmEGl7P4ljRI7rkHOKRze2eK
ShlXxRS7wf3cjFKkYbYYK1ehsKxE/JtOInJIz3t4CSNC25hOfhfcZPEuQoSjvAv8oiw3JqDFfGcq
03hCWXIwQtduGlCTgv4ZzxuRdTd1mczJg90Kp/0SV2atKnjmo6q34Lv1eKO5rab5G0Q6o+y6tIGT
hnUamXgdQ9fUdp6ZO1m/kW5veHs0gOcZ1y2781DKYatRGt+VvdOP9VbVsqJ9FmWi7+7tmSvsZxDF
ZfXqJa3TfbBqxU5fKII87HQIMVStVhse7eEsHdpheqJTEO/SucKsKEn9O2+2XnF31C50uNYBxYX3
xtMYFhclVJNm1un5km0yGkMi9Set5q2wd6c83k9abn7RC6eID7o/91vTL6wszBOricPOrXP7Qgxd
n3F+A3q8HHCKHzTa1lqmQ6xrcRFU5lPsxtYGr/X8oRrqJKR2b5NyQGIL378H35Rc/ozIHQFQA1AT
NYHTWefCUE6TdeaTZ5NVpBLafpG06X6ooyjUBnc+oMxhbKpU/tBSLTsayo43flNc0tI/M3NWnvsD
sQpKTH+e3H9Ft9JJSu6KwnqKZJpe63CudnbfTl+BXOlHJdVwdWHib848KHqqO4S3RVOVWHM68Xby
1OAMrv00ZUH3jycL9y7g3eMeIdJ4epiqzA+2UuZzccD5S+OJ22rtTpm9mLfRADJtD8oiulDKWNVN
aZPwo1CShcFApdZeUwpi3HcUJDf7CQBQsjFRVtr5daP0cO6r4bmsUSHYz60V6T8vrMa6orEMTO8S
og0x9614aZdPINuIjE9J4kc/QJe05RYpTXHVJNIKdkmdTPM2j7LkKQ/q9id902wH5VY3Ppi4/Pkd
jA9MiZo01cDTr2IHaZ05w+g8qa73v2St6W2iIHElSWDjkXT6da4O78/9zJpj9kPNn1rOQqZdBX/6
kLo2o1H7JNL0dzbY9VG3a4ynSghXWwp18gcmRObHEEPLh0YaBC6xjX7wIp9xOs/eoCShl8p96sdB
v7L1BEuOYZ7He0rbdug7eXyJhnMmvCFZtSwqMg8AWlYrG5BjF72onKeq7eZ2V03tfMTqxZtDxLij
O5BZMt9YmdMPG5hA9UZvrelCY32dTyyTZqqUrmkJsN1W1XJlNVIvOiatowNwkMA+bsjw6s3II2ur
55AOy9SqttPoXDI7+mNF8HfZcxkaxCjYLJCr2Ews4eev8KIsCmw4F/pP6Rjlw6esYkfcJ4XtgAPJ
HVPtUAvL2ztI3qgvucq3dj0v+GGToU5+VyNwl1yX2aBd9W6k5t/4zpsqDXX6Dem+6zxj/DXag1QZ
JjmJcT9DrPA3AhrXLaSgTnz4kqD2SJMKFX36RkDTT+fStDXiVHXBMgqu8MxRMguT0S7ASQR5fmeA
JbqQjL3dO4wIrI0Okk/3YS2f78Z2ZEiq00/9AN1otjX5OGpy2sukLG/QmjauOkufDoKr7VBwkV4I
CsvWPP14fD0Co0eStpyX1R2FGaG0eRu7T0GfqIPp13IbJ8GI9uw4798PBmfuQ4IvRxLFWSCStDpO
FzcR9jxFo3Cf3AGR7VCh3XQtA0MlYd24ttz2viqoYinjE17yVXAlOW47k44WgLtU1PGHgxM/h2sK
8LruL33005+Ty8jui8lwn5rJ7L8mbtTsEjEVey8RRjjDKT14hf1BcVKCE4Oy4BCwEHZHee500NHX
4F0K6T6RInoHt9aH18zzgIN0MHc+1nL9n7FQ76B0jynS+h1Oidjq2ix3n4zazH4MaCeGFVr/111d
Vxe+7dvws8wLSY3lxgc5voq5TQAgS+PLPxVuj7MVNzACc2a7mfL6OnVibRPP6DaaTpxe2L/nB0aB
C8g8jLb1HBOLmpDdO+6TNnTBdkz76gpHCgygqgDpbFXv+qF9iRyjvBBv1xoiLC5yOgzK842cEoHT
0w/p9Cp17KQpnu0RjZIHkMWBEVp+bND0VXoR1g59nv1UWoO9b0q78bbsrdzAF0cM5dFODMmGHwRV
5K63sp2Fz8oln8wzB45uIhn+gp6Fyrzu+aW1rPO6HK3nRMjnKCryvdNnycYqCnObx7gPgsK0N3Y3
i7CJx2LTjXFwyCjdbd8/+W+DDC5V4C+x50DqwF0noDLVO5Ukvf+ETFcC5Kgfv3RNr71Mg6Ndqj69
TTnAPqITQZHGpq+/BtMBLRelywvsKacDcYwMq72OEicDbq9rP2ZD5qhptpdO9XJqT6MofSKQ7lQO
6MqTBJxuhmyOvWJ2+/S5NS2aF7TfnxTuFB2PKlttRavGf95f0XMDoj23mCMsRYu1tRMVriGJbT17
7jtn+gl0t9sFrakfoDJMj0rqr+8P9yc5Xk+Q/AJSymLkRrP6dIKwbj2hPC9+blJfuN/qMjfFhmpM
px+LRE9DTVAaRVrrn25MomNr4aoYTp40DoKcd9e7XQ6GckhVsXcGTOgfBSTXC0ty5sMj+B0Qx8lB
oF2uMqApGCcrjTr/KWptsa0dEq9slAW1lHz4ZZfKD9sk44J5f2XObG3kWWGW8baA7LUmRmtd0cw4
azMq6i4AlXLzdg5G51HXsi678KB8G+vYW38kJck2SU6W3/JXoqUVTlYk1pw9616abZqu7g9l2xVh
Rfp+dBNd3U+GEps4h07y0VkyGhQKIGeL49Yari2wJOgGlRTPiIl5Vgg+qdoMHT4gYV7al4R2z2w2
RgNHBygTcjLqx6t54rKlpqHLn3HM1M1NJZsR00Ib2V08OPB03NmydqZtXKDztSvywfdeIGmPnwU9
2Ch0zEj/rSOC6B0n0TfTDg1KP3vIZcc+/eCy8JYCVe1hfUSZ8k0pOMURE48SmbymE5fOpsZpdEuW
PEU7ZKgvISfefP0lU0HSkycsL1hgHKerMudli7lTkLyWZpTf9m5eHPyypEPO8oR9rVnfUXi8tbq+
vXDFvok1S5mIAgL5KcJUcDFOB06qkUoZhb2XjPvhhRLdfOx7MX4VRTO+QAq5ZPZxfjzgW+ThVKfe
FIsqz6rtMTdfoq6srswCk65+rIpdhVReE8ZoMF+oTp0bkBcMSvE0Z7gqVxP0omJI02i0X4Bg+C9z
P7pfqoLumI7l4dbq7erCdbg2nAFCuWA2cUSgwM0W99af0tCTVjmm9ssvW+Vu66GRvHjMhBZ4FKTV
0WqTon8tjMlztOsEqnN9DxZaym+VNTXxHkPVmtBa5WYWXXg7k4/zNU8i/cL+hSXBJeoZb/OaTo+z
Vo5l/wtUQKK5WzPoEjIpULyptxnGyneiW5/azSHW/GL+bLf0EmgLdjzutMxJgjsRm+UW+ZnK246G
Uw53UihEYSrP1rurtvKG6nrUYiSGCijWSC8Ch3Ku5i6106sW185+P+h9qT3KSAF8pFBpFTtfyeSX
Ra6QhOTOZOdDb6TVfV4g+p5s4H5WU7ZzhdU2TVjROf5O/1abHoNEek+Ww8P4k2Gn9hO5eVb8mu0+
VrssqIpkA2CheE2k9NJQVB5mewKz0EMQN2jqD/04JV8as6VUIYXFf904Oo8RdPfogg7Xdew66b2X
ZeoelcpovNKqqPwGZARFA21BMG2nzKMNqOWjOE6mNB/moJPG81TOGG3VeV5mn3u6SUcXNcg0nOko
FosBiFt+7+xR16/9sQPlFs4diOlt51rZbQDZ1b+xY99SoRdrLTYpRZtjnpyKQF7TdEuaf7uSytGm
a4yWev5s1vcZTGSbJn2aF7e4B1k6ny+Ivjuews2lM+rJDR03txEOGhJtm9aQAg7INGu3UVmOwSYd
vLp9cJsp0YedshuRVzs3Qo83wfknTvz9CJj9cdYy3f6VJ3027NOSKu8+aDTrt51Gc11CYfIDCubu
ABhquHABvwmLSzlrgXqT38JYXZf1jCDW01Lo0y9ChDwkxaD2qS3j/fKqDluQdwjvoiaup0N+4Qnw
ZmQPehjwWfqolFy4Bk7jYu0iClBOvf2PO+hli7QEjKIt2DnjK63K+nsLOgezCaqfdXCQOMbTOHj/
+nlTOiDxQI4FjSkQgwtF7vQHTOWYOmVZxb8l6nzxV8uX/qM2GDOJWNl+hm2eZce5idpdlqjyO7fT
dCGQvUm5QNhSO6CRxcuLbvMqIaFza1Q8XPJX0nvjkOJgE29FNVVWiHLJnYaNnE8zPRCX4JLrgE01
EVUYEm5S7iXpXr29Cr+Ro2h193VCv33fzFNzLUxfHAp0R9FGbPC7eH+l7VVQpAmK3gQCDfTtQN6u
HRxVEaM07I3BK1pt3gyGqC9CbbmjL2ikr7PJBe8OxpZbCCUPl5Li6RfVNU3M3LLBK5WiNLTHrn9w
6rj8F9CN80FJNISfkCZY8kmyF3Nxfjody5zsaErNIXrV8YC6yrpZ3nRpo6OIizBL018UUf6TgP99
s/wZEFgStD8OC2nM6YDIYRdFGtQBLU8n+er1Qf858qEf9/ogryfs3uIwEtQMylbY11YjXkwptKv3
P+SbJ/GfHwGbizyKnUtn+fRHtL0haIsWwWvZKLPdRu7shykZ3vdE9tPNMPn2LnGz/NcwxtG/ZjIP
nwun0svQKXV///5vWceP//9TKFXTH6JmvKZHF5XSx1n2wasIfOVeB31ftWGvsCINgwH9mq1lNDPt
xzr7aqgp/vr+6G+3NJ8fBZX/HX21EEhw2Y5C6PO1Gap063b+FG+sBBG5C/H57VllHJ+0CvI5NYg1
zWqyzHEIZMeCF2b+zQ5g47izdA5cjcPRTYP5Qpvn3HhgV2A+YwAEGHcVk+red6cg+H+knddu3Fa7
hq+IAHs5JadoRrIty1axTwhLlhd771e/HyonGo4whPaPIEGABF7DVb/yltF+HnpDQ8d1wOl8HHsP
Pxz9d1NW4cr3fXRkoW0QGXNoAcbP8/wuKetmDO+QCuc5EZVxqw6V+JUF9nCY9ChZo5F99G100ik1
zDQjosfTseKKiLDC7/gZj3pr2OMenVznWmhPrpRIDma9iaHdf3qbADtRyG4o2yBjtJhOXcl6W4py
/1nylVZ4Nd0rsZNjnvKVK/aD0zBbFrBodCpp1C6SviKlkIE7gf9cy0Xu5ZnvALAppK2JTe+VWo2J
V+Z+9TOKqnp/+RM/WME5y4C4D8mAuvRiBdUG6U29rJxnBQd3Z49ldYRHla5PW3kAfrcSNSzfTE49
QpQk8MgnovW15LObodpIiSKk50SX9HouyI6JW6tm8OIXUkIU0aSu0Bz/6fJHfrB1uOSRfqAyxi49
qztjo0KF2WB6/UogMZF3V6SKw0HCxGBrxO2acc9H48FSgRJDCseYc+zy7ljQDKwSRR6l5xkfcZTg
42y6HP7UVrLD6EZnFtba7R8t46yARRw0k2PUxTLSdoocH/GSZ4HaptjAp/U9STWjzMuCaM025oPb
k7HIlDj6b/2v089LjD6oi6DznzO9aFUayTrgJGWY5JXb5aPdQtxBvk/3nu2yOPFOV5VaPFn+s5WK
9jCp/biNkzg80rf2b6xySg7VOPkrj+RHg8624xS1YeCB2Tj9uCH3cyeuW/EikSl4elL1W9yjMfMI
lPKqLVr9S6GG0copPB8UpTSKmSoNVHQ0lkyD3u/k0JdN8dKGAcTYFDl3OkTQ0Xb2IMqbTK2cwoX/
rW8uH4zzlWTcOQKirgUBaOnKQ8W6GkRgcSbiRqvckoUgJKFk9O/yOOfbkwsUdSamE7wNfdrTScUD
zUzrvA1eht5ybrQxHd2ot8w7XZWc7eeHmvkT4D3IDfjBp0OlIowjbAZDhurTm1FSo584SYJtRsTi
09fKm90ivBfe3BlWczqUKOughtDBVzla9iWVaukwjApHoQtu7KDOd5e/7INNgioHjwN36Cxjs7hV
dL+w0jaEuVPLtbEJraF5ciQtOaROFAK/1FS0Z/M1SfZlmsUk0kFBIZzWBWW+5TeCb6kyPcvDF1nu
+71G0WWj4YnqhmOsfaXC3MAwHNQHQB7D1ollc+Vh/GjjEFrMpbCZt7VU4ffDcrRKTQpfqM51B57J
yNOtLLmzpi48XJ7e80ubrIBKNqLonAV26+lqGrndGZNZpi/1kGjlVk7DPL61EctX76lQNd9FAd16
TXLqo0GphXHQSCYJbRZrmhZxDIQ9z1+UHnqvjGvxd+pC2s04ZMEV8hrDyu32wXjUCUicsesklVsG
GpljThXwp/xFqyzDBQgboira182mH3v9X0SZeOXFP1/A+RWkIUWhj6Lmsp4JMCjKRDskL/KoTjs7
F9Z9F2qYAindpH56s0CvQ6yYbgQYT6rFpytIGJEHfV/EL5JPp+DnGFek/77jp9Ihhy7w8/J+Ofuy
OY9TZhj0XPw+m0r0JUXRa2HzMgs8/W5QPXIVAlQeX0nr/h9jkZmBkJhLHRTDTr8M9FhhylPYvmhy
boASQNBqy5sIwaOWwrUWxNk9QxJObXbOjfgy8sTTwTodtnLpq8OLM9T1jeaHpof0pPFt6KJD50Tb
UM3ilbN39g6BlgNXDj5N5Rg4S0RmXth+lohIfZFjmfClsbJS3qrUClfyvvM1m+l8WIvTqadKp83H
411g5sRd3ZGnqS8NPQp4tbiLHIPB7xovkZ21KHCep5OUn/WasXYwT1Fepgd8OphSG3BeWif5mxit
BvgxM+5hhEbeNCQWANAw8yCyOVsRq9nfy1vzrNqAQCjiCrO+NcqzMgil06G1wdTStuqqf5RMzT8h
EmfXZFbjXRnBNkoq0f8tkA38GenKcMRb0n5Q07FfmeulTdiMd7Y0VEoppBPX8PfpjwgzafDzyWhe
NQ2awHYyI79yjbAVJXWxsUXYJJRRPULmX7+X9DQAFDdqylXaG1VMzThV/zQxRIpDIiu5vFuZoeWO
mwH+PGdI1JIlI12x+HFaiHRIkxjqKzJF2l2n+9ofCaTVExXvCvcyBTrbQPVoW5KJXpdR1lmeY0jK
zGnM52BC7x6qKR4ewfC3a1oMZy2S+ccBIJ3d1dipwIdPZ06p7KTplEl9lavG+RLSeXpSDCkpXbW2
tW89HMHedRoEldyecn3q0p0Igk1XFf1VoweQZwO9DIyV9Vw+HfOPIhEmEiCrmXnapz/K6ogTu9hU
XqcxGV6NUsn/GQlVVZ1Vu0OmbM3t7IP9wwGlRo1IM+IUKCecDjhALEoDZbBeo7yS8aHoswY9RCtt
3DKoxbe8LjL5xgpG2dWTqLU3OU/1nZ/pnQs/MP2bjcQzu0Bt0mhzefOczwSl3zlZJwEC073MS+wk
R1GiVfy/cWv8kWLTp92fdf2Nb6HamEbV6+XhlvcxlV5667Dy2WokJMtape+0NawaVbwKHgF3knGH
qaVSuq6Kujn0WtYd9d4OtpcHXV5eb4Pi2kWFH9wuld/TyYcuF8AxY9B8ArLaaIG+p+XlQAjMldsW
xdP9gLrMoRYwei+P/MHsckdT16bQPYOVF8veT0FpGK0kXlEo6n8VjZ1vgijUrvV2iDeDHVxdHu5s
duGfoDbKLc1rh/rI4kOJlOQwjKLolYNTp66GpNbLoLVjjThH2rvUtdDmNfRuLc9cPkWIgDCrc0EE
UMF5QVjBr6bFLyJ+rRKODuytfCOcyjdw9uXd++yOZTBam3DKCcVm1erT1SwqS+3srI1fgVaEo1vC
aZW2iUb1A/y9tEWyoyo+GYzxfdTxIS5p4IKIJRZ3GCTJiEZ5l74aQmRXlW/b17CB/cMUAmG9vIQf
TCVDAcDloUG+ZsnYmiB1F7FcpK9Boobb1FGk3RCoagYtkQLBynedbc/5u/AamTNMbDGWCiRUISNF
wnDsFfRi4IXxoF21NKP249hJtyluc/+f8ZCosQkyAeYuvXLkBlRTpIT5axgZAi2IIi+bg6wOxrWo
slxyi0LXVqCTZ2d//kROw3zdgA9dLl0c0JOXYit9NaNo+O5HZbGt8sh0qzYGcCPXanNT6sZsilz0
a0HTB2vJ84ICEntnTvzm//4uQhsNEgYB1fM1aIccOhPt/qu67KOQTndq3l7eOB+sJYORlnCPE8sv
qRpZpoVpotX565TF2jbHq34LpHDYd+gxej0szpW75sPxeDlpnc5YsuXEpqraBkU65K9tFZlXFCRi
fAKr9JaHK7uqeeZX2gHnk4mukkJdF3z0bDu0mMxySC3Rp0r8Olm9fFeKttxQYB5vKeSvYcfPQ06C
KLhNJM5vimfy4h5VCvCdBEvJq7DLAvudSU3QXLDNR6dWo+/4w8MZi+QS5FSnfTOhr+7qbipXWojn
E8yPoEHA64ECCZWt091DVXKUozHncFpTtDfiPEJuItP+WkMRX9VO/lm0DiPhzgUclqIBpaZlPRtF
465opCl7rUf9T92WzZXQeLiKydqEpEq7y9v1fDmBhtGJpSw5G5UvBaugCLWx5kvtqxbr/tdQnpCs
iZzwoGvd6+dHAklI2EFzn/b2ItYLHQwyG6nqXv1eLW4m1Qm2fSfCHdby1f7yUIv3F1gXYpagY4Ew
KAiALY14xqlGqkNK1X8iy3XYprW6paomHgpRm4fUNsTGD+R6jbTy4agzpIx7TiPAnjfSu2umB6jZ
N0Gj/IPwoOvbxi7Vh0Zv2j0IHe1FK9TksUVkRfncZT5/LMUQWjwk8zz/y/yTziyIaKVR/43qiJu7
mfnanUCN+3uQ1r7iRnHVrbz88zP7Lgn9b0RMuGg9z3fAshxqDjjHqCLT/gUDXSTR5tODGlnSSpVn
ce7+G2X+KmIM2OFLeF7aUJjMMkX714DjOSC4Akyyl6B+5nGGv+So4hj6OdwaQ75V53miSDGJtxd3
mz20gyOluvavzHHY3s7/TPflGELhCFtAUhMBx+Wdujh+/43I7Q13gSohue3pninKDH1ANdH/AUEM
t7UTmYcwQKdU6nRpe3mo8/kk2aIPQJuMv2jLnQ7V9k44e3IFwpXFWI0gxKZwY9S5j3y4nEKd0Nrn
T4+IphoJsaYD3eDv0xEVYee9AXJGuHpUO8fWdr5HZL3OJqp0iL411m0rO/P8CCI2xjzyzPPgw2E4
HXH0sR6NdaQ73FZBUe1LCxEFIRBp/Fcng73F6Uz80UDDZX8uf+n8EJ2eCMab9QbJYaFmL4HETmwE
ppNUSKqC+pS/iKENDuiD2a5WFuJRpLFyi9YNXidWrV+bo2yt+U2f7yMUK+E68VIiNMEUnH54ozqd
2ch5JNzY0AGfYOb4jVmGwq3nawyRs+M/K6ACc5nHouy1tPkssryXpNrqBP0W9FNAbKPi0xWpKD67
mgwEyYb9A42K8ziv9rsL1erLYaw6eWDH+ukUbx0U99VN0iDf9T3jSjRdEHWNOLYqChwrt88bCPdk
SRmcOG6uHNKn4J47HdwvzaAvJo2t5ENfGncTVUT1OkgKcRumGhJkiW01MthwwIabUSpl56j4iJLB
Qppyr4yEmblllo+Nq8Z9ShY4KMQqkYvGRqjf5imKah6qHY3ugpQ1scVFIyL8Y0RtLn03qyLIjkYk
dTJEe2zyXM2UR+JiZUAsqXB9uKHh4OmasJ9RKsqegjRAh9GcrEprt/5U2Vq+oQg0wReq0Hp4urzb
z04Zj83sikQ0TdkYgeXTqaGiXGrJoCnCNZ20PmS1n37R9DL1gqDIfpMIDk+1bVdrzIBFCkHXCI0F
7jBOOOk1acTpsJ2B0Ixep6pwAyhE9aEv87Hy+g4Nvuuk6KzkCFeqv0bLrUi3JU2QtTzi7AaFAjNr
Dc+dObipS+SNCc0Lek+vBShRqc7oAnxtqGOD5Ze93MnaZ1MXxsqtffbRjImoJSoaRE5z2ff0o0GK
I6TToafk6kb+N8fE7VuGMjmN2945qsOg7w3Q/TtzmMyVE/DB1xJ1Y1PN0zvTMRZ3KelRbDgxKoru
WIVXViPK+Eqo6iTumlCr9ZucKDhdibXPdhY9copRs/QnRCtQ3adfqwi9jVoKhREIXF13GzQIG0+p
DCV1014UnlRIzpcKAIu/ctW81ddOjjsZDRjImdkHkgTK7+nIiCXlTqppUEwauWuy40A6WVde0WpK
8tjA9QdhrLdKc2XjBRg2nmUD37kZzDBrv1hZzxO+I6NG46JC8fFb205S4CqVCgw9ldK22NhOo+8D
glV4fEWNcjRBNoJvLlReYf0N4sRsNzrhsXywNJJVxJbo2fnXTsNpVl0ps5QQpyypnrZ6msrhVzOm
yLJBmboqNgkgx0+KeRPdcefh/07Wg8IlhfzT+YiJn2XyHvWxd9qNod47SeCm44/PXSTLQRaTHrd9
o01KoD5qP5DLkNxhdMNvzsqeWu7j5SCLJLIJ8P02JKE+krq5muIJ6ViFB3tN+Xe5dRfDaIvbybSg
ZBfS27eIK+tO/jEe1r5kGWUsh1hkULkwDJII1gShgeBGaVxp3Jgv4mdzr95dXpjlrbMcaXHrlFDI
LbliJOVbfESFy9gaX4IjRiyXh1mbs8VDooL1z+HdqY/+l2wTbeQfeNTf/m9DLG6xsNcbX/JD9ZGL
2tM3vhtspd3lId78S97fHcvZWgRfIeZDWlHyGeWf8mu534WwDtz2vgOn/zeU3PDJOYiNdEAqzlir
iC61ApbndJn9paFUxk3P90ViX+lXte+N6a1cN24lGUdFddGD+WrYW6EdFE1yJaMEkHOQ5Oup3vGb
Nz2aHeZPxNlqCMaXp2UZki5nZXGDyID3o2RgDwXWc9p/r7NfbbVyf3x4IHgu5vozvZMlaVMNiPzQ
4GD/xO7P9Kj8dn6LjdjlV5e/5MNt+m6YxWnIxyh0gphh8n/xVf4yPkmHcf+/DbE4CZJZNFpKu/Kx
3YrtvE1H97PR9Nt6vPuKxUloNOjkUzIPcSxuxFE9lId47STMN9DZSXg3xuIkVIFeWJXOGMq3zHG7
GzBZ+K1Vz0XltpoX/5Wf/7dpW8QLtXBkqUnZ/fm/6Vp60I7Zfm3xl7z0/07Yu29a7GMrVoJCQk76
0f9d3Kj7/Ld52/NuH7tq1zwE9/rkNk/Bii3L2o5bPIxNnA9VEDLmOHrSo1lupMJzfpr3/9vsLV7G
rBAJCo/MXr8drv7bdNrh8hAfPr4UTYmXEe/imJ6GEXjrTID0YvXRqo659MPWfxj95Gr9r/9tmMXe
lnPhJ9HEMEWwdYx9FB+Lwgv1lUP61o5+v71J8aEbkfqYuAqABVo8wI0F77xK5OmXU9tB5irh0H73
gTd20MQhpu/yLEfXDiWs8ErCpiPbxCj9/QvjSifswARhpeqwnFwAGeCuZhArUBdax4t7aeyHSosa
X/llxwnGb/KQfauIkAnXSs0lDR1WIql5Fk8/fxbDocONGBBF1SU7CaU1fk7sBL+FkTq660dhgp+z
b62FhcuXg+ifpIc8ANwqwJmlUH07+Ahy66r/q6tVuww8sG6tfCQxnmzFo1lVf9KrC0ANMDliXJDy
M9f97ZF9V2hIgKuGokqK31qZGh7nLpM9W8LHyjImzH+jpljTn1wecPJmnqy5TozohYavzOm5aKhT
gb3Swj+1KoXXUxCH30zcDL8gaGx/m/Ipv0kA7K8UG8/Wb3YGU2wmFWEaWiuLw5hqiTxICC+j/6iC
QqHqsMcSQPUun8Wz1UMPf+60A+SmBgfa6/TTpMJGaj1Vsj+VVDqFhwR3/sOZzZT3QEzSlRfn/JNg
wszumuAPSVOXkpZ2QT0Qy5v0T2Fm7U2FYeP3rDTWJm4ZDjNZlGjnVhRSGKRDi4mT/QlMHB2Hezrs
SMdKpvGls0LlyhpnkZ3QHEGQChj8CaWHn5dnc9kDAxRCE9EmJ4V/w8Fb+l4bchKXUiDs+zLgSYDm
OtjVH2uQAY1nedCiamtXYQjOeoLB+xNh00x1XFOIWHqNE/63lQl/A1eeXAI0whByot5JjwX8yGLn
8hT6iLLr4qGR0D1GBiSurWxvtE0nvqfIdljXVZPpyobuc1V7AhFkx5V1dt6PCqWF4hXn3nb0vRrl
vLhxTcjYZuk6SW3Wx1StjWJDqtt0qTcKCltXo15H+pqh0dnhI7dFcmFGQ7F3mNPTHVomDmYGfazf
j50pfQUhjKBwR2f2UR98ZdhRs1b+yr0kl590GmEt6epRm+IM0iUC+XQ6cMUODmwzte8LhZmj6um7
aGFYR0TmtYMPUPiLnlvlyhM8L8jpgnHowRXxyaTyAPJPB/XVvkumovbvgzqg81VFep1gollrkMTb
xrb2Sa8p4yFMOzmDGqBm/kbtITGvXAvnZ4h+HORe0CAcSYCSpz+jm/MwHY71vTmJevqKpIqoNpiP
m9ohAHZWbqaKgt62743C2gpZL6Tvl0/S2b00y4rMLRbKabAwlrUlOSp0I5TV/GGKx7CnKxANw84o
/TFws9YUazfT2XDMNYA7dhgQIBCvi3Nii8rCaMOKH5IpSSj61BkUeCmCV+7GzPvKNXE2uzOjhScT
zSYeZ/Chp7Pbx7DIjKCV7nGaGr8nrdZ6RaJl+yIWvWtPFJfGJBo2VOxs9/K0nl9QbxVCbHPmv8Dy
LTY1ZSoDgZiketCCSvpapY5zo3eR8zUfW8Pjo/VrLU7V74qvB191JfinKk26EpidHWietJkwODMG
+ZclZdAx0liXREk4zmtDib1Iuq3fzuqnbKfsqJfiV4hy2fbyly/nHHVvGvWgoIiEMO5eonYMvZ9j
itZ4qIo8u63pg37v017vviMePv3rVasxN6kxldFXP5j8tY7P2egAy8BfzeMz71ThT1ccbfQy7ux+
eDBzy77xEwqRz3WhOokXalFF3wA8T7rnger3+Ygs7meX/a0AzoNIG4B/nuFc/E5Q/DTD8aEnPVK8
IFLtYxbbbXzUOgxo3Bz0+tesVosfUVmbx6wbw2ct9wdj5XpbBsHz7wCcD71ixjJSrD6dB8lQemds
S/mhrBt/dAkTimrfq01SIYUnBNiiNi1WMDDnYwI9RiiAYf9ruZ2O2Q4pPg+I9T84mKNsGr1zvk2l
g/hILG3A+ayphy+3N8gwXH5QNiHtkJGdW1wlsdFMal0X1UM0IRkSdE3/BXmPaSc5jlDdslAJ/mn2
/728vZehlQYPgScKgVV2Fy/+4lyL2NAKMPPGg9ZiKT0LXUaPhj5q6cpO+mgcDg+6gQxGR2mxkdO2
t8MK5R8uyk4Kj5MvJZaXqlWlrwy0vJH5IDCZXMZEajMxZv7v76L8uhkdhNpa5UHEQ+3Gis9rgwq8
G8j+mn3h+eFkKOJ6KAGAXQGcng7ltJAnMVhSHlDLz2+0qbKu2173ac6yReEjRJsmyKfnpEPk6PKq
nW9NOHezBx0QGNZsiSNWasdCtVSVHzBOs3ZZUlnysSTksN0yNs2fWouF0qdHhPxPM5gtSli4BE30
cSbHdSeLByuI651vWs3OUTJnayNw4lpQKldAGmenAcgp3C1UGMG9YPG1mFuR0b8fs3Z6iHI12Vcj
haUMgK8nc0YOIpXNbZG3T5e/8WyPghqeEQz6/J7Papun66l0MRT0Kpse4tyRvsWJpu+0esxXHpQP
R7HBY0FFhyK3pBT7AlX8FrvAB0cZms1YJjqmQ8GwcmHy0/m17yNCJKdmVB1OvPgjwltZpDNGl00t
YhnhvS9VEpJ+1YhZqYkzU/w8mGVYy24Qw48wXKBopRO5WhQG2dNUdUY6a8KDof4L0qIer8w+sTFa
aZIAh9sow2/GS4BdOc80Q6wxdh3kGPwnzYn8rvSkwOwrxwVy3UqRmw6mOXna1Pvpt1rLWwjF2VA3
5p7Wd0upK4KDonj9WAVGvPExdR0HpHetIr0WhY8JhUtvntrvvq7ZJIEXNZNmUm+3MQ064O0Cmt+F
nZ3YwD+qtKMjryV60RlXLQbA2HSMuVoqphuAkY4tapNoT7pdD03jxonwqPkKi0Or+g2SQkMZb42y
tuNrlMmC/CmM1Dz/gUJcEEYHzN10+NC9Kfv4Ko3ZMIrALRQVIx83QMymlFxVLRLsaRQt78h2pMak
I9gbZXmgtqFEj1Ok4mfvBj6aFao79UVgtuRLVCyuUtkYp29NjRjSntzOjv+B9HIwL9AFWo/ffGNs
KXxiVxjtKqyxwhdYVVm2DfGLUUCAABjkTwJ23h17XhB/R/ptRv/yoYnlXYmuT+8Z5dSZDxrySaWr
GbGa7oYwn+RbW+hBc6OKxAjxsdGKNhZuogWzUFzUYCXqWnrcJl8bxU+AvAwtvs5XkKgt6UoIrenu
dJAwKerF3PdbZ3AS4zaucGn5JcuUWgZPiVKEODx4S7pWsUmyXBwUVcpf0c0uZu1adQi3fqL1xs4Q
eLzsHSeT5M2o1kP9o+ilOtuPxLrBvqAyPx4Ck3hvUwyaH226LBD1xrIloXu93yf9dSu0St9j1OL0
XlVqGC/pfldUR2wmTftHbEut/TT6o1NNXtQBeNkOUpILL6zawNgj35IG8BNMu9sRj8FaMOwag91k
sqvOHfmzw02ngFCJPSfE8QKJGYDO1uiqZm/HFZsdE60tkhYlxny4HDbjrRRI0nSkJyWab33XquGv
Tq11Y9/74Enupy7RcIoXydC7KUp80x8R4a+3xUujTTOCuno2b6P8Vss/IeQAoLZMLTDtrW4VKHGi
T6prO9PEbv4LUEt9praaHdItrqiNWs5gtYwQxl27RUjK1RK/rn7yE+z+MJC2JldR2TnyttW1Ib3L
AaEWryXJfozFDuImt6OtlIbshehiAYZTe0S+VLYftjvlpI+5V8SWMWaenChVjVI9UXG6Yem0EC+4
CfONr4UeWPgnJ6Hf+b9LfhLWPBLmar6xSWodGY6+zPzhj94Ngw85RxPINqcZF8GXKPZTcYDgGdqm
lxdN1Mw+UnKm/LTTAKVMHcwAYVCYiWgyXHioLS+rkglJueo6QO1/M+ATYXOFwhvzsVFLUqK/sCXs
cJvBQXKeL78XZ68wohv/mXuSjlEvXcQ0fEyEyVsi/VSSOgMFJgMq9JKqGr6YSciFI2dFuPIsLqMb
yMoAa7m2SQIhkC6LGuB8AAhVUvorcpQy9HIKuPGulUJteEFQxbD+Xf7CZYSjz3EhoCyCbpAawAlP
X8QswhrBqeLqVxT0juO1flEFrxAXMvs6rjruHDWOrC5j4aem3geqMSi/Lv+Csw8G8zQbnztAbeGu
L/EpgPqLgosneSwwbnt0Ai34O8h2/V3VSwz9Pj3Wm7bPrNgIwHf5Mms1VoZjY0WPLbqtV3lhDOqG
ynTTuUFa2uVKDHc2t/h6kExT+NZRx0K46nRuVX2U8G5r40elz/FLA/bm3OFN29z2YZrusSRUfxHm
xuqmsJL88fKXnvU4wIJTSUC9AXA/mgDLfCrUDQnj5LR5RFHe/1mYEfWLXS2GosA7Wcr0dpsIbO09
/DPVl7waxQDBCQZCa3nqpA/K987ypWGlcv3WWngfsqCdSGrAdECRYbstp6ROQziSopIfUJ3rtHAf
oCGFcnxmE5nccmcNQ7JrgD/rVHSiyaKiGAWV/SQyKwWMV3dJnSMILuN94zllZosryoKZKTaYsHHH
aEW/qoF5tj3JianrI84167sCVztdREfKR6H5mfo0IAlo7lOrjNWrvnCIhIiQgrWM46wMM2vNEzkS
FQPmn1kup+OFJTsxHA35KY0mXftKAV4dNr6t1cUuHMoUBFUvuB72qio1keJaXEHiVhRGr+0qw8J/
8vI+OtvDgH4JloFPIh09/6TTnzOUsioa3Qqf6tq3tkoSD4Dm0Nc1IqXeqFPQ7fzJKL1BirOVLtXy
7kVS+c2OF/4NoS+Tfzoyiy+FBa/CE2kZ8WYToW+zn2tjPt5/kvarg8adfrIgwJjE0jONwpxpRssM
PW36ekqJf5+syYoP0MrCg1k70l0YNNHBbNXkk6gWxkP/S+HO5y6i9rGY3UxSqsZPhvpJaXIfxyOz
Sx+aMPWrTVPmauXWkwH5Tkt9fQUUeL6ryYNmyf35EIKRX5Qierq5830/PBkh/jPHMnKk7EsQZlO0
sTJUu1fm9YNdPb9r6OBDdkd8fKllkdEnS/uur576KArTe7T7eixeSzvD+GQUenSkTIC6Xo4LR7oB
DNwMmwCxyNCz8zBeq1Sc7ywu47mGQBWGWvKSR5bGqR3EXR88zSjVzWiY/qHWvlaW5gkKW1eXD9D5
TJNiwAakfkzwwoin23jwVYS+69F5slFOuIeJoNxGhYnctowI5t3lsc4QTKwk2kS4ilFJmzU45x/z
rjTim1njmG0lPaVNJkiukMm16tBDhdahIZoXSTp+zwnw0xuUrWQJE1g0CB6Kkq7eTaFJQjT0gWav
C5rCaA0ru4JcRL6JxyJIjimoNTTU8Qcz7oPB7n9c/vFnEwXan0iAMiiqIDSo51V799sbgZmslcnK
I30cKziyH8pfNtlggDxBbEqbz46GigWSo6hUv3UxFjOlpZWMRG5qPupSbDziZQuizJSMbVkU9srm
n8/SyZs3C2YgaQbBZhbLXLbBR+TbcKM1jRl+qsxpmNiE5VRfpSikb2ii6G7EUh54b6OtmPT8swHl
rKU8a7BjAwEEeNn0bA0AQ3FY2o8+iUhIr8jJ4l0isFG5FkJ2pJWg5+xwwaybFZIhMM3jLlkFLbKn
1HpkJJyNtvH0btK8qBXiyBTUoLmzaAVisxyPXQO2mTY1/XequEvsWBziZu30svrcqeatbXfiWMVm
+7PP00dSoTUb7rPRaErMpXpo0qjkADM+3aRF3TcxzYThBc4AbfepkrHAtXIn3KtWERbbEWHitVLg
sswDUsWcw/OZC8MtuqT2JV1T9W08yS+O42e3MCyy6zayypUD8cGXUZaelU/mp55c5/TLcFoNM93O
5Rep9bsHozOGLS4GySYf0Wt0Val8/dwBxJJJBqNN5Z1iP8iNxXgtVuHEon78gn+57JZOkGy7bkzd
LiqnT0YSDIX/Cpy6+fkhiFmedRjoDulv85INZrWXi6nfk418KYgcvyCm1H0yyXgDvgPlmSkOM+Ft
MRzRa1SO5jQitNnPphp2sxO6SDwzN9cspuY/6v3VYhDdU5iezwBXJ0qip4s2RLEeM7nDS221ORbt
6XQIEWa4CXBIfri8Xmf7g4XCeQBVMx5OIpVFXIoArTlqk9G+jI2TPNlItNjCCgssH5vgqhLmylM2
Rz6nXzYfL8qaFKJ5PJeb3pAn4AmQY16EVVhPRiQbFM8GucfTurWGbIvEBmjXGXUkPnlf0n5EkYB+
GEduts5ZBPx6X8jjZGfpi5PzyrlEbr47kf56Q4ch9MpeOZ9V7hO62PSYub3YnKcLWJllh+OoMXKf
mM6VyOPunwXp4NFOfOO+Ffna/XWGM4b5Qod1FpYAkAJsafF11LaCBH6T9Iy2jT08m6DbpoNkRaGv
eHZS+VntWdMYF+p2wkGjPxRDiMdEVoZ5cBh9AzFCtwvZjG7R2k26abowyhr8wPosaq4J0RXVVeRQ
llqMhjQ/VdwWDSELRA0KxxKmo1VL5wQFmmJNBms5kzMUBFkjXgCa15DoFumCXCtpOppofo++Mt7l
lC6vEmcst+g4xb8MZexXVm559CAPUat4M+3hHiNhO105uS0kXy0r7Tc6RpEHImRwsbiP9zFtr7Ws
efkCzFpNPN0zxIwbBR7b6Vh5yBnQyYGfUXnszNdCdiIUxcQoWinZtFjs5DsxldSP1cjgNfS6EPzj
4IblzBP1nGZ2ifBgqkVatKmBc+lYsehV63L9YlWwMjFnlQcTxRJAMWT4Mw8XpNXpr+XlDLrEL5KX
Vnea/lUt8ZiFm9rFPRbdFHGlrRbUcvzaCUlrsPFFlP67wOeaimNM2Cr2Gc99uhaXLC4UqjCzMA90
JA437kDLOMHwdcn3C6W5yyVp2Kha5+zGpEkOKEm0XoxKEsWtYE1wcpn3vI0Kf9WxIAbjbrasHqSi
inwzMZq7LAqwSciGEkCgUx5zlapHZfTdNQFEtyszjLGo0hlHHFDXMOmLkzH/BmBKBJ6gBjkhS12/
1p6q3Ned8q7o4yLykDdTbC9tR3tvVbX9tREhP+3yY/HBZFPOmwUQQGWRaS02LBDevhhypbyL21G7
zfqh2EsY0TwFwmk2ts2VM/m6uv9/DAogkpYbSIYzIVEpBBrUpH11l+LCcwhoUuxlSqhfUFPzPXiM
nSvlUb+9POjiGnibXNTCDDYVpS1AUaebvTTsgrJLU9/BZq88g9a3h2fvtIFGuSbR/tE6Ek1gwwh+
mWd4/invEqQkkiq6G2p1F+SSmR0gseUETkXYSXcY1xvWXsFwvfzca4hmB7cbz/2MFQT8tIQtTpDY
Bvod+f+xdx7LcWNp2r6VjtqjBt5MTPcCQBo6iZTJlLRBiDLwOPDu6v8HlLqaieQw/9rPoiO6giIP
cHDMZ17zbugSDU6bne1bR6ZNEozphUWzOuV+DbXc9oxI5Wst0IFkTqsOcoGlSxaHd5Kj9JtORJei
6VU29jQK1G5OUy54bvjVPdEqMadLVRbvRjFFd51ovs25NL4HxhYhsmTUGw2pDty5kmoPRPLL31st
y2xSEdYXiQfIp2uYayKFVtKHevxOmp3kgWtY8hwx99co34kLu+GF2VyAgstNT2oEvud0tdBaGjPJ
yMU7qUdhMGzG9i3q/unX11/ohdlc8B4UHEC04oK2igqzPA0wA5LKd6kCEw/Hs9pLgsD0NSeyNj2u
KPt+0mlAV4tneV5al4Tg1ntiUTqBWc6NA6p3yVtO3zKr0kGzuqF9B80teisHJf1nWYvlzEdfv/xS
GGFw6TJedvSzyJQFtCA/SaqReFtUs5az79k2BK9RplGldu/wJZVuoiEcw80wS813AD1F6IMdVt4U
Qdt9QzRvuMKFRPrWOVH+TUGr7zHjNX6bbf3Xt/G/kVC7/zV286//4b+/iRKSbhi1q//81138rRaN
+Nn+z/Jrf/2z01/619vyR/G+rX/8aO++lut/efKL/P3f4/tf268n/7EpULSdHrof9fTuR9Nl7dMg
POnyL/9/f/iPH09/5cNU/vjnH9+whm+XvxbGovjj94+uvv/zDwpnz5bj8vd///DN15zf+yCKkPX6
60/99e9/fG3af/4hQfD+EywSVVwwLUBWZZbO8OP3j5w/uQ2B28kKpV5ywz/+UYi6jZZfM/5c/jXA
FCgLKDAsMCbUp59+pup/LtkjcCCKtQgwomP073c/+Ur/+Wr/KLr8XsRF2/zzjxUhiRY05Ghyext2
NjYXhK+nC8lKUe2K4tH4ONoCrGUrmisnySW/SMzwnQH2bq+mcvFBh6Udghd3xF6nF3A1YQnuVUTS
PhATuPuRUs8XLrXTXcWTQUUhsQT65CCuSHZ5+mT5WMphGEvtxwA/Lj9o+86l9a3cV2afbkHMZdtn
n+331DyfitOz6vd4fA4Sy0Xwbu1rF/X60M9T2H8Mm4K+1FD2LhbGlwR2VsHYr2HoMy7A90UBeL1z
wWYAFiui/mNppemmkByhYX1oS7sgcoZ3NgYjwB/t9jaHo4PObNN7UlV3F0r+pycmD2EvtarFZ4Wb
bmkynM4tCuR6Ezi2OBTFMO0Bs4Wfp2rKfDu3u6Okl4pfEAM+EDXLDzXSo/7rU30+CVQhKcvRYV7k
ABD/Oh1f0o1mVoQyHigVD14g8tzr1NG+1+RWwXTa6v3OSNQbrWpGbCL1T11aX8Kcnn1ue1GPW8C2
iwgu8fjpIxRtKqHsFLaHGuS850AX8Nva+nvy4MtEMwr7d2EFscPWru7jmAyVEo3toTKxOlXjdHDl
qDN2dQKo58KkLtfMf+6EZSykmzTKc7wM9ZF1034u+0ER+jQdJgX5dWRjki24ReW9nNrOda8aEWiY
MlI+Oa30yRxqc5cVUrunDRsfgzBQc7C+mXkhcluOj/Uz0VKiybF0etR1/0y38ipB6Hc4mJr0pSNQ
2JDd75PReCAwcKO4vOSqu6yc9YC2w9WIMC0Yu6fmxLOLUbXR0QDCMx3EmLSbDoFUPwRcQms9ti6s
4rOhllSKIB8OAiQE+DSnK6itjKkxMtEfMkDBGLjrlj/j070Z9eYSDWqJYE7eiqEosdmUSij3koef
DlWUVVIiCNYdOqkAV2U50nXQmbUX1IbxDnqFvFGs2iK1yLXN66vqpZdc1OZpHFA2geFyOnLSIgio
p/V4yIHK75W2k3ykS7Ktjp3dhaHODnxeErVaRJkhe5Ggr+YTn4cCwyF1PAQ67hlN+knpQVyPVqy5
eE48vv5eZwuTwZYMnH3CVXtWQ7dK1cr6PugO+P85sUtFuvAAmTT7csoRlIul/KYrUHb926MStGnc
+ouTDjrpp7NZI1U7FVYkQxvJg8d0KL5pwJV3WqxKe6lrNN+a8OV7fcxl2lZrhz4I82orvOyZpQ1P
ofe9A6a9D8Pec4Yg9Wb+wP5vj0I6SECClulSvV8l26gLoxGMvsjBbChgRAaiAbY2BtvXR3kqRa5e
hnmjcUq0QnK9xpEHk9D60gBnmJT2Xd4lbhnKntyW91nc3fb1RtE+t/gGOMk+yg6jHG4SedqPwMTM
kPDhUjn6hc2xRAoU9onHdGK4089ZAVUB35ebB7vW0LhO3VlQ1Zkv2be/+NZIZHFVUtAH57iql06p
Ncz91Jq4WPhqfDVQprmJ7+z3g77RHpgE6Pff5skNvzuFG1yy83vpJZ8PviouCMXKHIyMzUPh3Ond
rWW9CaML6cz5EIhiUs+nhAG5myzqdB57raD0JCXtURupl2Qojm7z1OrdJDPSv71OWaRs/KXQTXt6
bVQAaVTXo7RzDtVgDptUtUbXRJrvQhVhpQDEmgBTTgGIRJsWJFXaVUqoWEkdL+bvB5qBInWjTLQ/
wgEarhckViL8QKhNjfPmXF0PWZbvyraNflZFJrdY6I7UqkWl659hmziZqwRmlPpC0ovvYJVLzFpb
Zc5dKFBViAY82j0gmDKLBkEFdduztXa60cuqv687s4DEYrY+hgm68IdOEvI+pO87uQ0UOtnV+sj5
Cbohv3TQnR86SxWcIJNeMxXYp7Tj2TVsKGkVgqm2DkWTiU2Z4z9b07e8cGOchbHMMmc3eQIOduBH
VvuioDFVq3bjHKaAszMNFNpoQSss9Vp14uEqqvSpve0Geb5PgjStNkqT5RcwLOeXFgXNRVGW2EZB
XGuVpcySbTWYdIUHY1Cdq3HsACTJabqXBlFsUqSYLpyA5xMLIAt28qJ/AERrXVER+gz8qm7Tg1yH
qW/NuuyZeXpJ+vB8YhmFPw/Hm+6T82RD/OzzqaMSILbSpIeImzoEPFsa22Sqgn069MZ9EeJiHRZo
ZWuI+7hTGJYXDoQXx1/SUgirpMBnHanJ0DNwGOnBgWb5pmz7z1JVqDexIMgxc8nxh3G0IlcT0qcq
UsILu3fVPFh2L68PlYF2DqNDoDg9j8YMV70Io8lDFuHNK0s7rtf6xgplOjnaVH54Ameb0BZuO9RL
PROnr301KZfwUS98a5sMeMFkcbWiHX76GGoAybSU+AroNc+7MW4bV6VWuHv9Tn1xFLQe4dsgWEoO
cTrKMIdOVVmsKHS7802TjeN1iVbXhfb3i6Nw3iKAiDQwhavTUbIhtwrDTtOD2UrgveH5+UluXdLN
etLkPI0PllhuUadBXZkIb3Ujgxpogx4w2WGSUrt2U9HcSUYN4AV8uNfF+f0clYPqOpPuHBERj+6y
3Mk/mvkgf5MdQEpkveNGK4KfljXSBcWDpHIXS7AS0+hi+qmkkrrTR20GNk8xaQP+2vjSBKniBb2C
luLrX+aFXcDLgMRe3mZJ10/nTB1DNOyDLjnkc5XtOnChHpzy0G0khZbmpOqeFIjHvFAfyn7q/NcH
X3l8PG0CAEM05wgc+Wrr1E3kTRaX5N0HeF/GhrlDzU4qlataVtptWirJbtJGaz9gdretjMF4I/pg
ejcGcrwNETC5cM6+tH7oxIPJQi8F+MlqLkwqP86QF8nByWTrqpFjsR0ivbiwF85Pc5YPscHTOJTY
lqzh2bnXO9ZYt/0cH2Z7SEGhjdE2dsIcPjughlkY44XxXpjkRaufKQYiTRF5HTYjh1mzXOvmgKfs
59IyEAYE3o4fuDldzaNmgsnsP/V6E+LPOCRXSifL7ij3DSb04m+ifkm7SL+IwAgzaVHS4Fm9fRTn
VpZMRXsIsQuq0Eltm2sSJQgjuMzvWPXNkYkrtmaow7Uoo/AQwWm5sOjPKpLLU3CXL/5f5Eps5dNv
UEl851Sz2qVkYHtdVrVHwtPwapBFtxlkvDCXcvZOr/NiC38le2w7bfoQSOqPwqEOOrXvJqN2LhTM
nmRInx0s3AVLfQXlDJRIgO2v+0KKGEBj2EH/yeK2vw27MvlkNg0WTYEBe8OtLTvv3aZulMKdhsm4
g2pUfTIrKNOukswmupeZlr2pii74Eimt3JBxZsadaUVaA1esB3+XmxnieHPYKx9yfUTqVZoi8bY1
5wzpmMyRP6mh042gQIbiQ+UIRXYlzcjum6FRHii35Qn1m1j/oDYlfiCaUYGsrEVYfQnjLPomuFE/
ZJgVa2h7NAWSU6RpsEcxtEZT1giqpZFQfCnyWjlMtjNivUbbCwaSFkSJp5hJ9FWVWzAGgFadGzGa
xV0tsCrtc63gVjJU8ajNk/gglEj73lqSpqEVnquPWg8f11PNUX/EC7560GdazW5JSwTwRikTzM6s
pdsY/5ZvpWPluVsMBOea0c09eCyn/iA1YhqpxJbO7BnRjFi3iMrks1zkv80P/q+FQdWf6/a//t0m
OGth3H4FIXPSw3j6hV89DNX+k1otUkaWQ70alidX6q8Whir/CaQAkAXQIYo/NNr/6mAY9p8Lbwhg
K6DBRa+L0OV3A8Mw/gSbQXNjgf4AA/p7/QuqtRwH/9mYdLtB5cNiZ/SlZnSGJUpHi4qKnVg+QP7i
Z+7ADCxyPZ59EXa7DDjxDwwMq8LtwtH+HMxZioXG1I13ctVU+lZxMv1gApnhglckosuAvkeymbRy
3iVzOUVeDcp59AyIVhTZhKo0SLdmqHEFTiU+B1haoL66lJiunbGzFK/uerXa5FZqxd5C0O64qGUB
388KqGe3WDN7QFDSD8waFLs6m8dvoy5qaZcbetu6c2nDmA3Z3YMnDQOK+FRRYiidkCeTjahiZZtG
ujy4xnLReqBpk09aZuuooptYtrvNVNXlRtMijX4nSr9fIalUI2xYUxdUJ/Ra3qtDSvVQ0SbXaIYZ
vktQ/GzmSLpOY5H7kGvHdxYp+ENgoEbty6gFjNtcU7OveSroDkxKV6SQeWXnrsWU7Y2BRXLqDolO
3XkaDcqfXRldOU4a59u4tpXPU2H0tWeWCBsAMQnmT3UUlpGfOkX5dUyb2nQpxaPDnGqy3cIcxjrQ
jXoJQzY7aa3v9YDOuje3kV67JL/GndUh+uJWEJqBMBd19xMhmpgri2FwDMJY2CsaS7K8ZABl5mby
IN0pkWPN18lUhx+nUqdW4+TDfOzjTJTItUSglDobzoUfhwpw4axtECSSkzH06lw41a7ubblyobXU
HF2mGNrruNECcMUz3YVNkUWQA6ZUkUsvmAvrauAK7bywT5TvXedo11opIZQyKCRsXt+n3ZsmKyN1
V6m8Dp9XM4SrD2hZbMu5766nXO1Krw66gCkJkBz1FDXvA79tLAR3irot630vuqWMb1cO5dFai11J
pWMipAlyDNRO2Z30Sjg+JPbutuu1tPDpefIMvVWFw74zrelRk4zik14nEIkbW4yPeilnvassqsFQ
NvUo9tsOBSOv7QKWUj3FQKhV9KBuaxnzSj+KGw5zyUqPiTLLhSeo1HwfAhoKXhRb5sc8T8xok9qJ
XPKpwiTd9LijuQOh5qe2TymVAUY1e2+ylk8vUKaGYeJ0NQmW6KSjPiEwsO+zLvwp2+kw7bgVctMf
NIpsb0c0D9CuctSi8qHJTLuoGnLHUxAyB9+q1tEhIKdpvETHz28X1pCh3QRt4ENZw/vAGFaF0thO
DeRnqa7xSIpy1Yq2aP1DiMiRWmvdLhna2ybJhsRD86aWqBE57Zexq7RjYNc1FrPKDKitLMGT32l2
ik4MvEEr36VzmuTXgmRHvwpD0dVX5HZ5sm2yRAfvpI5Gu8uSNk7eToPUyfvBwmbLa9BwLj0Fwd/G
0+ugsr06c2bDm2Lscfy6wjB8MTcLLK+ELlN4ldrM4/WoRMEHi4oo9/iM8q0fA8N5sGtbKNcx/VFj
P9ajPrynkZoqX+ICW9yNRb0S7numjKVf1XPzqWYh6C48455LttbQylKnpK7AEuIjZXtQ9pbWW0nh
pHwbp5ERPISI0cRwzKWm99W2dobbboo1ZZf3BaI8KWLyP1tzjGAzpk7vcPRkId82TrVm15uzfCDr
dmyseMvkW9qMCDwMC+rQtzShhY86XhVfajGH3/uu1b7XUS5nm6jo9OE27voZVCG5El1DVffpZYX4
PpmKZOxQMYLgKDSzdcH9JY5b22Z4tGjqVbcdUFBrU5RGeyRmyCa/02t9cuknz9lmbESBIrGR2Kmn
C7VNN1qA5+aDOuUbGtRlscmban50egUaaD1oSEOM5tB1fmkb2MNqaG19mFFqb7xOVjrhk5yQMYqk
r9OdmsnBdSuUQnMZtjlWetY8akPaBrhVVQ085kBI6O8ruii8poXj59ZGZ9t+MAadsrFwhI233SxH
ft1lSoLQrmT9LBuk9rw4CTTcWHpO8Suqg462MQaF8ypGVMBiOaUgZG29sja2A8HRs8tycYqLxqXT
EZlDu8cz2f4UcwEoO3yZlcdaLrGiVcrElP1alfrmGpWhdt5H6E06Vz0k6W9NXXUKSMlq/iAB3v3Q
EDDDH7Htz1jUBK6e68m8y6LQRHWlHh6JH8ObjmiaSLAhL3cN3DM6MYoPtW63d0PT5D+7anLsnRwV
076VopbzkyG+lYlR/hylkSAZk3qLy2TIepUgdOYmG4C2jPjDheMXjm/6tRZL9JPR6srwQUoU+91M
vfNoVwoczR5JzXs6Fjikp3MwHNMY7J0X6B3QMT6QsbNyvgtdyCm7mqegkrxJjiaxrSvkJNzCSsbO
DdJJVf3FfRqJzrYn7ciM96LLxtDP+1QEtDoyWWDOIJkQFGTZ+Yx5BbAj3Qmir2lDO5+mawKwcgY7
0WztACKe16MvoLscRyg7ZayVm0CiLrObkt7Wb4NCTip/KqIBlGJRj2+R6pvCjZEqY+WFoVOiQlQX
PXGwEsiVFzcF5QecXKPYg2T7b6m1/4uK/1h6mf97ULyNk/g5rGf513+hepaYeImFF+DEr2CYZsKf
AFZgUi6mDuSuRLx/wXnUP6HjLMJaC1JrsV/4KxpGJhmAEM7li1LLkv+jo/nvOP3+V5j7C2X1v8B5
GOVZNEzRhuY/HRSydxQmkcxc1b8qO4tbQ230w6RV03UoDc2nPtKlx6KpjbeRVsxvUzOf/MCyuzdS
3GtXlDhGb6gglU7tQML3bMp+P99zTM15JRUtM6RXYdXjQQ+BdlVSkJIwConArIOugtxsdUh9XIXi
Rp8tJJ0dmyxXEsUW4RKbYlqG5oVUql7QppdItWf1I532mUqJU6OZTdqy/PxZZSeYVfjTTqccgqLm
Rgmjxk+x9tq//r5PJZJfn2mBfi3zj18PjQ+yEZQ9wficDjNlphS0ah8cpCALPZw/UjA18uzNEUdV
GrT2bjTbG10lmeUOH36MKB34QWBYV1y0qDimdbZFz6TbjXlY+GYxh1f2EAR7jI7UXdvEmR/k/Xhj
ZtJIDW5JYOSo+Zi3JXoeTZ44Gx1PFwTa1fBCpeoJqbJ+M7TpABtyG9PrXPVajIlov9d16yAVxU0J
DMCI6zdCiW+rYtHIKPaKXrjmZPilgCTPYaRNva93mDCM1T4Ku40uB1tVwyK4sK7zXGwTxA9G0b9v
DcOFxrCT1MkzpQvEvPPPDgKcGhJxP4Vn/u/p91CDUGhD29o0MkywtHbquFNZ/e0SOl99IUboKKtZ
tGaW/uazxZVjI41YUGEfJgOZQsRDZndqrHH7+uJa6RY8LS5o+aDT4EyroFtWw4RaRXEwU6Njn03x
Q6dkJjL9JYwggtSseagbvZK3mp3EB9xSCUYcdajvIluuLc9M9aLatLU6zJsqw2gRySMzF5vcmeZL
LoAvzDkYJGpl8IBVYHyrPZBiXdXgrhrQoy+ljSOR1qogZS4cLS9ttQVvwIRTLgTHtNrRQ1mDlm6l
gBYrpty9iMubSiUHkwuj9RLqFl7ZJM0mScpmNxej7U1tpb53YH9+NvCY9aUC+ZkBGdwtfozf46hx
9sNY0CpsMVwwwdF6U2dqt07ZSERhoOlhTCvbCeUcX6St/JBPxOAqAk4XOiVnBVDOEODESxvDYV0B
0jtdTQUS9Go3M39ykA3X9cSbmPX0yA2U7mxEmYiisn7bjSWRVZXWd4WF4bcQmf6OAMi87uRQWuoV
l87y5eo4OQCo9YC6UAHMAEQCj3T6WMYY6naXtDiQqXp4M8ZKhD6XrN3YQSVuUIwRHsdafdfkzaVW
xFlVfhmZ2j9IFaCyZ810UrfOjKMkPOZ2flvQsXtvScmPugiwwUjMSz2k04ISu4zRAKtTvQIGzd28
2mXGIFJN69llTpbWIOOt2e8G7FZBKTZ+WZUjdkKVduHiOGv1QAZQlqo7ZXdih7Wuboi1q+0Ixz4s
FaU34OIsj3yt8FS9EJ8syhebSS+OWjfPO4Ny8YWTZXml1addFCfQEUe2HBm81S1NCp8ioVxyfoW9
4VGB+RLJ5CTZlA4XWqtPYkXroaC7g/ICMQeneDVURU3QQAnMOUiw8GY00xpzFxbK8NhXXbSvtOHW
GmxrrwzVo+3M0wOZ0H6uR8N3QutnL+fVUiES9yCmviDtPu/hkX0mrrIQJFM7d1LTHnHaQtpmevoz
1Z34DWCsCvGm1PASrKJ8EQf1jdFpx1me5E3pUP6e6KRtlE6ybuJGxJvJrsubWZGDjTqbSGF192g8
11eYrE3uAFTi6yQMx2tlo70S9RBuxwaVfKdOGk/RZxBcynSpJfLCiqSyubCnCCIxC1jtPAo/o0bK
AJiCxsZW7TMKjDkuJVOVz9ezaQu0SPL0wvn6woqkIURn5Zd+z5rVi5ezXGqlSS1eE+bt2INGVqxC
2uORPV6JacLpfq5KHwCM9Taohu7ChnhhSdL0Bq4GtZU3XgNnW0OetBZpoIMUabLb5Wp7X2rhg5IL
cUEZ4RyMDHALdhEdTiBWXCTLwffs9q5BQ5vOFDkHM56Le7uTO1+LNZRBADq6amQM29SqBw95T1xH
etG4ZjtMF3Cy54EyD4GIok2ovGhCroFtY94Mg2QI6QCeTPfr1hK3ealUu7Qm3Q1oE16rc6bdqlM8
7cOxdbZdJKJ9I1eXGq0vHLZ8dATiucCxwllzyeK010dDlNYBqaFspxOagqYT4k0yGe/aWVY2rwc1
L6xt+o0aYtpENg6IqdPJT6ZB7yHp2oc6Hk23pPW+TRAAuJW0CYByMqlvBsf8/vqYZwEKr6WThS3K
rRxE6zgKIb96pl5gHxo5MjdTjLvAmNr+64M87crTkw7tNDoc3JmKzLJa7drWQo91cVM6UuRBwXiu
+k2bUq8ZqHe9g1fe7AFzj9cojnCf1U28i5AtvC5jp32TV52+6aXhktTwC6uMK5SODQA48lSSxNPZ
zuSC0ploCC0o5W5MZepvk36YfSUNoNQZk7yLNG3aBHEV+xVKftcUiIYdpoTThc/+0pMs2rl8e3Ch
tJuW/f9s0wmhZHkoRHy0Ci3iyI7avSPK/i1pa/AF2Yt+E49YAQgQCnsjylM0n3uFMkvU7l7/Tudh
zRMUFyIEPST+t5yDzx4kGQGRjUEVHw0pqYQ/tanyoVJCUuEmi0aBLmNO4brOw+jY2p24hFdXz8/Z
BTUGbBawxZIsr5aJPooqpHPTYzuFjKUoVW0zCDQjbb2pPKLTYT9IQX+s4swGkDAXu4rO03tbKexj
EujjbTf2zRe61uXbVFfD93SbetdGsPq6mbkL+6LJ7+PGbvwCvVC3MwPU46ex3leZOntpbii7xOkK
t0hlnHQz3J1HJb1Egjg/UmDGcaIQq6N3B0fhdIoVkVFVU+T8WKFs5Jd1pu7sRDV9UTn9rhmRwHz9
k57vbxJrAlXajgC8cds4Hc+gq9aUSKoejbyPXZR2G3TuIv3CDXWejtHGpKQAJADrarbTahizyops
djRxnMzJdsPKuFZzRyVGmIEQJZPmV/PYbWS1kN7mxhDuEMP9jrma/C1JMzwD2zzbFnYTH0AW/m5l
n5Dxntddzm9PMnQLlhFyT9yh6yhL5BlOVmqRHtU41PwCSQdf1EJ7kEu8n16f7PP9A5iWOJk4gdFA
DZ5Odq115agKtTjOU1HcD7UoH7spqVw7L4dd1Njxg6K2HTAaLOdfH/mFMwRvH0ouCGXIy7W5iiUH
WBkN7cnsGCM/8j40OCA0a5Q2cmuixD0O4jGhz+kROYrv7UIIRcq19sJGuUTqOl/gS7IGAwREP2jJ
tbxWNRiR3utGcaSHnHpKHyAebApEzMCNNXJZXJjy81oMB+ATWw90LXWHNZneUGn7FmpeHGNtHo+t
MSe7Jpfbm3axHIVB3T9UCpyXHn2pTaQm1FbGvHIpK6u31pjNezkwyGwisuMiyqXrmHI05IdBc42F
9NzYaufFoF53Rm5PwPQACqOKP95oZlk/lNUQX3if8xiAU5ypMyiP0zRYZ/KhoFGioAV3bMYh+9Ak
Vr2VdbTw+6p2dgja1v5Mg+ZSxLVEFqf3M1UDGvOom1OAPVPEyoWN3iP6LUcuy/Q+yBQL3YNe3iXG
F9ukIVLUm1xKpptkzvs3SYEM5OvL9/yUgnpNkRBe9FPtd7V6m1aVB6iW2ZH7sfX1qWxcUJH9hbk9
PwkY5YlRQyQNRVk73Z5TLltYwdCn1eUmoy439jdpUlo77MAu2VC9OBSRK+AowN+o/J8OVUfYlg5d
lh0zIXK3sYLK1xLtY4JS3Ob1qXshtkJegc6NAaVsYVGu3sqJJWTSpjQ/DiHC9Aq1ga3UVc3eGjQc
SlLJ3HVN90mySns7tVN736W4wSrdENEv1OONUzjDhRT6/Gui1LPQvyExEFytgadxOkq1nuQ8EQKr
u5wanjc70qVE/XynAKgH8q4AD+H110QJS0FWplSG/NjbZXzbW73plfZYbBskCvaO3hm+RMf3wkI9
+66AsOlbgInWFtGAtf9AzaLK5siejpKl/eiMOtr2TapuxrBp3134rmd7kqE0aJlL5oci17p9Icuh
3cqpmI9dnsWb0XT6DdVUyt9hVVyHc6gAw20lL9LG7hbV/pDKjJ5fvf4QZ18SNUZOcjYloCfwS6t0
UF3iUhthkONgqQkGUjTGEYy75GB09iXp1KCJS9EYAU/UL1dhJ2Ug5FYkrTz2ah1fSY1i3MrjNAAs
MOdtmNjBvq3K5MK+Ob2niDBpNDGvT0rH1GXXr5Yq+lB3ttN8RIT8Fteoh2ZIkAaPlENc5D9fn8YV
FPvXYBBgQJQDKycWWx7mWWA9wb3IlTLsPuboh2au1eJXK5n0xU2AXF4rnGmX2bjaVDbng1Mr+tsw
b+BMWJJxxSXT38wmsFcZ6RoX5v7kKVHf7NK8rb3cjtNN3U39u4Wb5JE7JTu7QEqmMkB5V00zXrgr
Frjcs7uCd1l0t/lUqOfw3c7QnzFbTpqDuTtMYHmucymVNiFr5C7Iqty1q1jdONPQe5pU5RsRUiVB
JLDZo1GFSDrUnENrqfEGKFu5KeykB1nAHZrm8BtkKyt2XTXUb1jS9nU2Yq/bNkP6XiKA3dgA8/1Z
D2o3sWJkHlTz54hi3Q4YlXZUkd/zqI0n32wn0gFnj5Wg0GWl1zrcnhs8o0J3jgwFDX+53I7VYPmm
Ql3x9c98ult+zYwBH4+ltUTBa45C1g7KVNlWdxiaJNokZqu55cBQr4+yirWXYYjyFntD9gqNnLUh
thpEIPv0QD5MvQ10qpgcFwE23e960X9CKgyu/hwbWzTLjX0Q2xkp0BQT9mSoypN/3DY5nDL4UDhh
aNYlM9zzOUCsl64r64J9S83sdKXbOF9MuTnwcKhauroy4mAUdhdlnM52L3NAyxkOBe0f4t7V/Yp4
U6PEnSEf7CHEgoszzNf7DjPcTM/e0qrmXZUgskH/gaRgXqovsirZ7ixNnZcZgBQQzjO9oLSVzO2M
9A1thuHCdzpNZpfPRPlsKTHAJqGMba7uZWBjvRzbknJIE8PwycxsT4rhW/AbvWd0xbgPKiPadVL4
3W7YJq+vktOL6tfoBFM0xhZbuDP8ehmISBJmqB4ye0yuUehr3TikRplHc/t3T1LqVcSswD4A7oPf
Xx3fQVvOdZkV2oFkIt/qCAH6hLGFp5VqeJcTll+Y2AU+sDqBCPkXAXdgrAggrZ0SNbq+Ize9Rok+
0D9PWABcybVWvnWUJncNqgh+MuXz0tjXrvCE0D2cSnDp6NL0PoW+fSEkOF+KSwLC+wP7lS0uytMV
H8mpBMpP1lBQLyefArjhjiRAroaFiV90VnFhvBe+LCue8rdFT5FkYdmBz+4SFeWWMK0s7cABH9wQ
F7KGxKi8AZmcX5rp04T2aRUtNpmUI+k2Ec2ttpkRdED5O9Zw1wjr7Uxh2Acb/2AOobmZ9cF6E8ml
fMRvxNriAKXsK6dWPbLUiUJN/UEVfIXkUds1wu43kqHkXjQqly6kF5+RPaagVYJU5LqiYmZ5VCJe
phyGXtXf6VoxAqgS2WYqu3Br0+vd5omwfNHPyf3re2yZ6f9kTb9nB0YeHDkoGnSMTr+ERMYE1NZR
OOtUdTuk6rCt0Xb7WzHY0ygUMFCjWXzDKCws6+HZ9zbgNaZw8PWD3Ubg3GwKqE2UXWI5vvAuLN8F
rLEI6dBgOx3FGqPEifClOTRoLW1A4QFN6y/VgV9YusjPAZsntEXfYC2lD6hcKDaMkINiRuZVKEvh
Xu9EcWMmhfzwt7/NgsJfNF85mDBvPH2fKQUSBAvDOLRFFGzKglZloeWXDOReWHvUbPkurD6aletO
BalXhLr3qB9iAp3dYtK6g1diPAzTkN5MohxvhUynWqsd2X/9/VCK5g1Wq2/RRSIqX+SvzvK+RJht
0kOYPCjd6EQbOZCmYJPkbfg1y1j16EQUkuZJ4Bhv4rhPPtatZL+jclVdm3lsfyMkru7KzHSOSoSP
izf3SvBVKhrpIdSM8m1bZnbjSoW1bXWZnnpSWXHgFZiBP+YTxjAezKX069xOhbIxpzi3PTTBqQvQ
rS1vUa4It1rV4+CkDQp8gqTEWxdlBkqQ/4+6M1mOG+my9KuU9R5pmAezrkUDiJEzJQZJbWBSisI8
OxzD0/cHZVb9ySBLLNWuljJSRATgcL/33DMoqeVeVNK1NrjbVcS0WrSjMzEnSSiWZiK2qBMWiUuR
881rJfz0fjGSzI8tMRuXEPv0wKiAMsPCGpoaq4/ebi+6Agid+JxO/Woa0vmumKKxNtMyjfsUAycR
5FrdFmFMjtonVEjpJ8McGpMZXh3dRkZ/ldR5XQTCmCv10BGu8OcqhPWxj0alTcE4pugfYiBjIhby
Bm11nV14Vj56GAykcgnsShOXeRs1ld8ClnfBpFbO8zyyLP2h090tZh4a5J/ZoFaOCtkvq7TU6MO2
XnVQVGK7phspYdreXCBcI317FLkLBkWUlpVsxxa1fIDKofq6lLCDBOOx+FAhssbiwJiN73ISgF2U
dWy+fWVft4zw0m3RDDggDuU4kV/kZZkBkFV3nJBLoqZ7XR2iT5LbX/g2qpBTLBX7hzcUyp6Yy/pm
bVEO7KpaeZBx1X3HOtaNCT5o6pxsCamrfm9Hw4NO+GkV0peIh6ZdxnwnNDE8uZNr7TN9sjTfMjrn
e54Uy6Ux9S1T5sYR1GawgjN/EVVO2Z7OyXWrwcTxB8Vqi6Axo+WAT3nDONqs5tuuFDtnnkx9P2c0
22Q/RWQlllM3P8lW0Z1ALWPtWMRGPflTbQlICXgkSr/Qo/ZZZz3SI2vC85dSIxjDgedOUhhMmB9j
PYGnaWmhC19VF+MR68j8nkzRBdJ0lpqXIlbVPJRz5uShaU/ujS6aKFA1J3nC3Hb1SnWlvY1FlQ0k
pvS9daiXpf7x6zf9dXf8c//npIcKwPSMHJLzyCMFB0sJjAmNjrPlAZNE6G1eO5G6MbH4/Rxe12ao
zHT768ueGW38dV3GwGs8BBpIKrzXO2jh9M2UYDB8st3RumrTqH0kLUzPfWl1P9rOwr6BdDkCtHIj
bMahDWVhRvu41M0710qrje42kBBaej9eSfeY10b6wcl4fmeYJbKLO0wuVz920P3Xn3DoUDnUVS5O
uSXT6zwmftmV+EWYSx8HXm5q95QjHwHO713U4kAGPgDkBt17fVGVuszFi0JS7TpZkGHvGtSxvmzU
ZDN7W5KZvv/6OZxv8+uXBBVkRrk+BESpr68nG32YJ6WVCDlQ37h09lM2x/CetA71ykfws37e3XO5
tXFbZ5HAngCLry/XmpU9G9KSJ1xWxq1pLyIsYLPeJHUq9xknQ0DeWblB2UAkSplF+4QeD+8lQw+y
Bq62YHQdOEnhbfjg7aZi1BhgxZRtSPXrr7zImcNlmOcPTsN3HgqkhbV6+TlUO6ctICboPWRh4ynX
Z3srS9O91RJd42WvtL3eDlDTR+Mjbt87T4asEsMBdV3dlc8nHSAvY4FJ8njy2q7dz66i7CUMPx/W
6RhmRK1/UPi/c72VQ4ghA80vLmJny13miLEwap5OMebupCW2zEBjK8gb7xjjWf7B1dYC6Z/lBQsB
7zAXAGrt4mnxXi+EUizJCEI1nfCnHjZJksSB7XUfdRjvfCe+D2AS1Tvg30+w6R/FrTSgZeeo8pCx
tGMgrbk8itG+5zgQF7ToH728714OI1uwKx6Zdj4lo1xTnTjFVmvJujKAZzJtLEjQB3I6vwM81b8J
CHEPAcng01ClAfydsxfrSY4jMjiinF0z2UJRrre1E2sPv71DcDqsBr2gIW9tVypbcaOqtOaTKqyv
VjHcerp8iefpxZlktfn1tc4Imfhs8pVWZ2WaQVy039B748R1pgbOyKl0sFkgi46ACEdZNjLrzd3s
NMl+pOLyFVemBynJQowqYwqdpIoJvUmNoFGtJEQT+PTrz3XeWQC4Yf5Kg7rGmHFSrtvaP9aRlxZK
VyHHPCmxlNvGzfCLVFR3r9Yc+b++1Bv4Yb2Wwy4JFwtXDbj0r6/FSM5K08gdTgMlOHLDWfncJvif
jI2N3LSvoSoYEwxQT8YBbp7zcTL7ZhctTXEQVOK7/8nHYV8AqWcMxAz09ccptBqCoplI8AClPSw6
Ry8EjfG6TMzJnxewp17WBtR7mHp6NJkhIeptOGhVv0+HavzAm+IN1P3z7qwmQKz4tXg4uzuNrMvY
EQrwMPzqizVSOLQmSlkPGkJo68ua5FlWO3UuXL8pU3k9ERiza92MWnYeVayRuo2zkGTvMcENXCXX
b/qlcDdWYynXQ18Vx6UgT7XA+CSA+DeFQ5Lkvijq8QMu3PpBX2+AmF6AK+CA4RDB/NMF4R9LipxL
4iUggZ70Aq1/XXvGdW7SYiWJQFCWeFFQMEK4MDPz9Osn+tM3/PzKq0E9+xRnC3jg6yeqSjz5yXyS
J7aOJqSvWz5DSqU8nhz1k4GkL+w709oSdjvven3Kd3PpPSOD0++GpWkeaytzNgolIXm2aroDC1Z8
L9esTTcy6nYNRUGL4LFyLbMPhy4xt4ReREFtW6W/eEn94BaD65e8bEyd0s7Xkm640GAc+oaTLJvG
NscAw5fiVtH1ftf28/xBXff26DEhZGHzA6ADxf+cTJJjO+5pYzqfLHfOtotRjzSeqfXB8327ZeDc
QX/M5BsuDi3067s8d7U6lqm9nGKrHlC/SseHfFQdWjF+FHXwzhfC9gFGBGO8tYQ/251UG36BJRBr
DvA4d/0i223hltEHRdB7X8iiGl7J2mzP1nr4/WPBxgxl6cRz7QThhZgUVE9I6L1bt9SGza9X6Ntj
FH407Fss46hDqE1fXwlHko75Rwv6LrU9glokslp518zWEecQ84P99u17yGgbD1Nm9pglvYku8EB2
NaTFxim3CXhV4lkNyBXprlQNfC8Smbqfa7V+LNTlI4zlna8JHQ8ONfRIBuvnN3RRuoEePjEwpImd
z31sftUSVf2upN4Qeo4zfrCTv/P8KEogGjNpBbg/N9zpzcoVTTwbJ7VUtVDtSMBI3R4RsmIPD79+
gKwIHtHrPcak7EJjZ7IqQMnOHqFmT3E3Z5FzStz4osd+392knYgvRQ1YhR7EdD5jGtujBM4V91Mt
YI2EI3HtbrCMdnX09AhOeY18PBiESdFLD2QZ4ANuoQYeER4Jfb2aPQPXxg+dg0Bj35tap4WGSf8a
EKLdgI2jjPfbzpWNL6opIe0vrUcEvXY1ZhsE9crCIWoi6Xa7wTw6Y+7cQ3/k7NIbz++ZNJ6ESKEp
znEN2kupCiVd2Te9U987USkGxAmJhVSllffNWNR2EI/ceF8Hl+pDe0n0J7vWjOngTLP2lJjt/WhN
ZEtbuiBgS5ZK8ZyZeTbsMKIGlok5SknfIjmwDZqUzxZPvXLAecvo8DQUaUgmDO3woIo7K4OKD+Yy
S31vcoR9Jufb+s44Wrkdp3IZAtdpoge8IjyP/l1Fv9pC2DqqbU05lSQyohRWS8e3ug5Ofge53wsS
MC2NI6cQpo+hQcOUIbUGoJQcyDXAS2O6m1sVYM5a0mbFcOL8Aq94DTpjnT9rw6x8Y3cAgEMGRn5Q
Udh7LV/Y9/XGHrHgqfNk8j09K7/ADwKLWXFPEgrnRXmuoIB+RnmfI2qzU70istxzYQShmX8Avh1h
vkOd+qQS130hlLjYEV4rPvWqu3zRHGXsdn1SaQ03yewA3cxxsXcuVM8Md4lZTBu7R5b5UC1pG91Y
o7eQeB9PybWSSfsjo+t39hK0M/ApCLGiUDmfZ2hgzw0KmuVUpX0gHLvZV3nubkViKNuZ9wy3kUIL
HTX74NV+ewDgxsKUAESampFO/vWG2aZWXUyJgtPmBN90VnObGvFDbcTb/WqVuwK8rhNRqG1n73Rj
LpEiSRc/UZ6Jo+nZ/U4fa/JPrDbZ4KnyUSX8dsPietS/yDzXBu7cf3Gso8RJXamcGhfeclSnky/J
7ewRGW4/2q/ebFdcinEXgqc11eJ8K8aCsemmzlFOae8kF4mnLRsNRDNUHcFopzWUMM68+B43CXEj
TFH9iJuYjHRrNMLMbpSPZGlrbfB691w/Di5A0OWYr55Pfpj0kUky6sqpW+w5FEmb3vZdNB/RBDh+
a0Ttllc/wc8pto6d3QBysroDsaQfYQLvLSyIn5zCdJnMbc6KGK1S8jTW4/iR6IscN4cFoBK7lA+w
gHce9BogxXDzp1HRuQwMlLpLRwLRTnqSoO8ximTTz7q+sxvxUTrrO1/IxhNJRQGG8uKN4C+y7Fmp
o8E7ZcVgHvS4ysMmgXT+wXp6C3NB0lg5BDDmmG6u2vV/1kqlN+auzFH0mHpCQMmQ9hdTWfZbtuB5
o3sMLuwqIXItHvFLrBcrtJNZuf3gQ7yziuDSEFsGGZyK7dxaM2u7PDfiLnmMEgmXv3eq6JIuZ8bx
NzXrGPLCekzqUakwFRmahwUhbXPkLXAfdE9BIvLrz7NuQmeLGrIXshME+kSjnpfdbd6qMZ4ZiBqd
btED9FVxu9WXxqrDRIlSY9MUg1CPfRt78W9fmiEdZ/lqM0rncy6Nj3V3mkiadU+KZg9hyswqgKru
BX1ePue98TLVhJT9+tuu8PXrb4vRwM9kVAjEHAVnuGqG44y9rOr0dpqNlwIq8Kps6NtTYhYKDIao
lQYjBJKWAttK9TyoK1hiH9S2b1c78mW4izBfITBCmHy9DO168NJU6MiDVTMJTZH1R1NBffDrr/oO
aPP6MmdQ/mJDPMlKLtN6DZMqAnN8h63jwml17dZRyuImn9zuoSzgwepSLCEdi+MTTptcN52N8G+Y
25u5zT4K4j3jrq5okg0/ZsVteQGAMM4ewtBH2jIQTnhSdBtjMNMsrkyV6UuZJM1lYS/eJkeSFKZp
2QVVjCURNeH0RdHbCS1yloVaPMYfNJ/v3Sxg79WQDZanykz89TPpWg/LJDmtEhdj3OVIUjbRWucq
xZwF/SwZuVSa3Al3fIFB7N005miH1Ins+ZNpBKbbF77w3HH/64f4zlLBe26dAnHmemxerz9WHcW6
zYSJMZA0Rmyv2zJskOJ98Fb8xPfPXgs6x7VYoTGAZHJ2oCQl6sYpbdARKGX2WWkX5Yee6s28SVut
wOAr0bIgYZQcxoOxVH4WVQOOwAQK44FpZJ6vm7136zHuvcOy0XPCHpsyXB8nNd2IaHI+QJve+7gY
DXBj0LeAVltn+ziuT45dYa31aMy5e70sjOeUOY+v2d1xUlggyBiO0t/3SZQerZmCIZllecRZL/dz
2+y3das2O9VGw2wNXRZ4S0q0zgRR4YMX/b1V9dPME5iSww0u6OvHNztAXYk+uadmXjpfKUobPFRv
r00k9d9IdJPfk6kzn+u4EGGvCWp3q58ggKJ2XL0yEOtaNTgOeNHvUdXXd5ANFyIVYyvgLpzKX38y
c8kGxcwm7yRypJRWNVZhTDRj0NRe8sEaPhNr/HUtirifSC2JJOeFRKoYbeINS3RqVLc85HoXM+3t
xwAdhb1pB1EGWV1GZADNy66PrXI3FFF8A29gRLFsuzscpsdg0jAhUyUqwb5KkmMJGnHfDvrsF1Qw
D7J1xc7yRhVGBMaBbexmG88ZFOyCyuL0u+8ko7I1uYfYKkgY54bnjUxqFfuU/DGHPIF/WeIetbr+
+uuLrEv49Ru5Er2oNdcoCaqWsyVumpE2KaOaPyaT7vlJXFohuOcQdpo7f1Rmvz0UIf8wFmEZsAlA
wn29FvQsrWYljvLHRktsvx1UPVSyqrvE+09sVN6NvUJNdVk3XRcqxqQenWiSQIqDRlg7ar14Ke0b
pJb4FZZ2HzpxFm96w4t2FuOxT7G6fKihf9vz0OqskcsexFtI+WfvFdAtlmrVkj1SNtoQnqO0eCqn
qcXXepSkPUM3aW/gVjSP1sBR7KteXhxk108QZMx5QNxjNluiMZNL/KKiz9boRIlfWVl5zz4ygYBa
S36SSeTdjWWTXykT+5C/zIAWm0pvknt0FSrS/bxVYNcORnSZeVFbBlot8LyJ+z79Cr5ZJpAvU5aJ
AHTXuMd26JXpFDj8iaObV6Wg3ZblJ9zAWjIOxKxhEimmoQA119FN8fJqCowHKW4qrRie1TauoNoU
Qn6kYHvvdlKCsf9DGl0L8dcLoLcspeBYzB6tSku2nlV2uLuJ5tuY18mGa/8uC38lz0GKxw0K5GWl
lb++Hom9zMNMJXtcSdWhQXhm6OKMFGBU5m30efrQZPpt4c9Icx0AoqxgB/LOdrt6UpwFv26Bc0ev
A9xg8PuYDM78WY4yaTcEVzlXCPoR/pZFoUD5UVO8e2RVRMoHNe/PpM7XL7YHuI2pCWN9Jgze2YvN
X7Q80SryEWClO1Sman4mrN7bNmNztBEPHak/rFtkA6pfu/GfbQJ3O/Xgr6tD1x0WzYo36syr5k3a
SM2MGT6waLbJxuULXU/5gXvQm20IgiPHA2wEejPNOo9dciGWT7g14oGAPaWTAm/liz/itPxzt/st
i7X/bamINFL/tXfa/+vKl+q1ozC//5d7mmnjkwaBnxkP7Q98ZnavvyzUTOMPamIWBcUYZEx+9J8W
aqb2BzRrOjQOnhUZXzVIf/sJG+4fDBfgcdLDwX0E5votAzWc9V+dPfT7PGu0ObC74cyvvIPXr2dn
92JWHFg+bldhZd9D0uP8kJsGDy/eUTsOrNYQsZ864sEYS3enl/YX1AthluZXiQLMhVNHuWSHeG4o
0exjn8QXTj2HeaftRWfs66bdjyOrCf98czuZnP1xVZ5ypU9Wbd4hJ2mxL5m1GV1nhxpz3i8G6odr
Ne63OPPeRXYThXpl6Mcp164AIL9qOQoUq6vxMMayMLFWf29n+hZH+NuaSlwTIYjLqpGUn1pXQg90
vc0y9CdlxlnXRK5xaEnbu006zI2LZbkXwtrFMs6u0K+49zYBbndjxjxQbQWOmbLXMBZtmaXROfWR
Ut8M9ac+qh9UCJgGrdydnscwQtoM90TU6T5I7uj3aXkQeYbtV2QgN+9s7wFl7E0ckSyCT8J1w5ho
P8u42S6TUXzrpboF+ckO0lldYsoBd5WK5Cryww9jNj+3EMcCzSj6YCmnS6lriT9o/TbTcm9bpKPY
TW6U+SjEhosOz68mch962unR4djJ++xhmvVuXxpSu8Mj194QcoIdXTsFDLbv++i5lrP0uwnoSuIY
u/bvoSrmg1icRwI5Xgx9kAHRjXoA5mqGTBLC0Rn9WqUKG40nuJoxE8TlS+Q0ccCemvhT02BfbA2f
GFWPvlP1cQ1vr3twVKvy1/PHdx2hPim2gV98rz547o3qJtezkKGd909V493TlB49LRr3nR1f2qJv
ArPHEzmOV3lQRaT2TO6tOaZMwJRRnGThetd9r1ZbdWm+lJoYv2Fw2u8rpXiQnXOvCC/BUT1bbsts
nja1S6ZFaZMRSPwQVrCKfonx8xzCPeA+Eqkllsi5LFZYJtJlvYH7e6tFGZ77xS6fiWFuSvtoYJHk
49q8MOHIryO1CPSxmsIsH75l6qkmS6Lj5IeqOMhvSTUKP0pzCIXdaPtmO0Y3ehzhwKuWyjbHuXAP
QVue5Dwb4LrqvGlZklvgIwYbrhJgdRjfQotNwkw6FEEqDj+DPUYvacGKSaPpAQWcsUmzzrg2jILC
w2aIsRSKjavmou+x9U020C7ne2qt1o/VctrGBW1uEJFv4OtuCuG1ndo/yYjKr6Smb8yFJLpBZoGM
Dg7OpVdFDxfN6IqHBfUbFElGFcLcJU4s7lD+N0+Yjk1ML9TiwZF5gsmuxuIEwg3gAbBQrBKPJxBb
SxnuZee2V1aM59/stOWdpc/fPDMfr1yzLo9y6qtQ1bJ0ozSoAgOLyHix7UgGsGERj0UI9ba9ouib
/TLSmU+keBOPsZ4cHQdRem7p3i1WJ60WzElnb0fyffFktYY/FUUp93MyoVDvMqu4wo5vuWPHzDha
RToEprNkD5oSaTd51RLKWc4RtFGGOfq6YOzpPk+y6UZU9nhRjE5175gxbrrO7Lamn8MQowQc4zQY
sKjt/Ckblp1cdGszts744FUJexUqYfOLMiXpcWjarvFzWfEiDfHihVYFt5c3szO+prEbP3ZOUxhb
bTbrTe8KsPA5K4M5y5O9DiDM8MadykNvT7igV7XqbbSpT07lwJdZYLX4UlWVS7uYZ9s3Im499p/W
Vea24+2ky+VPHOumIC2m4bBYqfiGFUgK5iGiEce3yjusHhZQddv8mzng8i5AC69pUYaEYLkcvgBu
etFVZ5TJFgYXwQpgO/JUabypvdVxJ+MlIq3JXBzGhQuujU2t8THHZQkNo9MuuqEvQ8n3PWDoM92h
6rfvp1aFaYH90Evr2XDCPQf5MsZ+NvV8NT84aaNgNa5PZeAIct957wYnaJXq+9wn7V51BnHJxDrC
TnLUAxOD2a1CnvhFpSlOWLIVX+uW4j6BfhYbpRLjLh2rGERjtOLKV7KyDlDCRl8x78ZLoTQL+SUb
bdjAeiz2ba71d3GB9iOxZLGL2OICvY0p/get2SZ2Ujwwr1E2w6INB9sap+PS5NE251zddYiVqoDp
I2O5uRTWS+ll2uWQ5NUXwV6zQMJI07AsrPZBqXDxzqXu+nofqfxxWkG8gn0cFexL4U79VdQreLxj
YmixS1e6e0CHt6xp5lS5+tDvrEQsO2STdZB7qRVMZoo5egtzKESCpm/qeukvGQIuPm2tfaHWzvDo
JulyF0P0v0uj+KuIEm0bz0xrtcIFj2PKuyVY1QTjUbTNRNbYU5sn/bdZSbPPseHOR2PQ9QvMQfnr
5thi0jWNzXawYZYnDO9599O83req1Wz7poFPEg/ulvT18dpqxwfLTvHBQQgWNE5k+bNtlneURE4o
snHcTY4pQrzFraBoZHuZD3OBP7HmhMm4OHu1WmiQS1fZu4mjk8FTG1/mBZpHjFHXVjGEuzWU6LF1
4/mHWWrl5aCXcLc67w53CPlgKTb89r7fTsZI0IF4jghi8ZvZS3gY20ji+iUjpAKG/BSDi8O0SLZR
pkrfdr91ldgsXoFKwAlzrfpWT85xKrPcT80ChLeHvx5pITT4mqDdrA/NmEiDEtNZX1mlAnZs7RJp
P8WS5JLaltEVH54J3vDUz0TlmRPUg8Ge9m6jFy8oCfL7So+yk5jm2h/6tH+KbJzR4b3eQJJQdiLT
jKscXtW2cMz00QWwvJ8zYcF396xNbY9eYKYJEQp1ph6pIe5NLyeUgXortYydPVUbJrgY4WTOTQmF
seyY//MyhjnmLcTz2FtMXu/tsoOM3pr3iYIcT1XEkxVnzyW98qVVtOmeGeG+Gfa4iYeu1W9NEQ+H
wo3CxnCXoJrHYitKhvzEUR1kG/9AOBzCN12CFgEvs5nY8NHwiBBFdGCb2d6EWrvt0ZiSPtFCPWmt
FLih/ayqarN3FAR3Vh4BHFcBLbvrt3P74vLeirG9n8pPgzPumaQ9e/DkMHi6VmWBk7cdQzqbt2Vr
7QbvOyT7+67Ly007erbvsemHUs05yMfrxG2uB4quIXXLzajK256TNM9ksY0Jf+Fs3YnW3oB0M9ce
dCdM4XlcpEW5zVXyL/Tee1AWXO51Z/6h9oAq0i4Kv5UmWZn4eFOhZmkIGvSM2c7OlTaAq5IfLRkj
Uyh/tLHOD8dPjSwAmR29AT809G1jTT8me34YVGsJIT0t1EZEDcTxzlKs/hJeVxSmsmHqL/thr9s2
aYut7u0YayQ+Z5/ypAot3ZnxyHHTxziE2jtCckjwnQ2yCXKcBdXFundT56LphzHozeiu1gu89gRW
OMhRrNkfTHkX0YTexJZbHa2e20WkQ43oxbxoOyGCMmFDd5NAccZQn10N7U5bfF6UOlm93+dPsy5w
BrMZsYgkvkR9EIwKJuqeioX+lJPhrEv7gNJCIT2odgNnrEwbpHbk6LCXx9jD1BRJ8nBFXtswoPWw
vyAgvvCUzN0LXG8uLFlWlZ+7Sv1IiAF0jqkcD1bnFkc++gJ4Nxh4GHbdrusqJWDtRg84sWCcDqp4
A8cQH1U3r4+dPiehp0+K76ZS8RtGz4HV1OYO4Bbr8zq5cVSCJe1C6LcaphdXhuPJl24Y2vuoshJi
JoZ+qwt1ucBbgewO3DPKyxrvUN+rJqKbiEpqmMHEZdB4rRc4ebcEje3IYDIik0J6Sq/NUbrHfs7h
93UUo702F5i0Opl8GSt32GVIi/2oXW5bMjDV0NArYsQJyNg4TZMdRzfSLmojAt8lgCkQo6o/DvqS
X+qFnd1W1FihVglx3TRWsxFKRjQRuPmdU2eOT6aE8sQW4H5BSmtdTDMVPSrV4QJloghG3RgCOC1f
I4MS2C6Vam86rbKPW2A4S3zHxHnvohkKhkY7uU21y5J04+i7ecEWLrWP7vIjGtsAgusPXU1HXzQt
yW56s3GG8rIT0R5Vz1WksxHnE3BwHe3cpfBhJ30WpXyh2u4PJC5pvmOOz+S0p1u4MzdJfjtry16z
qadkPe/KNllf0znPwi7K5K4bZRVE7uIeIq/o/L7jXAU2lDf2AGinLTLQRXsL0CYANz1CEuyO1BCr
meKnGnvx41guMdznGsfuybrt0jTh+jnHsko8bZbUymeJrU7EwWDH39U0bzZDz3wttyXO0I6dN3Qw
pbMx0qW4S4fEvkkV+dmq6sLwO4W5md9hE/086GaNN4WYSAUo2vbbYAw9xi1qGdRkjzz1iqcSc1VH
1a4hgHNX9EO3EVo5vuilQv9cNRHrYB77S1Phs+WNFV0pTTZtszyuT03uFJek2z/kaiY+6Xk7hS3W
TYpfQXC65EzksMAF5DhgkAHdyDYy218ij8Z8NpFlYfalxj5CWPVr2g8qfKPEELtWa9ywdEn7sdvR
/TG5prJ1BwwD+Fp2uicepN91zuhB682zXRcV3WW1BsJPVjPsknKsDo5I6pNCf8v0qHYI7oiwS1+k
3OeS6AHhiWabpbiBExTrfFNmEZPCqXb3ej0QraKb2gXWoEl3lFZZ7Gz2jYPWZ8Y+x/H60I72kyH1
navCWDFUo3dCayywp1I6d9N62fgka7u+F0TSbgbU5QWNTc+UYtQGhY5ZLl+X2EU51uWOcZ1kJfW5
ga7FMnP52LNTbJWubyhTZLSNormnjJOV3KY2jDSsyGoqltS9rKm/6NjHplvlMo/DT3+XptGeFZc6
Fj6djVYySuc+6CDK0pRFY/ZQcsQdZ7MYjglW6t+daCg1XxWDd9Q5oi9wF+lzP+pi5VqqUb2Jusic
N11mR8dyKq5s+Pkvelu8mMQt+EtnGVsCTezAKJzqKm1teey7KttMcLtnukMM8OAtzdtK75TPnllk
P9LMQ23nxMuuilzrGXtODgNFFHdVMegXutqnmyFWh4dMJ3geXwU4FH6SSV7zsrfocHO13yHqHFPf
Wwb7udSWlh1wrLI7O6Ks8D1P34AcSYrs0V2jE8fimEfWSMiasJCRGeOXRo3Z3mp1zvOAGyW+JHrz
kquDfttiTLwD8W2vPG/OseShBskW7Ho4iMyUhZCMVyQezqE3z1/1eHmWVnQbpxObpVJfiKIP53Jw
/gJ5fwvOvEr/7Oq+/iH+7/rf/qSj7FLcuH9GG/zrX//bQE+gyl+BnsM3xlwvFXyreU0D4Lf/Doyw
vT9cfKsthoAObDiA///APBVH/QMPMMY4cG6RV9AY/Cfoqel/MD8C0FxHp6vRHX/wb9CTH62kFZg8
+NLQxBu/BXr+HHf+C5XnY8E8QqKOfxVeZ28trxUgG4KYciesRjjNljpiAbks8X7EjSI50ECWBxxr
ys+Dq8RH/F5o5C0ijoJGWfLPad/Io5qWaI2xmyPkpshWz3/tpkmzZkBw7MEHq6P02lYy514nRxEJ
LplTW92mhP59JP2/ufQoQMTQvfzb1dem/7ftUH3/Cm+2Ol+ur1YvSRx/vwRrhN6rf2x+PvW74aWb
7196OKb/EeKx/uZ/94d/r53Pc/Py7//nz3rA1YK/BgG4+ueyggTxi0VYfadge7UM+f2/liFJIzA7
YGTiNoXzqrf6Kf4dXvIHTBxySVhLuBhSbfwDeWcRQqskwAOxFazp1TPq70VosggRK6x/CF0Edi/W
7yDvP40i/7UIHUYs0K/Y1sHhbCYub+awCG2F2eWZH0W1+g31vnOLrQlyHnupgwX5KZVKUR8i4bgP
0inEPhpa5SFqm8vWUOOdV5A1gE3UxO9k5SwZyY6ub8opPUEykEFqmS6z2tbd4g0MG3uSf5Zq92WJ
C0ZdCkbjTSF3jlGCcA9eEix6nR9g4wyB2lcYbMdm96XT0i8tKYLNuGAMVhsX80TBbCfGFn+qZBe1
3YXmlkCTU/XQ2NpwvYzZCzUWJfKynm5mqJKD/NjOUm76dnaOul6L3f+n7kyW40bSrPsqbb1HGeZh
0RsgIjiLs0RxAxMlEY7ZHY756ftAmVWdDKnFyn/1t1lbbtpKYCACcPfv3nuuY/fL3qqtYF8YOox7
a+6/MkW/40+pr8aSE107dftomnXcuDM8U7nY19nKWlEzAosbvQJyjbBaEr4fSc60PidVWJCdhb83
G5o9jUjroZ+6bC9b5xsN4pyMprCIy81rEIrxoajknZPJb2lJ89qY2tzp3HvlOHAezrl4SMvOZfcy
Aei1q1ODwR7DXgl5fAybP3q//9bS8dDW/N/xg/hmFfn3HvGT7+2HL/V3ffxP/X/4TGPm+d1T/fCl
Wb8cCWo//id/SmomwhmvYvQ0PGpIlv9aXuzoHzyZ2FhD2yK9zV7iX6uLQXvn5kXjqd8mSKhxmxD9
56NNgfQ/oIgggoFR2sISPPb/fKPd/PHQ/q6W6MjHhV5HaTNvj2jLhiLsHWWBxrxkamiwLqTmzIQh
ojrzkKtmfq+k5kjJ5zq8QUAj4nnBLuYduzlT0Lvh7A2bYMGesFBN99Gc8+6jC6HgU6nC8vCXb+HP
z/lXzO7Pn2vzbZL626L4iIVHwjpenqhV9DIjqdtbxZyivzcdqnec17/6VEjmTOm3FgAIaG8FSYGZ
pCY/w6q6GPatpznDElrIxXW5jY9iCkPfSygf6d4WLFtccPw8+MEQxTsmeZYY2kKm8dxCV4s+rvJ8
3uF0cylPJKbwjkHqvYsd3URlLuu0OHxfCnPPfFLZrfNYZo4JgXzGjPs3vzGoRMRTkOUoGdxKRY7u
JYG0ZvBGCkylMm4BoWL8IiH4zlV+8ZGAgRJ5wP1FNuEYX2QxhuxtMZRxKJfiosw5HHJuWhNNYC75
+x+ITIcFJBE4JzT7tx8IkIcDK4FpgyAqc+bxYcgPee/FtH76oXPbtg0nLwyHt0xw9ABX9eChnCwU
1krXOimHsKJu0yvewSz+sL7+zxaAvm8ugyXGRv0n2O0fU9VsI6hhKJVMOMhcyx2OJZ/ELO2FOMVr
j0bImJTsqK/k6KkvWQedlyF4o6yTWUl4OfVadxC4Zp52OmAj1RzSeUjDOMfKcgW0J6TgtKdQhKlI
iFjRzz2MY98v5yHhjdQpehbM1qDm0cpeJ507lK46K5Acj/jpF79C84vXhrFF0ni1vosKU6mzPF/X
kFhXG3zOcC4Mf2xoWc1+Xei2/R6P7wg/VFChW/gcF9Lbr5e3QaaZMJcAmMtwCzgypI+Ctrptu768
88fAiKt+sA56Nr0BITmP3kmM/uKbx6/D1AUcGieY4z+g1yM02skr49mEJWhPoORM592w6C8eGCxh
BGp4OB0LLurbj5mtqzESuizjQQ1LYo+2R1eyOe5MamC//v6B+eltyiuN7I4VbDYkjKlHrxtKYPrc
81CN3LJrvoELQIFuPGeVMSJbft94qe2949j9xT0kMcQKjYt5A7YdfYmGnPM2D7mkZaGJDO7MYCQP
l3eWieOr2NCdsdUHbshxEHPZ0VVyp+lyx6IWpkOaIhfj5ZrK0oDB6e73d/DnC7HXZ1XYFiRyJMf1
GV1JL4pAIQQN5Ytza4V4FLh6vv/7V/lj08C5lJ/e9j3+Jdnbzo0ieLPhVaMZ2X2Qxc4BsPA3X59w
PuCnE4kghgGj9pikXk80Hjc2Zws2z/VFCz0yXsfqvdTLduv/+hTTcr7l6slbU3jBf45e0kWUDyrL
EWkivcrbHI7Szhjs5ZtVf0OljOctdvP7u0d29via7NuYG7DUbZclxPT2/tH4nXmTrxV+NcaPCUaQ
BlG0bgCbhBI/5lk4RD7b/THFTIR908a5KXrUJtwQJ2stBybvZsWGX7B8DfvRtHS4U34W4g/s1FDv
c9eZwj0D0n5MuqFeXjQB9iCxasiTSdl25esKw8vdjX7fIYLRPV4cfGfFXBI5PZNE32yy6twrXSF3
jizGKbacNUSXKmzjGv5Ag3azongmi+NM9140u8+Z5gs6DIvAsFHhe6njOXIwxNiN78Rt3zGaa4yO
IttqUvr7YnFQo0V9m+yl09R2VP8FDDYja5vGzSyaZjKnlkLlTCvxVIXKx1WwZSwINChJma+yugGz
AQGBuBAW/bzwHTIBrc2xyvN1yFASq4Z17LmaLXrHW6jc5gFSJ/wNorbiMFA2ZV6Fqxu8uHIx1GNk
DmEQF/3kIvClLc1tbdJZTYFMmjX+sJ6b0dIiqUBrDT4RPPOpG05pcWbda3KZ5IvlyRPRqKmNs2qe
HlYWojpxgc/miT8uU1rFGkFE7+whDI1dKjuz2LXROAenGRydJolk43x1+BFUO3Al/ksvajF9BFaU
fgkwf/QxPbxGETtQCO4idM5vWMwC6tFrtMYR3dt4kb65PuDDs+nQ1iqsT1vfmu6zEL3uTBYT5He3
EPW674yI47kKm9mLQyO3nnpfi2djkWaLzGPLz/h5c2qBdR+AeUbeDsqDa5eSXHADhgsHRU33uaLV
GIG4EJUQWAwG5ZyXeLMKkKvG+Nw3oymfA6DQ7p7i6FQcCuB+yJmrdJYDjbyuiJUeCboaOiPDW+s1
xZtRTIV94grFzDWiU/nZaC09IKkVK2Y1kfE7j6iAu6tMkfsJ6G/Vf3NzmCcXuk4d44xoaT7Gyqyy
PkGF6KtDqcr1hvtuFZ9sFjnza1elVf8IbkHr04EQSZHYEizTbkmX4CmbG7ooslEW93SK5c4ZxIut
opUE8niGxaZ04wIHmXnYBnFOouDcC/w6UAZffcxRsI61A/VZB9XMzLs1N5UqhzR2HkaqLy7VMGRW
4gp/lC/aoBQ0w24H/gSRxxfrqccTD/jHlEjwbBdxGC7DOqPK+VYub5doEs0etA7W7slfbA/ymfAG
VP3Kr2N6uDtc77QTwfFbavVo2Zmrdl5F/ehFNI9hGkt6PigrdtCA427M2AO3rszrK/L4NtDBPAd7
vWcONWXuiXZqwun0bEWBMSPrtCa/8WisZpI3FP80KOeqLM+Z19TFLuO4p5OsX9tnbIL2WV0E83DD
K0egLY6dJRZUGOn1NI8U1Ft81oEz9P13zDccZKzY9gqvDTakfBaWpwJrJx531E0rS+Zpzq/HkVra
mBCeu7YmSbGCpuX9upYKfRhEu7BgM/k1ajWhuepLym0N40ASU4fuZ0cPUcZKE2c5uJJ4omjyI5Q8
5vxTPWdevBImbQ4tLdZWPLkAppKudonbuBwTIuRvx9ow4R071Uh0wYq6aZDiCEuOC6fY9LxuR6uC
P3ybVggkiUNTnr7osXxi2meXap4s85ilV+Rux2Ivy5xqNqlMUe/yFekvBg9nuqezbxBHIkFSfDAA
Bm6Qwsmb9vQ54kwBucA0V7WhhLwwOdFN5WYrBfG9xV9fsGuZaYAv6vt+9sLpzgSxzJPZpmo+8b1U
aRRLF7UbHAEOSl9K89aATJGey2ZK0eRNmd0UIGuvmQcbMB3HNL/n3/Ap8x5mE2Gwy3V50VYh72Zr
0XSJE5mcwmQqQmGdrdqk4ADDVHjPnWI25RhT/dQuWZCSOPCr770C04mXykZtqRDpcqyBTZNjRgzT
FyPckE2SkwSghiLwjUSOhnyhKzCAmF6I8sHBGD8c5nxU5llvWaqNUw8J25jS5kfjbjZyGgE2xcNS
R9Uh4K3yscerKUHTd/YDGU7OkNIaBYZRlXGU0DUEkf26rP4XydIp49q0czMRht0+Eymx4HA7ljqL
VA5iFHNEAMrcYLJOc6C1fjTgtjiI5UJMQCH66YKHwwNFajbyyoUCz/xvMAdzv9oprHtBKsKnYDx0
IFSS5ORD9l72OODu85K6mTqVmORIxfe85Rl55M/02rOuZnzKD8govKdVLL686GkJGWg/7GuZMIhU
1X7oKAhLhoak8LPL/4w5vlaBRFC0pizpQP5Ou8gfXC8hxSvoVlTmVj41Q2beO3UWNknQkcNPvLQq
zStdGoHGjkEkNGlD2uX5gZZ2ex5WDXX1plRDuW9tZQwnERMV87CKHBzmUkTReAnKwSkuQl48FELY
7lLs2xS/1zMdrqVrYhgESnpWd6zJhyBSS/5xMF2V7lVv899J1V76QdYz1E3KlZvOvIx0oGbW8GbW
4a0HHrx7IQDsd69TkQ79SeMwFj3NWB1Q3Hgx56crZoMwnkpp2yC+aBQ6ZX4lHruSuCzfqj+hG+oQ
5bHKC8ONvTQy4LJmeKtjfxJLH69LT1RQuX6N3ynvPH3OwJXVKAD5MyViyLM09hq/YUFl7+Q85KYz
OIlNOJgHvOLsf9og8eUszePqJLXtDfZZMZkhd9cop3GnBN6wsHV4h+aK0+C+wTIc7jgkt+xh8jYb
z72o5XWfz2zKFmF4ayJoQPFixQzwQ5d7abEf2bbg0VxZt06Gsi1yJuRB+7rwmg3BmojskTgOLYj5
lti+CJ0AIynPPuN6wyQ1ByNER1fZ6NtZohgUKYTjOoV8sfjFozAtmASroz0NtKqs871chu3+Vsr4
WNcrz0gISZtFzquM9cDasHZJlRveidv16hJeXsrQkBSjs2+nGcfFSFYFPPdoXGulQn9nR53/GvKl
mbGn1qrdg25JzT2jbJi6nOrXfn4liu7haTP98YHK89k4MVP2n4lBscnCeN/ruv3E1u+Tg/j6Nffw
GF6WcuAtv5oNNl7Uuxlz39QMmCkhEJzgI2uHuIb6qXGBW2GJLRezJk4P/E5FVwmQIZHIjRh3gvmE
N9PA2cJSyv5z7oB5GWDSmTikrXPvwlXtzjKkEQyxnVUHuwp8jHUI6goAFdq7h/1agx2LW2PgSfda
4T1gXWlf3ACF/ERl6cqEiTcqXM5yBZYS4uYL9vSDzeFt0DDXwWM36uADyQDWQItUy94Z8lLARLHV
+ZrPYohbp7Ue/L6VWSzWsvky9kHD/enn6MdC3BlJaavO5vO4DOtwDZUzVvWwydkiKOfboLrAjpu8
IgUAGsUCYjy08qkDdbjGfrXWDA+bMlo2ZDEtCZaPz5YThmAp4vhfMj4NQn07OPzId/ZIjV0SbsHb
XaWtSMUjv0k79nztfpQUHEcJu7XqYuRsEx48LU3ix0g9nF7afLn9/VHqR/fum9MbB0N0WOIq8E8R
zo6GX6bH5tSCzoaRgU3PucvDIRKTQrEFb4lJU8tiTFEKjSd1112QTyqPh3Jdblarpz+Qhua2PCyI
fMtOUBiHxW2u3Sx2AUm0NxXMxubOHfUYJoIT23oIM6Owz7KxsD/3rdGM+xV3dHrLURsndb00eY/r
xfc/k/QXwYO1Bs6ZhwM72IWDzEA7FPNHHABpdL1UuUWbVcnv4sRIcXPGDJKotq67aRg///4eHQ9V
GNtBBIFrCr+NyMJxflwoIdOsIcoQNpb1aPhreppGBdxcry7Mx4rQ4cPvL3g8MPpxQXq94XChG/7E
/drwxGa5+A3bMbP6CrUK+yTjP0HPZm+9MyP4xbVcZkZb9IiQKOnXtyfp0nfGvnLx9Xmd6e6VasID
KZnsbIUh/c6x/edDO2Fmem/hs1mMW49Bu1GT5tqrMxmnoXyK8nK5WsK8e+fe/XwRML7uD61oU36O
846FiqgcHWc2JmIoXuvCFuCm5XT2+2/oV1ehNgpRimeGUOXR/KYOO442HHJiEVUjAdAyTyyzqU9+
f5XjYhgGhtu/z0gF74TtmcHRZTzfLCNP43TbviSSAQyQ8TeB1ABhoTsPENBganWjycsGj/7s2+Z9
wVFuxbtmYV60l8W1L1mZlH+2DNYS4NLOyiBJg3p+D0nxqzuy2SyYASKrkZ5++zsCbGKAltvue9Df
AXgzzrTRBu+oKb+8CEI6KU+0PWaCby9iUSVq93Jhmqk5hrCvlV24W6QMl3cm0z89FVSYsa5xIaLT
UFGP5kslxVh4XDNFDAz0kTGJHru3IphDRwZFRL//mn++GALnJrVtEgRpzKNHUKyUsLJtwcPrrN2e
EI9O4DV+7Oz2Pf7dT6M63l+AOTwMD7ZjMvB+e/9stwtyJKkh5sc7xO7STmesZsV1DiTmKvXzKMZ5
Zv7dx357aW4ZUybTSDjHHREZrDdbh4gHeU20D5Mc5hiXX/OPm/i3xPV/Tzn/P+fL2uBi/7sp5gav
8V8dND9YZP+0ZoX4W5A6aZtjQr8pHf80xRghoVMSp1tRdMice/O3/EeDriL+6z8Rz0mbBhbiOYAC
AGT+VmD8L/E8/AdiPPVqEbhlJFRS0P/P4jn1lNtbDeEATYx/NDwmJgkvzYysAyqgzFXEsvXWE5++
5neiztvj+j+bnD+vgvxGPBtEFB/p7e++k5PdqjLLtoTRHQbyExnlX8QcXLktBTj4E28M5+9R/v+4
Jr42DxIj8iUvkbfXbDBEN53Qxg4Mgbc3jdS4y8IhvfT0+mUeR+dqbmz7b71J/rgmSQS+bQfbEm/i
t9ec+jJbWk4OO2nkn6xI9OeVztY48pzq8Jff2M0f9+6v5oBf3VEGFT4vEsA6yJlvr2S1Xh5QZ2js
lllPH1va/nZOZlYfpowx0NJwjnTMqT+AhqzeWXr56b39LrkekomNMwG/wE91tNEKs76kYBCTdjia
u9btrfu6RRInoIMs/c4dfbvicEc3RQNZGGowPhFzMzD+VajBj9Bl2nIhGGNUhBKpR4xJwXsYlV9e
hSttgGUsYsdCDf7EBWMhieOhmtOrsKnEzsAGu//9d3Z8FbYRCGg43TyU+E2RfPtZnEY62mVov696
SjhYSo2DbfnvEdmPv5/tKuxWNoYeUS7rGJEOZ8SF6Zzp/dCv6Bb4K+9JJ/jnUlnpO/ujX3wgykg3
yykLCwv28SrteL1n1I3eL0vk04TstMwkxz8dv/+rSv2Lq5DNiYDjsnYBdTi6bd0ysxrnUu/lRBrN
MDc7+kJI4G9/OSHeDdvEbehs+uPbL6fqdFsS/9H7yQh9EvKFE9dD+Ocq+W9/Fl4MvOt5BW5nGQur
yNurLF7hqrorZjb6UXFapHK2TtIetuk7r4ftsfjrC5f0A4z87eVAlUfIoOXtdfgSunGIaIcJTKBH
tTlrcqxmiYsgTHM6bN3m5ve3b7N3vr0iojCtsSErE785LGFvryjqthnGMTT3uWbUXeGa3A2EHg7s
iYtzjqNfMreOTlYat/aL8PQFW5D8kmHMu8QdKvKO/hR27PxeWB1ND3bDT81bmmDxGDBy2pNSdoME
J/kIIGpcgwYNqZay3HmS+gm2QoW7tYx1Uf0Rg2YW3uLfyJYTo5qy74vp6urcrhRBUDVP0/rk2bzr
blrW0vo8Ihoq29ipO17vA/ISE63J7u6MuSRuZnf0uSU1ZsjutComeaMtRmkHuK7dpdmOxNhnR8wM
5G3JiJjnqz4Vvia5k2f9kBNfRc/fjbVv94zQB07fphRC79WYR9ZOT9PyTaddQUVAn67uU2Ypzb5f
UEJ1YWZAZe8mz9DoSWU2XwyFR6sSUM96TLJGTB28LrkuHyDVtqVxYdOpF14G7rLlwTJjuEQnWXF9
RE2oMBSZoMvDCLJrbmpJPob6un3hFvlF0SxdsSuzsnyY8gC755Rmy2VKek1+a8Ia0m44bI+sX+Z0
ulQjSmWyDhBVDsyxGPC0FdNISkV9w9470xB80kHnQma0ewIjBqMmaCiWcPCkuNq7Kd2KE1fQGe6F
y0oXxhBnyRuZXu8eWsAWGSg7xyZKGiH7xU7OEDPWrtF6u8ay13lv6zm4A/8L9VLP279ibnS+vcHn
fjXWjhCq6eYNleY61V+LXiHs5hxfUZrgXzwLS0d3oSOdZ0OQQyc9g8U2nt2yGrCwTeZ0YpY28cC8
sEAGk7udPutMzq+rS5NJO7jZ06Dc7ktumm26q/Mpdej5yWBO6HT2n9xioQZKpRGpeshdwaXfRVEZ
061pXEOGkF/LUTritKAoEZ+tv2k0LfE1tbcL2IawLjkkbdxdlIWWn3UcEBg+OEtLIBmjC9COLDA/
dMrvPmqMKN6JMzKsQ7PLJfp0QVHAKAX6tmlLGrWZFxIMljOeyt2IentilEXw3Ge5fDKwnX2aHDlX
9Q3abhG2t5GZ6vVqiKx2GPbEq5uTPM0nK8mFHd3xldnuzvEmI9+XbIsg7EUg0fxykBPV58wdie/P
NsN3oyfl3QX+2hCeKQc/zvtQNbSfecrapRQUINagz127ZeoCkOxQSzk6LfZ6mYmssK6Q58o+/Yxf
sbvOsnkCN+dm/rfVruSDRFQikcmIloYBXM5ksFw1PhvTQIC8kVZwu7TAR0j4bACedJyaezHRbBaL
NJXXbYtUEsveIo9liwwMhkVP8AP4FqJEXVhED6WYKu+MqXH5QSC7jUlKugkWfdWo8goHg/uZtimV
4gybLZPspJgLwPjMnPap0RMUGlbsI0zuhHdl17X1ndw9hq+Byev55Ns241wRLMvBswAEJlPUVn5i
lB3VxVcK5Yz5Qw57mWJWK5gONpLUzshtTpF+04wMLYUhdGKSO74ISt5XmA0QMZh1G6SICiNcPNSj
ZgE4jjn+dXLnME8WXjLF3qRlaDwXXjBejmOnlnM7ilp+lJOBW6AFMvdtiYAbdHuLodWVh4XuhWo+
GtmaPgR6vXiz950QaP3R6VzirxxAiTHT2PJcemb+kdGl87kinhScpJn0AEdktV9Apc3m+yoarSlW
hVGdmaturRMKC9hbmDn9p3tvyegCXRg6fa4mZ3mZFtXehaKEWwmLAHGWAX4wxplg+psgzVfu3mnt
9MGkXMkmEwo+PJGijFJsUoH5tXUZ8JOvooItrngqJkjeHpUNfq79Vw5olZc03aiqUzJfCHC1lwXq
DKOgczpWAducsRbqU6WDgohigBiLRum2myZsXKxlhdnEWSLrs7cGKxnPco6Sgh0GFArDrspkyHJ8
FoVLH0YcOPhUzkI5uif8lgM3GWGDfFnNSQP9sEGcYc0bRn0xOCZAEeiMr1GjpMureNO8KpgC0CPH
Sr54vAO+GQWwn42V49/aCsEumdzSEXEWEd0likkbCPZSPaCCjwKJ2+7oCZkDxh909sGbnEZHvAy9
NnKMKjnKUNoNw7Q3isjqUMes8j7lN5/FKU6a8STvoMXFg9MO9YW03PKarFnunfSOT6R4EdVQ7VPR
qVcLo8+489ysPQQ9xYdETnNl35hB6N06npw+VIQvv/bzKG8KQoMl8vfCVAkuXPdlIoaIYWAojIdp
Xpcn9AQEYZXa/PRrWzrfMtag5awyF3PjZ9ZyjOVSL95hQVwEq+Dgyo2tYWPBltkK1YYkZHEzVg0W
nboYrFsYNlidcbgb6kB+pZ9wGBXyrp0F8rONiuAmaTNXr5EiwB1XunWbRITGcqkHZwwONoe+W8LW
WEvtNEJpoudp8U59vEefwnwmaDqju8yxMvr8Y9U2oG9xWQZBIhYHWoLuHG83YPLsLt0GxMopIjA8
YFibTrTzOyCBsd8GpbrQnFzuwkrwaC+dH5yDCPEBooiluYZv2eNAWerqNnIGz0/qnpKxK1UB64zT
lZ7zZO6t8aIe6NPiexHpLfwh3Nd5P5hXHc53GPhlqh9555QOmnQZfUAFdEzCiaP/Hf11OqkQur8z
Iou6uFqqYjnJwErfj0MFdwRcvyivgkiQI2m7tI3iRU/Gc+fW69NgAohLFnfQdynOjWtXkT5HeOhY
WfAtni0rWiIGGcuGyMeb7nnxF3PY+TNF49zQ3v3k2639dSV/eTpULhVWki7Sj+3SAMhZu9y4lu3i
axBqjiCIqfQ12wDzxXVQlAiKomfFKPuk75FQzBdLu9aNzHv1nb2dS2o98/pHI1VVEw+pqa/sTGqy
vmGYrjsFubeO1eo6t1h7jQcDsIV1FtmTvBywUlTJMInxZa3DaatQmHjINEHos1T1YbGbg56NXxlu
5emEa0v2xPBKmmy0wWNT9nDHAXNFvCqke29Us98labqSj506s2T75FNSE8Mi8ND/5Yi4S60YZjJ/
iooz3SF6xrlmvhFTRs3vNUjD8KZCBVwSdlm0Jq1gJx4Ky+OPLC23eqltCzjVnGrrRkwwaJMSGSeM
RTetCHpFkRexvbV17tZJ68de1eFV51aLOlGGSqu9W2tLPcAZtXVS1GYKtpJ9Q77nq9JL7Nbp6O/S
Utv4zkajEmxkZTPv3REoI8tQiHSalUC6dl6ro3XvusZAec7gS4E23YosjvrOVWw8jLBP5h+NbE4g
e3uOfcyDAm2wrGEZRNPmoHQa73Mf9uY1bp0IItQE2BxSUccDwN03Xkj0Qggy5ql+HLo6uqWywcLL
p+hn2iH3jDcB7Zbp3mPsNMYjDoBDh0mp23eQLosD4CDRHswSuFfsqFIanDhLy4ynaGwBJvmzjVPU
6r7CH3J4Z9gKYJ/2FoMVdQqAfBsdAGpc5VH9DajRsCajdN1vbZ6tfqIUFk7Qg2yj9tqfggDIAP0C
sTvbpQXFwxnM3bJqlAMnK+SC80sFUJD0YCapavLHkdOBgo2knTPITSm1nNm8wDtDUP3a6bG7NAgm
0NXtBV2FnNmK75RYNNdj2+kn0+mAVvVm/V3lUuHHLOjPit1AyJdVi+4ui9KU/nYQOAEczCZ6bluG
drFeOu3FzeJEHzj9mH0S+VSR7Cba8sCULnOwACiea71LsVRbu4I82+M4LvWDGTB3wwGngo8UnVbf
ZpJfJJjbDHPKiOEiLjGTVGcZpnNem9XE58h5N13ZQ2d6NFqVwb3Eo2vF0lDOuJnPqxWGSto8Wx2F
F7tqwJYPr8Hzw1hbVfRS0cSL1b4abc4OxTA/8nzBzCiMZn4V1cjWt4xW/cV3Ktw/Dqc3XrHlWOUH
paaCVH5AyRrtV4uIF6z/X+Qw4egnizd8JtbXPQUCOBi5VYy12WzKHpNDaF01VmleYBxaHrxCTsBQ
PZwnFz2YByTnMQu/haWqzx0iQprVyB6eB29pPN5qWXpp6LK6zhbPeXAjOV0L3x/8hApMdSOyngXO
sQ2HfTXn0FPhevVrlBmzTvC34GECxzd/Em2UOujeaCJx5zSo7HLUzlesCyhWeY7cEeNSzwBclca1
0Vbjt06wCUBjaNjQjoinnCazwtvXfQ4uBkPP9LBgHHgYi+3JrAtDvFKaVd/P1lAJABnZsJG/Jpej
SxTSz7L0bW3vFqvG/NsYS3NbuGad7oOwnTG+ZdNUJPXURmeNSpuXMtxAR6HvKzq3ScHDizaXDhjB
D1pV2aTNguElaL565VDCc/G7kB2T35tzUg8Z+xCEuOVLCjcDV0iYRU8Odhfqtpp1cfcdieGa79N2
+RJzGZ0vU8AmoiBAceGHDTQoAB3h16lKzS5WldVxXoe+fe7Jrjd3Qbq0T16Fn+aikPAgY1bJwd6X
yF0NPsMt2oGeDvdQhqH1KCGj3RZtAR+p4G8qd23nGJ9lMOnvkXKAdgVtOVyzoszywIu6vhaqWz6v
OqofA4ey2diu5/w17chA7XEV9F+dvs++D+NcaqBga9PvUOlzQhn+pF4XbqmIx9EPWtYvzMDYnd37
yeJYA9C/zU7t2rGoBgqW8Znsq/iEQYkoXNZlTNl1EwkrMcPeBy0URhA8/EEH2S4tIueyp5Fo8/Va
nNiMRa0Li5cTTee9tOSchCILWB5yjz1C1PiMLLoeryW0DtAy+9KvBUextrU4FFRD0O1s3czBrlv0
eM+cEzgjxAuW52m2OMQ5SmpSrnjKeJD5MZSnXVhn0yGYdbWCpswyvcP/CNEvm8qg54QRBt8DTji3
ZpDP3w3QGkhylN7lIPStVfObz0zJlV3cH2NeU3GsRkBGidetxXOqzOCLW2gFascfLBgkdlj4O5ON
P4VIsh6rfetgKkgGTjD8WUFf1TunAEUmocFq58pHJ3t0i3RqnIfeUqlvP0Ldw0uItSHqaAga5lCE
D2vv5d0tMwjh7Oi36It9wP/3U6BW80yUIstYOTr1spbubAG4MXV2OeaaBTGsK+WBg4PGZbaTnHez
sGaRjEvIaFN2rTufu4X0873v93B1mkxgxqyDufjq2wUwtKL2Q5wua9FEcS4a/huNAfjlKJ/NK6Nd
1EfDpLgotuXSElFc3ftC16GX9P72oJpzmn+aSwEOuDbb5XIsuvmV9gv7W180LHT2UnEGgnenAc9p
jvoAJ4qqZD9De2hcWVMBwqVQQ5TUfjnd9I646Q3LZc9di+6mWhxcINlAyvmkDi33aR4Mr9ybc1DB
NGmZFm9JgM7jHL8Id89rIGKdzYeqOcuCyldPVjGE+OjWBgZV69YLb0CNerVfAotvKrY7PPHdtr5i
V41d28zNA1OTiVcLhvLC4UyYhsVlXTTp2MHmq8fwbDTF2JFfoiDOpXoKf9bCkj1VNv2IWfgKiRj7
d4tDqefgCXF8klPUPRBOHtoPRYPTEw8ypN42No1M9+fpGnrDQyemmXry2ZmLereWTABxJ/fucNvM
FC5dyDkQ/aVY6rHLCWYHg/chovWQxEQrRz9N40i6krabPlj1LT7OZnoOte9XHzI59WBOJjt1Amzk
VI7tFjOzzXMZeHJQxDkwjBo8ASKiodavaHm6lboPzROr6oPoMASOxcGyX7A3GjsIczMLpOFKU9WX
llzHbkkgPwAZ39kq0qQO/LGPmGzYmoFWFcthCUIgtCZzha/zQGMJTvGc/YQdm+K/qTuPJrmR7or+
F62FLxImYRbaFFCmPdlNskluELTw3iZ+vQ56RhKrutQVs9BCMTtOkEABiTTv3Xvu1Jk71yJ2kwO0
ORNoITOtBWqd42xjqcnzX9rsdndjGXWlzolr0uSP2ED0vFdDxW5xrkLCzovJpBgpE8vhxM0PAOJE
bz9RvfDHiqMBwVUIySJfWyzVk3+eDfFo+i3KN9As86qg/OlOI+gsEamSCmEvq+JXMS7rLELtrJQ3
eul4+Y0wmhRdFTBU+kVpxzP4kTidbvqlGBPdYEADkridXXBKH+RYSRuiLLnK5rsBcrRDoczIieSu
dD0y9Y1bkW+SbSbNKpMnFqsu+wSpwzb8LMaMEVilbNKPCmhrtQ/Nxm1uslbK5BHaqeJJ2LPpcSLH
LngDCW2ZOUQOQ1dkvgqp/QdlKSpo+8zsFaFwA3u4Mtw0CKSdA2oszbzCsVqRH1N4hfG5gEHzSIun
WtMkO5LFkj36wjSbr5TezcQ49eRNRO4+GXQ0nSj8ksikVpyZ7RBSQ+aU5CDzFl0vmtWXxAy78mPB
BU0OzhN2xETG29k2Yvh3y9Z2CrrQfzX1/i+0Av9vQRovzd//XTVw++v7t/IYvfHyN/4SDphgrFdB
wF8ADVP+C4sXfT3Co19s9vRW/pYKmNa/Vh0OTR6dv+DhhP9voYBp/mttyCA8WCOMbdp0/0QnQL/1
qKtCt9elOogOij4s9TL6K8cNnrYf3Soq2JkRYdq323TMop+5ZxK1V7DVuhPaHG2ctM++FOCo95qz
NggGzmNfHbe1oXmlUfVzSBOdJL46zz8m/RR+z+j6WUELnOZdGDrw18pS49xdlEX5NcoE033eonIU
mZbdeqaXlbuoLQhJ4TRK7UcRXQOduIUUwb+ZQveNbJ3sPOGF0++88ZhJci/9kHLG+xCWq4a+XDTn
qXIoiG2q0apvi2KYPhSqT+41RKF9AFkp4miv92AYcdnEgWkPYaBrM7vGUar2c48HMvR7hORlYMsh
uo+7xal9x+7sj8OISyNotbKc90s91PWNPs4hdpT1jBYPOQVUFg4Iq62a6MQl9c98gkiC16Xa8g6N
dtuQSrHmJApmYKvxosw3okl8tRZl3jn2XD2bsX6fSybMLQEjeulnYaZ2hEVw2CDrI9oZcdVjveoJ
awhzAwktxn8ksJYkZMfHxcsqko+luaMeEn+VuYioyuej8ujWMFlg+AC+B8nbzU1fp9zdB/xp8620
NDRXkUPHzY/1fHqi859Cf5biwRQa/MB4UB1w78pLSbdEH7Y2mXQR7p1uko+UKdRXyil0/3SUg8Ch
4iVlpfVK+gA5O7HN3NnzQzq0NmlEugNZ2yQiwqJYmA/PVmiDLTamyfwSzhPlDcu1CeCrnKI5DPpg
/MirMduTcLQmxHl69rugMf4zifMU5XHb5QQ5lpr9i8cFA1MsRIHBJM8SrqSKKxPqYMmyPRTf2bnW
2s4W6VJvrRne1aZOI6/YtdCOUxLvPOTMEXLX90m36AjNSe+iY4Y+l+Ly0vxm80BN0GKHQmVFZt0H
q16Kp9zJU6xwqcHCZZt1c90u0v08q0lCN+RU3x5emrD/F/Nq/at86ttfv3oIRf8PECbwQ/7oR6/Y
o79xRiuD5T/+zW8rAEvfjmRY69/4azbVvRX9b5CGQVbQijBhkvwbTWT+i4QMlFQ2ObiIDZkj/2tm
JUkAWzDKIdRzayN5hTn8LcFa0UR08dfx7jqAtx3jn8ysx/IGDuAmWlz+IRsBIoiCVWz2p8JlIEVy
GEpE36VB8gvLPYJ4rCQXBAEnEdh/XcZG3MAjwDOKnPr4MjkwybEKrch3En14tI1OfGpsoQkoug1p
P3OfPMa1Xd1RXmOvV2J+JHtSeBDZU3dWmu+IurZ8VdLi3+iUnytqX7l2g7Wk+BBnKi9uMmlT/SUp
hK0u0R8pR70co181zGm1NY3Rnahn6tqXItT1pwk/y6cxg46w56jepAise+8pqWxHAEhFTBTmZXoD
CjrTfBwB7oM7mN4lcdGxSuLlmawYEkO3BEloAGmOnwlmyFLmFflbS7hwmvbunQUfWPkxkgy1/17b
z6i11rXxf+QYry908vCXOMt0mjkp4UnDs6qr+wbyhG0WROqYW6RrVHHn677NL4injuWmDCdgHOzO
XHK8UEQ4p5qMKEmG0SxFSBWPc9dI/XQbpSg/h9AJd7TnOELL/pJc50QJ8tdVV0+968D2IYjmZKPQ
gPggk2EOqdRySMQfTAMYHqI/qcJ412RAhwGz2xnCC2MJ4qav9jONmiDnO/kL+PS/qm1e9HZ/PHc4
AliF+eoBXCC4eWEQ/flt9WAtchsj6wYmb9wE40CfVQKqmxHgztQHMIVS4VGd5d3D7JjmAM1Hcdck
qUwONNSY/wX9kVsUarQizLBVz+Qps/tusuG9NhBHfF23+rqjAfsZ4rVUmtpb6aDqXdPaPfmkrrb2
FfBmEvFWyU+zRvDWpgD4SRBD48jv6yQjdqLQ2XjTK7VhS1JYeqxR8WE30TFg+45U866qZIeTb8zF
vEWRnn6Nhcia4O1Ruo7C06cF3mnN35LolFYi4J9PS9pwKCsFkRPI87CW6ppPnE/U93o21IWRqb8a
mryZVc/lripX6Z2mtxV93dlRSid/sPUcy3bv2r7bQZU3tTp5l66V5nk1VKKKEfewU2v2Cg3VlrRa
Du1Yrd6hCbmKNOPqWglCevDx0XPJrP5SwvHJJPEyhhC5uMge4dcZpx4A18nmDFFnxNynTfsi9bLR
7xYtCapa1I+5VU+XRGL6qps7eRFo96xVRYVsW3fXrfgfdIohbuumx4fsN3xfjzJ33F9Uz8vxq6oJ
c1kLs6A9MeHmh4LCPL0JOwtJG5fd8I1Ag+wjvT/avqMWqqtmwRO9mQhllptJFuNHbDrEgCpiMi8t
MScL2fqgiLAGKCmwq70WHi5q7NNwFWfwdTw2ZkcdyJQlX/vbo/TMyEHfhZBOYr9At38yStVYZRi+
MIMvlqUe+mHut54ynhpt6d/lBhDdup77C/P3izTz5I2slAvmNAfYCg6a4zdC59/E1UuHQBAQtdJ6
1ZLupdfICm7yUH+xCCEkvIniqrlxrBnYX6dEz6IC3PfD27//zGNGSU4Fgu0H2thTRaylxoUNBSSh
xeRiNhChHc7wcPv2VU7iFZnFEQM5GHnQW2JVYJwd/+JC5hZqzBo87zIKWIVZhYxnogEQm5zUSF+z
rK/jNOdXoVHT4szwnTENFvGPuqqTe/zWmDcHlx5V5MTGP0Le/H1v7NoQB+g6qvWT5VRVA4IGkwNL
k8d9IAdBVoVhRv/8KisqEiSJzt6Q1ez4CdQgoKrGIxkRkVH/zqkmKve1YT6//aDPfOt84rCCBGY8
G1DM8VUcivP6MvOcdRKUoEp02Z7CT3EIG3O5n+0sOlA3MggicsKrt698silZ3zB7ToH/ABm3yYR/
fGUjmUeZ4gIEqdFBf0qqOKPJImzIZZbyAryZ1R11Be2zowiU2kx1lL5/+w5O/FUvLxJGEs4qCSMW
7ejJIOsgXQ+Wu644U2L6iVbmQZuC1UgyO33UWDcP9GeifYfM4spy6pYEK304ZNTTgiV3+msOo+pO
RoojudvB13j79s7M/HxhPCbk5zgITlFENNITNuacxTWnJaSG/tx7GDGy9nNvGW/dXK8vod3ODQYW
w3ViY+/2aq2ZyxnQkgk1gnkW4QFEkRtr0qrvZeRBL9BNbO6mY96pzlWf3/6tZ2ZV217PNIYOJ4vp
5XgweNEgClmZkW8ODXsxOlo05rB/e5GF9ibr7HBbd014YS47c1UGILY1gdWSHerJ4J+NqAXIMbDQ
CfoiYmqiL9NYNPq2RRQ6b6SerHLYcblk7LPOTKLUxaiZ2exT19Pf8c9tZ2g+g91EQG8Wi6JNWnWH
jhwzHWJb2VxHZRXKbWSLWtv27MWu8Wqb47VZDNpvRYCbhs7dAmHckPvzOyEuJDoUlOV1P8oKo/AH
0jrqIPHU8j0pTOKgvKHpaNpGIwgMJ7dAIHAWW6YdsS/uB6zliBs6KufDQbdoEF91yFWszVws5HN0
pt1WaHlVh56pSoqDGbHvDBpqhR8J+ablbWiGc4+QZqDAElZroBZUmQGRkzPCrLA6+B/OnKHaUfMg
5+1QTN0Fe49+5kvhJEz8Ax8zrrbTKEMTKMFAy4Dv2DP6m5DO75b2KnHfZlvF+yEiFyEtiE5IxnxC
pGBVN56axb3npdZBZU115aqhvkpjVAZNL4wHuOQcM98e4edeuYOJwMQIRzXtdDpXhqQrMcaRb4jS
/pkyp/lAk8avb1/lzKSKk5flArUB5M7TPbTltbPi7bP7ikmaHwvwTlSvbES6aC+SAJKDutVBJJMT
RsaQn2SOuLC1Pvs7PQ59REoaLI7r//9j89hP2ZCQQ6WhLNL0z7oB7z71jOgCD+7cBp4DleTDpcm2
OoqPL8MxDu0oUbG+U0t7Z+X0nHQxyI0XWsVOyWFER1HU3lVFGuJeGm2yc5s5eWd0i3dVg2zFKq7a
8lNMOhH8kUUAzooxrquUkt3br+T1pMqXblH1oFDDHCNOHojyRJb0CHk2RQnVpS9NclfJNHmuqym6
XygaXqkofZ57YV9YYF/Agse7RhDWOPvXEhGGHP1kekO2iGwWC9qmTBt5yI1IPpSjV10JFcmDt5Ak
4YAt+U3JB7MJ7avrVKTTfVsNFflkcVP84y+A27E4xvA02KO/3O4fI0PpBKyJoqHCq0H9Kaqpw/Jv
XIJKnjm9WAx9KbH6rV2HU0uhTfQO/rNJ28xEfgRgVsE5YeIh/AMm1r7QS2hWHPu/LJSIa6LhINzS
lVdBl4jK2uXCLCmHC6/w0d7Gwkf5+95wFmdfNki09TjSv789Pl4fe7nfl0MofkxEMSdL35ThiO17
igRQ3L5brAS0kgUqyUTO0BvfvtbrBQ/j19qvQc242ueM468mKqxK0xXPZglT9wHVWY4QJTc/NkrY
H5MKQk6OIOrCDzw7DrGE4dVzmVucV9usguJbC2ITCX780bEolYtQMjsbmSj9XGUL/YQCpYjGuYqw
KowLG5POP7q7GTF5Iu36Aov13CNf7aDQo1en5ClXlp76PEwcqUip7MQuamZKUVq9qjGmZA53bz/z
cwPSogK0sqYJ2qDQevzQzRg9aevx0I1SMx+HCX8NuKa5YcvhidjLDhVKqyzA4ORNhygJZekXRZnm
fpy7fevTQ5nzwDWsZI9JIZ4/e0ie0aPYcZ8iNS29ZIdMtEA7L+1YP7x982cmL2sdKZx2gOfzM47v
nbQZ3clopFP70af3Y5qmh8qlYYOaq91XSDTvjJCEpwjHYXdhrL5eypgrKHi81Mx5cCeXTvWlpT6B
XmxwzU74VKeXT31a9ES1amOive+9vLvFOizlL2FOy4d51NM2ePvnnzl4cxOWSXGWEibRRycfjCJ4
bK5HnZug8f5halIZUNBdFfxAXT/XhKEhmoJU/7GZutlPpcdWLKxjcWGHc+ZZ4OPGtE+GBgX7l+bo
H1NnooDA2BFY3y7Sly/DhHdj11WGfkdkVbfsp9oDgI+ifST1SJnJVc15ov749rN4vbDjuuWNUKqG
lMwp4XgoKC3swEsRqruEaGUZDmUwq+jSEeTMp2kbaxiyo0tnHXTHVykBFvVuxVwxOR7KfmQNaGOM
FHUd7P/5wtJ85ifhYmGjwj7CgzJ6UlZJ6d2JAd3OpjUpZCBG1xNOowkyqH/86Chr8sxIT2M9foVS
d7JE6tH6FZVhcxXjVNxmIk8ulJtP8sfX46xFFx68A8VCEBynxxknT0Zk7uu05q0GoXqZPsX4Nkw4
zlX31S4MEtuczPAClet5sER6Wm+w3/80pmGgwdzn3+jDUkBzpfO7SCJsSMIm3pN/DFLTWAHFrBQy
m6d//nBWTyrnP7RB5qlRnloiPE5zxPU3u/o26el9KlFbFyay10eENYOGAiHv2+bIf7ILy6HC6EvE
VUBT0Ytm9twnRqd/NKvYuWXP2l2Y9Y1jF+hfL4Mq2ernBhBjnZ5omxgXDBtfbcOenybv3GjPhkET
wFy6YR+1qBUSJNS3NP8yn2jeMehhSYHBn0wjoEO8XA3Tmp6cASG1OzfaIQKG6Ml5+KrSzFvLw5Zz
m/Zde2Fjfe6TIMsHIDpjlaiBk8XKWKpZJ55T2yCNaziCtslBU+QT//N3TkuU9YT+kGOeglzivkWB
n3OOJaOUAJ0FCZaDx+zCVc7NJZj3qaC5FGtfLV4L4bXWFK7tF6h6QTvbtUm33QS7hY/iEmz53MVW
Mzrji56efdrMmxcpijZXJAhCnb1NpqS9qjqKR1YVeRc29ufeEZ+4AwKZ0hDL0/Ec2ZlZM5UNQ4t2
PvpMve2u8LNaF6pjZ/aKaG5cnYrzioc65bZkscLEPTOboHXrfbb1LVGuPX3i7nGNbEar0lx4X69/
Fx0ZPhd3RTpzqlvv6I9VTnZJW5sDZ7qIw+sG3Wr9IHttvjDCX78oSZgFwGrs7+sBdV1r/7iKriOa
V6jS/HEQ+U5oToi6dSGhBq7DpcyOc7+ISBD6u4J5gGPP8bWGVG9jjfAwX6KRCgAIEfvWdMuFue3M
DpOSncmAsNfBjqbm+DKZikGwQfzzw7HT4PNCH531Irpe7GY6DGu0RZfm7aPIovR+wjV4I1M1HKgv
WzS7IblmYIADcNA/sqn0ngC6l3eWsaSf4GqH3oW18Mzjt7FrUtM3wQNwIji+13wE5lt4DKsOfyie
NFyj1IomjwZsaHx5e5p5PYSpDKy5XwDBOACfzsGWDKl/QLv1O+EA0Srp7ynNXpPJWxzrkdZGT4k7
9fLCTzzTvDi+7slv9PDxz1XFQNYiCpeSkO8UiSPkkHQJeuC6+3ISH8duRhvlqN5+8MbsW4E9pEJT
hh8odMBK4wsfP7/9OFjneLjHFQFujM4KlTL60vRpjh9+YSuayN6C7p7E9Pp9pxZN+yhwFOTXbVTI
9GkpkZ0i+4r0327H9+i3SYg31mn7tH4v67H0/LbVxH1p17ncpfEAeZmyrfuUoHuxDrz43MF9FRmf
UtmiO+udGa7mOEa2xr6YhGII5JXyK7HoBh6RChm/W4cpTmI3i9lAd16bXY/essiA/hUGOsc1UeBJ
InbTgNhYHIGUs8SvTlbycfA4Q/nLNA3vKUilyEaitvwxVnoCQniQNVJ3WaO1C1FJS5+7BB7cwEOu
SKOluslau7Zr+8oopw0aEPVswl2Mt16r40wAO1m1PCejvqFO2BDc4LloYzK01j9mA1samtwB/Z+D
0O8WJUtvB2beY8oQ2pS/R5cy/WpFjpKkmyEr3spEEPEZtaRIb9QYpsNWDAPbKlF16lmyWXgMdfTt
GIjNZm/GRCozKeF4gEOOvSeYxOi9J7ojybdxg1bcx2QTbXV3gkrj1hycN6IHoBrg7jS/OE1p/ey6
OkdkLEfrOgpH3Ea5HMd9WZdagBe8djbUA4E1R52D3S8kw/QH5pH62e4xwKet6Uuoh8Zm6GaOfQY7
VpJDzM6DgG86xQ7UZkw7Km3BcYL3tLyNrofu4xTT7Nm0c1yTuO7G+NG1JI7Nfdwm+WMxpfPnDmkG
CjSCv5shvWoTu9W3aPPaX01n6LAGmuoZxOzybkHvjjw57SVi63k2/SzDmXRf00IogtIQo/AtrGvd
dWhyTIQba6Pp7qKo/wDOF50+ccP6pzJvI9b9EuB14KS1B4Y7zGr9rk+m7Ca0RwB6liIweAN+lxDY
rJjUe1sPtW+itQlKTnRXe+4T5f5I69YiddKNYtwlhcIxjjth8UU4WbZvIb7/ihIcF4pGOPs7xy4J
jddU5k89UIGtSJLic9PkiQmhKC1HH4F7r28Y6dCNR2mHTwRmG8YmHyP9drLtCl/PLPr7USX59ywt
8CZbTv89a0EFXDmTnl41OVvBhRAExqeud09YkjCqNYTVSmKUlGJCN2f9Bth+62zRlRNFXptVHe9s
fRb2NvZEmm5t9B8kycDOxDDvDRBdrT4RWOuaOvyGsQVHofR6AkuiJaQvw/grSFio4/0MZIQMbWeR
T3LUwMQvpdNSOXWmPAow8bc5icXp+LPs0vRr08AeCZZaDC1S9pKSB0Wt+lOOQWKNIOhGEHt0Jr8P
EAIivy6TdvDryCJGvCtMy95jSrIxVk1e2YI3T1RxkwjSC5Bv6kuBCVRm63eozOes7apkQ2gcwXU4
ZpA3Gfn4G75/+QGZJrkEgyGnwXf6brpe8ThOsBjxtLomi+RX5ekT8dtAuj7bZVTdlspNJ8RRofdV
VOX42arcnCliobi9oZI1ORvqaE0GlgRwlC8QcD5oObwVgLtGjyLTxHW8liSG1kasGVtlheShN8A6
xf3SfxLNZJacC2T3sOhoY3FIS+OLM8bhu4RZe/DjLhkeKQcs7z0VoeAhxZlTUdIsptqjSWDFDk1l
jdeNayVY7VSrN5tYL72HsqvyHxhW4jGY0mXaSpDv0PgTbXqPU1l+b8gZfxCkRYCVsEbxfWqGHKaR
N2WCKjimHb9jpfLdNsl+D60UzyoVmH8yKArv0W8l0COQeeDTBLDMI65dsWyqarEtKMVa/ji5JiVE
fR7BTKTAlK/neunbwGqs4S4feoIBpDU2002oDcUMYjzJP0Tm1Lh7KlrWB93AiLaxwS4/CreJv3Nk
o2Aehpb7zaBk/5yooX+yjHFeDsIxjZoSAWXMDRqq/lnEZfgy/RTM6kwU8DwwSkWxWBgfphb+rmap
nnv0EdkTHvL8M5O3594KtLb2Jq/r6kdvh1l8cAYNdvM4qVxtejv/SHr3UuxCPtP5nR0lEvM6mjbj
QR/LsttpxoTPqRFAwTepGcUKrjQdjw3ykeLW7MP2tmEs307RDBBfi5qF2AAd1AufDB7IK61Ic5z8
2Op4udVgfKP2W+IZT6foJmyzrrgeUqNlJdJsOyBnRb/v85a1qpdmpx8MZZOIkZph9kCDOmwD9EOo
wAh7wlYeU4dMkQwxdQZDIp27QcsSe9M3RMZBgFBYazFzdIif6RY9FU0TPtL4xM7Zg9eOd7ELyn2L
ISP+OME1MfZhZ+zbNERlzc+8jia+NaWBhEcCnmLOWwFZBn1yTdMDwDmjOkTuot13OALRLQ+l/b2J
naLn/xnNg15z+1udCPaDXM3ZG5cRAzMYrx488bhdINqkcfOYEWpFDqRpJewgnLJBedSYwAegX4Q/
IibYTwsH95+W5mTiUBE+S4vRnox32GIqUk6soTK2LEuNvSnpJCU+GRTI6DqYYYSvL3Jx94RwuJ8N
Z/01ms3CsaFH4bybdZ2+6yzCnD8mqAfzItlZt209V5D1hFbhmgVZ7iez7MXeUO0UoQUfvc+jAXXo
Km3a+c5lCGBKjRGlg5bQi6AwemKlixeFUCdL62GeqhWA4tUo8iJUb5WPX3ixN1m2DG4Q4tQuYGb0
TbhrLA17vBNT4NyS35EPt2HieD9l60xfqFha4BjS0Hny3CUd8bWlubUxm6b4xj4QKW0xeUQljaMl
CAiTk/kNnhlrZcw+T/OjYhYJLvB1JwqRhak2HKBCUeNMjXu7G7wHLe37xxqH2r1NtvMDjmhHXZcd
n6uhkOqy+uvzY1ti1NrMY2qR4TyiXPRTfPlf2fC59abGk5wGoSCjcyNA5eLUa2YI2GxNuveRyo0v
WSMyZqlFobrPBtu5z7s1zcUaSOUcYkBedeP9Tjtb+zYY9C/FAsELtWNjQt1l0YRnUEblzkjYJO1M
U+kHmbZTv40NLM771kgMnJ7kjzzanZjTQPbGGD3yfcQ1UIoorPxKMhMBndDcL5PK4vwaVHqZ3+QW
AUIbNxmIuXMwFyJMgcfcBh3q/uwKlIx1N5RFpfu10wzS19hEkHmAnKC9k0MDzihvCgIhG4lNJWiG
puz3hqYGdw+qKKmvZxceC3XAtI12WgiIe++NrYXKCSfIBgPw/DEnBO6pSgxv3pICpOWgPzRLbpyo
bD+KygQfYi1yhMSgZwXTUI9jYzvLNFMBRtHsGQmUhRHDq8Qn7MnRB1nNhXFtOHN8Xc2OvgQyq4td
n3mKrTVD5V0LvKlFZ+qmB083p/TaHYfprqRMRktqRjawQaIxlMG0jIC6RzyVBAgBDls1Z42HRCZZ
5gN4GLZopjczrpXUnNtsFnqxdXLoxbf4LQC9s5ka2K/EmgccZoJuBRV+cncV++Kf49hHzm6Zc/D1
bS6N8mAMEuVyWbnx79FJQ+6N3cldXipxT5wZjEFnFS0E8eQaP1gu5098THImEEERJGdOktpIXbyD
SxiHV7URtl9E7UEsMeA54UCdmn01jRkcE6OgF9kRBzH7Ebt5+BARHXNq/90tcwk5ULIWqrhtl0GL
ttBAwNHU/VwfHLtKu8Ca2AVshJLGsss75XS71i4yI6gQoUm+MIBh7BQjfQjI72X3X0N08VuqcLbc
ZNhPm401xcsnhPHNvUSrbh7iRWn1pve6rHifTXFWb12Rh2MQ6WMDW19vCkLKYtNSB2kq/v6/EyyQ
wfVFvlNhjGRFYhIlU2bUGp/uSmdcqHCeO8jTznYsWnqr6nJtHf1RR1GIp8oWAB0tQyPe11rW/XJw
JvpJaREjdeHkeu7c6uqrTgvpEZXD42tJM2QDa/YsNxx+NvHodcHUpd3vUiPEh6ay8e3t651Rhkkb
u4JNs/RFCntSioK8QVqTReEGqHy/nq1gty3a4vWEOcw/w7iYPtiyZNLRCQrKNLd+aJRnbQdpEJ4U
LmnBsu7VBHlp87zPlpXu9fYdnitt2GjFKaAi9tBPJS+oIEVldzWy4Ii7nMeYI6A3p7VPcLH2rq9R
NAxldYluuL7Tk/oB53ikUoJwQcqcJ7UzbOhNyBjmqhCXbghRJoU661MvSCtv2XUOfJTENaGONDhp
L1S5Xl+bCtoqBQUnbXo0DI7HgAEhJHNLro3JXl1X2eQeOliGXzqj/MbGM3w3FxzHO42Akrcf9Zn+
NVd2CDxFK4ZgyzkZDPiSIXcRjuZnioQyK+1/DrFFEUMB2NVdPeSDdyWdlUl879qhvY7F2F3n9Rz+
su05vlC+fP3inVXXY9Ifo4FNV/D4McyJ5pnVJNnIaNNAXr0J30OEzXah6Emkiso/0/hOL3zrr7sn
aF1R29CGRYlKfO7xRbVWxz2+oNUEDENIWbmeDBY2P2CA41v+R76/8MhfTy48b48HbgpUEVRZTi4o
CJtqarSPUOSrXdWn+TaycFgu+PlBbHh2qAfOjEF7QzOWGmWmDSwpaDfjR0+QjbqgygVQNdDbsxIS
zyci2S919c48FJZBBgZCE6r+pyI+QARuHRtzxCYEVyXkiHYnqts4NXei0X9eeCCv20kIrqFlIxZE
OYhR8fiBTJrIC9KY0DuNVXUrZzrjfhebBkfaWCqcorEjDZyhVvQ8LLMWUUMScByF65bu9sK9rG/7
eBbgxVCjByGL3h6LzfG9IKeTNkRFBA2h6ovrylhs12/jxHoq9HZ61JpG/zqH45IHJauPFSjTYH+F
scL9qWm4yy9MhWfKra5YFU6CZB5EzMb6ov5YiRLT1eoXvwIsCWPb5CCllnWfUS+Z+76IK2rbRVzD
C2tccrMXBbwHSGIzhOOhTdPxy0gZcDvUXRi8/aBeD5D1vug8oXvCznKqrW4NAhxVzwBJ8yIP5gUV
g5MoTFAQFA750lySGL6eIZGy0m7ALoKslZ7q8XPAbi8axiMN83JynxVdKlraPbjT3ltPBpFik52S
KYwvwjWmC29h/cdPBgXiHhwBqw2cDuLJS2DiqeC9LGhpmyoPYGo6WzAWl7wpZx4pI49PAUcM9shX
YjqbHEN9VRfG1mJ9IMhQvGuNhYjgcumuMFupS/ab1xMRyxx9MD4UlMl0co6faUZ5QtMk6+wACfxB
4o0OyrR08BlP3YXhcuZSBECv9PbVvIbJ/fhSI/lYem9hu0FLuwRL36XbGYHMZmnC+dL8uv5bJ28L
6yiZ9cx79Pde9j9/fDKRg8lsjAU7hzkubuyhrJ9jq8iJeJelexePcEw3oTZ1t4WnicO0GL+NMakg
CxP2VvfUjQfSPa+tFh1lM2grpyEMd/Zg1VgxMme6zpG6Xrjns4/HMEkCZ/XHFLGO/j9uefRm5J4R
XxM1q/QXjaPxRq8mfZeIZbl6+8N9PaPQk+Zdr6h0PmG2tyfXwhwHQbOMfXrUEJTaYc0cg7DU/0Iu
nrcrV2z8akBzLK5TaK80k4isH781Rpz123Zpm8J3C4RfAVbyxXhfx17kXdgOvegijl4hagmXSZhj
PD4RBLfH92j2ogtJIoz9ha6geo6SmWTMCdsGua1Urecg0kaV720d7PK+nw1PfURF1KEKzpxwxelA
tkILAaoNcYy1a+oGbKJTN8PEHrdCL04DSLuP8t5od2PW9GBRrTAxNgZGpHpD9ng5XRfSbO+GgojD
bZ9H87aLRDxfaZAMaT1o0Mzuu9kYjAsfystid/LTMQWtrW+egEUCz/FPD8OCU2sVshVkr7mftEab
g1y42VdKEGYFdmco0i11QycLMmXl9Y6VdaoChIDqDkPPrG7JJ9Qg+k2289SRlmh+zWkzPJlJqn44
TkrRMPXIyvTtnle/YRM2fE0LUK4bMVoq36bAeYCQiSR+envgvZpEqVtilvX4JvnPOd3jknWWZ2yC
Yx/oH8DrVjp+Da7hgvzx9ekG6QCHNlOyl2czuXrL//yUeFJuooc92s8hrG9TqJwzsC7VxUFeWO0+
WVxt+ajakFzBJCkLcFlpN/jJQGzwWNPYBD4nPZivc48Fm4JHaGxHQJDLBUHT66eB2Q1NLO1Kw5Py
VLNjU+LWZ7p5YBnSeR/Bg9kAGP9n+TQIdRA4kChhvYRX8yWdDCZKIzLlY6WWFMMmA6HjAQJa0qS+
MGrXh3o8aBGHOFiimcGc9RR1/NA1/tzoihVKVtdxIBNbBxUHHVwVfVnt02i2b8ZWNwtAGVZ33cKH
lLu3R9er/QHOAJ4nXmw0UAC7T05QkyhHs1m4A8uotF1nrdQkHGa3NGmhABdmDzJT0729QXvw3duX
frVuc2kPNRSHN0SwtOKPf/xMx30QCUzfCPonWDa3u0sIWX1k0tHfz2FWXDiznRk669F4BcfyY3HP
Hl8v5CtHQUvNpa8zcTXn1k+Fuf7CG30R1B2/0tWtzYFo9WSu+/KTq3A873M1poSZFvI5AzST7WJv
LfC37BribQoDPws6LcZgQ/93zbvDMqpqBGETJSZ0GJU5PlRJN/wgPSvvNxZ9xBtnsKrhQIMhfzYd
e/4eavHAPFB1FNc7Y1oekbEZ97nj9LB/QQ8DHCeEtyPJ13W+zrXuadshy0YrIFoRFK+jE/eKw6kr
OCFJpxoeKlXDVchRRdLqLzXtKUEKGP4Cu9KMB4wyxJAXE8ioLe3YEPcuwuA8yDS0AUFvFf2ypf5c
WORIR9F/sndePW4r6br+KwdzzwXmAOzZF8qpJXWQ7fYNYbfbLMZiTr9+P5QXBm7Zx33Wvj6AMVhj
t60SWfXVF95grrjoe6owbqqPuLbawaLMc/3eZKYknyTF8bBHXRQB3qRv62IJ0rqnTKn6RJtleZ1m
eJwG1acRVJa2EKhx94tICNnyRGnfI741emQUoyFPiuI79aIdKgZWFYflPgBvNfkw1vmLB+PF3wic
MvvnnInz1kK9FSinEOiqXjfy/9c4+dfVs+0/qhK/aJw8yqYW/2cvy1d6aa8Z6mLD9tu/f/ytv3VO
DPUvEFUOM2cqMfJzDuXfOic6OlEkVCBwVNoojGL+o3NiYFGlwTcijXEQQaF8+4/OCQpS4LNgKXBT
4R0HDvyf6JzcgqS4R8hjWB0wKeB5uE29PawWtM0AuAt2zbhTnAWgeqxW03JmAW8/+s0oN0TBela6
NaP/ALtUKtYairsy1Ae7Ynbrmwm+335cdnfU/cXCjOvEoxfhiLWiq6jm/jlk3mLPpwXjkoh0jArr
lWz9pgdSYozgIEwcnEN9VO6xV0KTQI8bpKHwoYXb8qnoTePJzDz6GwCN5Bq7ZOWdK/im28QaNBRr
eGL84vVdUa4/Jd11IUWNEn1yViLbPPmjo39JWwyezZAEbFapMZ3vohYf3/nqN7k+H8sL0tGe4H/5
deVP/vSxIuyrItAreRZVFtqnGt+LZwtDkiODy3CNwYpzGPM8eEJcIBQkZcwVUTQcoRELx48ZGvaZ
iyR6x4C0i4NsqTul9g49++YynZaIbMREZ7G508HFv91OqW9UkAaz5AxgOTt0zLUxg6wqNBH1dig2
auFo267urSMSZX3y3t6Y/vWfbp7rpyMGQDuOs0ZScXOVV0hOGI5XZWcRlsdIzcWTGcfRsUEu6E6J
inCHliNCv2PR+3NhauW2KlBzR6wv2oEW1N65CG/rJTzHmANA5XboTZKZ31KVx8jxcquW4dnME45U
mxvdy2g22lH1+ipdCQVJG5LK6iI9tJ9j6Rkd2i/5cAgUmQV3cYYgGEOrob6o77+pXw8SrRAb2zfI
9IjIgX17+6osvMDDvqndU5GrcouQ2Xh0O7161rQ2XGduOemPefrGGM16n0SRspOajN95RDcJEE+I
j6eVCdnAtfnvm+gDLZeoY/nVKeiC/HnwEsZ5+bScsGnQb8gq652TexWieLNFSLT4voQ7chO6lDdJ
fu1oaZMoVncimHFIYuGVlOU5KT2zoDnuu6Ax0CcGxIJnRWO6BbiwYaVEwPDeOc3T871ZCaeFDNuC
iEjVNgWZn06zXyByqeRufxKqCA5Q5b0VUqJk2X4A/q+01PAuiSoMzeM0RhcYDhbQQM9etNJBt486
bWSy/ckNg9OfF/bLEYYQgIgFQBqumanR/HZdwL2CnAinnhy7C9eAEModFByx1GNpP2sy92bAbnBw
lmO4+fMn31Zg03YwGd/QUtdpLP2SD2to97ngNMyTW+XOJW+BNUjKAOSeI697afVCO5pV65yh49cA
QBjpj+jYdjOl6hw0P9V8MWRdt+nFIDdu4NT9OwHmpli5rs8BTsz8keY7FLm3j4Zs0RNdoZsnqFX1
pakNZ47EX/O51kR5EFZYn5wxnhQN2fBoxif/lDM4LWB6Now5YIYY5A1vF6DaFMKDhl0DZg7KRwSk
Cry1q2qhoTm/wscSMlyhhXeIZIgQ2dwh+NAGPqZpmeZ1F0+W6jvn9zd7+M16blL9xi3SlimseUpT
+1Mgwp3mRd//+aagT8zO4LIntt/GKVejf+0Grn5ysBfGInysm5Xv93Kb4Q1waIIkOESxo6yQa82f
+zi3NsHYFlsHgcmtEHDg51DP628yC6slLYv3Ok6/XMqTrA4EVYIpYZ5Z2NtXUkW0lnBeMk4ckvpS
dmWxprnSprO0BLX6I8/+v2pn3ZKZrhuALJLJNL9gN06r+SloKBYtq8xtzdMAyjCZ4ebVfmgYce3d
tOpfUrCJc3gx6JQbShBvuDvapelU7YEYf3FD4SK4HFjFKnDhKgi7oguuBSVuH2pQraFLJhsVU533
xIFulQimVZP+Mra/ivP9ctUwhLM6C8DEqWjyjhF8A/CrhH5/kH3PkjLP7pFxL41678Aze4I49M3L
SV6YXhnf687udrrEhcFL42xmV0ry1GpVfXlnn03JwU08JgF2mSbBRWOqdLOXRxe2A24Z2qkqVIrX
jtrrmDG7X1GDwk1KoM0j3+w/JW2iHUd0lJ+yOISwnVRzqw1fAb6075E9f/vgIEpwMdIH4RFO9+dP
r5vPHEH0aPqpomrdV5VWX3rNyRd+KJ1HVLdCYJ2y3yZ6NM4dJZGf27rlVlNad+2qkfGo1I1xiCBS
X6zO7V4o/f5Xj+1axUBcoDV3C3iwesajRZZopKOddixAzZ+tyP/odTk+dxX0zzTKk41TpXKP4s1D
ju3sS8tobIvudX1SAvEOKfSX3Jy9RowmRzannsptBhrYnevHXqedsG+wcKYL8+fWz0m/EoHxxODo
5aMR8DDf2T1T5L3dPbSwplkIasCMD96+Ka/BjQGVWf0UZF7wVW8AA1sNkC+ukWqp6GN3H6Gevi+9
3Lk34JMhRj8l6f+LVaDBxQxyYtd5t3qSXtz1+FFE6OK4ep7gHeBW80ax6bnYGlj3Rn5Vi9H/YmS9
OY+m34f8Ua3/8SKoS9G9wXoSGRcmom8fhdOUyJ33+nhCSkfsAcLKO210zRd4Z9rR8Tt5yPvkOCI2
uejoxXwZK9N9Zw3XJOXt62ANsFtoC7MQBLNu1tBpee2gGH6iD+sagKTV/BmPAe0YZFPc9NOQ+zuJ
Y3uVDaM4mqLQHvuskK+yCcW4YJSXP/tBjFpg1ZX1JTaaaqu0pn7vFLmFviaJaRC2cltqdnVJs05u
82TA8QMzNMxLkE5WwUfWIeNWZlpyey23nLEjpr3zsH8M1G++Kl+TN45gJjON22KUmRImzk33d4xI
5ECS5OThWoyWcz/QC9yXGKkv8Hj5EjVO8pBNVSDENWvf4KcxlwG6t6GqD4cy0x+D0DaXvQKPQ3pp
v0wsa1wElQlro+qMo6ytT6XRWnvRj922Abt2DpWq+sDF2M4RI2MAeK10wNcap2Ls3GHRel1E0IaE
vR6FaXIU+uGB0XexqAUI/CYabazypqIIkXkKU0Ua1t4bwvjY6u2ysEdlj4JdsWsqt5h5cW2BDeyy
T0UaOOfcFdly0KTcSggy95bZB2x8jb2FFca3GsDGA/ee3Cq8qq2NxOrOy4fiafDy5vtYF/oyH6WK
GZUe3AnunbWXAFOrekV+cFpF+ZqnNS4fYqoLIOKya/DYI45gx90unDAz1pFwijs/cfs12RhbhXzL
vcetEOUc2gP3KPmLfYpjUDnG/s4MnI/0eu+HUqAzrAYITyt5E75IO3IPY+aly3astWOk5e7OKGS0
K50qXFsUhn0aiRUOHM5u0AWgRwhAa91v+/3Y6ck2Iy+5j5oW1L5XDK+ZI+IjU8xwnWZ+v4jTpNsX
RlFt+9BUPrpZ94oxkXfsBh2aszL4Ylv6rj4XRgrXqvF2ZFvKqqnBo7qRJk6u1yiH1B+xccpQsNmY
0jprSdQu7Hw8hLGC1VOHJNfWmm6WFCDyQxrVxDWaSh8cLSn2iVtpQPqEw29ef8hUk+yQYzbxiKve
zs+adFk6kQ3RoguDfQkk9cddZU8tUQVc8r6sR+2oZJxgERXWNo1seY6DUF1PltfM3yynvxf40yDc
OqWFGF3KbdqY1r5oCh7D9aUB/dXnPpnc1yiOQajiRrLOKiT/wYRm+ow3V2wGPFcw2trXeSA/G357
l7Sas+ed1nPLAsLHBYemTmUBB46SitGaH6wtwDZP+dj3c1FY1gEagLsr46Snw45uBl5nKC0GZhrv
r7dRUNghvI0CVcIMeZknsLT5nTbEzRa9KwUZcJks0UE3j/hFyvlg9u1XfC/lOfMUiSmT0i7CPgN9
mWnjagi7fOG0AfDZybYONEOrLI208u4Qv3hoW3c8ZBgWbsrOjBchYukrn52M9njQynluCu3Za2E0
zNShwK8nzcd8UTeIVjCEQ47EYPo3G0JFLDTE1uc6VJ+PVRH2351O2Sq56W/V2HP3ws7RrC1scy66
9IOGLiih1P+SQt1+qHvH+YI24ScfeYalm5npOsgS55wU+GXmIPY316goOGYXrqEV3RAWFmbNAgHD
FM8o/ctIcD4WmBvPqqr9bJRCt7HakO1L6VbxltgvtxHmWfgI4yViAK8wvnRWV11Ie+uLWaocjC7l
4PaYC/Vz1TTHbTpI8SUuiX44Mg5zvic9l9Zx1xrcdEQcQEkNQxkcfL8w13brj5ciSTPELPFE7tPW
n1eNWp0jXIlWA3S0k5LWwRYcfn5srSzdK8Al9JmL75KcYcrBpesgFL9kgBWhku8WH91I9Y9+bgvK
MYfwgqptv3Tq4cHXvWLXqXb+nAvM3WYgZAgpwMSb5djZ9NEMhrWYzEXFsygMvvO1Bro+vWSw7fM4
QeyiMX3xmeKWePaJaJ0mYz5T8eK8U7Q2eTEBdX4yrKr7lgbICPZK6J7sVCqPeoObaNXp1qrEvGKr
IhG/1Uwk/R2/rpZjmOYr2Tg2iHwFhSgfPGVbl8UcXmB9cdzJRTYZSZlHQQV2DWVDr9eXHEQx44Yw
0Tcireg8ghChAuitHVeO/sFOieqg9p70UL3DM6C+jJmP7WWuQD0FGqXhSxajPKuNuxRL0XVcDPGh
cmN2czBNl4ZByz+YSkOHBphLx/eU+oLBR3mwe+9TWpv5a177tNScXE9neK+qz9IOH7JOxwihg74S
iXbvBkawsePEXJXI7NzVKDJuGVhaGzduu7mOz47KDHwuw7x+HPQuWnilay3Bt7p3qUjPtt1F+7ap
rXt3yja9xuHNXXtXVRRo6CgpmbPWCbc4sD/qKs7v/ugtSUrH1xCu2B1QBPmjmRBNyRHSu+ZaEZEz
D3lVa7TaKN2NQOnmArGMmRck9sxWhHqguE0WTexV6xbR0TmeKgF3myI+uW5+sBUrWnUoJ+/VLmig
Okj1KaXdunahXL5k5H0Q0pLAWUQjTMDZ6NbVRYmmDjLU0RBDK+2biTf5R1Pm4KXLSB32hq/pc4w4
KborYKaMvqBjYc62bgdId4OPry6Wj8t0RJ+89Mz4CMgQ18EsLrYNlmProlWVRZd2r6iV9HfYfLu7
GP2/pVFYeCc4ZviI6pG9Q+eYwKbjtOPquv8ATLje604tT+DaKd7RSLI4VZz6lPB/sUMzOfXlCL8A
Z4P2s2Yn1dO1CXJN9wpbhveFEaevUPXoymcZrqOMHoGIQhySlgmWA+XKo9axHFibwGTNoXBODm1k
DIlRPKu9bviAeIGyG/OsWmaWXh4hHoRryhq5ddTMnBsqbLN5wYPcNgWp5kI3Krn1OOAf/caHF8f8
5q693pBFNG4ZYhfb3DCykt6i7uUM6iJO+dh43GYSo8LQwHQuaqezrJO0BYVEGwle3n3mqfThLLmU
kd0GC2yux1UDPbjj7vIlplqh6z0ORmfvmzxX1qRB2kVV7G0WdxZsNN9yaRyGkBLCNnLvofNNWfE0
BOgC2/6sIsfN14+Fe9/rkBxmXqLqzzlpBUVEWXJ3F/ABmBtTx2FW1Y78TtcVVJRTHpmNbf7slVOR
1YPy5gTYbvMQVfzuCIVjHzhD9SlgPLkGvyZzPNRGc8f0QOxw57ZfPL2vj6WHwRzgGneEmaBU+xAh
n2amjFXx1TQLPg7jD4zG1LF7qivZPAU5VtyuDO0V2B4k+l1tzLbSH4i+uuI04HkMnfVoLXiJsxm3
trIcil5pjjiIoSIWxv1Dl4WnGF8g3CCxAJNIajntI63j6pvaKO2nWrdCnNe91F3YBdmEi2mXs712
eRKEDGFy+sonlawXK5TCqO7hCRevstQ7lNQFDqqRmVOPw6NqgOZXwErsQA+3Wa2vwswaDyXLeSby
lHBGbItWleHKO7hw2GiVufo57HBPn2ep6Pb9qF8qNzcfxiQ/D5F1wZLLuwxG726Jo+3Ma5D5CzXU
gSZXji6VuFn6As8wEo3lgOAg/EIf0UrylUCZ26BRGZvryiL1m2RmOPmD5avxlo7ssCyqyQRMsa1n
4eTdQcModSVQR18Zjm/vRynwQEN/RdXD8JPriC+MYcjchE8Xe3DgX+t64QKAYSYX19iUmnDeZkk4
tA6uyEb50rsYkCKuYIM2rTOl/JpXUYFpIwy0YwYLK4PMbpjf2Hu+t+1ZX3SH/q0LoVcO/cZJjeAT
FHvrGAiRf8+83O5WyhCKj0XqmdHHZFCnG8Dt0arVeqP8hFhapRxiiDnIQEV6WhwguCufRdg6ixz/
eMhZ/bBOqsSd+wpc8MAJTqlrYFOYNjsd6NOxs7Vohb1bcRf5Kh6dFeUQtqzJfZK5XN7cA/EXIqIx
zOKwRxzPDglmSxvCw2FwUw3f5txzvsBKdyZpskrgdZxl5ockqI0QKdKmP7VV5TVnvw0EmgH0EIp4
DXZD/aANSca/5/b1ZYLg6zPLGMN158hsiUOuc98OMfCF1sfijT6zcz+i0GfNLYy6jz/yB2zbKncW
oBF7ykOjOaUlf0QDR24LxU+XTdvwXzZ1rD70ZNGpr3C+9bTl6Oip5Ohcfww3ynBYSPwAtmqA/zc+
NBrzxGvugQpwuIbnGK6vP1r55FvJ0HDe2852Fx4CqiuwkFOj0ajP8cjWKBHVP3JpMlewaUqhz1Y8
w6vvXojnEKOmUo5rmE+EWkjGm+YkBa70Pqqy9tVFZ2M+g0xFkj838JgAHPah/b0JO4Ryrrkk5tF8
lSxooj1W19betpsYvlnP1BqStfxQTwVvkCJyt0yF1b340DLwvxiAyuDT5wgxmQjy1Zup91fHJmGn
z+0651Ahhr8kR4mdheP294Duq5NiOvXFsHxzZXsghTzh6z+WIfOKf1AJAF0QJU2eWieibDnmA5bK
gRe7uxFplRVgtvBYjKBJEITI6ItqCk5C14pVBJ05E25RrHDm7TdDKr43rWvMGjiCW66Dc1ekyrzV
ymybCs/fEB2cS4BV6FyEDZcUX3FGuhtslNhPdkrrRYdEkFspbhI8VviD3nFmnW6OHR3yEmatPci6
qS+8dp4f2Wa8RK4gWAI0CfxZoKf3qemPOL2OBmZFQll1jVXcpXWVHItM4T+C5Mu1E6J1FsV4BalS
V2N/4Y1UEa6GJ5WnuOPd4BYaDFvQkF+zEJjgrPJD7I5xJcmWSG6zxbKqPdMLNvZ4MiSrZAhDxl9c
UklnVRcNYs1L68T2JuVGpzpJ2gU9KOsBwt7m+mrHSIWsbcaQVJeZSW0PNjX96pB4P7bIGy7DLv2I
ETLlahsE6byLoOCZWmQ/pbgJb6n/9Fk5qjQ/4j5YStANxwg08GwkQ3hUkCvtCJfIMswCEJ+rPqZq
SDsRUm6zg6OYpl4Q0852hjAiyk3jgB83quHjuVowU9sWU8dC9E6/pVM+7GC7Iv0ffnUM0zqBwa9h
/VbmgKwhJXnX6s2hq1DGAENv3DdDWb54JnoSlShig9DAA4NgqLxWqDgk86QbDXMW0B6+78w4P6K/
XS8VpBHxa49C48UKdXWDf2Q9UzwV4kGeFv1XDQYefS2VNHFo/GRVuFE494N23JgiUbeu4iTLzu3j
01hCyETEI/x8bdAEicJh8YfchmJTOMMHLmfep2MjI+O3SGfSxvpoJgPKBnFhxZ+hnLqLClfKYaGJ
wdongZt9S3rfP1+3ewGL6V6SWwSku5zuOIm9Od0Q477uk6d46l+rNsjWha4VuKb6Cg0BG7mIY9Ep
RCMjpAlX2ErIBkf1+O5HOJocXCxnzGlx5VXtzLo6REomGeuLPfWNYVPDIu99qa5qLc7pgGT4SJkD
CbyldKU2q5OEMcVI2Q1xs0YApCwDafE3CpIdNabNh1TPtNNxgYDYUbVz8lpxukY3kznpBkWix7AM
3WNbkfKtrl3Ca4lEp6MIZ6GTYLBm5NalnNLJa3nHfUSzsO44hTCr8ntXxgZc4SryD1KFttExY7yM
10BcqnzpzBd71OLVcC56tNMa5nw7U+nbvWrW+bHXzXrR9zG/NRa7QhbtV6tEescIC/WsqphEykSJ
ny2kErZhj18vKjlHmmPKQ9ZUFC9Tpy83xu6l1vB+nLHX0rvOysvnxCwxRcb2Yp6UTf9w7Wx7vlXv
7bSjqOnTVVdY5ra2s+qUTfdOM7W2rg1J4A7yY2KKfmfjAUkhhotRmfvBUpFTi6hCveQhrqLsmDAx
v8frN1irfdMemwkO6jpTYM0d64uhO3hJThefCERzFGjRzEZ0er8zusE6uIX/q5a9ubIMlbSx9QlG
SUcG3adqelaLRG7SehDMIAzvxRkHejZARNrMab4OqdpsrUEeNWOETdXUKVIWuPUkiuaulEpx7p0I
rgkajGTlrTvk1cw0LXG0whHEQl+xReoAX8jKjAn8dZ2ES5T2JyquqFG2ib2k+aaZUWDuYFDzbTBi
6l4aa7T28bVXcb3nnaDljnLgOCDAUSCKuLKdhPcwDYAQnMAAE0DtEjhacJ8Twtd0jxyaF+rwcN1L
gIC0lfRMmgayzXZG45XrjB7sFkaDu3ELK98WfhptvaJb5pmPl47aiif4vl+GsBEHEhqSMijTB9SG
NrHZ6l+htteXZJqwurljblXf01demYo7jepgpiX98ISEYv/km2qMgjiJgZ0Z7horA3OXtq2+kqZ7
xJGwPXgSU1v2U/jcgo7ZX3f8Oz3xX0eyzKEgoIEZN+Dg3nbEizpC/ETWjBtxEX6ief7NHUO5qzBc
mbWale1KqbrrLi3TB/gJH9u2ZQyqKy5mB17mv/4A4hQgMNaJ3fnnP6/uV3gFwyHoE4g+25MM4s0E
F3Gkhjw+Hk/Ia0fzmLl5HCoGfRJTIFKPj0q0x3lMZAs1L3zvHZrkr3ibyXCJPg+mkRrglxuAVIjg
btv4invK4ceR9OXMCdSpRFPRobjEJsHyz9/2liXKzQRhEfaZB3MHldZblijpbRvlaaCckBgrlgk9
vHjWh6r3DUUQ9YTrlvmgyL5F68T17kSoTe6ILG7WFXW5s0Pb+/DnBV1f/ttxCQtiSjeNU4FY3lIG
9dDkDq5H5TSa9KSQufNeypF+qlr63aququ9J23rrwHCHrTP2I6lHcI/4av7dMzs54bPUZj7YebHI
FBUqUlX6ezUTZJhh6F5MDtim6ZrwnXnWbx7jpGoIWtzFY8cFX/12nuXjL2l3TmGe2iCMxGz0+vz5
epPSXVSX6EcUd6pQP3RZElH91blxNnIpXtFTlXeJk4arPz/F3+AQYJlpQNfRQGQz3RLA1NbTkxrF
/FOdNfFyrPJ6oxSCvlGcoejX+Z9BndZn3Cr9YWaiQrX0MRE9IFSQzBvJzBdOnDHOYokxexBq2rlU
63LTBU68v94XmHG79+8s+VesCksGbaVivGZOUvxvH6E040wgQmmdkPZKDo6KbXIrzBjB05YRjUsl
VCNCvXWDwXru+7JaxUH3DJGZqngqdOgpuat4GN5jLt9q9nNCWBc3hga3yGZ1N68WrGluUwubp05U
0QcpHX+NNmFzQYIsWYRJoN+n6HPgB95T1tvezmHMA4U+qpU7/Fbt3aSbdTTAgi18w65eGiCYixaj
vuU7z2/CP7w9OK5K5WmzRlyenFsswgSb6wIl1E/xdcJz7YGFQ5w/h6T5M1bW0oikgDPK5EsWRvGi
00c6rdM8788r+TWIQbQFcwMS2CSC3oKgyLm4dFQGnteBLjbi4zfPKqisjCA9otn23uf9ivri89BK
9YAfgfi91Wbs9AKkcZvoJ0P6kUoj8YVxTLaWqEidy8619l3ilduuzFuGMCQFf/62vwHFQbPkswFa
qZ73i1pmWOAtlSBgd+p9rT6inkZHe7DdY+MlNLHrdseEIT64qYkpS1/nOJ0Wxb0lECaTWaq89DJ/
crs0uAeN9N6T+c2bgDJi8RIm3B7+OG+PFDYi0lK7yj6FCXi4K4Iy7COAKmaXP1eGX72D0fnNmyDm
OIA6pvsLeMfbz8MRQjFT5sQnj7tzYxlUeK0WykccaxnjpIbCXKkxl/i3eDvLtN41UfwVIkTbVAON
NkWR6dy+/XwI/zDRc9c6xYrVbG3ZB5vMTbKXwh+qmYYKujZM4EBGvB/a0c3u9MF9qrwCn5W4szdB
2bbvwK1/tzlYEE1WG9qqjurF2xUh46/mRm7bJ3p29gXHnADItxEFqxxAEY0M2/lumswTRMkB8Qdl
0xRxvUb1JUtnvW7nS60W4dcOz+GXfpzgDn/evL95YTwlHjVwSYLG7WWbmwZa+ZBXT6YWTz3v0mSE
1aRUy9OQFh/R/uWaLF/jVd+PjCb+vIDfoJy57MH5QsHmCNFTf/uAsMtClEo01slto+GhQqOKVn+M
SsUQ76VV1/s0SMeVZvT+Juz7ZA3RECG9Py/iNzkHqPSJA47ulDeZOL5dBFhmaY8E9bNnNTvAohnz
uL5et6PPOFQZx09uj2RIUdL2YRhp9qg23cd23OzR4Q4QZi4Rna706ksTaMjLY3/1LQJvdLIV2ino
qnRYc2F3+s6qfwVSTaQUk/SY4wKG5mZrJRadqz6vo3M1xTg6Vs59A0Fhb+aTwtp17Ida9XvX9PWf
vblmGIqgRUhigT7trcGBiKh+x0oX5576cm1bTX7RoDVvO4XSq8o0ikRQju59EAu2K/d5jBwGpO0Z
CYc8D0hxIYofoXSJdFXyYTDNR5+Dit6WqBCRa2jkX0EFmazo/3V0SxjJ5HOTwLsa4v6pwAMDKQDp
mEibYmvmR8W+U8GqLRotRRWsC7L0Q3adMwwTdF9VaSignjAi3zfWM2a2zYMYPfn8oyPyY/6cR4O2
GONQ35QyHE5ekHUvf95ivzloHimVjSA14iCwZN/usLS149LseVnIwtkHK1PjjQA+8EmYujZPEVI/
Cim01Tjk6cysquwd5PbvPp6cAEAXkCsO+nRR/IRTxAiN5hN+dGdYfcoOoY/4R58H3kK5wYsThflA
JMUKXP5LHhv6OzXV7z7ehfuO4gig7F/KmtaqjKwrrfisQEtqZnAxAAdpRrBlhKNtNH8cviJ2hxCm
MWCqMgTvyehf3XPfblpvQo3C2Jq8aoxbYiUSXV6LcVFyJvazK68dTRRw6Sd6Fv0TVp4/XztdSLxp
yDCK7LtWugIYSJHQA5AThicHELuWvmt1izoBIDPLm0o7tvZIw3HQB5oJpi9o8piVLLZK2NOhLtQQ
AnDIH2mShv7cAP8yzohD5SMCpsPHkTZOA40jcbUFmiV037DPYVFKmjFsloKPhlZA0MkQpIzn1xFB
U/pXCnwGZnSaJkB97V7iqa0viiD9hIpPcam90d/Z9G72P1CM9gS1kHoFxi6ccLt/3tu/VszUrBOn
yEU/fiqabzZXJ6GYmYk8B72vH8yY1tZMhKmGlxUkCfTfkAEYMJEw3R3JgfGPs01asSghwgqf3rB1
k3PYNVqXCeQhUj2bnmcibCYyiasenYphglMbcOD+/H31X9IMGkagWF3uK3jVKL+//cIi1vUkdZvo
3gqTct6IwITRGUlj5UrGP9c0C3pZPvcbraa6ww0nKaz6XGaNsnTy9G8Mhl466iquEOdi2s8Tc8Bh
XvNTAme/73xQxEE4friSwCjE1Kc/fwv3tgsDbhkbMs4kzhsOYeEGT+3oPiZkzdCcgirMD16pQ+w1
ixIElfk40Fyd0aSKDzJt63GG7nT80sTFpdToogHGwuQEiLe1ZcYf4UE1NUik34sFk6VzN3jpnYyy
T1FcsoNbLR4/0yPEsXqC51G5F0+uMLrX2NOG83X7MjNnKG+H4wMC8Oo3L8FsKVXtAnxcb/Wf01HX
P8aN025jBuX7LAz7jYpi7yx3CwNF0ULZaHGM5GTX2ou067JV2jreCTstObdQS1jUg+UuGTHnGhvT
S9HOA0bkgmL8wrDIBHo8JLU5B4cTrq/5cRap3dl1ohgOT/5BgUeCaYVSLluraR5T5Am90Trp5hit
ACB5MxCbypfU4gKuwJIt7ZRmoVvXWrOOSxU5DYcZRK7X8XfhKdnlOuML6lyP74K+lRcdX7V95Kdw
jEBbvrhC154x2XC2QOGLlecTabLC0sN3dvFtbUBJa6KJBXgdVx20G25yZcvrsgGhf/VUZGA8lL7h
prWmsGNa6dJro/7HDfiPKMhPMuXXf01/50XmAxYCov7v/3rz/+7Cl1JW8nv9x59av8rjl/S1uv2h
N/9y9d/XPw5e5UQLfvN/ptZrPdw3r+Xw8Fo1yY9V/P2T/69/+Def+GnIX//9rxfZZPX0rwX4DPxM
NYZq+dPB/IWgfCez+jV7DUr5y1/6wU/W1b9QvIAGSI3rYTuikwf+zU92/wJCD5sWtZcrZY4/ycDP
iH//yzT+QgOGjh4cMRMOrEUIA3Vx/SPtr6k64hrWqEkwLv1H/GR+nmD309XKrc6VOkkWYL5iTbyr
t8FQsRAzbIwknidGS/5VQWKq501b46wlGHoUM2re/jMq3bXOUBtYK87ALTipPkvqYJNoemQvc5TJ
l22a6+oyC1z7UFV1NS6jcKhDLGsH9QlR6VibpXbpfIsNt0NELE295GBBll10iZXimKcnBfJGZvnq
mL1Ox13xnFU61NbCdXywcI0/aQ0WQdeezMwEW9sPPjx+povDJektFVULkPcMcItRrF2IhSvZjtU4
p1I2mIMrAPwy1N3QzYbWF82Gvvw8AK2/MxHoFzNZOdXFYNqHSgVPQJk7vulrM0oVJZon6YhajQWx
caZoFh4heYA6UWQoBkqfpvlqM+5QIEGVSBMViObOFYFlKXow4f+wdyZLchvZtv2VsjuHDHD0gzcB
EF2S2fecwJJkEj3gcDjar78rKNU1KVUlvRq8wTV7Mg1kSjIjEAG4+zln77WDV71o7HWhrTuNqtXH
WtLO1NgRwnzWbMZcF4Ep5XhVA+oG0Yrx+Uh/p1nOKxTzRGcV2QNnv+wCkMO2RENd+1XsV3ZzVXkb
JPacj/vVqLX7PAy20EwZ1+4TfVV0IXLsOnSyYSn7nQy7nTULucaY1qSOpdl4HZ+NmG7MQKL66px+
euwND3Rvnq0rWg03XXwEv+jsotEPuAjprNWPanSdS9b06jqbHPur2472eGiawAVRCdsa3dfYhOpy
zRrrQhQTCN65Hq1j2BD9xMFyue2cKRh37bY0J1GRUxIhrAasVRhquGm7Zd/jIIPSmuW0XAyneO4t
GcIn1aa7g+9jX/jj6DloXkKDa0HJtKLEDO/guNdP3OA1CoPJS5ddYFRTvTNSzCJMwV0ZJhzAlLqq
llbdcBjbPgmM20sSFt00Jg43X3AyfGk9NQJh2ji5VkZnmgjTXUa7p9xliGwlhNbszfSQzSQ4Iq1H
xzOmN3rtznaOW5jLfd2j+4Qt4WgvJhDVdyO5hkYZ5dIHAGtuZ0Ml2e2XGSlNEKrBk5x7tJW+qzKd
Xs7lavIaP0keLREi6CO7oj41rccppUDDHUb5uG2UX8FY3Qxh68NM95d2iLiHwMAHW+4TLCEoVOI5
6wwV5cbAK7gGS0lEWIF3hXDWL3dW7+hrp5w6YyeXeVJJD4/5PRcMT0+bKafL0BiyCxoc1tEX1HqR
h0u0SbpqVXD3HFuehs5v+r1LtAjEZIRUbcyEq8T5PZLTnM5mkoX9cuvPdH0B2vcGN2bhNC7l5GDe
NgDsW1R6ZOw0djlzE7cmoGwBXd950A3nrYhVFGnoz3X5P9rA/u92p2v53t5r9f6uL9/k/4ItymHj
+PcIjfhtbd7af5wG2sLfh9/vUue/9+smZfjhL5whQ1Y8KvGz0YVj+K+7FDfHL46gN3oONT1T9s7F
52/blMXfcj0foBsKqXMwPX/rt22KH507GzgS/V+rNus/wWh8YG/hUrJ89iiouOc9j/r3QwHcwnVu
W0mFPRX010qRddeY90HQWP7eGpZsr22reKVuJ7hDZDc+tK2D2oaEUnmLZTWhlSFB+mhqdOOZWpHN
wIWEH4XS5WZwEOngyziN3vRao1T5RiVn4dhnnf7dB3/z6676DxwVN13R6uH//Jf4Y4//18sA2kMy
E/axc+fuj5tt3tdVoWxl7jebA1ZWPfpyheLWzxWWjoVBOzkah7xnM4hFLtsuKiUpJF3WTce8UsU1
0Et5QGvvfQY+Zl+YJkEYMmgJ7iF4erxXQSXvlk0+m3UZ//Vbt/943uStC/sMnLDOMwEPRuqHokkE
VdGz2dj7gRlGjlhYPQRITl/PO4eMSa8xY2+R3Vu3Ou2d7OfHvEd33mbWeFU0bWPHjt2WN5PZyCeU
OAQdiCFMdYSEzESzhXQ5F1N4anP9unbKPjXMHd4MWwlWt7Vpb3UwdrFhru2QLKZ/UmEn2J6ga58t
7GkXOUAG9mtePOPhRsjiOVY64b+hT498RZdf/5+tJdO70qN6/wdLyfCP/dh+f9OcMP8XrCrW+e79
98vKSb31v19Mfv7xX1cTB7oO7WiGqWSXenTyuVd+XUzg7vg46bj/z1ULBfj/LCW2/wvPA7X4P39I
D+q3pUSEv5hggDk+02lmFQCI9bPo4Lj/2zNHpfBvLd50FT6ceGnhnedsNilgIe7AjwNBn5AmiOZm
m8CCh0Sh1MDsoAWKRUCGPuVpUR/TLh3CJGMg7EVyUTOZEaiC8O0w32eCvuRufuvDQq8eTCS6JEwE
rZJoLpmpkW3USTcyOQPLKxxuUJH9ds2Q2czndQoHQO5dQLJr/AtvG6A1RtWg7P7L2DcOLpWO02AM
OySsL8q2MpwnyH/DUJ9jgEg90qiLg0Ne4y4y0e/SZ69Gc9sTbGh6jAjnOr0cs9GZdyoUc59gPV9Y
6cbaNCNgkuVNoAbiJVTRt2UUgtGDb8xEZ30kYgetcrpsREEQQk0yhaKkznahPac/Ss+z+x3WSFoA
k0lymIOgu5I9eQO+U93SKVmcR5E6OM3Wvj8ruXAGdAYyIUHP8sLNUjRyjfRo+ZaidctoHFc4YfPo
Z/4hxGbyUNi1kaJT9DFfCaIIrqB+tf0uHSvm1/ay5tD7i3y9HmoO+5XboRWr2vItkMt0bcHSXROm
5ITbVFrZM2cio/vupLPxqR6cMojLTXLYtVBbuUnKFLBIejxOTUJVxMoF8s7K90OPNosPoyg531vn
CKxDBuzVQB4p+0entyg+BFk0l1NNgMmpwuWmd0jkx+xH3fijeNDSDIa9jZAhiNex5gjaB40PMX8i
VSeeer/FqkQX83LObKfau1Q6a7RkFbdTlo0NksgQtUjkcJjKd/WgzD4mQ1yWJ1e32aMiy4V9DDB0
s8uwN2+RTKfAjw1jSO9yX6OZ6GnvTbsgrIPv6XlasbNL2dLbAWCff+5X0d7R+t/q2O/t9H0h8Pap
IZZN7wCpIkIqw3DtY9XQv0kQVnXDjjaCyPlp8JqZpnG0a7TFh7QNPHURGv7iHzys4H0iMPh5ZIst
VbknhIEXIJlr3hfsZlvSgvizTsFi9GYCTH9baPKjpo7MfgrVHjFFcLcCw7y0F4nggyW9wTGWYZ6L
0G51gAvmgbAYNvr6us7X0iNAvO9fR0XzLrHatUO17VSKQAK36fVh8TUJTpmTmSQqzKnwL1dhWqir
00A1J9lM8k2YYBdj28r0DxI2yixx3WqRcbMN6bOnVx/LymLLxy13xyGmbLCMuJ70fFWWivRladXs
08PqpJeOlQXubaFI76Hc066gl4VRJFrZI4m1F2vpwL6ZgrfQykYgXvY5vqnDIXJ+3L3h3jSITNnN
qXKIICTgSe4noTeSfLC3yMt5nIeJyiAtqqSRhov11eucx7D0xbCzgxRh4KDCnoHfYDf2Xg1GUCXj
vC7fyLrPswT35zxEgLr0DUUvKV5WE36XDkLS2DSn+bLnViDCc64I7MWDxJTLnTZadKWXiiirxJrH
AyeTVyRt1DCIEiBtr7nn3dTsyh068dSHMrFhB6UulgOjoLok5qqU9midyD/DwOap0oJhSuxjsUfY
YDr7suQdRKEjmzBaSKS6KsY5BGJITo8NYaYydWSH2dImBDvgi1odTzXHpssWh6w/J/jm1D1awd4a
ZRsXiGDLOKQdkCWoTxs++CxsR2CEVUVwWefzvdlCpXvgj80+yz3xtXcbevf97Ngvfhd6VhRso/i0
zq6ySTXrhzsn9YG8Tyw6a0RSZdMldsNSSK0shNi1aWDd1aLwkIwE+m4wh3Nih13M6lASLsalirM3
rXOs7ThS6YfECdf9FNN6D6zY3Uba2LXTpC8uZ9cUCiH1OlH0tpVzMOoGlJ7a4Z6z58rAKrLZcV9s
006U+XXLTlXgsCMjDqmlXeSPci3sk3/uOW+ivLILf/rM15XtVm3eVm42X1MHJlkFoEDWWXW3eA6A
qb6/IcjgrnaG4npt/KQNDLB7+X2qz6nNhfgEIfImhZMZFeS9IH+ebuzV3bVmf+FVLuJk9LImWs1V
o+3MbfK6TM9KZokYInXpfCjzlGdbkYQDIc6RPTyxx1W8gfTOb4PysVrnJ5ktxc7kTZADGVdqHL9n
5nKwGvGEgPOUFrmPs6fihVLv2krTQxW6X2cMSb42vFhNK99IKuSRkQ2PrFVdbn2Z0oE3QMeWXzuv
QtLTjLEx6oteDM67tJb9ymJyqX3Mv4tN2mAymk354mSwnjy8M7GehuzkzflDz2+wqtRFjL4GOZGm
pWmTcNRyvxNONPbHXNlX1Sysc2h33JjOJ7Y9VjkMMVOTiWuxTsGeiFEvjfAbZztncrMkFUtwG7ae
OG445tlXciOmVfXmQzGK8fNUJe02YDFF/Qlqw4WemgYnPFLFYb2ui+a21tVnAzwZseQM376Pyr2s
SO/6tBGgdOu37Ci02KuEX3QzG8tVOcJ2aabOAzyPEsFZy8dZFe0lXztuc7/zPoNfOVvRl/kQtFkW
GX3QXlemc5u3YXGYXG91D2GlDoIuwdFwqse+qWusIuy8RZ0XSVWOn4STPijRhMfeqS7TMHXuh2mC
cE/i6a01iiCeXft2UZhtmmBuv2Dp47WbPrhJDbaTzTPXuNVs1djGr3QQqjquwgJFFbEm+n6aZfvD
9dfusxN01qGazi7g0fQuyePFx6mG76LM7FNPImZHJTCcg0sb9OSUEgi0+/ehgy4jSlHiTnCao7lm
3b0nCdkjDYjQKCyK59DB4gbsLR6/gqy+q46IsITw5IrdFWM6wUvzTSXDimiD/AGTxrMptXFrcVQl
kVyoXVFInIcTYPs5+1bX+ouJx7KkjHGdeyMzuwfcofYew6b93bfSx9Jstse6wdZLo5fzy0bi4jpP
0ewU085q5oM9hX3c53V1zCQ8aI4SQK6d7wSnxdAZo56D7K4IM+PeL2t2PTqvibtiggCd+pl+a3Va
9Mr79zmzkjBKRLN7VW84m4S9XA4W3Z8id8PyQMvQPmknPBmVN0QIOG+7tt1OZP0QiIjBAdxqvUdC
V9+M2Oi+u3Z9l87bC0CEHwVmvVuDYeSDcKvyCxN4Kx1PyJexrBZuv5Hk5bXksJEAN7SnsjPdsdux
oOIl4HFu06/IpqV5IywxVZfCwmeTxQGx4+6PHsbZQqAn4BI7mdNe8x2NTM/vlGZYeIG/cJ6oGwne
qX+kvSFqP6pSRcaWz1EBP/3SmWXbXvVMesNmX8/+hIe6orfWfcN6r2Wx6/RqLU3CmcBuqyt3M4is
wzFRNPSx5Ip1NqpFY7mk9SHhqm4JNtI9PG7CJgE/gsCYdzMtKmlfeCvpU+UBfWNHk0o1hiXkDcll
5lJ9zrrCbNsbTCXAGG6mKhRV+ZYC7u+bZEin9IcZgmdALuZ3vKUBV90XJysXoqjozsVi8aw+ATnl
LYfRlt4dKDaOyyaUgz1aKJKqIm9ignCljNKwH8s2kC8otyStdpFb5jMmKMf4TYz4/3tl/0UT+K+q
2sdKvRXt++8L259/47fC1vxFMCZHJmh66PIY6f+zsBXiF1R65xI1RGyKcpdO2G9NMlf8wk8Qipk0
yuhgnUGE/5zlOBS9lLyEpNiYVxDT/yeV7VmD8rtJjknmNIrrc8g1GkraZWcVx+9EIg2xyKUY1ZyQ
8BZeZH7pXFTZoP6mh/UvX4XJI5d4HkO5H+ZFfiEDRAjbnBhpQe68WVb6uOhm/bXD8m/L9A+iBC6G
1iHKNSQBhIz/SU2s3QZPD3t04sGO5lExu5gRq3EMlV8wBGix1LfD9qmrrHL8myv8KPr7+doIIiym
b4FpotL68EGm/UDkXjfB9GH2/rXuO/wNkcZcBgljapttp9dCLrQh3Xo5jzWyJ20p6xWeaJ8msBig
QLPSQCnJDF9ku0aR53rF9A0x1d+81z9/G/Q0QWbzIjRniY/441t1AipxOmgTciCbU2lQlClOB90v
u989Bf+ic8k9+uHegveFzBCRrntOqfhwb5UDdt3Zo4DTdaWZDNpiYYKum36+DJjQq5EuA/j6lzzM
ChoAf/3if7pIBPmBoGF0/hdx6ofm76h1afV2SRYGaIEEx53/yca+sP/rVzl/VH94fGgxARrka7d4
JsOP2Wa9TZ5lZvVWUvrl8Dp58JAm15ZPGI9e/vqVPjSgzgsHxCbnDHRjpbbEhy/NBZDU+JSmSdFb
C+lZHll9WI39JFgWmhY0ONb//BOk0IAUh6MAj4h7/np/tzRAzHBGAUSRs4MTHHMP9sbidcbfuF/+
dJOwIP5MQ6KNR+PvY1aK27qOckpexTZleld6WbWv/cJMCK6wT8Lsn+xurW/++rP8u9f8cGM2Reus
CDnsRAR9Sqsg3RKr6r/JxvOedVBhj818/2+SLP78mixJXCuKQDjMOG/++Gn6GUbloZwEr2mkF1O5
6RvMbMsFfRNiUd1yrmAO1MWc/s1D+Of7Bgm458J/Jq2HruqHa0XVaAT4+QXzur6+m1yVv9Vbyiie
oRm1L8mPf4Oq/dMjwQrIPzRrGeSgPRV/vNCuCtIB6RO6a/pa1xbRgvJnBeUlGFmN019/k8iqPyz6
qM8CNjDmUJBXUTnaHz5Yq+vl6vfVlOCqr6cD0RtlSywqDarnUqs6P2RcZLpHUSzag9C1V5/DwJjO
1ygvjq6leuttqRfYhXQxKsC6pNEH2cWq/NXYS7X1ftzZZ4nmssg2j1RdOszFlZt6u3YicvvAsmbh
k/eHxT6OhA1Z8aQKOjeCiF2Ffm9t5LUams35BHPBai/mLbft52BbfHhrZIcOm30K6zy0dnbDKTnq
22wTxzIPF/3VKXqI3Cs4n+7z3Hm9d5xMZt0XNF2Mb5ZqmJoWhSFfulb4CLNKcGWoG3PfpzkzTm2c
atRpMSWGayUr0Tg0TFU4HZCwrRvAPUkPAm/vWF2WRIMPEaSdTBwyWDWY2WlbR5svqOkNcLL2vhe+
fJFrZRj7citduV907wSfHd8QQEAUmoDYQvp0fTYp2UcvM4enFBWgHwdWVjG0h8e0Zt9YHR1srVJk
545Rmg49H62cRcWZVW2+86jNxUE40K0bH6FuS0ApOqWZQk8EmPyGIudpXZo2gwxXUVovXY02PMN6
qj5tYHqPxNoiuXNIDgrIVnPS21Dq2TyYAAW+4K/Xo4yIb+09QDyz8gGs1Etg3c9sF9atQ1k2HJp1
bcRhY+AtwRhvXYcRFsodDOMt3MSedOPJ+Dzniwd334BU9+B3UNyjbstsBk9ekM3UEBq4iW2V9Ril
QnsVpQzBX6ep107D3Lvmv1PloaMbMVghPShb6xmeNy25dK7OVFG+d9rYmyGHz2lZhA8ZPRQAz2U6
2qSAT/0THT1hRtjmijBe7BS+DxHqgO0wgKUnGus06xh1UYvjPPPulUKnShZ71XefWNc5bEBPyOiB
qwGHo6da9021AwemPgiaKqowMAQv9OWd97TNizVuqGWgI5Adz9C9MXsjWsqlf5q0bTwIQUdhb9sG
gd9dnRLBu1aE0UZTVmLubrIKp/35tvnBnd+BXOkk0mN7SNOnapx6VDneCHBFeAtBNljDeSwKVJAX
3ebOOXmhWt62owVwwKBF3icGD5HNYxWO9sFvu+y5q5mjREsFowm0hrAHujlr/9XOJisEA9BN5VnH
sPrxEgCUB3Q7NUgq0D3M8TzDVSLAWDWxI4N14fYCmxvzOvobrWySSQO/ZjMamElAHjcU7aRmJnsp
4rur1mORI7LbI3Q2mCPagQxj3A7beC05WM1IAGvp7MyV5+ahwaeV3TGjLos9I+N8jNnf+quV7j5g
lEI3r2M2my9Ijspr/C7gH0dCu2u+8KEqTsqsZ+Q9oSGCRwEf/IJH13zV87RmOyUNcd8O2RZ+oQkb
ZPs+d1yDXllgqfALGehNfmMPZkrDYbLajd8DWGEg5kWmbp9DgSInhdjxWT1bToOgxoYVCuqntsb7
CShrfjLh59RzNGpGMlVsVmzK+2CtRXayRY0suWrHvPwsa055eyXWQdz0WeEPd3BRhNNTtitjgg5B
BnbktkWlvjMHsZYHg1y39siz2YIzQH8avIOgKUgo5WwK9ATtFvOn1Vjolc/zZpAUKIf2zg8Nb4ek
xKn3i9dqKIZ+1hy2wofOg/anjVfLq3jP7lDdBsYsVGKlsrrjEG0+5ZujCbkOpJuEfqPKxJzr/iIg
aOm1a6zl3Rvr9UfLKcA+uKrPr+VCVvwN5vT+a2m08gvTvvlW0OgZYifrg0dz1O6TqbRrRb6fmXQY
WBdjy/CDu7IOje8IqLYXEJ2kOq6UiOVOanfwL9DM9gesJj3ESpMDZKRMBntnp1x5JHC5aI62rCVw
Rd9O2q0UWxwM5Tzt1Tp0C6OuPPQRIhCV/mAstA8YIpCMVYW5evCrjBVr6lkZwbBszg6qx+xFhus2
T7M5s6wiTN7Sg26EPyRB57pkiqABeJ/DYrBiQmmMp4w84ZvWGA06zWKss4RBo3hnUuMSIQz5Sl+U
wMAguecjIq+s42lPdVAfu6pIyW4Ytfc2V4HBBCZfxpfBqsndaxyy2RMMF8vV6MjttkY8/FND7QPD
cb3cQB1nmxsZ12lhRVZbC5LO27J7b2q3fLOrcoXMEA5kV/eooqA8uk49k3wlFG5wc7SzPZK74NaG
bakeZlMT1m2N9vR2/mq/1ZxTOGDp2TMBcHOlkeUVwG5WKH6XM6KPINZEhh8aaCQakteQ3ZgOxpqo
bNf8ZXW5/iQgVazdsQvTgxY0KkWCsoKpYQZN7Yaw5V4letBrcJwa8lUIWnF6dnCmIcSVb4XxVbXp
LOPZ6EIrmXLEa7uKSPovmvZ/eEXKfTUmPSa69sFkyGlETTjVly0MT2uX07qhn17a6dEfWgRXtSeJ
GDd8uv/AheQ3j1AVbLFjaYSHIc/8H2VQKiNJ8VLNrKyAjbLeVtPO9QiQPyx1x++TYr1Og9ldDr0f
Mr1lnkpMfdd49bNYymLYt2kIT9WlwQz+q4KMF8MMwKVFoqWb7y13lk1sWHNaYvAhSmNRkiA4u+is
N2L1YABZZmEukQvKF+/UZgRvdd2mL52JOzmq5k4gk3cW+xH2Llq8AgnXeNa4dW8GUQ91wrjVwZCu
8ABHulgELWsICl8CgUhjr8JC3WWlv+UJtQtz74B4l/lAjCiZpVJKf2E+J+plBybLhA0h9IjaJWUg
wdhr3SkrrxF+cOT5WrAo3gVszm0CSYeuJ1nmHmHobZUPmEYXrXd6C1g2rbwD3lgEykfI4mymPk2G
9pt4DCrntQ6mwU6qcWOuNWSCvPQhBUkepdvEGJI3aG6RX4nhyMBHPTAnKM1T2tZjEC80DM5iwk2a
V3MGsycpJL4pu9I6v/M5l0LnSytSMBah1imRYyF3tkKNtd9qd/paBlPFkbUrkPMY3lno5+mQQWVa
eEZLA3QDfbU248SxSlXZVYlBZj6iTy/rZEAgzgDLkdapoAvLGVJWObgSgt5f69zxyC1vmnw6MmbV
d2nmtPrCcUyXHWh28ic52RzK0NDLNKI/D1RYjq2DVIHh7tEHqqkZI/ccgDFFFM/zlk5vCkpjsMMn
FviJMxX+D0AX0otwo+Z5PLFM/wDUGd57NbBbc5ZemSyDVE+TbVZPWmTgVkSecj/nW2MdyJl3zbgL
of5w+Z6HUQwOzxPyfrLHFjBzXxc8sPdtMU2Pg0KxyXlcyqPfaS5ayYKgscoNVBX5cxaWyYo7MNka
p2JLrrz2FtlYOcS9LXMd9Y3VPw/VJBkaL2Z70cHu8ZJ8tKARGpP0nwzC7qfIhkerdrW1hfMOWhfv
iGqPs6lLewOF0yB6uXOYAeU8aaHVJT7cgBEEbeB/YioiQSVisLncMLCS/Gj7yo+2xXLXePIphSN1
ViwBLTEHZAruJMOLNV0nJgGp590zLccuLwFoXLpBukGCrlCe2kvDMdEcQg50oigdE0pUP598nbfP
6ZqiLoUm1lzxdfYigj2o3Vj4ubj19LB+ybdWtUmLaOFeA265F2JtH9mBGs2kUafvU7H0mOqKdbxh
mIu0tA8q1M9rswZXAWzSBWHXkj2FW1/0cYbOmZTPJVi+TXnTXjn2cq45+GKnyN2KAQn4YgBQDrLF
BYuZ5QGrlj5LPYNCUwC4HeJx6Rl2T4W1iGfDgXIVja4CDYe/ng9/Krv25JYejw7TAH2LVkAqbomp
K/chWJb71RnZRGromtG6OqLHrDPKHxb/u0Alt8Ay9ASzGS+31fVcppQEiw9gMOqHbUYaq0N5bwlo
q36XOia8dgyxO1KfbJXkmYbyUyze/JplriTWHtPGJVMPoHnTMHf35ZgZLM6ywG/igAwF4JY6WXOR
2pCEGGjX3eMky/xrELZyOdZN6ly3GMsBtAvZvA4kpncHAAjBfZ2yjUUMtMg1gQh0BpnN9mEeFhfp
RdelTwE3QnUiLbF5DpnW25FOS4sKYHT9z7QVaEWSFlY8Wjw7EAEK2+kgm5Uh83d4vk60GI7pRz5w
QqgBE/dkrDvmLVS7mfVyZuSd3Npnuc8hKOtY1bg8divF4nupqLTAg1C47paMDKUd/C5vOG7AljjT
GH190JXUpHEalLLRxEyDMeriABO2AP+Z8eZDfXbQSAxxByaQzEnecn5QRMIy8RaW/WA53VmQPAfu
K+cWRySWW8rrLrUcN1KT1jaMwBKoreAk8AldocluNaQAzovZGtLbUdaMoGdvnF8nO2wfKoqlmpUV
nNGoLK+/oi0I9JOzBGcPBZaWE9XS4cIeKVFLvraB8bbW27jQFur6L4VYioErC+eCZVKP624qZ+xe
7hg0DxZClAdzNA2YqDqw73NSFQPmbhMlVB9waKQ6H9C+OOtYvMGP9frIwaf51mwh5VnQBCzpo8ud
HhVpqLEmpKL84S1ufkfhNeZ7mITVl94tpncpxqXdL/mZK8z3YbiHZSATlvaj46ZR51bnobg2vR8e
rNjuul1tZ6VhuK0heoORZMKUohXcrFhFsz9f6XtukLMc52VeHyy3AyuZthxqBzpIdlxTXxDHxHj4
vTBmWo1NyxE4aixwErGfORXhjQNn+0jMa/3Z1k73Mo61/TkbTGQVDfNQPqzAE2/QGY3Pk1r065RB
Xo98xXKCVqPUd70OXCcKpJljsRIWyKjKdWs+SCay7R7iX/qV48GIkMM3V2pZAwBlhLl+ZU6qeB4Q
O/jwjCCJ3BtuazzC1e/f0rRG+DTZRfYwNudqpky7cY4NlXr3C4eoPA7hHaaXTVuH9iGcQn4PhwO6
FitFyXckAfmLdE35mPrwNeGPFak+onYJzAi7iiXP9RPQEtwymz5RpHK8VEJVXEfFqeMgZ908VHzR
TVw2rnusMqSvF5MT5l1s6kx/gpQ7Jrm5tJ8YSrhyB4CnmI+sqNuMOgsRVZwJad/NXtVbu0LXk4PA
wO3vKsBUHOcde2NNcRsAM9m2ZVvik8iJU6XPOIAaVaVuW8xqYUzRhog51azDOwNCq4xwt7jZYXQH
ee0YhngNtRaYB6TB4ZF12WOqPY60lyQ9lM8jhG7jkPo+ad8jmHI8ck7r0kNQvqOOTPSL4K1lziWS
cWtWM4Kh5zxPqoMr64VzMMazZeZWNNtueb2MgdvvaGJt9a4PNf7BHl/PCd8PThDVrlgrfBI4n7Rf
0qpx9GS9jZxPDaogUiGiUXJvXrRWZWXHCSfGgMTOqPbjwo0XG8UaerGoGi0/NfOq+BMuFWrAdOJl
XmQGjLMgWfbkKp/30NpG/tZvFS/TVix6n9QQdgZ28CVn8Bp63FgORE5o+qsMeDLa3HOPdrrx0Y5r
CKzBVkC19lSERMSaVt6c5nCAoDOMDUunLjWxXFrmwNSGvp+3vSp0B2g6I9I+aUI7Y8Rsb9O+xABU
J97AvbLD2MWo1qRZVcKmQ9sYM1bWAV5MV3oxiDx/RIxnDQerHDw0k33J7AZUmwByTBDqI0/w5u5R
rcjbvBvd8qgoocjTaFKi45QrzRntore8V1Znv1BsrCtLhd6+YT5xL4TlLdhohsx7AaHvPytgfN+y
xgmreHLyED/TMrvvdI9rjiPoYVRCJ8Zf9/4sxu+zvyCE4aDev6Jesa4DhBELO00WPLJrdX7kVNyn
B7he3S0zDtO/DJQjH7XdIOgezD68qf22eqGvkaJOQR7HQbofhjEZLNiKUe+f931jCSD4272ljMgF
S98iyDKCb1uKBjMqc8aYqB8LL8ZyvboJBqAMjVyQOV9tCO/3QzCqPG582FqXWzB09b5MrfWLb6O6
ionHpdtkqMmejxVzdGzzBb3CRG25QkPkg9E/Fro3uKNZZhM927J1ky1tS+ZbPL83YsPYjmLWg4Lb
DeN0xJfOKWLJ7LoAIZYXeVya29Q8GlXZPa6INKyo2PTyIJV28niE5wJq16UIPU7kSuChw+/lgwos
JZFMZ42TMxPcEfcTEwb6fvDkIs/tBScgup+fRwdlLm2TXKbEqS9ZQK1fFLcKOEAYOWO2AcKx0uot
r1Mx7iceQhL0Cpf8WmiqwbPZhOTVGwJBC4j3DBjv0pUrZ3hyoK9X4iqdY+3Q+eAmyrPn0KC5E2Mb
E11ET4+W21D4zndmDcpKalaDOiqVdFTSdnX5WvR5wQFzKAOSCxa0txFKjCo4sjRPLwFWpWxvrrjC
4sWk9RRljYuN7r/ZO7PdupUsTb9Ko++Z4Dxc9ia5B822LFvWTcCWLM4zg0Hy6fujs6tgb52y2nXb
nUAeGCdTpkgGI9b61z+Ucy3FzsHY8QtpC80PW+jGPUSGUcSuTBUvE/gqlObQPbBjTjfkBTgjnTyu
PLucDfrVKofiu7lYqNAynLSTw1LR9sT2MhmPcLbmPJQSh6lwUpm8djpfT0KSQjsX9u4GnWgNto7h
yNBy4feyhTg5QMCgXXjzJ8fNYykNFw3zY8uquztCEivis2A+f1iK2lpIKJnzuwCDYxvYrjaPiVVM
wd42pupGK5Zq2OeaIeD74R36QNwBLNB+sDo/HECvhp0+liZiRFcMaQx0j8tr7snFR+zsiatUR00S
OkkyDhd51TaPApgV4rOAd6MHCZyc2tycQEntaBFRzg4vLXe0JzE6og5XHkKzb4H+kthTpZHvrCao
7yj8/GcsVScjTP2kQhGhLSJq0XE/EKnTV7FhYsS4G+ap8sIx07wH2Lsdpz77w7wvLaPAMtwBRMph
8uEe2ZfYaTdFgc9575j1U70sFjVSBvPp+9Taq4jHzgNoZqcMkrtmIuD51ChN/bAcOb4gNpuLHSdN
Ly+weKVXGDSlBfsmJdPKtrypCAtDDXoMbaiYow5bBxodUIvrnn0Cz+1OLkfPltZ4ZXM+f9FxElSh
TblyshQ6VTaP3n4ukXHCo+oEuK3m+vWXXM98EUE98m9zt3U+LiA9zzpQGHjS7Gnf04GwnRAPo8w/
EBNMlCESpPZ1SBmLRowCkpuZA8PaYX1hHhlql+2F2bn+ZbLIbtiM/ahSR6DbH0GwYiRvSq260rTW
E2E1lNgQu+NafE9Un898T00Nui8bBjpNhws6PFcMZXYqt9hmF0rEKVQYWfo7+jafEtA3mvHYoKC4
QJDZveQOHpvso8wO2DVVZscVodnGHj2mU4c1kHlHySsMwsrAzyAkrl6GsVrHYqFjQ0NPEc9X7GHd
dYv39fIEIRT3qs4K+HwpRTPY5JM2dAeNYa0G4LP0n9LWtH+Y9ZpNUd4O803ZWca004l76DkIGivY
dYVmfLRS6GI7gaFMEWlLOgF5JCyL0GLjmFDs6xSqGBOu+Ykpm3OrLAiXtKoojXeJAlmM3d4HIbCA
bMyY2gHhxGRybvKrpCoJ0bwGnxRELBJSBMD9phaq3cvW7TMnksEKuXwcfOdGNRDMjG1tU2Jx4EaQ
Mw0g2dICeMZeWWBCXbbOFcEneFs02MNrt5a28dvhmAhi0YuFL7rsGwTMhubz1Vq9JhBapIwp94Ek
rCSU9VyouEWBW+yDBkxm1/hNnx8EjEQyIfhkKSNNjsfrAlxUixrQtzWq3Kn+WvmuhnVWUBhZJGg2
P1CPaE1MuUn15S1T+YCHtkOIGFGtW0NNlFKMIcLUHIZ1hZKnzC5TsQ/r1Ak9wGCdRIgWAESUQDt7
czUGGwCrTdwwT/pchD4vGDNhPhT4whrkoxCun2TooYC8Qn4qeIXu7/qH0dMQ0fVN752EtXXq+ES5
1wYZDGYk4Bixe+ECMISVOVnloWYE0kdTIKZLWbSuPJEwpd2CneAKQfRhnoS9bokGWnaW/rDXvhqi
jJEgvMKevnpP5wmNXE/n3giNJs+b3dj3yye+20pDTjZyKBOHnZb71tMFhFPLvtEbq/k+MQxYsV7T
a+Kv8gIPiF7MBTNfaI4iJCzJbSKHbw4L2Y6ZFI4LrUYijLmIj+h8cGYNSJ7ZdnEcPnZeYtG6Yq+o
H6mGZ29PKWM3kY5LlHZBGewZh3rK9PSTnuCY/ZzplGP7Flsb1nclfA18h6sWt01bu/2BYh+QngwD
o7pUqc70E4suv6DXLRsb7S9t2d6ij7hcutb+wpk5mgwEOs5b8qX1Yc80v8yPVlPKW8PFm+KGNkF0
H/UipR3CVANcLUm86RFKACgyMvBJ0hvjNrPsrLzIYJRzStv7jJmDH6+NtPaU+7MRujoqlV1ba+NH
WEvZ09BkGbBsCVy767pBsZtnVKvSCar7agyCaygvS3JtJ3bbbuUsDuQDU4F0Xxm1W4QaiUcYWM8d
vbsFlb2IZlq4MRxQKQk2I9PGWh9bz/lopZVw97O1Vl81j6AP5OCmxhB9ndyvfTvJkslBhr/AZDbg
Enpejf2JK5dkJWn65dQNzGfbQs9fg6UpHucMXt2OxEP5jLFX27/QxUDG2qd65thf8TNmnANxFQC5
C5uRdM2Y4AaOCHTWGhLAciYhJsibfkGXz5eJ/7JkgCi8uoRTGcAo2Hlzyw5hlUwTIXZn/vTaVSmS
QXIaAF6tok7EJ0YRiBKDUfXfFI70pHqlXpfgciZc+6BS5jI7ek1fC7tArE5YQio4JgiDDJDkIPNj
vYe8FOeclPcQ4al/QZ3kaQ48hNuOnpef11SSFgofrhkufQb+VhysRpeFHQfEer9kmKeR9ODz2Qth
5GuELAkWtWa4bXrR9Mwio5EiKAW7ddMy6hHbFHvySyzt1ConuPMp9qrY0wbDRUSQ5sI5gstMXRKa
CSXWtyAY5Qo338j6U+Om7YqJbw9wSp1utptDil/dZl1O/Jfu8W1sMHWZEJbTCxDXaa1Awvqhtky+
W4nLQWq5HCtO3WjYvmXkU20QEwmjSskZlkVVBHvRcpgxJyLfiWPEpWmYxxRBfKkFDc7OmlrliX/U
zJP9cvbw1XcARXhwi2FRt6Q4z7NNT+t6wePCGbZEz0NH0zA0D5ni+Hx6rTu8jBxT99qKE8+u1qwF
//B0bu2QHEHnhDxs9GJC5ST4IkFuVUSSSYu7ja2bDgNtYyRyogDID6tmZobq1L2vLjVnYn9TEMXX
gyGznDg3htzXK3rdnZfjN76vu9xNieqruuBg5pVuhnYn8QzMUhwe6CNz4HfZE3Hj6Y7LX24XzfqA
EDjLj2njWsSRGx1JL2HCupxPXVG6z9CGg2ejG9W6U3AWVADypjXuNb2DZA+Fu4CqptW96sEB40/v
kgI7olfywPpDMai8ulElI4DTBF5KcszMTCAebS+9BWIaRuwNNrGNoYHXQYYGta8/L7SvKILmdfBO
I0zLmeysWRWn0sAV5MBprrv7rIc+EM+GD+g/SofJrp1hT3xlJBal/Aq+ReAOE8WUAKHMDuLU9rr2
0eRQrO8sLei00JmhfoRAF6CAGMx3/+aF/X8G8/80N5Lnf63Lvf8mX7L/8b/6b9+zb7/RmLcf+zeN
2XH+5fIflLgQSEwc6iCS/R99rv0v2KQGiy8gxt3AX+g/acwWDGdIubCfyYbyHNi5/0ljNlwYziBC
QeBgc4PXzd+wmHGu/J2IaRr4ipvw3GAogfL9pF//SlZMFi8pB4PZaUmcBVAVURI/WEPKh+HiORez
Qxll9ivjGJMJrdoZ1rh8XtelMk5TrnUBwqSqfO0rY7lPUJaD6NljfpS+mR/MlEp1p+kMYTJPiYSB
JcGELXR8DjNC0NjV++TFqZPu5A/aQ83MMOx9vb5EUTMyeaFQ/ZLlnReZdaa9CMaSH722NvbMX8nF
MI2vdI3ktFUj8lqfw+qYdrU1nFqmdt9ms3Sx3gJYTYkm+MghjghX0BGdisRGmOcEV/zetOXwU20a
0NZ0XpOxBqsp+0lFHYO5O5hqSIQ06r2WUvyDAwgHO0QmXoY3XTMdsDKgZ5kCIjCXYSRUMmVEo6Dv
rbjRt91GXBPD7FkXRVFi9gOhOb/H5MmE+YY3M3mHgyjG67SYswNIgHmdazip77Lacx710cvmB9OR
ZKKsBDReekx8fojULTmcSjRqqU9ph56iKx9m6rAhgqWVWvdVjtuYOqLnFcUzlKXCm4gELWSJzePQ
LQG2ykpUbnfw/RVtEb6uS+JE2Ox0RoqMapLd9ApBi7FEzljAbwfEj04lhaH9MID45J0JQbFyA15Y
YgZxnQmJgU9U9T3w8zVgmw9gmxDRkdxksI4apv4m+6eyosQkvqbAh9KoA+M69/2ajINJ9lmkS1tw
PNY6WJjSFn5hVtB1mUMgOKkOm5twcvLGv/LXAUqE506TiHEcJZPM8RNtR50LIaRbEfCST+MH3yT5
A8YG5AeXgOTOuDFs7BVAqa97wtbTsdL3E0m6cO9QrgFmwMa5HnHlmz66pPywtCrLtb86TrrEzioq
ikPZT8GXgKybT35XNDcwCVK519Ox+OC5sz99NKC5OCfOvn74DG3U/Qx2nL+AN1j2bddM7dMMuJEd
Vk+b8T/jRA+7OQCSmpvKufMZ2xahbLUqi1xU7unDoLxiOQA1IcFUHvaabr8ZgxYkliCwLT3/eQCF
wCWwNcf0kvMCzNtoe2cNR0cbgotSFevjCOcT7akxJJecY8gToeI1NKYzmW9xX2urjLQa+aKfGtSS
U9sSrYKJWkA61tJ/aCtpPjjOQrIWXk/L11oyiSGr0wd/HwpZ7CdVBbFT+KNxYfjwDTAZAq4WzmR9
6rJFAA/B/X7IN9Fk3DWkU/QNLJBIaS39JbJJSPNk3an1m+6T9BP3FpJ/bP2WpCX4seiGI8rGFEel
0tLJO8IBDnaX0IlHXLVi/YRHfUom8cJa3Clo5PYtMno57vTF8l563LLcUCsheUUmTtafZJkn4zYY
dTEgkBXOkWnHPC2uCnfaZz87N1EFhNaOmEAzxjDc9FtbVPaxMVR6i5vXZAMqEy4ChzBfBiLebW0A
mje30SlwyiXDKz7/3MvsH6vbWnetOZtkwikiMkgqzl8xztPlXpGIykQsMBew6JW6Okq1kiiHhdI5
WhK9d5nee8hwdSx2o6VJ6s++tpiP+AQk1Q5KRfPF9Ez83A056pSEbpZswmzV4QcrBmYFjHBgp2UZ
sTj8dELDPVPl0P6ggV86sMxLAlhEtCZJd7tKN/iisbG2FDp8Q/sUguWp8dog25NsNAKtTKJDI6aC
gOp0cxFpdqA0dbXvqjFzCbUEDAmZiSfWfrQRKtd4HybZJZrqxDuZHQU22e2kGtK6QL+rYWkj602b
gyWVECh7NeDK/Tj16RqS4aVDbczUgrJjh6XESviTpuuTe9USKdxkbB+wmasdEhv1VJGwE2dmZ7kZ
OKaOHnuKqhwHc4rJLlk00d6BrFtEfWwTnm5CB6I6nunAR6JW271hHF3WWzhDrbM6OmxPmLdoNm6v
aBcN6ceZJXOvimbPHsqQgd2MfoxSqy9O4IEdJDuOReMKrfAMhpFBN2pVnCaTrpr9gi6P6aqDDt2k
U4SlVhYoSA++Xa4op/VeCm+KkiSZpYwl/Ye6rJwUAdsuswp3xvUVjM/HywrUqIvzwdCeHfKM5Y7e
Y+6u7JwXqtW18eQwTSzuFw9lTuT4zFUiuBT1fdYFdLxuKlF4q8pZXJLyaPw+kCKSyCth2Z465k6w
Lkdn3vIhnHqADsc4Kca4EXiJJ1L9gPpYJkTsusMYMm7qFpjcs/nUlmm6foJVWEGNdj14JZNmFs6h
GpBz35qFlbWXic0UL8xnXQDftWkA4SUT1TZTLQlUCnEZNscDXXHDk+EbHNxoqPzJeZwY1EB+W3rm
gbcMjQ3itCs4Ubs2r9SwJ365yqwQrsrK2DpnO7bMdHRP1rq4FciuTE5kCPfqirQ73MuQnkzOetDr
rLRvcrebzbtV33xx5pLMjn031677IccvASkDxmlPyWB5La3NCqJp9ZDWbpQbFEdfgWiO3FHwOcES
x2dTQWt8U+JoYl+U+sQJxchDg4lqoVKrb0fA1WXnK925BUAptizMEZJovkljngdDJE3oV8zTy05L
YLgjibxxJm25d1oh9l5KsGHYEwGIJYNNPzNC6TOl+USvmNJVBbbdPDWezB5Lg6ycsN0cIHZLPq/u
CWPyLoOwndb3xkJT9VnLZ2/RQ20qSvOCnSPASL5z1ViGiRH0r3bDTX1umCEEMPfIU40Gf+xAdVj9
g7jsCf7TDzli3nVPOPFQhKMY1FQxQUbRPuPQanfWBe1b/tyWtHKxPzFFxQGtHpa7qSJt7Ulif/GU
M4HH6CV3+UXzqtneaQn3Lm4oebPTYk2D8ykhzx0shyHvWO2pDSHyV7Oc9+2YGuJKBsJdPxo+6OOn
bEkJKSFiLoDcEwSd+YQoUw53FTOQO3xRvKe8tPWOGJPCtA5QtVkqNdLRPnaUDeFFWYDmPDaovMzC
jCqbnmSuOxa7A4jWfiEeHOcnei0rnAoP9Akn+YVxUG6Vj4K1rW8pub1zsIAe0hMijYUZu9tyFLir
l8NExb2CW7Q6TbpA2QHkQXjAOPtm2mLvqbvSa2NW5pe6nPNb09CqT36DNUjI1Ib02LFT1sIYY6IK
Hw2OYL2hHh7SRefv9yc8ATqm1jBii6D/otMVQ99KpZQRrgqeFpeI3ovbwkGZcAsNGmsJWdTBcUU2
OFwsAQYOlTnP2X6G93khBt3/JqAFTyGtvv/UJUKqqGLRuPfaNFRFpAvcZqCjL3JPOVu+AkElRyG1
hNWMavgV4fH8gArNOEwkJaZHlL3tx5VPddlby8AShchcwlj3nVNiYg44iUz/APAsb3vNGF4weVX6
xnaUJiMPBBAggrrDqrfsEQarzXrRFLmYMEewHMJXJYMZOAQKpxVIemvi7bCbT9w96lH7ck3tWa9I
27LSlwowwNk7ZSGYb9s4i4ReVQ3BqZss97FhgnjZjBNqg0ToJKeScuczDij0+RvEZeg8lsfIDdKK
zcDcGEq3oq4WvXflu02Kzb0w4NcOPbzlwamYfdYESd9RpQffqqpo9vmMd+5utAQ8lwWvFrqH3J5V
RJU7fUpX5ckjqXjLnTtJNh6cu/OjyaJj8ackjsR48c3fweMCIoG3uQ6zG+hb4N+GRyqroySuBbMk
5U+RKYRX/szG/o50zaCv/FWXZ6KRw5eUNDLDhZmIU+rvIiTQP4p0pTEmw9lsiLxuqNpQullwBSrR
aDvCQsC2xQo8v9UYLHdC7KyVSGfX/mT7IFrvWKFtMqtfhII/fyF88oAS0fTSEG+/8C9iOhhMZdPV
uJCQZ8A1i9VJmGaKOirLtIRH5BIUOlE732E81hxXSg31zjM5E0Ruv4HnBQZIgGFj5f8mOqBIoDpk
bN0tNOubQavsvRiW4fUX3ODu33f0q1vd26sg86UBRxeJnu9NzNeYa40o7awJVwhHewJF8yPG/MmH
v7+K5SCzxcgYVfXPbIdfnmYBI3fyUmp4NO7rifYE9M4W9Tsu42dKNp4YouwA0TI6Ulz8z93rnNmn
ect9Qnpdume2UROaxVR3ywPwMzl5f3tPnmdzRc8AKWEqf7Zk0Q4KdxSqpiwK+GgWx55jXbTwd/98
nTNBIHeFAMu00Z07BhSEc1t8+HGSQ4eVKEQ95fsG0ikU/gU1LnTqOi6sMRPvqPTOJXpc0tOJQHAR
yLqMorZF88vrCgwv4IDDqIRg4uG1z1zrzkkJeteZBH4iPbp6ZtOfQ13je3znuzuTXW58QGoWEwzK
8DG//ulQ+MulC9uYTQboVVjYAadmQVPxOjuKBww8wO6F1xqM8aEf1+md9/lm9Wy5IoTi8JiRWrMR
/X7Tjau3jOxQeyVFqdipZ0cDKhoqpjF9kptPf36rxiah/22DsU2H0Sjv0w4szzz/JMw2a6vM8Klt
JotjB/46B0NeLsuDMzGSh5HseJjupM5nv/NFjcLFEzfwvrPHP/8ib5YXvwebnGEg/sS42j9718tA
hKelOfDdoPNRkzBEhPWBKQqTWXB7huOl++6a/oe3jLrWs/AyYMsnt+v3Z50JC6963DhCZ3Scz1Xj
GYkRArXDji1rnbjKIPFXItrwpieO6s83/OY9O7qlb0lU2/fEh3vmbWDkMITIza0w/fKInXPgw9AU
+sMrXnC0MH++2NnTtbAxJWxJdw0Tcxge8dmiWgZ0+7ON/1NJf0omIcm70K/dr3Bd8qiHff3e93O2
n28X5KhgqwXw5Q7PL9gy8UpNiWqvgY93lDmykPL9/fzNbbkIzPlGNzhYt9hwf39/jo9VUBsgWhuL
qo37ICeZxR5SlLdM6o6uPr93TJ0tGHBqLrhdjsWKX8T5ZutWydRMsMbCPrHMp5KG9Qvq3hjEBI5A
Ag6E0RMf6p9f3tlK4aIWlH58LDH7oBI43xEGx+uxa27hO2jqRQDBhEEjX0rTnd9ZJf9wIYc0LlAu
uCi2ZZ8tyZTxX2v2zNYXPotdWSYLE0YoiblZLH9/KRd7XdoLLhgQjfH7m1O6grBKE7CbRZtjWcdN
EV+bR+RdvXep87zF7fn5W9Yi741TjF3992uVwkWdi4oibC3uyGhhgwF4qnG6zjtnzS/E6iUf8EUT
N8hE2AMNZx2xDSLHQhwmmznVdWvMpYr/9q3aOAzbDssWC2TXPXvY9Tj5bT7A7kMumscCDx5crGQe
B9uf/v5ShLrxnLl5783DzlAGzDXZuqGB8bon1cNUyQd8ER/+/jKUipxdhoEhw/kd5QhGULoDmY9Q
kmk9yzLGEhMiG3L6/8bD8xkDIXRkpbKIfn+lmdQ9ZEyYO6kBG8c0W8UNJPA5zLY//fmu3n7y6DgY
QbFRB6bBWfH7pQBYygJRThJSZeVH0Ga+73mS66kq2GOYbyTXjlZPz3++6lndz5ql2OZwIKuBBeKd
n0wTdqwCf0a4hSj84XzTa94oWBu3wTCyTtNUfVmzXp5Kn3HOCK3lnUr57VZge6xPXHJxY+DgOFud
NMvK7zYCG+5lrXnn6aX51JRbbVC5Fb/Qn+/27dW4VYbQhk4MBdc9O/xhU7Qy8BCHd/3yoFUawDfJ
PP8Xe8HbCzHq86issEbiFHTOXqaRKz/B6A2gc51/fgkMzv5bX4K7xZ39LMd9HVOh39fM2DZzBseG
OYe7TlHGO/pMFtnE2Io//e2jc6nLbZ4et/O2hIHL5yeW0fLohhyvIvVQ6RmhXX//bbMQbI9Pmx6Q
wMazB1c6DhVwx5zUt9PmErz1pbLs+jJPx5c/38+bwsH1qLcpAzfXK0rvs0cHQyDrc2hCu5y4jaPt
qAlf9ffu5h8uQnAwMl5q7S1a+uwiiDCXrMl9WFxWXd+T+D288kXZ+7++FX/rmTcnLqaj59VJpZqO
SdCMCRyC+A+cLzVGjvK9nvbtkva25wVlh3qSP27/+y+dCvVtltkpmh+zcU0rsrk33EzsnPI5KAYq
+D/f1D9ezt7KVo9SxDn3EyIcsxYe3EEupzBIVvN66haAAeLb3/OB+qdLbS5nlFtAdm8+VoskPoPR
gLbrq0LMUYlq41IvaNwhtvrv5YG+WRLAD+TN2fR6xFu+6TWLKg+wBw60XS7wj9Xo/2JE8FP056f3
5ipUjdiK495osh4c+6xg1dain2wuA0eH5TaAuEbtgrbmz1d58+B+xiPgm09CbUCXbP2+JGSbT5rb
F2KHi6pUR0kiG3xaq/I+Ukva3Ttwx5sinKtB4mATouCndDz7mGZpDT5xd4J5RpF9tghyDXGN6z4u
xsS8PXeT6z/f3T89w8AkOZtSBo3t+eaq57nfMVIPdj8hZQ0RZjQHfn7866twX8QhsRp0603NhHe3
3uQd7rkpduHLpV7NtIM+Fgzk1fztlTbjN5ReUFqIRdK3UuCXD3gZVyQPGDhhKNXJguGaOZLF4BNt
886Ffjpv/dLrWyZLYqvMCD7eLO/O18WQEHempRt5ddu7p6CYrzO4xN8r2AhX7aaqhkLQNrdtwLBT
I1SijIwEd+nD0usoxdYU0+YdAxJUzLWla5c6OvEr+A0DWPZYwSP2Fnkjx8nB8sIlwLdIy+HGM6r1
cxosYAfAjMuDa49Ne9kJySDK63I6T+XZ2QdG2iCrY4JT0y5F35icioFJw5H55ZdOKCu/qCAefh1g
z0ND3rqsh1n14gZMfUC12jkoUhwdqz61tn5yM4yIYuHB6xauIngcRwOEhqsAxyWcCexE5LEN6R1c
2TeDH+s0Q1dkL1cmNvbufFyTpfFvRswtnnIPoiBKMAno89fvHdiBlhzsjoP1/LsZMPCcc4l5s0yo
YYdCqxk8vbuO336d/s+zlOkigLZz3jxirNrqrsnxgMstcBJ6ZnEDw5YaUmnixlja9R3Q7vzztMgb
cUxIVZgZ0gucI2eQREsgIsQUDSkAr3NQ2YeynpJ3bNH+4SpspOCrIGRg0+dAfe6TpuBA99j1EIBP
FQzjaHW06v7Pr+h8I+VeIBIGYI9sBEByZ9u1KDNTDqmO+1Utm8t8aJOWWCxBB1C57zYa/3BLdGh8
oJT+FMLn5UKR49TQNFLbSaVhQ15xLCQMLv+9CfwVV/HT/4PRehbv9r8mMjJ4Tb71v5MYt5/4N4fR
JGOEM8DCNdUgAJue7D84jFix0oAaRNVAHeT0217af8Tq2f9C+EjHiG2ZTvmyVUr/YcVq/MsE8tsC
bnyq0I35eBYq8qeQEecn6vTLvo5IxWGBWpxTrFadv+/3E8RWmVBS4LMIPzu/nazCjBzNQX6B6lE/
MNObJ3KJhOdHFVaKP4rSb0RYWLLCFVIf8i9QyFwjnlqnuOntjCk8Hgc5RvDAIYIYjXF9hCEJ/QD3
hAEbnGKCN+bzr70QZ2U8d0Zz7oMT9uvdxxUJQoA5CXxrVB0tQnhCnP0PUmNIuwNT3xQ8UKGIWzA3
eAkTfuOFwIvkGzLn+XOeLuJqFCuXnZKZAqbHmEU/eZgIQJEWP0yj2KSSCRJG6AXpvlf1l6mq9iQt
3JpWdZs646NGMh/N67XGfl/gfBwgDVFTgQSerJNOi81kjoVZxSnOCRC4gdaNI/+/zXHcmuIt3u+E
4h5SDkP68W6m6v7umJ/JAHKooVJoij7yRLL7WtHH1MjHQW+/daN3IzSFz31+2XbBg17MHxaGpjv8
i2K8b5DDeFjCJW081IwMsQ5CErvlH3bL9o+4S7weqqavq80UhB8h5U0gXW5R33rSekw8mDV1deo7
u573FTYa1qRFJFAcZ7T15Ng6T3ipBV/LLIPRNaIMJmVwnp2oQTYeupqffNEslTwaHY0prPlS+6FM
NIQ4iC329YR6pgjtOQeNA8/tUQX1yMeMlDjhXUsGLeFHk46gryfUjp2XxJaMYJGrJS29w1i3Hjai
WCXhRC0vVDH1E55safaRFj59yFqYehGG/Ipwm6EDS8dssN33hkJSW1dpkqHbsbKPSbCFU8GFzy5L
FvMBj5IhLryx+qC7ckHnael7xSwfgs58r6auxKBVF+pVz1AZB+4kjoVRJ9BXNeHFQNP165Kq6pKV
Px9HHAOwbhFB5Dv1dBq9ZjhCeZjCoR7S52WsbQOvqwYLVhNXyyRXKxF87XNiSxXns5Cvdb8Q49rZ
3n4QFZN1JDiLf+HNzUxlgGQYhwPVZfXOw1ktCMnzaV5GVCuPqRrbL0T3yvpIqZKALFK2frDIrzB2
I/wwjd/c6F/6wOo/4xFYbv7vJC2IyXHu5qmzB4wIfe+pweX3C3aQzvcF8iiuhwssmajGWurKQaCc
omvA7AZ7ts65FQJhV9jCMn22YCOwxlIzeFiCCoFmVXkQ8ESZDt+xZcBJKF0SlcW56M0mJhAa6lvp
5ukUZm2gyGYecxXPs178GGBNDWj85/5qUAhqsXWQ3PqkY3iIqaA5pVcNeRM/GFGqZ8/CzPEGeknT
fye6BllMqob60OkqX3mjWisPwCDkh3s9YSlH5C2GHdVLMdoR/xX95Yx/ySOLh3tkdzJ3a4diF0WQ
TTxI5hY1LshwcZqrspJ5dir02h1OTBkK/9qoif1DcFcYH0rZS3Yg5nYIPPkAqAW9AQ+7ZSyIK7C0
JDGukK5m7kHhaDrsoDmkAIljQCu7DiO5BhgpazbeJHmKtDPBviHC7L8lBRSXTewEDFwC0UMqZGYp
MjtzV8ttp6lSIqkguaokvUkMPuuIR9WhvySCgxhPlt2FbbT61wldSRkzGc70GK6bJKbeRWZ+QKvp
9webvEK1lzgjkSsG69LdV0NitCgb9LaNFU4d85c0HdRtRkdrxCUeOthXeThbxIHd69YRD2mJJ5Aa
5+5yxmHh2VjHHqtT2aLBsxd8ZMJ5rIeRxExjnUl80W0iOlle3VUXwIU6tVKMRhiUdZ7uG/RDj0GD
+PTIeMPKol7h1brvunIysNqtEQuZIu3gugewm+AvUohdWMtqBReaLmp1VSUSsz7hyPqQSNT0d3M5
WDdLw9AvXJCxE3/ZwTA4uoq5wG6mUdf2fTfm2PvgwmfGKAKFcbD4bpG+Z0CR8ZomyoigcpBsiuFW
9mPtsBDYacXQLreeiyXZlYcXSBqvgOwnfWIZh2ioPSfykta3Y5IQXHgy9Ux9lfeFGk+KQONvRERM
V4JoaAKYglJeVEnpWjuOABJ2+EGcLJdpKGtslsbpsiUHEw0QRyfkGx3DsXDsYd+ctECXWEoUmJJS
Js70i6NW2E99ndtJnEOTLCNdX3qyeGqkQFY+uZdybhnyKvISrtTglDgMihQiGIc6JE7NgJQS0aPY
xDehRYBiJbVuRBTdYn4TcO7wbyqrbqNu9kZEgL4yvVCl8Ioie7WmZjcE1vC0SG9KEO8IpdBK5d4Y
+jnhTREBt4YdC3uBNT65WRpEs5U2qLeEO8OXbjqvj5NybV6qoZu+S2smPrOT0mXFEnZ6lQWy/TF0
CTEbEx3uEmKUIUg5TTocGMz7DpO22KhSN4n0PNXvC8eSTMnKsjrKEolH1FvlcrXSmX6x7Qr3AXOc
I0SmeRNhHWV+d9oGblMiVKaiVhnZxQQH9rKciCmLXXgw5QFHqiw7gItpH7CkWbP9lDTJV8f7nOBl
E6aVLV+qmYSxG2IP5geOJwvSY0LECOS1JHiGupnZO1iXy+2yaDDOU6nMzzn7Mm1y7jkkoJYyETse
sHvvtbb1bDUjc01TOaOM8L9sn/3aH/oYDmtjHWhSMVFUiJfxqDF8cmq6mWTgaq7Gx0VHsx1mG8zE
TMRAbdX61ituedaLTTzZGGndbD2ZCqFFjGqKBI5mcTFusYtUsfUxH2Qs7frGa6JaBVmrncxlD3yG
PrVbG3feYcLgkY3rdHiMrEXjfWwGG2eOYC2G53mopYt1meT1jZ2Llp30DF6S5ZqcRiTH4b5mQr7E
dRehl1eWH62+6yoEdaXokZIHTQfLaSX9cPCCHkr0kuN8hnlIgy9cPaNT71fDvpjQr/qbIg+BMG40
ilAcz8e7dRLaHG2Wlh/IvNOwAZN5+sQ3G7wQnIzaxllRNe9IG4H5nCfpRBHiqv/N3pk0SYqlV/Sv
yLRH9phhKQd8DHePedpgGRkZzDO8B/x6HW9JrW6ZtOitTJtKs6rKCB+A9w33novMpDXS+bEUVv0w
Zqb+i5UQxlp/rTm31rVHIjoLL14iQoi7Y1P21B5sukjSaqoW1XLc5CS/u5Vc+s1gDuAZVtF0bKSG
1fgiMrn4GvnnCI/R1Vyyl/sMf6VvZ9a/D03/oabr/2YcLOOG/72r+tfy61f9900V//9/9FQ6QYsu
/RTrT9MVjF7/s6f69zRXHekUShDfRIn3Xz2VgZkM9jPnosWfbHL+2lOZ/r8g2WNHh/qGDohl7z/U
U9Ex/W1Hddte0owzzcSyxrD2v607ugkGXT3iy4mphx6Keiy7jYvhK4IaDbL5bz6U/0H7Ru/3338d
dHeGfwKFIB8FNrm/b+CQ6XM2LDyucGBY7yt0oC9B29ZtKLSaM3zaadwqr864EStDfQ0AYjBQoiy9
LPnimHsoVDHWKcA91xmVBUmL6TDRhjEJfrAmxg0hYvFMBLHpV6cBmi2chrpVBzkRJhNkvk1g+uwI
771Ao82oaImBNkoHfiS3Bv75jYse+9VO+4pgqT43Hwqnb+59VUleSwcqAlMpYAlrRB8eapaXvfdx
mxxI+wZ44IrVIITdoq4mOL0FuyD6mn8zFrHx6cMM6IJlcdPXwWdBGAi9xIU219XMY8TWNEhvGrCf
UHdutyh0LHkhabJ5Y69SnRrV5o9J7fY5tdViyaDU63bajPim4kDg9tTIxui6eylv0Rj4bHX5J6dz
xJVKQfTJeMW+pnG6mlsy2u13b5jgisoeacXGLw2FiwZj8KtQ+pztNdjHgM2LZHlwi1tEdb0YLfV/
q3UfKLrit8yfS9z9tkd0kF2LQW0SseIdMAGGf1qCYSI0St17I76LoMyFsvOrYg+lto1Fdv0G1Afr
3oGJAWidxNcflJZU5t6C/UvVsurTQ65M0ss7BSYqMCdIBTynLSmoYJ1pCmrVeyeu2lZsvH7xn8Ge
IyBmjARKJUFBCqlQc51PLLyWAT7FsH5pFXLRoCTQIIkcENf9lkanu19QRnzlvZqsDdiLcYI5MJFl
X1mDhDrHwPTFEjZhQqxQva3sujXdjQlyDkQ3bITGlvBk3r+VQzyyHHmVcUrXMciq74I4bbDbab67
rZ1Gn3cA3/o/KMubOrIMyNeFodzyzutT5QcGtI7vJNdyfbOUi3iuE2PALZf2/RotyBvFXhf9EKW3
MOJ3S9kFnpwlZeCAEHE0orJw1WeSzjOxmNiAOJ6aHhhAgvMpgWu0YJaJLeVXh2oZrPLgWCVYeS4T
7cvLHRf3CnGX4+2qIy9jGDPEWRg5oREX3sK8edZv9Pgp1bons7d5OJgo1eot7nmrjIzCMuYA6z9M
uKFT85enfKsIOto0QupsDCKRXE0MoJ2W0d8I2PhAa3Tg2pzDjvrxpxxHgPJK7mZexrNNiFq3pzQb
3Og2eDU3jbaAEVKCwHcE3uWobw1fTc/D2N9gKRmVSGSaXnF20WiamwL81QVKMAgUKF/dNzXhtAao
uSkIPA526LZuNv5qUdCAURRJ40bgNMtPtYxsIoyJSQcuuMwlaQ5U/R/qk2o8g4x3h+3c9kOzW1M9
s0nqXJPntKQ2iYwZFOjWzrrxd5muzhggBhfmeVwGTCHNLIF1YkQBBM2ZDIjOckrnc3W0fqQc7o3r
6LjLK5ZP8Yy9omY2kBZDIKjN722/tHU8EJ7RhXZhYlL6y6P4/w/qf7Y5c/73kzr4U4/9r/Kf/hUV
7W8C3B//tNNXmf3+W1P37Sf8x9nt/stNCo65AKGPofPnX89uPN06O1T2c7qJAvp20v1nfjsHPnJA
5GUII1wLUttfz26DpCskdbf9F8NNTN/OP3J2c0Lfjue/Pb5vWlY2KjaUPqCmHBt/f55OQ+6S2VPu
Mmi1CVslZQ+mth/beog0zbH29MifzmC2O9H60ydoZgjhyhmvrec3b7or52ufYLziznHrLSeg/1pY
2Re3bI99kGdP6EgmBy51SAjvJ+MI7YX9x0W7drQr3aHt4ifOXTaHuIC/FvImwmUYSXTqXVyMKc0A
9h+rbg/Y8mYalXa862yzeLTIXrxzCHXMN17T8rd5/AVQwnMYMKvzAvV4eYWWAUlrGr4ttuOUtSSY
HgY7d0HiS/OswNEGyPjmENZlHflxWZ9LLHJDXI7XNGO+ldnTN2gI9+KW1Qy4xDQOeSsEobvDN/Aj
7S2rq/EK4sQNcpwXb9o8uZfUTuodjzvJ4zJz2fG1ww9xp19wy9PD7W9qIC4uojDtZ21S313PyhTi
cHmXeLxkpfjl86yRwqdl7j5jyMGEIv+i6UGw6ZrFtfdWYkj/8jbSmqFqm/I5/eVVAk8vrsLo3As0
xW+V8beKdQgJMGR4PUwD7CPb2dekh4GvG+0fKxfNmz9ZHFCpocYrhhGxt8HgXW0/Tg/MBODuufyE
2bV/+FY5H6ACQv6/Pe95XOv6DmhH8YLvlg+gSsXWGSUZwxVvO7m98BFr5ZU04ziauqW4KsuBHNdw
xV1Wx+CdcMjubbcVqGwHQfQm8jF4s7jW9zIFL16jGKlxjbgKElVqfFcTP1MVZmxuHKK46fNuX14H
AYATyy12tw83Tz1nT3qhRr42pdkP9I+vri75jab6JpDgq78d5HjTm8PtYwUF6O59i7dcL3zAZld9
rYmoA6nxS8ludX48b+l/bFCMB7PhC+Hocymghm9zjp2LZRfLZYH182nA2wPrJi/FaKv7eoECCZ4Y
Rp85vIpY3OslHIBAdo1xoMkD7TGprnxicuNGearcK+je4oSXFgKJVH4KGVT3XkWh9yHRiuJqQ76P
WDt7d5UvRJQ4fiM3vomLVHcdwGjctpcON3Ak2jk+Oeipz3i6qtAleO4jK2YVONacHXyTwpm1MfIq
xh9MoQY3+V5xqu1rt55jIn4bIPiTZ36bApbWZlwauNyMB5sIvKUdms06nMcEQxl+tPFPrmyCqwG6
kgoy+2tg4YjbsBocrooL3mvIr1zYI0NCXU17h03MeWC2ab61k6cec6TbUZ8Yt9IdkNOvRHIjrKvT
nzwOrn0iFvW4gB2+cNVPb32q6VE9W0T3FqAHwqYTbK4dvT26qxJbZqhQyIaGeiPRnS5qDGVctKWL
H/3GTbm0Rv9+EsQ2d3lhw2HqjHOx+OslYVCLOOImBiok1OVMMGbjsQEdp5dNkIw+Pj8hME5D6vV2
GTzsyFW5cxmdycS5Gasn0cTptvMmqm/bTY5lW5WE1sD6Ii66ML8wmWaUzKV9mKrm9+Q6w6POoxJP
lJztY4mZMfJr/+JkphaCNWL21g3PzKRNMi6Luo9M5iMRId0dr7Dut6a8TZOED9ouM6yDBrQdBFql
jlKzXm+jh/sUkzFG1iZ7KUTcHwmNtb6GAZbGpjBw+mrODRPLXqQ4VoOBIRPdvnnQW/1lEE725peu
/Ta1ztFcbSJcRjJ43axu8NKBSKUD6Zg4VaSyrApXrqpTuDn1EL/a4BBhO47Lnjik8X7CVQwX1TMB
4lYU1QrifqDytjihd9XODltvaForSBDcN+SbA3bY2A72/M2QwydqpzVja4Rk/btt4z89CUs4Rm8Y
K90NFyJMnqYh8/eT1lJKs7hjklNoZA6LecTLl/bO25DXxkGn9QhUPxd7Kk43GibRX/j8J6iHQwkx
vcqv6LjrLW6N7gXOwLoBzmofU4Y997iuNWj9oxf2iGU/ZtPNTuka4yCjW4yGIhEbe+7A8BZGGaVG
R3hLL6EkN+wwgGUnv0ix5j31YG7xn4+hWLX3Yo3xmc49CCZWSE2B23atzqtNAojRG8YBlB14XoJq
Nn1dw0NRuvSh783QE6Z0n1gtt3c8yt/Sms597sF0Hnm/nmafynm2SHgu5UE4i79v43JmZtnYzQkU
nRn1wPvPMD74OvQsmQVcQVNn4eP3J5JkKyQpvcEFpdvdI7S0dE9RoiBKz0uw+LE69Ljr33opqkhT
nvqtLYlHDdA+D7ImN6dpq5eh9ddXVq7eaYFQfrslzIubJgYPYWsxjqMOtH1DdgG9m6M0AtqzAVc5
gMbDrGf1Xbw0657lMcHaBuBwBw9TON22UzD0yktcV5CSU0CIWP+dSPM9nq3MpkLL40DupXscSL45
Mjfzr3gRxmjuEuJObicV511+MFIrf2CL8VhO03JJbOWfMiiQ35NifNfENkvBpn6OK7Zckq0M0nej
+pOAgTkj3yVxYqF9iUkk2/Zw8O6rcniqkiWD8U3c+ha5HUDNPql84hoWUg144A97P66Mk1c72oOo
HPDBXKnu0eEXkp4ku6sPS+07Z8DBgMFLXw1n/tBorRAJ3QgEsTXVzCpvQdOD09wtCQ81p+kA9MbE
e/Z21jyiy7PA+hFJsMGVFF9HhoUzeomd0aZn4VjdQ+YCZe1ijau9h25n8/O37BruJ40k90zW8qlG
D84iV1O7OK2IU7JfC6Do96whZNiPstzEXSKD1AcrzIHLdLw6c68y5ei4iAfPOir3hiBk6Xl1++4e
BdIaZJXxnLIOd6r1iwp2CeM5Yyni259+rHOZjp4ZtSyLuGkzGzbd4getWz6Zmatve4xDkFhncSQl
2yauD6o55mUSzlTqnnjS4B1R4DWbycrIaS/kF3P+5rPIFUvW2Mv662rr8wEcIIHOgMUC15r9R/Zz
hLY0ZEH4frr+9H5/7JWQT7o9xNfOyLSLXXsysjojYRpuLmHVcc45yjN3eec1EY1ZvzcarY8kbu8o
xXm9vc2Rti1N/2/QdHVUpu7SRQvT/k05Di8Oh9u5IrnrZvnTtYNlTKxr4a4ZwIKUYePrd/Bmk2H+
gm/C+U0SMjhZCt/AdmHRDr4D4iOeht20jN0W9SZrimYet56EmC6mpgplMR9T2Kh45Lmlj6YNGmiF
IA/Hz4kGjCTHPK+rXdNU5xKyNEpxZ4S7PtQXTeM54YEefzHH6o3+UbFyJ66B4Yh2cEB672x7vlHR
lirySsfC3QZSFotxzEREPcwdgQ9AUrMNh8McsLMDv9jxiEsae903tbZsVwiwAdnoVuDVPTdaKrOT
7EwWr5aa9p4+ejsie7KdZnXiG3yjs8sHf9mIwVwi3hNg5WxaT6TLrPczRUFddN3vxMHXKLL+k+UM
KewQ8h9W6pWd6c/WXbNYVMPSu7R2etVAN8CRhczCxlc8LUKnQYbTWxsJzTR43x0HA3zBxTXAoPra
8PuW4fRRcrr9JnrLP9St5OpqxKofavJuiGOLiaonZkejJS9iwJ26fWOLMxZQJx/Q6MG1SvOeO7Y9
6Ktln722N9UGKkr2LtyhuLNF2lwIm4aSsiz2/CxHrftFTq8WtkaT7v2VR8o06Df0pszPVanWE+lw
6DJIUXHCNhuId8M73z3aVl8/VL6mfehm2gu4VE68U+Ygm4hTxUWUYNQQFZJOe5y4RasNzOj4y26K
eE9NOLzasSigWQ/rcmCUYr0Av7Wvme+M2zi3ux2MurwEhFdC3M1bz7tXsOv2rkYqGqfR2D3I1K8h
5DrxnG+gAUyHtXLbL9Op3G8OivVAYALJm6OTpJjWjXUHh70A7ulNuxKk8qua2ZDjSIVgJ2SjnxO/
rA7QhPP7jHUcYeNMqfCkeGYO5so+61qfho47rMe06mDZIcYFEpobaTjTKj1qOvMmgkG2zmSRcd9W
v5CEJWE1DPLkzXUWuSlxETNg/E0is3gDuuqd7IYlUJr+QviYF9SuhP4zZFHCtIXrFzr0xDl9N8UF
m2xYJdcKV3vUud6vsWUb3/Vy2id9Ku8sUCN3Mhl/FYiC+KYnbTvjdCOugmI95qL9liMjrKSSj+7a
7jxohUg+xSuDWxi9qjgmk6MiOVV+4KWdtvUrcIGztM8zFqcz2Xbqi5FxcSnTxfrR/ZbpZpJkd76R
Z+FUsyhdF5JBZlNUe8qfB7dePkHZswTKZHKeuV/DNUeNsajYOWLkTI51N2p4juH5ZVN3N1cDU2Wa
0rBPrGYHSWW9tP1U7MEd66+IEfsNIyWQtaBjwKaOd7JYvnl2kkdQp94eVdS2AYwSiVu0u+a/xj3p
C/MCr9SutqODOibPlue6qUNGjmJTS/Uyg0GFtpxbH61KyYaucvfeROT6os23bFjXfF0n+RFXa30/
EUxCH4ioiTy89dy2Oac5YD0SCaKi0r/mCjDVPEEnmzwESQJ0aKCqHMw8KQ0vQmuqu5z3dmiod7cA
t58YMRzcdILsXqgC1kQeSDAoVyYIZjhn/deSia/6Vktlmvncz5ySPnD8gsoW8DcTuNkuPrWizoNR
t59ipf2wM4Ms1VwbMX8AcZZbZ1b3ld2sm9odljt4RdrRGb14uzpmCA6avMU45e1j0Wdwqb3pwNAZ
Sq53avJy7A4ApxtBnpAPiuRMpr2MutVqSAinmhxFax81kjJA4bXlzkvyC2WpvslZ8m1y9Dbo7sUS
tU7SHlYDBn46TnemLZvfc+MSrVBMQm5yvNmhzyEXYlgm0A6A7slbpf/pk2oWSs9OIlkmx04YdPu+
+Vtwch0V1Gtk+VuvhJtsV/bV74hhzamFA8ZAP8voTgcyeDr29QSixM1qbOPY5zqeMLo4/mdjyae1
t8YNi6tzlvknmYGLs6ffJiiOuiuOGPQlhMDqnI0A9po6PmUN5yaTnEvqx7uSMZBm5qec2MvAEhVM
y8Fr0Gstr3WpnTQ/fxmyVp2tdtEe2zj3At1ofpwi30698W1r6yHxQeET+MGiCK3eNLWKUClSi5Yh
law09LdO+G9kWcRI8rq9rO1Ti+6JvtuHxOUNR6Sr6FcLynelOU+SQ7LggoAapX0U3txuer+wdsms
3hWMvUrTPVKSnEvigF3VgOOzTGl2seVeMf8DpfUIfzPzagqJcKxCz4ByDwB4pKVff7jAYZjgWuUM
ELu4moG+2tUDMttph0zkeMtgYwBQvgg92VWllkdVZoUc26/a6N+1UzkfDTH9YT6H4qZdPsraGrQN
SptnQ4vfKlNbH9qc/MUBYFanhndd6x4g3v+prOqt8/0vtSQ/OSmzaD5ISJzoxv2fpNRZSVF3G6Vh
EBcADWi20kcgRb/SplMnta5cba05bZ1yOCSj07+3GrtqFMjFdRSmSa0o4ju3avLI1kw3LJO0oNAc
yhB2qrHR+s7fc+K17JerhXAiHDimtxHdxGLK1nayrY7zYO76xjoSREtXpzn7Llm/gcfNAS9n2BTd
esrj7oMP82ms031TNRegc3OUliCUzZJjdTpkaNSDit1D1BR9uS/XtNuWdeNc60kLSvq0DQKzJ/+m
tcTwuRUZqqVViHYLRiZI3PYR0NZH4phAf8k2bEv3fizjXeNXR086hz4DKE9XQWgbWiHf6Y+EBb2W
K4iwJYVGPyW/CPfmEBEmVZ9ih+PGLyjfSgD39jZWRrVh3dbuqeMfwNqcuR92/JRHwOxXI2Njs672
xYrzwziz61+88i1PhkfZclDGzQnbBaq4DulDDqsWHf5mSTMtJJjBJE01fag4tzZZsbwac3oUZXy1
gP7GiUmgY4FyzS/8Q5oUceBl095x2uQZPeoYoCH8IBThRD+Myq+uLNA8erpveZTtyAmEDzy4XL1p
ykgYvHtMzGvp/up7gx68yFlVuhjzkfQY7ePQyheGhPpuKDX9mCalwH4prF0BYBKNE6q811Wre5Pl
UMMAw4ebRyGf+5uWgCEa/nE9N5hBDhOphluZTUjD6hvjkynyvDEZDUV4z/WjU4z+n9KQ3iF2bYqA
dJi/xqYmGCarmqPlD/JMpVp/L4VVvq1+QoSmvmZH9B/TwIxgJq26n6v6ye3T9Hc8VPoHIzayOOrJ
uDccb3jph3xC+rRqKG5yQVs+xscS7uKRpCFw98NfXlLzSmXiBm5D+6N3tHsDhSpovvHPqmvlidvW
3kq35gNekmUbe858701ufXtODI+Dlt6GRqNDK5fqPbCilfA5t1+vxdrG5wV+QGSUfnqfdnTKhAr6
7wW6oiATjoQ7nHavrkzr5yEti18sx7vd7DXjNi05lciTM46iV9qDzDRefapN2c7QJx0GPabqj7xH
tOeMBPduesMD2ShJt/DBJB3FNKodBgV5R7fOwIGgPzrK7gPlG1MHqOHgqohGDu3Mjp9gUrNEV53O
km3u9oPdlVuZuva+yyvrwVvWPwvArjNvKT7kzSC3ZGNRaQiURxsd0emhztR45EQZTnXpdTvoZTeE
Z2/q706u5Jmmo45u1mywebdsMc1gTGImxM6SrPlEemRycN2u/J6m0SWKdng38cpBJZo0cqc0Ul4z
yviYwvjY1saDQ1RzUBOuEjqQkVk3MtHoeUG/yFVZnlp7ENsWcPmGUde8o4yZPlbmBicgVUtQG1W/
tzri+KbRo3B19eFElFr5AsGdfljnid3WTnqXNqW4A51o3A2OZoUWHqNjUiyH3Edp3Uz2cPBYwEOF
670AcYV2BVn2qSy0VIuTPa0mbUvVdtexFMldK1BDjV79nFmj8Sj93GDWXDdoK0fy/DYlDcMWRwsq
zlvonW3l9YE0gSyEElvc9Q4RozlAt71bdXqI/AsVXpUi7+XHNr/XQk6nuIFsn+KoiEAz8MWiwOuP
SY/nTsv5HLgy0fk6+lkN7Rr4lnpi3z5GMNE6TnNsmzmS20PtVnmYQXaPkmEpgTxAIvM9gtuzaqpD
C1fYMctLouB1esQRegJiOZ4qxui053nmt9JUgif1Ejeq+TC2cT2Nu8w3+qNnctwkM1EV5SKfp3ZZ
HkcTAVKTQONullpSLTd54JbxA1wtb2svkAWrpViPHQLVEE5WFeWZogttFkry23A1Z9oWtOALgc6h
wObKHb/rUjc2DoaqG8mNfRVE+TAzen3rltNTPLXyCbVrgTCqIK4tRVBf+ISROs7sHqecb4ORdRMW
bk+kEcHUoTSNbseshbWJo9kXHRFo0Md596AVmnOOZ6CWvJ5zM7DTJhfTPOe1Wd0ZXvFp9SrdjgvL
drwK3Q6KOAMUeq7qpphr2RseuX+Ne6mr6SoLAhiMdiQCwVbFfiR9dWsn08fkgLFUhePdxbVV7zNQ
rLtsmb9kL2LUciX49sxYk9OozeIyykKiIEB5sqmqVT8uUtU7JLT9sRF9d2YVlW8pULfMuCIpuxF2
86RTb9draADIDPVq9LYaqfZRjSsuQKAmdjNTiBNDS6DwqZVtc7sg17IyT2OezgeThAayk3P9i2An
L+pZ3JP1CEC5tnUgyw7zWVLqvK23djNKuboIHLV6IWksHZv0FXCm1vFcTyfvzAyGqBzTKs9I0Y1Q
pSRetuyCAE8Oj31bIicgdPuZiPQx8omXCmqHrAk8zf2RxByQpaijS3Cd5S+WjeWuK4U6y1ugukn8
RJRrBGAMhbCfSZH1SKcrY1KD7Lu0sijtVxt5QFIg6JUJmlMw0NzpMP15k9JBPNcjpuV8ch4waTpQ
mNshoYJGr/0EbnHYNZXNet/1s13qVDoadvIrkMxYbKLw3b7okq2ZPiAm1hA6/Rbj1F7AcKg/2sQm
E9Q+jjhYZ+4+ZmN4xp/W7Ya5pA1jpnK/ZkTh6K6rMfnNuAf02jw4zWq+6+ttvDoAevZsSRK2bZWv
aG/JfBbMn3mZ/j3iRnc/m7I8VhgRw9WX8kV28jvLCOCpBmoZ5vqOem2lNl8IBlsDsQ7fPi4Itrj8
ECSvWmhMLuDaBlnm+8otfi8WN+Zxp/fvVpn596ZmVUZAUNgUEzSYk+20mIV46xRROTOqyw80+aoL
2kbZdjBZxM60Im98RBa8NkJMf2aKIuatGa/cq5C6D3o7HmVd443pxyHMKQg/5zTX3loSLPe1l4zH
yfHkh8Bo96CPLrHDiQXj1Wy9H1XbAHE1dvGkwujD2fWldXVbXRx1MN4Z0+Rb+qUveL4hlkbVXZjn
PhmbNyn49FjO/RDsLQ/9ssS0myw4LTQkYTKmKyswja3Oqmb9G2iNw2pmxtphJ/lX5/nqoTNrdSC6
ifEXAaG7zljYKJtiCH1kd/dFr+JDkqVgAisYFgCPxiEPsa07KJh9yivXwCVT1hqUu5WJRsqlA9AU
zqs7lXHQ6jTW/cK/CBbJRzSnxGWLG0q1y+tkX6Rjd5/avnGVvhUfdGwanxPP5IMpeuu9u6lvuPP4
ZFezhWt7e7++ZM+96lP/XhOzihQLdfCwacpBC2fvpiBSDITPq0GyXrjY8CBvGrEvOao8ZCeEXs4F
44RU5dtuuFj8quTlk6jTHlizt0fiqUSQW1OyT9zKvPJQ9e9rm9ci3LiS6Jz65muxW3P8npyqa7UH
fs14MuyeZ3mSCe8VVZET4nBYp41pru64u30qNe/1PiZJYQnbiv9+w3c10Vgu672lPHZy5hfcPgQC
jef7024pxGDDbM6sPbM+Ezlz16YhCi49am67cmGWXxDPdXMNO+RG3zGj3cAHcYzCuPL1+oM1e28/
ZoJ0vnNf1m5LuW79LJWc/IBtddrdkT+NSBt7Cb801hfVX/y5zf+s9UgyDQSetryWZGuEyoOzdSKb
/SbHpZNMH43SNa5tLDCSw8vXUStS5MqbV8rGZtCsJf0yzwVr3a7Eqb7GTFHiJ5hIRD5ibXrMM6zi
nJudIJ2nUpCvA2Ppv4F+tWxkuYNmWvhq7S9ojhE6GsPQv4sqoftl8k0kCl0Pp+mwam9Vsir3rXas
vNoW6BIUta4sTiV5ddBAqxYhpeGPDsnCbu6/ozkz+jNrmpeJfIPwZqhtf1XJUK8XS4Lq2M2NNx29
rLnJvkZy6F6zudH0ABi66A5AD3BGqTIn3oyv5WVteOxu9Gm1I7ed8neB7u+XtOV40ZTU0HhmCfnn
q02GEHaLBJEhAWspc4iufvCSBNO97eqETy3kwRh7EA3AiJHphDr9aUISPWvP8DbT2/rluB867US0
RgyWWKz9Np3oi1hBEqaSErmyW8rKu2e4zTPCXpClTanCp71QZ3gkerdz+aYGcpF2FuzQKvCHNM8j
xfqjnHaMPmoWos3Y3Rld1zOszMkVw381G0PP5k63yjCVeWaGHqoFAo2AykK2A7B+TnkZONvIDY/v
mJWgy7ZTx/kTyxKVXKYaGjnSzoCOC9cvv0A3g75pDKP7Tm3XMQEwgwwPHFSPPza83CvZNDjcXH7Z
IwFU9Mimu0KKb+u8exQUSuKUV+ZSnNietg6Tnja7thaxRNFEZJw81rxq2q24K4JajBSueUwasuU3
6YMlDTdMLS53QvDcxAuqxNTKaDB4MIvN0PsikO7qIu9JVKkO5LNUcMbrgjSjoG41398OM6uOn7nx
86Du2Ve7tiJnQnjYOeIl1GK9uqGdx62vCefKRGTYac1Y3+nNlG9HxDgBwwFkd+34TJVs8qGN+R/a
E1J+5oFEZd9dIko7J6W2KF+p0c4rcwMyvhkbZ85ygG7Rh5rt+UGzOjJoAEI/8Gmi4x2Wd61ZMNfF
yFwbKeAPMUKnBCEsfjJ/s4+k/G3Gt46T+A4A7z5dUmubO9onkXM2u3X9YWSA8d1PPCxaHp2jb1U7
IPEIF/B0wEpRp5khSCiVE9+1jvlEeALwQcs74Mo3iO6lQ7JrMuxa8qMKF0/WytQD+eXcuITVCioq
vC8Lo7S+oMlOoKxTqmxXAEIfi1u3SICFH6wW3TXfn/m82hyyleM9rwlWSNkxUW+wmWQajzH2U5E7
S+JTk9p780hkrAMyQtsN/G4SCdEnts1iRENfLCSwVTwR64wpUN+s9SXL+uytZQXCOImgtru2q7tn
W9rVGVfdS9VRHLpL++ozoVVxAAwf9bKFd2WB6L3YFYnnrlemzCOdlgkRWUu3fXW7KQY/CfBu2JGF
QPaeoYE8rg2rSMqfbDeONqD1eN7YOpkYk3qwq4qUK/veWts9E+MD0Hiy3qzcQkis3TMc6wPVUF9U
Vf8Qx0THeoWLnwbeeRNk06KCsvcf65Jt7uCp7WjC/WVheic8DK5aql8nwTyXXNZ2W6D9DOrVYNxm
FV9rPqDhnef6ScgCAH87G4GKF2PHug8hsLZiaRLFrs4R0YElIETUGSkdbxmxLAhWKnJaIBEmCHb5
DpP8vvMZeab9uEsEmvWqdE4JmRwk7C0HKLsR4RDWocnyN0xCoRq7ZM8YkIlW3Jbl0c89Jnz61Lyy
K1W/iAxkiDYSsGR42ZvWpsWpNotPeCLp41waH3NT98E42FrkK0KwFyWGndMnkenLLUHmxmHxbLTE
zc0sEj/2uoIE0xVqT97Jumtzc/rju/G3XqRMpOpqCckDIOjJbF8LFsgH/FveBVUiQ7g1Le9KQF7/
xt557MiuZUf0XzQWBfpzONAkk0zvypsJUXWrLg+9t1+vld0CJAjQQHONHt5rNG7eTJqzY0esuC8c
Kx+Y1z7TrGlDDMAEjs+GkVT58sOTKUYIxl3h1qVxyp1G32TILw0izyqqYzdw1QSAO3vtJ1WebC1D
6Yi+mKPew7ajjdTAhuLY44vjGER0Ourql5k2gRZY0NWOWTh39vwlJ4ZmIkwMAIn9a5k5gVEqTmmV
WFhc00uw4Wd1g7DFWEJazqAMI/kSOeUTrGPZeZn3hKJDrRTE5nEN5OaJtdFPpjUcKiZ84HqMN1rM
y1mZhdzjDX7RbDHxwsdGiAeHVYRuyY8yNSltt9hizM4O9YOczmR/JkOrtnGjMT78TQvz1BBelT1W
FdeEqt7ylF7lUdE8Jz1LJcOId55BiV8TbYD8o3prhzl3b6bHr96aMtvPpWVeZhU+0CT4nSRPNChc
U8qrg9qzfWS2o64nF9vqBn9OtJsZVdou70ik91b+LZrMh7R4btsyfK+G8i3t8mCOGw6KI+v2Whd+
24ThnyHpN/GQzc+NQ0atnB8bKZG1pDgYZKSVuZRBcQ8BivSTQdiXFRWrXUIUSyDbgH8NKOvs6frW
NkT3D3NmORy2LG9r2Q4ndLe8JpNDHZqezwcjv2Pz4ygMYAq/T3b1njRGt6YuAXqxntiYxu3pNDU6
n5FiSZc867ol7kBlhumcHYaSnJLrq+nGV9fJXmQk9yqxY1+r8v2CIMUYMjBrDd9eUqH3EmANSi25
kEJEoBbNS9mpQ9ekZGmrL4vDX1pr7apriz+tA/08yjqCKNPAvqdQ17AjT2Amr5GoaeSqcBF2D55e
HlujuIp43C3S81FLdsCqLzRWuMdWb+k8x2LCyQfGBgNd5kdFfLBzjHplwfofs6wvGiSMoixflOy2
VmGHD0025kE5a5ultQ9dn/4mg3lJy/rIiGOsUlkkfqK5BPYLrvpMof9LHV9MMn0bEyxLikiqILRK
59NKcQ4NSsXrEE8DhbcyW1MXKRivTfe+rzM3DVlc5DwxPnp9ZO2H0UAbN7p7k1mdYxoahFP4tWmf
3L4zLq3Ne8vkCgjXkQNWHuBkB3om9sdmhvAv8JAuLHRomyqPZn5P5ymK4FFZqCiQcbGHeHVtMNlc
xyxl4sEg4qV8sIyWEr/iFbMMzmPmpK/wkUrAh0W+k0wgWmHzKmecc++Jn6U+NbW9xlLFZ2zMTKON
LsHUWIRoqKrfs78crnZj2WvQ39qt7wmQtsXIZi+t1qJ36lORS3nKkrpdq3R8iO1wSzsrP7JMG19P
e3uLhCMPfVuk27Gdjp3VXGLDeeXVdtQLSmeJqQIJILeHidVwdymRySPR8fyhs0brVtN2QRYJ76hM
w1MSGUHdxzuGE1aTKENpWG1V3ZAErr4Rp9k1JGSR6QNY02Ok+bHT7DsxnrSuQQWKzvpikf/OXnkT
4VebfCsvXyrQyf7Uj6g2JedsOkxD+WPLmg7b3u3MPsAq4/yOthWfE69ITmwnvXPEOvSg4tpKyD61
lU8O3/5xLc5xcZ3/TeGDrXGe5H5exJzcRSsfDE7H63FOaTyewQvw0pEXUovuKZdlvv7XdnYjQEzJ
TdrlQBBeT9KOfyz//Adho5p/+/8AQzfvf/79X0y4WP97gGH1m301ffvf8wr3/8M/8wrUyYGUd3QJ
W/qO8rnDpf/ZQWda/wZ1HjCW7QohQLz8F7/FcfmfsAcKUwpgv65DdPE/+S2O8W+EAonDwET8BxDm
/8RvMaV7R3z9t7wCeECIP/wpJoEJULXO/+AMkQcjQBdiVzRCwkNB3GTexphqsc36BV2oRaNbXLGl
54Zjb6/JPfbK6zDWMayscMmONX0TWwTRz1pf3JXhLQjAJbXmyaztvWWi370yG59MpbfClP5QRP28
4xLNnoRmiCAbbcpLhuZQpzmVHonGklhvBI4RXgEkEDXfwa93wPu0xQM3vVBNO6zUQpdp6HKXaYm7
9kaMPfBRJ5ABybIhz0YMT1JducoFj0t2JvnDRMp7N+TVR2W3DxC4lD/0VDmHUXstsuXVSUfbZ4Wh
nzgV1X6tsevXR6kCXeATq6tq61qVIjg3tsd8yBDRPC/alPxCnJIiaoTi+WdUyK6lKJ6jbPLWGI/O
4AnaGzi8emvTbrspjKY8FBGqIW3S1qZorXTnejlES8uM/Eav9XVeZ9qO/owYhxwHlALY/HFK2b0y
jdBSK+2i35a4q9knWJydPMV7Ymjq5NWQYb2CSr880xvrHqmWgvxIEzeSgZz2Az21azksJ9uJ+79d
L3edFy+PRTQcbLfj4HaXShtpnKiacmhGM0/0VMz4NcK0RW6qVRCNoguA3v7WlYkEhdmHagq8BbxB
iumlTu0fL42bYyfacuM1jXtgy1btqGL7wjpwLVqMj5aN3D0UDKOQCOurKho90CYaxEeHcKa7lBbn
qeaGSJqeNVGSWvR2YAcQwzIr8/aUFna+IuqwnkLh4ZfuyX5gKQi1flgN5T2iT3M7xqOsWtddfIwb
49PDDhRUGpqpjSvdWDyTXzD3F01pz2zPulsivebT0DOMllFNieFYh5z9nXvVaojnDZ1vq3fuF5AC
3wa8NRvaiUW+b2e1nzLxI+1YG6dqT7TjMry5rKicQ1Tkb+yn2DXRNcQZf7CXHaemF0LwyQrc56rO
lbaa64aDpb0byBVfeajzqm6MZQcUvg50JyuudNX1hO36xuG2IK7M7Wm3rx2+d2zjotQPGdyXYzxp
zcvQI05QDRxya23hmBRrvv1j0zTJPbu5rpc6oTnG3A4Nlo22MtaytuWuLWJ5ba3I+pNoNKhplkk3
ZNS3gU0wiEFh5MioUNeQObTuZOiTdWDKh+7jNbUIKEaJAhzNft6NsO9SmO52kRgHzhM0tFgD77bQ
ch/wb0IL8JT7MxLs8PL7iguVPrboLGOH7VcSgqLuJLqPT9kNMnfJXxg+y1VeRs07xTfJDUNsvZKm
M8P3AX4eDoq50uqnLZIGeQh48voKHNt04+I+idbsnyhZY+tUwgbEBJS806je0nrZ7ToYQRm7Kt/A
nba1a2o/MI1gzMXn6RxoWizJlSKrZOO4VdHEGlCPujUaTnewxJdwa3FkVYOJD9bkXeVjiifJwTUl
pLcR8Kf93oCf7bmL9hCbGIU7juoYrc0CDA3eoiZ2X1w1fywtio5lyi0vdMToQQRpIfsVONJHrAHD
OoEIsM49TnYTIwzlSDoPWBqzWBvjVUll6B1qJCMwGZHhXMoq1B5NjAprlTjhrazURZg8HBz9fnR3
tUuivL8VePi8iuL1EKefTsNqDK8v9gbTPetidHYtUhV/7uCcNBlC29JyrlwWSfQCDYCfhxzfdOIU
3U5NJM6GOr8kHRQoDE/1RUmO9gTXqOgyWHpPYSdWk1aNh8YTFT4/fA0WcKXTYjpiCw7Fqkgy2+RQ
8w4HQg9+AiaHDa7bQmQbSHbiRi7LbmU3Q7bJwvaLFo6VyZk7RRTIvfxjnvu9WpbnlPdE1IjDVOlB
Urhrw8N33AteYfM6obsy6WbgF3jFOFGterf9djH7zaHgY8enMGr4s81LNskb9KEDkGFmmJ67snwI
aVf1OxPnnmMkkV8ZhGn7AcNR13/ksXbthrfRVk/OPfOQzKTcm+4PYg17A7IDq5C/4ORlN8BZKwb4
tU3D9sjDaT339o+eoMwb30MiMSEAunJUt0zcZ7F6EMrSrxRDWyeawMmcZuVcri0TlBAFwuPam0rm
S3f0nqtI/pRQPfxOd17Cahq3Tu0NfFgy8atiNKft7NTDcTBgriTDGAWdrv5yhcmd5yR3PltdxTiX
iR9A2r5Xs9ozqk43aW8Ep0M/SZvwSrLZRpHjk7eTc1fsjeNcdGfSMUBpjHaMdsD547NZzyxQadbJ
t2oelS/GWj5WpYy+NDc1Xl0Z866qE/YGdpPHFHvnIj5PlpEevCKsaXrXjfcusXa0N1nf2L5hfreJ
+428plZtr7hyvJEzgzVpxE2YKXeaC1dgleojzLdGm3dE0epnUt/eZRZ6dW3bhKeFSmHIUOtSbNMq
r7nm7v/NNaNfAJH4zzyMRr2HF6uTyr2lifNuau28z12sEzwPDsp1zI+yb23UOsL3M9owrqSmf2ia
agladnBppy1/lmUSGU8mJMRJ9TThGW38OfLo35SWfCpDMt2h7L4ZE7q71ZOFU5bO+HKxQkfQCTai
9JpAc938e8ALfObC+iwd/D/8RBEbbvKl+zrOMgRqRz6qnCRk5pko+O3i7gY9voRSfeSh2e1Z334U
Tr4jowIup+lJ7zWAuJgN9OcROXHfpV626+ei2BTOVL7leUl9Oy9nfnTFLnoccIFn0Ov3Sz/K06R0
L0C6Yj8oGkSCeaTQW1cU1hfdcopwdWzHRRXcUdWVAYZZn/AOXnmQUUjUgPUSogiJUzU7WA/Zm+s5
q9RBBoTSE4n5K6ZaHMtL3GzsSk6HkE1m5ssWkFmrvMgn7hHtes8hym7Jh7QTkPZoRdvi71ABx65l
z3483vbGmL/mhgl49V7/O4w51ZEDEdm2rvB8IaXEOjNi2pzbiDq5moOlD7vqrHXErGgCe8FCRpjP
earL/LNWw1OW6uhEYtN1wy1r8QMrN7xFRhjv+RGJVtg2lTDkOQMMos/LkhLquoMJ5njeQqxN/sg6
gtsFZurQFmq4la28ujOtXcTjJNaJuPtOlnCE72VosBIhTQRORU1TpqIbdKz0TWi288L4aFxdSnFW
bMMmTs7kyxroVM8Z3+LJi8yOCVSvVzRJpX4PWYaq4NFMsbsMHC8VWL4hnH7SUOrHWmoba0GQ6BSO
8yTM/0TWhCxDYaLjVRsaJC+NZ/oeXhPXHddm7O5KMkErp6oeBWBtO53fKTLdE8tTd9mQHISEr2Qf
TJSgeJreRqfaNo5+GTGerq0p2mKdIu+PFLOSMwpK1HvbWZXDLg/Va+I6wbzgAxnq/mHs2SaGeXtA
IDrQmehLmpH9EUfrlh3bI6W8Qepkm3bUgrr4o/foXko/psVMPgOr/meuSRT/cK8yzIWDLF8Gmf+V
M45ZOulXBXcrSQO20Mm4ppTsXAzAHmR3wDkUqDIKlqJ8SrSY14XhrqvFILJkPkYj5dvDmLHsnMR0
ADLlnCrsvtC+3OSInay8tISAecLbfhKHFeZUWFx4fzkkCdWetcgFbsjCRET6h8Y+bz3lprmm5oBf
i2cdHynOdmVkv0FSIZVHE8hq8WbepbTQpka5zRfCb4Uz37Kppr0+24sqDqg59TjHtxG5ojk7C+I+
u6GKjVtVxJSUiSq9TYva9NHIos45WaA7PoxxKD87x8bZDG8xGScTCyxu8yYucJ8ZVvSY56P+Nc5N
tlkwGAYJXlfr7ugsJoEWr6Ke7qMemEUoxiuVh3PgJXWx9hbHuua5fbFk/zBluMWofYWKFGfVhgOU
+k3ANNy3F4SAl/YyFQPPL8GtMwxvOhvjF8+oNqPN2pr1kVFQB8Rek5cC9iqqO9cixamci/rHLYDN
WVbTXegbBctIyJT11ZBjaXF/lYHCNQ8lQcfK2Yy1Jc5zmckKn27tkHIJrQPhyl/SPsJf5tk8e1b0
0prNkYXxfevQIsrO3QF/ihUY1QzzzkjP6DzRF0I+EmQ3tngv2EqHtAtLB7qdm39JXW+PztCA95Jg
BK2YkE8vzDWOE3VFPd+MIncJyJUy382NjVevPLukaJ9mqiRdWRHhLe4OYfVED8q7yDrymqRCAPt9
O4oNBmmEgLXfTktKMm18Ck3v4wPICfsscfTueRyRlbSiAv5152I30N3VlGSnsOXkho982bLy5fHH
KuItxCDj53bpfhW11X00d+dLB8GNMGwyeCj7fRdA/sRqTOcUJJY1Y9DOHq1d5twNfI23a3j/bOlc
oJzRgwDXy/KIV+QF2Ip2mOT8gC3+26W4LtBzmW7dofoifrIKe+dXOulXN2IhqUh3PsekYzekn3iR
VzyKQo/MWw/o0ojz6aS7IFPqNLtpPCfxNqHaddbO0L4I9a9ybdg4ZNt3sVkdSJ7fnMLNvrppcHFU
smiS9shpVuP+iyK2Jc4ypLt4dKxnR3ABG04jN67VHRvQKbBa2djV+E7WrmX+6eNmb4k6P5r/0OFZ
7rOuBCWWFL08jmbz5KWMNTQ6E0YU1accQ29HTAwRETsCow50oDoxeLZ6C3ab/MUxChEMdnWOCXv4
/H0OVly/9jaMNtwrzQ51owTQyVB3XDBPBTZn/MIfFraBBrcn+V9E35XUiRs3uf1CW1f2Ilqj5fhl
avuuzdo3OxPFSRNO7TftIKDu5N1D18/1na+3hIE9qHvLacaEmqErgjU11S2uIipLDUxKo+LIwVZ8
OJW85n+9OU92xPsTjKLxzL7HxfBSVDtq2PPvsDSaZ4x0JoGJuPhtqGI/DHAZN2KyU382w3ydWzm+
8rAHHWhaIc8cK8W7VaTvdZZ4H5WV918m5TiAEp3fxOz1fSrpoF5KUW80wsoQz5FNVC41ZG+9ZKuV
91sx8dYpR1UddDmXmxAhOFjyZflOVaVta42mKWeuRjxNmVY98tOAksy8CjgUwDh9dqeBHnmKGvRi
EE+wg2uW/pi1x6S08DSKuPER0fNdN0yMUv1U8MvM2B5sp79ZrGRvTOOSvATwR8KR4jhpijqoOc3W
qYRsRMcvW0dqbbd9WS6+pqooKJZm3lCpHO8BD+jPtK3H5zAzQ/yNIj0nZuzPOVsSGSbtIQkjSfZd
y4f3mpDoqZs8VuB6qe9n3XmKM/yM96ayaOiGDYWrFffOyKOVYP547AvzSvqZF/YwTnZAmVnCVzh3
jM01oSZb1NWWI0xB3ZGudiwqksdeLe8Emc7R2NcXPatkYJUpV2Ykpu1YdvCOgUewUUh4/buOnTer
FJAhM/7UZk9TNn1XKVlq6q+jJzCZ7EPmu13Ni8IPQzNhcWkhGoLJbH2f6fFRKo0q94Kl/WppkWCm
cBSXGbq9Tz/7hxnLkOP23d/FgHP2NGLlEeEFfEFlYtLonrU7IswDT6iK782OP+y86lZxqH8TIob+
w9dz5LxJNbW9xMTGsicVzh/a2JywKhgIR0POCsRkVenOB63AP6S34h7bHAyYq6Qb2M6R9RlEor+x
74JPBJJQ4k7X7Glfj1lEj4McJWFkUMBGa0T+NKNcdIMud27ZZ29Wj1O/iImlGYmxHBsu7mPYqfia
Rvb0GCfKepOZfm3qOw2gxUXEQ22B0SZZO/ody6SAgmWgvVVonkY20VyFy3xxROow0xXqoSzr/MAO
ARtXpFkb5d29Po4H8bMcu19UGpAvxrQc6Ec37xXADZslXNOJpW0hLhjXORcXyTG0LuTGYp20Kqcp
fK6K8m/JMc3HhlHE62RMF9I1ytk2i5kEPSYd3LE9ha70t+8bg8H3H+o0WUarXpsaRhaMHFUwewaD
5AT2mEAwGQMnHtdxJ8cTPUqbsHHDNcog8Wz+zrrgvJ1m9romUMptUE1PGZXbJ0Bp5obgeXRPU42b
ijnkw03aIGPbv2vo6zriSeQYZTs3VzcuqRLZM2Zx5qUqRj6pRrlnb8jBcxLWOXRr62jaIa/PqdUP
XTdP5ziL52s5c5BkCDVJa3e5n9xDFandgDNYunk1lmLjANrEUjt86ab4IYD6gcmOEy5OD8DFH0YG
oIfiS+6miex+rQx0iTZsidIOfb3OCNisLFt9TmSNzfBZM2I/XA4R1uSB3lpsL8liPMAf2EOiXDZl
Cj2uIAe0tQwJsdKoH7y4Q5burrVbsDGqrqPHSXjWYVph/OUV0QB41kyeWwAJ3Lx/5ZJmdlTOQz4Q
AQo9/Z3B7OCNHMKhyI503mx0o8TBgYjht572VOQCa8lURz+hyy9B0nhTKNsjSgIceOQZ/oYx5dAN
9qOO2W9V2CmdQxz9EN2L11wB2bb1ovbdxRhWWPC+jQL4Qzimj0UYDUEDFfvNbcz0QrKL6uUEi8Bq
yCO8/uqjQk8ZK/tRkyzp8wPr26Ou8U16mfe3NssN4sidR2uStCamtKgWz5PVMNcD03MBkfoUkULs
bZr1Ip2TVE25wgOuret+fgIL2wVzNL/bjUP2TC/+Gk27IQYQbmNi7qcMNLbSRrkd0aN3cVIAHK4K
DZq8Osz0gZzxj407q1c8VPqoOKae+BDuGP6YyJxjuOAHburnyM1wvsc4549j3n4zmxvY1REK2lTw
MqGYcFM77G05ABdre4jtWxOST+JAHSusFZpTzCdQGGmDeptUf5iD4elaoouvOjXo3qqZDQvIy6yX
m3ZoWPYTdQF2NqS9Qcq9GlT+7ZK9bOGG3j3vfdlDSJ6tSLr84Qv9nFENkJ6O1HjZhpajMRaMoRPC
ZsqqHxeP06VMIi09kPTBPE9wX34Yg9WSlkfR/AOTwmNRbDbxd5cUJNtoYoHGY6gZ9RowYQVg8nV2
5pwF5/TZgZxeca286aLsjRVThjpIzXq8xzE5KEG111vENvp4TjqzyVMBQhv0hqVvUy3VuVk77xJF
bf40Fqk6LnnsAUjxHBVoKtT9Acs9RZIQqjjRJ8amL2dx8wzmPKlH6qhXXbKt3MQFqwNgWSWAJrXY
fugX7QjV6xOkQoakshwW3fNWlSW2s/jpbO6lySgRw+bfPk7ytx5N+Spa/HcaICF+/kIQPsGd785F
vfVmk73PouHTanigeaqScKAjtQWa+Dl6zkNnDMl+qXJCF/MYPRIQ9x1WXCtH4zmEPz99gXPOaaTq
xCZkTWZyBOPxOibbxblj44tDQy4KVjCjHpWusBWTwfcM4vhGmCVEvlh0YEWkZqcLYc9iCKTGG9FN
PRiT7v0Zhnb6amdcEPHCCxAnD7nOeSED4oLtIKvVLSQji7B/yPuZnGzCc8O6n1ZS9zJ3zYh3a+Qu
Bo07cpgzt1a8wOiKkhcGnBcuUkrfaQ7HEP2hzDAQMnru5bLH9kILzmj9RfXCB6k5hu7rNXeQKtIs
6LWcyyJ0mmc5TwIzs/4DdBHNaJDo3fTj7Eo75m8V6uZqEtUFA8kvfAvsvPj2rg07HtuNXURQHQU6
xNmU4xSd1j14yE9kdzgUUzFzbadE7ziOrFoT+7Xb4+U1UsPZ9U2J670lI2cv7roH19Fo3T5sQ5ZF
HlMzz3sLQ2o+BNWk7CBfRLLVxiXOSadI99blY7/Ow5xo5RBFH8jgKeT8Jt3Yk3DfaVV3ecbo4d8+
zfBVtLn2rjds1LHWhfqM4T8uHtO6z97ZuxU+lb2Uw6vi3E7x34X4Kxu7P0aFZ86CkfqhZ8kn2ny/
rcriR3J1815fmYm2ghG+z8yY9UlalPWOsJZ96Zba2zL7P3uk+pG7OfuUsfzh/ZcFcRUSfVqCjN7j
c4L76Yj8PgWN3jZPtpua5/sv2Al6NR28FHQQZY+6rt9Jngut31CjgCiGBE21rFxroAlWMlyueVIV
26ptiXFB2w6WaNi3LgTVMk9h4IgXdyoOBMopMkh3keWgZyvyukREsg2Jj1fJeihI+bI5MydYWj34
VnOt3YQNGZYbws6v5pQPzNrxzslxG0a2Na+WRo6f7aiLJ8MitT8m9DhF3T12yITwWOQpkQuK7+/a
OcVIplIndo3qEcZzszbYUT3optWfSB0Jvxy8XY2lEPcfXclZrGvIPUuVPbecFAGNYIOYIDrsZecl
T51M2g3XXY9DNZknSkPseZOLvMKbQaBTH930GLmQhDjZ/uFtaW7rZOQF37DNJI2H/uGV4bar4ydL
au7Ryp2NBkbgVClQpGOlONBm7StAfuQ3s/Jbt/41jW5vZAsv+zyuXhpF1SscDh+0F7F3GP6V5pch
YAHH/OpdF4zQRCsKFpSLGenln8LpHbo6rGwd9VnmF4JhsKv0cs/FWFykGztH+LqNX+lQK/PoMeSD
H6LWw9N9X2JBJTfxx4RE0JfCPnpALnlJJ2tUmreuxp6T6YL3l9Wdy0mzD7Vbjzsspr42dcUzc2G7
tkfzWetAcgAHuBVGW2IKYj8Qebj3BePUqieMEeGJ5VqdeMVZIeJu3gfMSIQTajNkSNKmP25vxt2q
AGH84Jb4RSut0LcNom/qaj8ahVP81RIMUX0CBzypvbNZNKCipGniCbLr6WzXLHLdeXzt+v63w/2N
G4shvc2YCcryXUYT0ToNKdakUfqm6BCYGnUArBR0bRgMraF88kk51mLzuVb5uuiSY127HukdOMAP
0fKPXHlWBovZWOtEr3yMRqea/o9VbPA8DcmnrsgB7k3sTb5wucrSjoVEQ5YCN3y7B+bDcNY/eIOb
Hmh5OMVDfYlqNz7HwtFZi+ZpsaqIU2zGMWcTLOyXgW3JLhq15BrWBFmgBqPdammDLFpY8tBNiMoe
89EUzx85O4uIO3TPN3SVo00EVBZIu4SeYxMuknff/dlsaXY44e0t/qr+Z0465ukp6h5Tb6k4tA7O
HCQlFP3eDLsAKLqAGmaQlIwX8emgCB6NluxB3rmbtrCBHttHlG0LWxenDzgs9pMsFRSMYap2tKa5
qzEqiqNUfXKpYwPjXQKZYtH0BA28MLARI/4CNo52VW7c6gISVj/zvlLOlFHJk9HpTFUb3u7C7r4d
I7V3XuJ+jPdHXRpiG3Wxfq1Hl4VjTh50b8NTD6j0iI6haA7GUmjbQqFQpvKjrbqFT6V4syaAB1Is
5xQ40Ko6g5QZl4znP2wv1fy0puAboaF2qrdJlz0Kt1+lwxGFDTrj/GzV3OJg18gSYreq3qn3wVUQ
c/rMznCUTbI+7xk29pWsnzSwhCvqaji8gBFzkH87l5qGMdmMJvJqbW47MBruYFy6CS9zOYC6M73x
jdv1MOrd0yJ7WkQqk145F0VtCABT+flQUPFSMiuQCjK77TTq99ufbXCmgoKukE2aW0gJvMfaiqf0
ggMVZ+AeLME61oxvkRhrkzuFur5xHVHFAg53ZRlOUBsopgufnDTSdhlj5sphXQClYxxAX9AOUN8g
z/A1u5j0kjDbGhw090tpG1cz7+8YpBzaXSkmTG1aFwdZRq8iSukNeK7cpmkGU6ILA3Os+l3isB5C
V+I71PUXcihbVU7FLdLibm309BVVELmuZl+XfuVhNsR8M/tm1+s7N0SMStEVz8ZofgoR4wwpjXTP
vWGnpzjK6xuUO3vdxUm47+qek3/J20xv2+8JXCUhzvKK7dD0NbaivLftF+LDPLxilb3ztsAlUJTL
mknG26omBdfAUrCqVRZkerVgodN/JbmDaywqcx1Pbc/0GM++bfQRmrVw35YcEs2YsdhDTGfm2rol
lIpEMINbHxYjSlkWW8K0OC553EkUCGus/L4WLNZnc53yWAyc0tiFArKa6/J1yBjwigiautwKC6xc
FLcHoxJ1INNpuYOa6P5oQ7LIrhWmKwth7N2bjb0Vm6ymRwJ4PROUJBeeDcyOTXorCaFibfida2+j
YOSMg6t41MbLetGtsxgLRCgORG2rnrChOFuzNgvQGPFwpghu44A68UrzkcoT46FlqmO6kY80dL1r
doo9f0KWpSqRiBD7GqgnJSOPd+OX0K4Vg8KHZbRM2l3YSDpfCyw3dhublxHB576GYSvfExenouqv
xVjHDhGs+m4YdGAG82zv00Rf945C+p8oV71vgF9YhR/biC2+SUYTZWHuYU/I6ORp2ZNH4+axD516
7bjwEFBnmM2oc+AUo9AvsmPEiF8moNcT9+ZOMZ5fGsG0+LXShu3URlvZuLfYFo8mkdnVguoHpB2o
d2R4T8Sx2Fd1sPCMBMZn7ADVKewaoxP8CswMjtL/gv1PAKxoonkzKEUKdENZ3tqxZPJS3KMxW4y8
UbJhE917l1wiexPOuuhs+lCpBQ288PyB4eQU7cG25a3n6fyIY+Jg1+YISmpWOToqtKhLZa8M01Nb
OXBH+otZL+6z18yFX6pWweeL9JcpJgzsM+c7ns8fzu3sUGj0SJqZO10nMuF0S/mQypyEOBP6Bvzl
XcTSeS4NhhH9KhHi1wvlam4WHwOruWcoJWBd23kg7sqmgclgXc4ciDR7uDityLDSG1dRNjxEK27V
QtP90guf0sq9P2ItjN+2CTNARc1ZYXcMREwhy9Qmb5jjFN0h3Rv+sXvCj/ryssmjB4JePJVYOySi
CHB3/eotMMzRJOikyTmw2hqVf7Fg9XlDFUg30dZmW+nb3HCe51Ld9P9g7jyWJMey9PwqbbMmmtDC
jLOBhqvwUKk2sMiISGit8fT8kMWeqaKxh+wdraytMzM83OHAvece8QvC0DoujzkLDmXJ/tSWzU1c
5QejaFCfnDp/MKQmUk3MkpRFLH1RYTxgTfhRDqiRvG7wXV1jFW79ITnJrUzdiVEeE/T+CZwZ88zd
W+m3Q8ZMfJyXHkzoX7t+zIaRUHcbSUF4dPPoixqAbcqXAhvRQNSa50aId8bEhuUZAgo4stLR46Jk
7znD6ZhV3SDcWiSZAyG1JsFOWCxu2mw/K2HN3dZAw687/LuVlNZaDpdtNshXaxiVyAAAQlyMrXki
n9Rh4Yi4lZFPXPA51dD4+b2l5sRv1U72mzpPnMlan+uN6m0UaTVDKPWMWOycKZ1B9kFsJTtLGILP
KnSsaQHyJKG7aihZC/1Vkf0tW0/kJd25bRsh6MFSX7gj0P+UsvqeTKnsIMllXuqMjK9rl2+trixh
jlOUI8QDsvW4xTjT3u8B4zrzlg3d58w0AbXBBMWuNcvuwgy/TiM+I5oveoMVv1f1RE6XJm4NbisU
ZmvxK3Q+GKWSldGgiS+WuPxg8jpglYr6WX3QGgRMlVyYW0m47DrN+X1J7hMNWbiVkuYCGgcd16ji
DTRdD7WjXV8GshaUcKbXTMk0d8eX/aHYzIbjtO7i+y6ovQdvFL8pGU6MbszFC5n+6mz0jm2Zts69
T7P+sWvKkoOdVIjqQ/2Z9OKCjIy8X612xcdPn8rMs8xYi1S9JTWypjLIpWli9l/lmLFp8lm05OXa
AtNEyBSAC6r4G248pt5B30627RF7vPFjqbSW+jmPzRdtlu+kkVD3azQGEIjKRqakYsJw5Bs2Cuvo
FSDbSrfcStEVmAozr2AI6qLAtrpzD0d7U/r6V4O5Tfejjc0N2R5Qwb/kudMIamC57NTaAPG1mDji
YZSu0nlQhob8qB2u/Yj+oD9uB+yjZJGadtYoyb2Qm/2xlbFfxOBWJxlrcJGAQdWl7WDXlg6cVpHh
upNvVRANCdGAV/sOVYEWxU8mdqi+7O/wPcdA29PZ7isD0IaakbWpaT6EGhZO027e4Wb7CC0j2zHt
1uOkS4ML8lU8qz0DMk/F/kmJCnWRLKpJACEC/T0Xp+FzrMgvbWOVD+lCOrTNxWVRrfZRmuXJz8vp
renUB1WgwslVxsQVCv+nqqiEcI2ZU1coUdNjoG2WqrwztrDfx2aXrkgSRomAkm5sSnclX7dwbvA+
qI2H2qT3bszfUnLa2Jpgd63+MM5n5HSZ0nZvjZWgFckMO03REK/US6xb0Todnmz09cgNvTbHww9a
ilD4E6fjgBCCgqRYgpqTgQkWRc4GiXbAQykfUzUgCzI9vVyUc5JD7o+B8B5Do/mHPGw+LlYYtOyL
4aM/TqadkAJZDAFP85poTx2CpOTmaSy9DUY+AWxo4/nLjkrDdanj/G1ECNBNkXtGSVeJS69XxAmt
EWtJwYz08QUzCtyl9OVRMbuDp7UmZiggyhoUVC52jl4VJ9uUf+pVVnh0uJ8aBV0HGhoPqSx+NhrC
K60Qifl8QYzAZ5HeuhZ3xKUHxqdehKZ/jmvtp8mwi5xCpW7sLUX1UzNGJTAX2lddZjhsA+K+FXmG
UWAHS0SdqjzIK81r55VDG5S9LruTuZbmG/I7TAYUSCNOv9fKWy/01fcVV2jIxxnuFr08Q14RykhB
wQD13Hq9NzVcxKWfFteiA3nRF1rPiKqbyfd0P1Zp2ehfigVR5mKty4iOSUMOCukObqxjoAKPjrv8
WhUliX2agfbppvRspJbKdEGKfUUQ5O+0WZ9EhkEno2R7UCAIaLNrcJ3KrLFeK7zW3KLZqpPc4tGM
WZzlxJWyf0tRQgZzJJWfQCiaq1pt+UsGXpa5hCBEtQyFRm4liNzye4tiiw3HBx2suP4+lZN6pVzZ
vooIBIdgqHs8Q9MhgCPJdJ8aIZrarnsQxVa9A6+Xz7Ke55eBm/tAVGZ4gTUXHWyeZNEjt2DkBXZW
h95sBTQDhfKcZ0CXT9n66VLLe3qrBBRQk6pHbTrJvb6XrLDB8PBrvho/83Qez/NCv1kvgXXDkURv
W9ssV1vVx2pM4D8WXan8SOphdY2sSZ/Zrw5j0prKUhcj4NGXolp+1doS7WMynjfxoAprc76FJRJ1
s4cOzudSAwHLyu2we9n8Jp56V5u2D8GAgztkbfNoTS2Y/mLMOLGk8tGYN3qLIpKlcVNadKy7TX/O
G954AXXglGIzuLJRfAWrqf1AoLJADAEpiWE0pw+DANfZOwhkSmm2F01+mlTDLrVBZsjyrV1IXCUl
/9kkAoOERTVPejp8DiVWjyENqMpvhMl4pgKTPQkjRr/JuTtZ1sJXZMaIGPyhV2SKyC9sr42g7KAd
M2h8mhbJsA2xmyvVs0LlA7aAvb/l+3cjBZF5UL2QmpLR5pIKjoKh1LdwWHDmmSzrgoHgRme0rl/h
wCKLmcAa2BGjp+wGe2IYCfE7mz8bXdmcWa6+0DqlCbzXouzT2QOLNW1AR5QYCasakTx/GURg91Va
YlzQaLRfVphe0M0PjZR51pioQ61bIKt/p/ZgZDzqkaRM57GTAVq1sYqKmqjFZwnVgcDAxzDKKGTp
fkhxtFXYH06IcfidlZ81eDY3uRlN+hNt5RSLEQw14r6tSFtHK1ADwlrUvMf7iAIDemoBO2JnBLXH
L4iAxe+YVI4nqMF6SLpQhjv8U4zhQV2LJFxvgACBQsr0eo3DcK6RpO2CAK/g/RYjLxPp6xzrSaCg
zgAEly4jcVtMftAzITHSe/G5YnrvJEKCEZWOgk45WCcMlRsI3esVMf13dHAm+NlQwZiGWo5ULIqX
A5fAxKim3lGMXg/NbN69FlyEM6/Fu1YuX5Cy/blOSQFOrpuiQbPWcMSsy1t3DU3nYXvRJXP7sqbC
AxBsGtKG9TplMjKXDQ6gFiq4MbkBgmcHerizIr2ub3WpPluWNABoGtBgLKrBmWEB0VvXXnWSiKCu
Y9Gbu+ZJ5ph+XIZiCCpBjT0JdSmMTfUG/yewUG4B/eVVrttH4AYannrWAGz2GMFudGPFfLPQRSww
1QD31JXqS/d7cdS19qQA27BRR9u9JiVTk2U6UFZOp9EeTVNw9m1YkEEVHUGkfM16HZsxxYCXK44R
IM4sJNcm7Oi7+QUqlspZ1tHOa4Qu7JYMgQMcXAEbZhBJBEELtT5Hdgg6qWcm8AuA3I5oZhm9Ur8D
oMErpFC/JxUmrnNTXEUhE1G9REIj7VQsokt5CyrOHt8S4Vg0GhkNuBDK8nEi3oDBXZWucJMdXtWE
O/aqo92a5lJ7X+ROeRhMoPZKsjG7F8Z1+gJufAl7hAgvpF49EzXhfZ/TozckoXSYtg/t0JHrbHlF
X+nItZJqDSwsOC76kG+33+y1f8mI6KH9rJ/H/vNzvL61/+P4VRwhN7Cm6fjbLvw///ZPvQX/8kuY
iv+vz3ffxre//IVeFjKjj9Nnvz19DlP5xwcAxj5e+f/6w799/n6Xl639/Pd/e28mRKd5t4TJxp9p
eYd5+j/n8QXgv5O/WgYev/AHj0/V/25A1ZMNRTF0Vcdn6B88PlX8u4jbkIWbumqoiAjxk3/4sCt/
10xNs0QFCqBqoq34Hzw+VcKD0NJkEZ4fHuqaavwrvkNcyl9pfLy9AtZHM0XdlA9+4PHz97enDC3P
f/836b9VXW4ZszL1uM6OXYGPTC7O7ONW/5Jpg4p24RTTeUGBHkNfnf79qzyTDnHFKwBn4Dj2TMeQ
Rnc6qUys9F2eTqKIhPV5KBTrG2xiZpHjWOF4bWJ7rQU1xzKUg32eMQozhgPFeDgUI0Fj/hhxroXH
Z4mb5u9WF18JsIA6+gX5JuCyMHOcqjAOdzBxWS/jKLG/TQk6eGJIc/GwzHEeZrNoXUa9xGBA7po3
lUEpRQtE4VxIxbd9Z0BOO8qkrwc0DynrrVw4o8pURB2jWL+PUKNfqVKWLMBkj6CCBYlFZNiSDHH7
RTUG5GcqZmUrO/xNLzrpI60rYEMCc8OvHEWqwWGZID0ej3tVM2Geu9glRQKNJEFJ/4Y8DE2irNB1
PEMkamupfJDV3qS2XtDExyMB0Ho11LQXSo0y1SIR/kjzQtiwplO3U6+3JBXiPBo6UkDbUKIfqiFb
jkL0IWcKfHB2NcWCDDPG9aHSLpgyWN2SWIjSJ8AeX6+VFn3fDJOpVpjkH+pQo+TRwFR45OxKBDoo
YvMtHykTmAuppWZ38mg+wK0gVpXA0naI5gMn9KpWouwJlLxfoaVbP8t1LoDBKIcnBwAKEkhBIigl
APdiFz/Y8QQHC1Ak41Fa1uCs0fyT5Bq3vhJ+mInn6bTf9UGWNFDP29KGZq7C5kTcvlZ9YallVB6a
RXZ1EVVkp5F287UCHl3RM8iNBDVErLshcEqH0bhRZ0IwYQItuKoqGN2pw2WZD9LEAr4Oo1TErxpr
mByMf1s5ZA6KnB1COastIvowI4GfMj/qsx4sgZX38rO5oGdZr2Ma1Xzw0xpDEEK3ryan0RXWGGBc
eNXGMMyva9Hv1FtGvvHMramC1ZjWOWhR0VDfymTD2T02dAM46BT33qYfvGsZd+rS1nTNqDytahVE
fXfBvBp45KK7vBgmDJA2lgDMluAJoHViQhfm3UZaqWZ0JwDh93riMBSq0WGvqBi8DcWcHzXAwe+t
IAudo44mnBtzUJklxBbFrG2Wy+aL2Dr/7PdDFAb0umWnuFtDsKkljdZ9LkLGmMuChmPDtlXQ2MZV
Xk+N1LOEdftVrFL23Zj2DizYPI4UwnmvbVHK0Iy0kkZhg4pv1/+SErNkZNbQIHYlio7EnRuZbwOC
qikZzcfaVySKERekyKPwA5xCDWKoav8FumH5q5wX4Uc1jB1drB4jmrFFbwI15GG50dfYc5eBi6Y4
E616ySn6vMMGDS4HbIFMSoHw0SuB+9fpTMRgqaBENKZgNItMwt8e8i9aUwP6LpBbJHPHd0hiAEBV
xuJBBRHVmBPDJxIClZI5dZRiZjrWqgv7VMM/8I6c2YK9NOIolSuaYwWNBkBWbxumUMcuBB4DgAtS
NXkwZj2N5hYugOE3O9ZI/gZqbnH1fMcQdYMKi+T1NhIOEZTqqZn3Ho2ETG0rCPjtIiB6tecGkq3d
Ctka7QD1W6MdqgmmuWZfzLGxPppYnL5x5KlolokZ5TSpcEJPbxrHF2tF0BQU1lzo4dSOcu3RKR+o
U4TcWHC+kJKWyCMq+TuXs6LZTO29+qI+qD/wHAf4xxefnlKjSFKvoj1O5tFMuxLgtC2NTyoOmEhu
C5um36d1yqaI2yi81aKkFswzB2YcVlF2HyL6sg4fH/t5pYPDbLNHtSsBPxrdxGQqbQzUvc1qDOWE
fA+3BI2KO+OxKiJdw1XDkyvRANLocMeytVEvewPSgfyZIVccaTx6ytWz2Wx3iPWehRozc0emddV0
KxLF1dnGVYuURCe+D3y2eOgNKjBQi34KgHyB0QPoigrkGKI96YLOOOvtMd2rcOm09oeh7YDMJ+15
6LVvqqh+bEP9vKJDqi7wGST5TUru89hdqwLaSbaFCq13JG+iNrG8bcbj+jDGSMoHBrYejgrf+hl5
iJFUGiDu8jLVMdPkPMNiSS/xR62fALYT2joNZrF5rVOGrOXRcMN+y5jemVvBBJnBa1t8GrRTlOEX
u1pik0oh/6ptcHDQrUV7Pi9hyla+sFMFYkEAHgULbGU7UUMUJ3VQhJNZTS9JgTSLpqLagaI+Dm/Q
yXE5abY+wkIWumVthn2C3YA5Pw3SFM06FYnUEnvoGKsrPjC4ldb0mSN+H0pB8nXIwTkiewpNKjvN
Rno2C+VSzBsqJyY8MlHcgrlDzUQQeds2UR/Tcn3HUq72qjlllrNoEuB1rR++0KO1DyDT0I+eoMp+
Cs+Q6dcZH8ATwqfnhWEUBsG/+48PaL+xaog4YlFHCYjM1jbN7lsvoLWXF1SiQBhFqG25HIqb+aUd
mL3pOwRhcL/Fl11UUd+GFChnnoR4FrOz6kosYqKwVhnix4Cq8HkpnLSWvhhonDHAPhKZcnzPGIv1
KKwgSUxDY9pF1xAAwTTdyyzn3winTKGsNBKQPp4X8BiYlRIDMqC0aqcaCkXB9twZDbCD8k0u06+Q
Ys135EikF0MWjkkJjELFhBQH1vTwNrsCkEGBhp7ppDUr3iC8Z8sG8pqJyoXdKKvnaurfTRVTxsaY
EQ6mDLXH9Rs+BjWrWv/k49zcLG60pWuDSQOToUoDbaJV0jWXVE9J4y4wSTcOHMoHVlEuLszeXu4x
baW+fR5Ug9QE072ZCbFQ3PFMpuOmPIGPoE9gQX9vZBhtpCzq96lHTAA7YrfoFscsO2ZCNcwQlVY9
0gpSzVC0NnmGea3eMXsO0CXqkxkymarA6imcFvwWQo4Wdz77uWfpda/A/MYcG2tyE3QtGjf9biAw
RYKROUwS3bpSnoG6Q1xZDgB64qWqwXSw3eFRMcKwwcAgF9yNsqtC54KSCOKfIkwWiuvWJ2fQcXdZ
qp5qJkCDUXgaETVBDlTmnNEsUPCSNDhYlUCnYbFZ4C82N4XMrJQ/UmQLhH54Jcn4RrYN8P29ZuSh
lo/ZdqNxxnJunqdNOekxj1+b30gCBXytB345CxVUHe9T8gUep2MgRB73Ix3dDxT1LpsOGHuM42vZ
a2cUmnwBbzHH/G2c8rlQ9+E7gDrNwRAa0rVF9pS4jnk8xhj9FErJAOl5BlR5fNSQ1T+wi7irbYJp
VazsKGwBQU8K3fLnpXjQZs5oS0fcKyYyy/t70W0YwhXa7kooD9PPIxkRdxSbB+yllnZ2830iRa7B
aejVbdFQEV/7Gq8BwsmQfauWtKe4Ja9tFgBchda9kVrPodW8rbIA/kSn04Qi0FilP4yRBxQlu2h8
KHhxSkvcpZQF42ii0CqC3seJQqzpvE39FvZ6VfywxMIynVwvzdzvG2v1sgECKjMyfVmcERw8LmE5
Z8HAMBW5ywWsz5xlWHh0yAW/M+Oo3iSaocyRLR0gOz7KSAUDmqlwRtY00CZqDQsPCZBSYrRAR42W
pc6JOBoySGgA++fWPBCawjoojL+66ZN7W8yRjEFZ5urIZuUsSlN/zJOq+oW5ooW7uNi34BJ72Nyi
ieauva5J/UUsIdZfBETNUMCi8XA3LObEHsZy6nMrJ5hcNK11qFKulQqQc1vbD7aWuGNqVzJ3YvBF
Dw6oEQOU1eSLMR4c49KROBoel0VG2EACB//A8IcuZiX12BiuzNmZwWUraBvM4wCeQLrjAvFpz8uT
2OoqxyJ6dCSWVinrp6bIhK/L3gg3EpOtOxcbityg94wPCZCLjr7eBCFlZeT0819vM/zT5sFfGg7/
ZTPi/8M2g2VorBTlv+o1PH/WBYZGf4uG8q3+GP67m701NL/esr89TvXHW/PnrsV/vN0fnQg25N81
XablgBQ+fYhDN+gPRSEJSSFVo0OBjbpmmJL8nw7IsvZ3CzllwxI1fqJLClc3kC2miBtpfzckyzLB
UVqmbkq6+q90ItAn+UsngmKXLoipqOJhjPynDgQy2qqRzTmq61F27k6obj4IIYaFiETa5lU+HX9V
b+ZNR2PWnn3qgnA7Sc8cx9JD/JjdyIe9+rp9xfLSW3305R+WIDuBV3ahUV2KtzKqwTeBy93sNkIF
7Izcvbv66D74sVO41JMehLUIYYlQdSBSnFZXDlq3eOKA83BwOGOE5NAJPMPDcyAJnBWXEzzcHGJg
mIV9tHmjLwZAI4MiyF0m+34T6qf2OTkhGeIWt4E81Z6u0K+i1gdi4Ve35DYj8uArLiRKV7gSD6mg
zEtxNcLuJp+MBz3obtsV662IXO1U3rJoDlu/Coeg9FVPCNHoPSE4cRdu5TOiCLfmWoXdiSGAB0GZ
78kQ1ROueL06cWQuNOFtRD4fMBMiuUULGDD6HSlve/1ZncZI9Rix8baKP9ifkTe4sf9CyutIARrN
nuzFv/Bu4RVtqP++DNWTQt7BRTDPxQXDbqLB98R7fFlPWdAEhUeqwjebgtpN/cXvot3DQeYMPzjo
Q/17fx7cylcc3VVOxcXwFt8IikgKlnsdzvzW8lQ9EukDJrWZPUSmT8vYNRzaIqeJpC+Au+/UwebO
DoW0nZ9wiDrBY/pFDn8vPuR368cYNlwHzlr29OIkzuJiiOPQXj0Nl8XXHwB3+LE9e0XQhgRLNw2n
i/EYP2wXlDFdSDKu4nAouPpD/iReqo/9C9Xf4SyGSPMBqXL6m+gy578pN+s6RMVz+woSJVp/iT6y
lpHhUgj62T09z4Ec5oEW5d7oSV7h51f1qrklB22UTiDc7OzZuBtRz6dZThYoTgG1+l6f8PJw8yBz
xa9q2J7k8/JViCoX/BsXa3qkmfx5c8VQfarOSjSBiURjyDFv6pN0ZyUGsZf5pdexT0T+7WM6I7Ry
z36yf3hl/mhEW4A+kn5SA3QaHorn/Jpf5FN50a+oSj3lV0DWQX/Jo/RUn9TzcP5TxLr/oRH2t3qq
gJHVI11EBPn+yVb/3zzOF4Bojd500hUDOG/Gv8sfXQaezhBOtmG3XEPv/vqF14RvsCvLCDctV/VE
D6SQK7wggGUPXvWW3gGZORQNLiwoD4aQU9hfMjfzJxtBAkcGOWFnIapjETvML0IpBCCbv2NG57GK
HCDHDuxm3/ALD4aLq7DKx7OanKqgcMAEO7B+HADWwRo2j9pZCgWPjChIgizIPitMko0ThNnhc/9Z
vcLMOxdB8Yri7BpmwfbQhharv6D3f34SHMMRviAQxr+NYfw99cHyn0GwOfg+vJrfk6scSRh0X0zW
0lV/YEFGgIdf9iftCdkSfz4Z1woptWg+JZfyvN9iH2T6gxYozd3k1bGdOEjwXtdAc/B69OD6OLGP
QKGNELD9i26X8/a9tN9rosLCXthszR08GHCuYn/8yvn9xWVP8lq8hxySZrtyeSdviLTTcslDfMYI
rOatC0d/dXHNicrWltzFo5XlZD7o3y20WI/COfnKinNb5023xShzALDYx8V9EMMvasBDuQrn+rL7
uMV5i9N409m6l47G34rb7iOV5plPNE7LwGI5QMcLNBfDD7dwwVd5tUM/MBIettPxueV1+5k8YBPF
aBGJHSf3Gj/12AJRFzYeTmCh6K0uo1MHd4AbmqNu6ehe76KD6Ehn7PIcOB8+HQkbP0V/CyaOmsGD
PG5P9q+EE2F2ifr26taR5louIEErynlVF4pPXYi1yYvxHdU1ll/2refd8eKOBE4ggWVMieWZjuHG
T0aE7r0tB/ADeZP01L4CRPlDNpEMhhnG/2EbSXQT/sk+Ev96ZC4oScmKYorXztOvO0cZdkGBYI9u
F9JzFngmmA/6vcvoyk24lZNjXFKeRM1ZtXIrLFdwn/H78UEU8ceMu/GlszWfloT9UTsITtoYPTtx
MHMnDbcNytMWTmcAHGw5FIf5rtAs3dX9YQZ6gPWeZ9hIlviJN3AqDl7vox1yLJvjkOQHLoayDoWS
N/PbeoDHbGSekNIKcFgilMcePCRb/IHMVnS84RDqrDFk7W6r3/GnlKDZecwCvQnuwxnYqKfYpnP8
Eyvo7VjPYH3chr+LDr2KJ5U3wmksBCzgyXxMHjFJ48seb955UpSzWEb3jy+SkyjQMicYpK7plu7O
qsSrOEBEwUFewoaXz7dDksPR+TIsrRs3jUNc8YlefHP2ht+85S+8P/cVk3Yn9nRPDEYfTUEP8xov
4z/dIas48X7cbtaUcC9fY8/0gPAG2y8ei9O6bMCfomgnz3Ri09fh3LF21GB3de5c6aIsHEFNcOgU
EDtXHyXzAAaMC4CXPeuqBD4zGHm227HQXcat7sbG2RyBJ3P87LhniMDyMBOfxn5YesfBqLGQYfQS
ODWWshHVHEHHUm48i9+T3IYPYaTrIaWlXagF3diNo+PrHKkSJel5C4kEPL2N1cIN4hWQllh61Hvc
vDrav5nX5bRxOwau2uTZk08EcdBe6IudumOhunogPBxPGk/xEGg0C9b0Er8P6IA6z2h48R02Flzt
/MLOz6ZstAG685mwGbgXQO+46JI/HTcZ6yWSOtBQnAMiGU0L9JkFy+WE8nkM9FAPR05l2nweyhln
YtBZuC/hENKJ8o/PQlGMtwEZ7+Ze+nthYjvEOQOH2qEjoTtCVBIuOXg8g513LIn6QmwKy2MlE13w
DvFSggfCbQFm6y55h4PEu4OL3DewNxGMPJoEAeEqBBHTc9TlgcH6VukP2yUrT+RU7n5akRb1vsye
lYM0WEKBXXys1OxmBvJp9oWw98PYwf02GkJAv2yHkZegGWcrRODZw0LZRYGR+AP/MEyj8V0lDFuX
I1aVAbU7S+a4Ywu3lokJd5TuOh8BcJkQqDubxx0N2FKP5uvyqN6IaTzrypWu2FVzv4ELsezwKz0+
l8OlcGk9EvWwDLU7v+c66qA87oeT8ZqN798QESDd8lyWm8RvH4EfnWzSVbgYXkwsQirTmTko2Bek
0WJgXrV36NSR+LgFtF2Ju5vbvglBQ1hDHJvt33xhBZD1y3wTyLnEYHCCbMLjky3b8NF4J5Egf3VI
20L68W7rQ993Ej4ba0UPHLRLMueU3GTclE6zK55gpPBUgZn/3twSEes4eY7dujnSEYZEHjU71VHI
P2mw8BX6y4CuDOdIyj1Fs9+OXTAjnoTzAbeRdOc49biU+ZKSW8z2aiP5/JR+NLfjVncnjQvFZMoj
evLz1rNIyc0gf4lJsduHKkBc1E1djExJuvfzrl/rh+px+1zDI1EYyWwy0pU+JHKw1eNA4mUWuon2
fKYq8UCfBMU1oVFKkJZC/nqq/eqEBe6pYeR7oRGGIs25uw7X4RMDBhsHlUC3QacGNGer19KnpAq5
Fh+IpoOEt88Cs1N3CVA/trMrVZEN+4MsCSNbPwuBfvAqshEXtyo7sysHxTJuC16i1CcIhx7/+UA6
PgQHpHmAx5R35C0IXLu1v12n23pBh8833dHbPSsYSdTWEEXZgbeXPYWqJI4ULApuaJAEmAKTsheO
GLVn7Ra/oGM/8gfx2Xjt9Net9/QLiZiX+tVqVwFcIkdDl9WhCrDRJ7iaruXpL7Tm1Wg8x1Hzyv1l
oaiu/DBRhdTnAzgLs8/OXtUIwPtZ+aF+mC/qPQu4Pbw2f064HP179mnd+rN+r4LEK2k14floJ16C
Nt2j4AleH1YBRyRp5pGHSruteUmAVBXfsyJTTPjnmHqpchCWdCY3tt/HELctG4C2Db3eGew7uelb
/QZdZ9w8qC6IqlHXTL4SLH7rkeaFdA3ULqx7O4usHyiApvzaN/kZDrXGOuEPzQsvJuc7Hi+eWr5K
GgZdlpWMHr7bREcdZv1+bhZvOPj5m7qehR+kpyxAYbjEISZPNhaVWEhEqOLsAX0/p3bz7whaue/Q
Je34fXEXf/Xe0N8gKPQ2SjXsRK7RcAxPtXUb8AvFWcvaxZfW3twjDZ1JuzEGZFMxxeQjmDLTi7ep
uSgvRdcKZB8DS/4VfXZ7/AVb0Rs77F1s2tzJi/xeRVnUe+lt1/z11+b3XszHHdltDH6M8qvjEzAF
seG2co2/r8K2ggN0+ij7ut/5x2WM5MnHxPmjfCpvWxIgycfhdqR1JEGENZxInDakEL0aHqudsJ74
uMC6OvthouaDWEXiWQecOTw41q7zNjoKBy0X7xybpuXTW9LuI+nO/CPZPhY3zHTn9VceHPnscbuO
EmS0KaH5kI0jGhXurwIxSrfnE3Qxu+fIPi6KgGLTxuY7bXZOQCI7pxCgH8j/gzrl9Ck4XSx3sxsy
6SOrE865w6FGMVoT7NycM5Vh2/E9uOmUoUHtjVzs5O5cSOswrHSPdBDmEKlu7pl+94Kxnm9FZYAf
I5e/e8D7eSXHr7M+aHwBOr8n1tELbkEcBR3Rb/iy+zDCCMoICFNTzIEZtlQbHKTB0X8Zg/QIw95x
lykBCMqkBZeZwcGvgYxR8DHk9TDr4WwhcbH5BS6YRMpPI/GU3ZitHWcc5AJftqlAVBe4PYkYsn+f
lNqcMEe5CHfS/a/LWFWm9/UnCex/dKyQLflr+m0Ka1ZtTStdSVLJNAHX1TSWONe9D/IUT6dhxBmC
EwAFAA/AILNCO4FeEJ0jYho+eKRPFkcdvF0SFShcYXk/8q01gmxDhyMlwNGfopdEZmrvD/FrfI2v
yNc89JHszdESSHQ4LDLWwaHHRFK9nDR6RsOX8mXzkhCWO/ne4uhEbJHoT6MmrE7DFSvQcx/W/E93
CUJedh3PenRExMk3n+ejbOMK56/r19W+GxxCVTC8Mjd4GK758/B5HAPSy3G+VTRvmIaEkt1wBAyP
6B/Z76ioEumxdCBUMbnlP/GI85x2EM2JDlqIVcvOjxF6IgSXvDh3sYU+isrjXMH684zxiI815kn/
JZH40j9y25GgDUGKm0djiSbdcaTsFJYLKSqf79A5caBu8BGgaI+k1T8OpZX9triECV5z5Gjx4+of
2Y1Go4Gs2Za/7O6RGxztO9lr/YFAdtwIztJACHS/cfffXycl+ZSdjjDFE4GC5qmczk20n2rlcdDZ
7nZDK2smoo/2QiZNJF/RBQsmGkSDrz/z1QkDuPN68xfhEY9C4sHqITdHqa9xas8hB3OwES/RsQ5y
6iwcGsmVcOIi/+n9I4+EokKGeOTYVAt8B4XKXhsfrHt7BQmNv3CYiaR6+XVhex9BBF/nxHEqkjAs
z7CXZAmCoGZNYgHqIr0gnrdz4r8y0XamqLeBbxEjysdVd9IT6Ek7D4/SluKaPbvwHEnMbTbgw5Ei
TuQ/R4qHxYHoo9fYnuAfcEFHYrhy49DXdhpiSUvUOFI6KO5HJ4ekrlUuR1GCezAh9YhcxLFL/F7e
kjsSUMSko+WADg+RCo/1/1u1rP2z3Urb+8/95apoNZixpnGNP6UH9WSB6SJPJt97FZ/2Z8DN8nX2
d/dIZE1C45FaSn59x82CLvP4XYv+J3fntRw3kuX9V9kXwAR8Im/2guXIopcoQ90gKAdvEh54+v1B
oy+WBdZUBfvqi42YnuhuqXWYiTQnz/mb6KPzgJjdzn+cfqQ3/PvfyZ3YIn1H2untPVISXESoH8/Z
A9qf+/xjd11eGzt6QL8L6psBOc+0MalyjtvoyiUxbG54QJPG8DS+Qr9rxyNuW13SjyHXcB+qa/EJ
CSrS0vqKS3OT7AuWSHSTIRezkrfPXI4c/Wv9LuHAmzabnKKL+WA+o094wy1EQov5JjXcliKnojTh
XtZX8tEL1v0P5JzVldra1+pa3qdXnO+c4pTPqbxhRnaHyM4VT+/N/MCPd/Lyz4H5F5/5t2IBYPN1
D2bxj//9VGT87/8MMNSQoKFfXRsz9PQvpPTuJQNSeldAbfqv25cfv34W+SFG9O9/++/mDB0Ynd4H
NjqeEHRcZruFv3YPOr0ZdPPxugYKPlst/C9M1PyXJWj3CyyUbUkfhvrQ3+YM4FKPfynozswiXMJ5
T29GyMO9I0zblNIG1AnkSjdd15wLuq96NProKtjKmDKgsN95gCZCRP9H81dU3oXoLMUBZJ24ptrj
eN+MuvwahtqV6/buywQgCAp+9dMJMro3XvuAoYMDM911iksLRuDoVP4FPmhWoFHdToyd5xuPBlai
lqMeQL9+LZ3SvkfWLPztwHhHolhdzRaRkVNu9aG+K9LflkVeX9KihqEto49NIyB4h3s9uUIdOPuY
hA6Q+CymTkBTVCtoxdtj8qFQpIs17m1etpvtloKhQW5ngD0FCwrxdA1fqDGSt1GWS5QrOh60+DJc
NPmntKg+q2y6bZIECnoY7KbRxYFb28ZujmIvcIgWG6ANiuTJeijwuMdLx7wVwbjD2ucqg1SfNf5V
WyHTEeCfBKpjRRf6h9UwgT4UF4BtQXxfF+oXbhE0bmoeWz5qWEZT3sACuslE8TOM0OTzKC866XQR
69kX0SEg4UXGk1KTtYVhR5oJ7sYyNPgVsEXHDE3mdOi/VMqCITg9qaT8BRuBLnOaPyWFeJ4yCtvZ
EGyt2PyZD1zOhhWibKc95pF/XeRwKIYqGCFhpjE8ohTFpggkETBTvIHKaN2Xv/yKM6v8jVXxNmpE
/SszYPsqPxyQ+UO1m//YSLPwiT7krIyGIhTqDYAuKgVlx8x/ioy7ye1jjMPN9CmsPqQ4n4J49Hnw
RGr4GA2QM1JZA4axXpqUN6cdb7Gn5C6p+FERT5y2MgYQahVTeeF40EG0qLqrK7O5x4nTXndj0+2i
rDM2/qzeUJcBfkmYnIYVJgKAbFE9bAQ2B5BwQNGQWOipgb4C2NvBoM8OhU9tTF3D8TNHGkdXLeTL
Pvw2RqxoS0NMpezFg6PB9A0671rzNJo1ijo1A97gEGLC6dUbdgHmxBDcAjRWsu9RWFz1xlRfJihf
Y3t+hyPZfetBF0WlejcqmMBB61/2aA2CPxKoZLv1qsoA+bezMqZZfMc8xFvbTYfKwJSjWp9VPsOC
XPJsevVM4ClAZ8oAXKWJyvfOHx4B2T3Gdf2lT60M31MbKyUqeb6FICyyl7qiCibiJ1A3I/sjVd9j
uFwXAt/FdeBo9rMWajH/aG8GpX00YqtDyUFrB5ChSdOtS5jyK03LHpziPg39ZzxpwZuWeLFs4+lL
i5C8BMog/ezKwF1iXWsivIM5/1inNi1cz/Dv4+rS1tlLEsr3iBiiLisqLFnxC10u4Mh8j42oyxVU
jW+B0FfQIwGVQoiKomenizikAkzU+Si8mAAwb6RD6ogE3Sq2IVu6WBziJyv6ByvDWKAYcFfMapXu
rM74mOZcf+CrhxD9xsHVN3olfiNJdYvCYgBTcHpxMAK4C0uHRzJ8KfQckWfnj3YR2EHuFm6h3Psd
KhSmdanHOkodWWZ8ACBLcg/tEMwPGhU19oqos7PF5CDXoBKvChs4G1S2HwpeMEj6ZFtWFCmk4m1N
4xylJYNCuVn+GE0s/Ly2RkhF/4W08L4Nw4eQH+MyGQvEQ4YX2YT5JspQAzI7/R6PGKQptGtsSRDE
QN1etlD+K7ZMkCNwpBk7TQ7fDIW2l2dOqA+geH2pSpw/TNNFvQFV1ZVd91+8eLqJe8CVYNpydMVw
T/DVV6QmdvpErjnF44cuGfmsiXbpYugBiQ3x4bwwdx6Y4YsRshuCiNqNh/da7ah+rUkxfdMTbd9Y
4tuYZdcDIl93VZbHML2yfgP149mIeDo1A94pWrca7eGHDHQUGostetUQhqdbLQxpWaWlWFWFcxk0
9UPUUg+wag76su2edB9FM8Wz2/0WlEZ+EZbKuRXuTkza1yEUqNYM06XSBhS46xdPUUBX3dOADAp6
ZV+0AkUJXQ3PY9vdxpFae2AsCwxfYH1r8hZztfYutXNAb16zxoeWNwem1+sG4B26OXn+A/8sjX57
F7Bd+5cIwYkVAsCPYMRx4jK6DbP+2+hQHIaKb64LYf6ohwGQYfC5D8b41tKT4Vs0k/qQtsPg1+Gx
M/gPbvekOQHG8yZKFj5wrL1fuuJiSlXz4PXhRzsLXawNkcQfZZBfgWLmK4ZI5UIk26DgCDvMVTip
0eIZvqdOA3wwyJ6FRD5ciOc8L7udHbUuhu+bptE7iXgCb218AyJISAaO6lHh/g5KNYKRBB2WS3sf
xaxnqSQduxgarCi7H0iiOBdRiTOHpoefAtEYO+W6P8a6qbbSGe2Puj6oR2xzcdgwUIGBHOEFV0mj
7LXll9qntIlo7uSYJhZlSTPcERFw6BkKa4flZ8Owm9vaT9oHR8fXCeqFunP9pPow24zfBVnkXBVd
rT8GvRf+xuoghREy5g8qhZd9HUIz3kk0e7+GxoCjpdtO9o0By3KbhWP4pQQicyVVCcthmqzvsvZx
9uUaIaVIwDWMA6sVUSej6tHnFnn7JfCC4qVSszYW0mao6LjtHuAdbUgohB8Q42iwB9QbHqR5CoAD
JeoPyeSb956mRXuk8BAeBZ/ogOa7bKOG6nQEJOzCCov6t/RAkeptjIqB5ycveDwPa2XWzt7Osvq+
ySrzerLGF036zc9EJoDH4kw9ybambmTyzf2h2scoYq1VHvePejBRjNYz/wfmitA7sf40rnDqoQHR
KOC1jlmjM4qi8rWVVIBdHKXf61Ma7gN2Ned6VTUPThapW71GXDlP063Tvjge4LhAcjnlGaJMqJDc
IyXd3g8xst6bCrkweqR4Cj32g9T29SzChI6aszOmsAeXDKrsDhNHhaaVX6/kFAV7LbAR2I0j4JXo
siB05EcOta40cr82QzDcA2x8aSRyzunY9N97x0QKAzGNXROMDpWFHC4gsiG5+8GNy2lvCl99QCvZ
3DZ94jwnyoRnzakI2yLSpl0QFhGsaqB8eXHni+Ta92pExwHrzR7RLx3aijtwbD/SEfLg6K77BPkM
dKBlboIrarrmU4ScSMoUO8jVxVl6rY2wbuDUX5lVH9+3bUZbrQlsUjIopiVQZiYWcdZM3/kmymtN
pd8UoRg4VMx92UBG6hGL82AEi6Ep8DMu2usypRaR1h9amOEW2rEbr2bdora3ncK23/Vx+tMdDFwx
MRb5NELDr/0JwcyEIm0zoTnTZuElPsGwlAt5XQRGvlWlWdxrsrgtMu8SfhpWXEmLK41UH4e+3ySd
+yjDazRVaFr5+NDAQ7uo0cm4s+vQvcgwgkCq5kGpZqVXt0aRkIdixaAgkTOriC0BKC8+OeieBYWx
gjd9BR/gosQmo0zLaOdr0Yc+qBEcdINhG/T6Pov8z9PUFGtRNjyKUc/fi6Gl3tkW8hEwYrZxTfrF
SH14TvjZcit1I3rOyjI0Uryc8vErj4qvXNLXSAUM67ZxLk3vt0Lm5l4gKQ03HBeQnt/7ouUeKvjQ
hi6iHoAQVvSV2/zAuHfat/JpSIKbogcnaqG6Loe6hxsLVSnCwhhzYOylaKlMFvip+ssg0XiIyAXh
5a551z2Yw5Qjsk/CXqh73+v3ohEUT5Qf/ZLIRpADxbeqmS+X5rMRKu3G8pJb1JGnTdv7+DcHt079
yaqhzEiElvQmuUG+em9NLb5cBXYuZpp8lI4WriAdj4pXhijydW7IfWqM3I96MxrdrxSahtEPw7ek
UtHO1qdrI6UDrMEg6T2WUdvIHBp9mCAS1oVIFAHw6ci9ubuwooAZhdVW6dKzqauBi4E/QoPtMlSu
ARnBvatTwtuwIIDE407AjymbbeDY0Zckiq0bcKBxefH+qsFJIOfrcsN//0dg6P+HcE8LpON/ZpVe
VC9TlL7Gc86//9/VAs30/gVJCDapa+oweHgz/79ygSasfyH6ops2BpCGK/5UEv7SSh0sIKUjYJwK
S+qG5fKM/1sv0CzrXwKeoKHrwpW4Oct38UoBjL6qjDtUKyhLEN/mJWZ4tlwAvSxoTTGPDapNTgMN
Ywqbptq1bW4Xe6jNcbN9NTNHoDBvw9nAWQ1CUQMxjGV5otSE3yL5RlM1qUfn55AmBmqTOTJf9sfA
ltX043S8Q9zNPDzb0SmuMELHwwhzWQ6J8qQaU0WpW9PzD42w3CdMr+Pde6LA42DiPNMQ1FtcAfVy
/ileFV26aSLfbcmQPJPrF14YnB/Lbjano2AJ+upT/Y1iwSe2DU+a5kw1fh2l8JE78qxspunEcgNI
3rmo8iH9Fgw4WkaJ1P7NEv+PsKXDuZvjOdCedd2D+OXZrMTDeKkxCTQHPKCZlbS3kdcP2zAlkTw9
qmNRLHw7QDOzR7BRPYxitF4UVzo0ltgOzS86ZrhXTYlY3ukob+fOgcDNY5HVzjpYkqcrleqA/0lU
hsQOxSqUQwGlBTomybUckd8xVB8+nY55uNb/zB/+rY7p6Xi8GuYSLi1zS5UZFk4XBa+Gva4pZ93V
SXyLCJx7ZnhHQnHEsKF4IQvTXS4Ns8z0ImsTQqUUFzqZU8OPkMHE3jzdnx7VkZl0bWnDk2caUYpb
tNSc0s2hS2bohkZ1TLYQA9ThnLjBE0Le91UhLk/HO7I+XscTCwTdiBJT4VIpYa0bU3mZGTw6NjHq
xmfiHJtCx8QSaq7Qckwv1qGfedMYFQ7ulylCE9h081JeN8hQfbOCTp0JdmwSHQGHX+cC8Bxv/vVX
B4ZUsHGQdYCKNouVt11l3oUufgtIDIxrd/Ds1elJPDo4D10Dk33moDx8GK9Dq8dr0BKiqtfas/+E
ybMdKkzAW/fMfj4WytUpZLObZ3/jxYViaI6TaIOOGmqlp+vGTMlFYgpq2PFVZzbYfHj/r7Hxnw3m
vg7Frft6FrtJlFVtMCokFu/DUCABmYzqszAsG/mvRH2uvPbr6Yk8thpfh3wzkZE29InBRIY6gvqV
72yhLgVntvPRKAZeQTi0WIhILNZiLcuQJ3RIuz6S7UOCwPMK9wXr/h+MhcXOZnYhlXiLnYXDgD1r
gyl0e1FVtYbC3UZd4Z65G48tdZysKQPqhhRSLqJgERpVEY/LCw1dL5e6SprsUzfzf2dlHT5Jzqvm
zOY6ugLhuaDVxp9IH+RwWSAfkWLEaqmLhsRsl3bts2Pb31FGFZv3T6DQ6bPMN5dn0ro5WH+ug2di
73BkhL4mVn1WU9xNjebMhjLmHXO4zF0Odhg30nXni2Rx4uJeFGFfC1RIWVBpap7NK8R54k1Zlgj2
9Ijawanf+X6S7CynAQGFD1ELfRkK/HvHC60I/RPTdIw/6cjheGWU6V3XccsYOQIgj3lth/VVaLVZ
feYLGvM2Wg7Zwq+LThnqKsYy9UDN1aPkU9DwjsJkr6dmt1WqtJ6KrroNXG3YV3VZbFCrNC4s4q+G
MaH9T2ffaORVO2rqTCr09qSRXK7sSHp3tu5Yi23fj+RHWkfhrdS9nuZ8IDMXoak+sCDvI4tyEVWd
+6Gm/jCc+fpvjwIiI1+Htoy03qZHo2kNGXU3cO4WIvNVEaPJjeHFmS97dHyvoiyW2NiVcgoUh3Yf
GvTcA8SxccrWdhmuR6N8Ligov/uIY1x8YCbOFfiNLM5uD+lii4xSXVijR8dMIqDV2RC0T6/Yt4cP
UVzsKjzXMnh+Le5ZqtoYnIsGT4ZAuh8Kb1QbK6lBYLVp/B2Rh2l7Ot6xeWTJumTNDvtkeSL4ScFL
0eFGcuPeBnZL4+/a9NGx8LysvjW7UYJXDcgCz4zzXNzFON02GJQqbCgvWV5dx31RXJVhO93iswOb
y3OgycOnPXP8HZvcOdvULZ0EHomjw+MAfixu9lXO5EaG87Whr9TCx+3iXZ9LKOVhrjVfTk/v/Cce
Hgtyfvki0GSTWctlLthaAZqNaGJedD7yZa5SIGwy9B81jC3PHEFH9h29fJPF4+i6i8LT4eASvPeS
3rXBDPezbCdW5Nuhcd6fTEvHNkhISATNuTpwGCUf66Kg6Eb3U5T9zppFHZJYPOqzP8JMDz49fcfG
9DravIpeZZ19YOKxgjYuotepD5I0Eom78s1qGs+sjDk/WXwnAUMWuWWT3B1N2cNA7OMoDUM6u2mn
1/vQ02jc55m+LzLH25SCxgitWg1awNiH/fu3AgAMyiLk1zzIrcUgBeZcE2YOszhjIz8iwWHeG7rZ
rugWKGSp3QkcZug7Z0Z8ZGVKU+ehTIbtsm4WFwRvErexjJ5U1PCpn1oAEUoDUeZI77T3n9Xyz1vZ
IJFHuHf+UV59Ra+sx9qmrXOBZW2H2QHagJnVOPvIlsgj+aJB41nV7ZlpPfJJKXFQdyARAa9izmvr
VdQqVObUNES1Wny2kS2NvHWPbu3eKSxA4DbWgbMG2ErhYnUm9JtlO1+6tLBpn5pcGc7iizp+n5dK
caIEOLhemHpubanFdLenN8ebL0gUqg9yfpORbi3PlsofrKqfWLNT1KAMULfxhPJCnV6iYJzfnI51
bEScLqSfHqry0lhkqIkd2aBigFPiOoruA3r707dOM1NxZqkcHZNtWXwyKgPU0A8/WjTFpYfsCAgL
A/FSdLXsaz1tsys1tPWZs+VYKMH6RwhvvmjFIlTT+3lRZHQVHBVghN6N2rqcxuew0Mf3nsx8KHIh
toDh6BLhz8NBodkSRoNZgqGwdVqNGrlu2GMd8u5PNF8zXI1Mni7E4hlbBwj4KvRYESKbBR/cGpd7
WjDv/0Ak1HM9jxjIuy2izEJOZlyDmumdjuSSg2pTDF786GNt+Xx6QEc+kEWV0rG5cahF/wFdvtrA
wkTDSAtoKtuq9bdN0tQINXXxipLIGdbwkdV9EGlxVGAWqvxppL0g3e6zJwBY5aZfnllv8814cMUg
uUh5cj7/OHepJR+uAgPPF6zU8eEz0CS9UfGgPmZWX1xJehwTmiXDsDs9f4Z5LKJhmqhP2wZRFysc
M7447RURaXoygQoTIpR0oQjLzkRS3fFnIAqOD8BZ5C4HmvNbG+mjOjmoUwunxdM/zrFJ5kMilmZQ
n6V2fzj+gA516/msHPRGYG6WWGtRIvj1/iACJQpbOLw+qUUcBnEVHmt1ibvbEFUm2O0+dpt1rUuk
6k8HOvY1hQRVCXCS80POi/fV4vRnp05rZHFiIw4oe/ZF0GnuGU53mTfaeCbasbnzXHoDoCTdWe7z
MFo70BXPOhTBMS/3rxG5Ulclp+j69JiORqHgYZMDkUcuC9siRWd2nLGUcZ1VN0VLe3dwrOhMOfZI
FKaNRxQnIh9qOXN4zWmJjMI5TwWdleLovTKwN3lvqYhGk04FgmODt41nzd/v1ffxJmxKtXntJ1hd
32bjYK5LP/fOnLlvKx1zGBpRjqCXwsttHuyrMJk7FQ59WZwTWz+60UbP2hoq3Re9I/Gz7u683vlQ
ajrQDexNrql3711Zlmful/nrL04W9rdh0Sag2uItE4FJ6a1sAgj0k9uZxqYZwjp/sAdH726ctu+t
1dDLFApTJ7EzO71kjmwD8nOafqblOqRZi22gIYmstxm4d9zagHMBdoDrVEY3lh3A4q19/v90wGOr
Z27F8UktWmTLW7s18cPFrZEzLQyji762ILniyLI+HWX+sQ9n1OCTUiFjBaGatnwOUHMOhkrwWV3k
8VepJ3C8yydxZfsyPLOE3s4goTyLNHFW6NGXDyrOSlevHGawSJxIW49FqmbZq9BA3ctyfoY9ukpn
Rjef+8vRsfPmSiPHl0079mDRAnJxhkBZeALkGRqmKAB+Vm0/fVctnsmGkZvfKYMM12VoFZfggOpv
pyf37XI1LAooJi8dMklOtcPwWQ4gCDwism1pFQCnET9xQPjm5BSo1Gzi0drnssq3i2aOyKOVbhpV
1hnL/nqX1n0UR6ah0K7WTB6taJFeslXyM1/yzYNDGrZN/ZaNgGwRjY/DKGbcWI5dNNhBxGhurfDe
jL6qCVn4Nbqi9oNKOqzc0ISjZiTSFED26Wk9smYd3SWdJQekerRsVFdTiZitQPtHS321dYJkbFYI
04dPRV1Z8ZlgRw4+WiU8lYU7S0XzJjgcrIWKnd03wFZGt37gXEyeDF8m6w5tURQD6tD5mFgZT2Xs
12vogL7vI+NQ1+pTWNn5XxzHf+z7Hpl5+rGAATzS6xmdcPjDmCnQv0mhdJSokO3atc333iWfz/UB
25XRT25r77OhgvDdVxmTQBudyhnAAAeVqoN1pWcydVTJSgZ1CDKpwYcUaaHOwPTj/d+WhxdgB4vn
pGHP3/71NZNjGQfEobgI6tb/1I0xlnyjIf1r1FhbsXt/MEnZigqk1PlrMZuNbZqh1uDjM1FZ35c4
id31OBqtO7fon06HOnL4uXMInYYiNoLLLp/h284ocsYlYuH/jNFX/oQcJEYtIAAvaWiGX07HO7JH
qNEDb0EC3fSAChzOY2prERbFBed6Iby1Fs6G8VVAR53/5v2fzKPlzJXI0KgWL9YGArdlgDgriKvR
RpDRHtrWp+2XW1foUlMLPD2wI2eqR05lz6ecPhccDweG26mbBi18DCPDX9XHlQ0rT0XjD3Pq2vzZ
jFWHdgR3zZmX07G4lBsJaf0BkyzWStsAfDMtQdw+p4KDNq99Z440Gqs8Cj/1hV3ceB1+D6dHe+Qz
AlAgBRAkX/zNYjt0orOzBiT+Bct0XPs5u7xMwLMLUbtnSjlHVqjHOeeAAKJqDPrpcGKxM2hF14Pr
9OtpWuE8Ye5GF5pSW/nxus8D7Uyh5djQeFbP7RPqxTwWD+OpXgRq8GROi9N2cU6ZzHUWOMWHyYN8
cHoW5xW4SAM8sih6DdDCmMvFPWzDuwLXirc16Pj0zq4oH8W2E27/QRTuXcd06AbKPxfJq6NLz8ok
cx1OExWnaqN83QMlHfbvroUZeB1QkfAo4jqmmJ/Cr6KAiaZQOpZESR2ILCDb0vHSjumrrUcMCtSZ
I/LYqqBCNb9jSCqw6zsMp+uTW7UR55bWNB+7ZnoEl4n4HfnUhVCxOvOhjkWjxjdDqCgT8647jFbm
dexaJZsbDCQU0KhCTC8JxJU+DOX11E/tmdEdWRicyFSiZ3FGWqeLUzIRZtkPoM8u+q4s6ctiFtWt
Qdv657KII4udEHNhjBqt/cel4vVXG0rbCJuIfTx0ncjWGdiBNU6JHgDayK8+nl6IR2aRSaQ1CUgB
x5jZEuN1MH8whrwJvByqVejka34c9SOvbDhQ/kzHp/Jvh+8/HbmxqZaSkwCJXF7bU+FlQzgjYOMu
QjpIC9a2iWZE3Tpwvf0KVsdg9GdugmNzSlKNwQfMSupM8zS82glhAxUIAxxyzDrd46SFQksGWDuZ
9Z1PT+i5SPPd8CqSWwILAxWErXTbRN0VRzUg/XxMOojhCb6CZwZ25KqRYm6MzrkJd8piYFlTeXBN
YNo0w9TAi3S0h8nFXl05tdpogxz3QkX+l9NjPBrUnY8VtgOvpUXQKpO9EXlWflH3TGIEFORTNrqf
QjevUK9X1ravQ/tMzCPPMw5+smpT51VPzf1wXmtvKuoYQ0TkcRWEzTDf49yYfhnxDPlRZFb2zcl0
xAY0HcGGHqLX6RG/zaXnrhBHKBk1AN/l5tdtHL5QiYbZKQbjsYU/cpGGVfCi+aq9nTzN39S+qm+1
sj5z8709deblyk4hj6agsLyO8saWUUN98sI3AQ7R0gg2MXTRx9PDe3sK8OoU1CGBlVFHW96vuHa2
UWTCcCShDr/BWkEqssGHOd/a8EG+Na0TvJyO+HZC53cuJTXhcgc6y3MnbDLcYWAYXmSQ5JCui3Ln
AfYhjJqKtsrWsTAYF3mgo+tU+vE51MKx6H+yeMOxZ6Xd+ddfbdJOK/TImD0K9bIMUyTj2ZjU7gs4
e7JPIxzccn/q1+Wgl8klxWLj1+nRvz0kLO4QAOG0JSyTSulhfCg6EWkyh4SJkcEVf70k+FvsTKzi
tu+ORImUyhCtnD8F9sNIvB1MOaXckrkvBeyFyetHWKP09LcuzvPhmePo7S61WEce5zp5GgfDYmLr
WEviAaMu9OlxnuACWSd9jANJ4lOBa/JiF2Sjei6xO9rFo2V/Pj3Yt5uF6JTSATzrwqAgthhs67pJ
WxMd5Fh8bZSufuHEufnuLTlHwSOKxJfb2V0kAuwQD5Q2vCFK23Ifj/Zd5+HD+A+G4mEjC2DbRQtg
MZQarJ8GKo2J7KfyAVC6j6+9rnfnsGBHdr7HyqBUKSTQwWU7if4p3M8cP9BAt5HfVGDqpZEFV+D9
hr3nNdq7U1Lw6Prc7EDKmtfRImurA3Ms1PyJNC22NpDx0juHutcmCwb74fQUHluLIC/pMs4FS3Dp
h6shi6H15RGOzkL0Ncal2LZQTMjW5tgjj1JXOvTBxnnEXK58xl+nPLMVjpwxpHFMKVUnAPFLbPDs
8A30g+TbH2DLXSgqig+2lwrqmIOonkxTgzwHkUc92VEwVmcG//aKJsOCK0Gzhwq4u0RMFdpUmg7l
lwtjwkaQjwGfPDfZjDhKB/DDQ2CGHwJtcP7BgUPgWcLcIh+hk3w4602Ed3TQ8QgYDRyFNH7Cq86b
wq+GaJMzuetiu7PzJIgeAx9OnTOczO4wlN9hBIayBKrNfY17n5fWO6Po4jMn6LKo9zeMx3mGERWH
9mId4e2T6ZiSIMdFj6KRKdJpwQRNVsfnXOEWeEc/Md8nlvbgY1K1VXQ7H/22eedyfvNjLE4Eu9T7
huQW2eUKcv7giGpHYtjvsO+BbS8xYnQtfC0zCn4OYMbN6c20uLH+RAfgB2LFoJJKBedwrqsiKqJY
tNHaC4J27yh33OiYHG+LqDvXZjj2WV+Hmvf1q8vZnSwxOlkXrVspo01jpd7aHOrizGddHHx/BiTn
wrBHNsfDZ/71V1G0LkycEDvftR9Vot+jNGIjiz2WSXVljbHUP0KM9N+Zzc1BQdKzGyEz6bPyzGFQ
a7RV5WAqve79EPYh8CZ46bpxJlk9MjRBPc+EBgEfRyxT5RayiK9RYFrjP+Vl162BpsBlg/aLiR5Y
U8MBEiUn/ukFsjhw/gyN1uWM1CI2j5HDoRW+8MNotKN1NuiYReUxlh8TpvN1b+DaMohBrhov7Pod
Rhd0208Hf7Nk6Oez9sFFALbnrF1cyVXXCFvD9WjlqAY96srHIw7g65koixPddqmi6yZpFG1ai17w
IspMiO7wGDdWOM8F6CNYaXEfqwH9cXfQNvXIbY2HTr61zCk4c5y/2X6ExvBhxsOZtFPsxVEn8YL1
kzizVoZehMaD6ZSd+hw1jYlqCRiXujnTjToWj33BnU8uB1x9sQfDyU5NXyvN1ZjYqL70s4t9bCKC
1k7V+vS3OxKK2r2khA/AiX24GFoJo6tKgNSsfF4dG5QZEI/jXuZIU9WZD7jICOYPCAqCFjt/CYfL
6XCNxomrjKHtGRWGi9ehj+GR5qNcYWoi+NB09Pj9vo1XcTZYN73l9Gc+4pt9OYenNUJSB3KHlXoY
3tTQQGjyEHE7Ki47bWpwuHMrCtO6ZpEfFPrj6Zl9uyssMiymlcVDvmgsPmIZDIkf+xxrEJmRK0nz
bqOisDkzqW9HdRDFXOyKRFpSUwnasHT0EVX13GKVDiDvjFA+dp3lnDlnjoWjOjuDsyFSML7DSXRy
aqeR5wZrDjEdIaTSrsYI0UMntbAf9HJ7xGZvbNLI3r5/Ni2H7gg1Vbok1mI2Q0qNYPhNbWV5hfsc
JrQxi/qdcCA+ErRaQNFUdOgAseMPR5cWYxq6HnZoI8N5ljqEc7oY5ZkK3NuFAQFCd6nA8ZIhF1/M
Ydzhut7HMl6bJl0fx4uKjRZFxtV7J4woc42IliiFqWVpqi4slC08DSsk2yQzg/K6jfT63Hp4e3y4
HIk8caFo0nF1519/dY9TqvdHS3nxWutGJPRD/Kaj3ogvB59m/ekBvbniZkQTORU6/wKy0PKKwxWO
r4Zp7VpBFfsxJW325DiB2qrYQQrbKzR0O8J/Mj6QEBb9W2ABUF8Px1dNTHCgmMU4ChUtY6DstZkj
qakZ/ZmdfGwq2VHcL7MJMu/Bw1BOijE31C86OJPV3JchLqlozxnPNgDDd2+mmb0HBomK+lzWW6xz
Hf/SsWy9ZF1iaLWTdfq7stxz0IO334v1QDsC3P98bS7P29oyoKjDbGUBivFTW0zTetLs8Abea32r
h2V6m09ada439nZzHUZdnBM+1ntQtvxobRnddNmVUbMr6s68PL0W3+YiNDWpoHFtQkGnv7n4VsMY
JUrjUaJ5bfSQJe10MYoBNTy7NK+NMMZcPep969IOG//ldOhjA+QS42VrkgMBtD4MPUx1qWGUxnvI
dYe125rJTTK7vv2DKBS16e5T7YWwdhjFiVvgthj1rYXZdVurLBIwZMa5uu7bJc+bhoNwNgUX9OIW
j6pC6DhYNmG81tvJb3cY6tXmdoorXAlVZjbNmSNxXtavmosMg3Bwu1FqmK23lgWqLsht1ALteO1P
CueURE2P6JGk67iaa1Wy7f4qgP5HDMiRLUDVDwjOXDcnPV58q7DBi7kT6PN4gmyjaVC4o9pZICgp
BcYi4MpvOlHX2eb0xzsyrZzHgG6IikyWvvh4jTYnX6rDhoTLZ+vk8XTlRy0lXTS3zHOk+SOTSvLv
0pJj4/GqWnxDmesjYnsKLeKmCfABAueA1ZUADbSKXFmHlwiYIcT27hHyjKOMxQWHHsVsP//62rEF
Brs1WkPrnGboitqS/+T2jXU5WUX343SoI/uNxhXbnELxbF2/CNW0gi5A2CH365BgdUaHsNskf/6T
IFSiqXNABVs+h3WjDMDzNRhYwNPYhLmOk2cvpzM36Jt1QfmEa4y+HzWbGeh6OGsDjzeai3Gxhluu
HjFDlGu9rvpdOBrul9MDenNAst6duSFGlgidZ4luy6u8msHVah0XjvXkg8zCRmUaIbmuC1Qz5Zqb
G7Gy2UVYJd/ivpXWmSVCC/XNp+P9BFSSBHlGgkCmPxwvz7kE0meCjQU26PDAtclKzfShS7F6x2kg
s+tsukD5akoRJ/eqOk7xpMx0HMgNWne+2iBNZmTGxymzxvAlwpFZ2ld4sZfa51DkVCi++GMS5/Gl
0Lpa+5lnsebjPRLpOExjhtDlSbzR+0D3Ed4b807p2M3S7sUYW8aV9dQNpdSKlRuG/fz7w0lZz0qE
WfPbaPSy/4KFqWshESiq7KdK7KZdme0YIRuNwCWChbHRxDjElXG010WMyV0r4m5E5y9vaJDnbVDF
2IHYUd7i8J10Perh4I+qWz2d1RJiK0y9z5R3cMx14VLqP2UN9+lTwoMQwacCWpSBEFMqM7HuUi1u
Ufrr0OPbl1WcNWhctXn/ESEmF7pk0cS+v85okiereGxk9WmwrSq+R6RQQzZaSp8CIWMpnGeVjq01
rS3VD8K5rNQUTOiAd/GgNatUT6UtLquw1vpdkwG1uqjJ+Ydwg8W9B5k2Q3MvuxjHEn+HIvSt8QN+
3Eb+My3z/+HoPLYcx5Ug+kU4hwZ0W1JSedtle8NTVVNND3oQxNe/q7ebTU+3JBLIzIiMG3oVOJmw
fh9n2lmy0qZ+EPf4Zfv8fqkSi9l5dWco84Ge+aeGOEs+3LVwWGr1rVL2zxAOeFqTguiIo5kdkr7W
KGjrp/mcQ9MdhC/W5D3ICbn9C+y8LdeMIZNa/8x9zdA11apup5JWNk/cS6jVi3kOK7M0dBGFXUf0
ytoRsk5JeF3tO7mmbfFaBbEeYWnxyuv2ql31Wj5F5TponbI2E8unbYt6wFJLW2x7nZ1VWWrsag9N
/z6dk4vpuxSRg29297ccLokOrHiKZ79ofyQ3tldknRBxMR/sNtVejOLvBOufPiyd4NezVhYNQ+l5
LImtL3RUE+8V6wnA776OxDwfiqTfCv56XuTkpc4Jrbzr1iGM7cVeEPj4SeCdUzcpfomS8MO+XaPt
L2el9px0WWVjH8c1xgZ5IeZkn6GD1WoKiqwpFn8lzzi2Xv47T8oLeJTzcGZtQey763zEcrczO+vS
2ElnRS3G/XMoE+teb94g7asE61v8IXpwUS9st5r2ECS52DLWImyUxg4BvTC8q9256+IiZ+GfYbx9
awXukeXQryF/+bSN0e2+k8b3ttTxak9x3nMCZdju5pJI37x3C3E57i3Ka6pGue+fSna8qKeOaOjY
T6PGsVhEVC3U5Nz4k9cNSXaWwBOC6RdRziRpljFjwNR6DVrAzUp0p4UwqbvV/heUAhXrkJczLqDU
7XenlycsQoostNkVdocI7Vi1feKwFDX5zZbPcet5hcClSs4PtuR07+Oi+QrGyQwQkwvHOs9hORCe
wNbOTvRaahcsMmvKARusP1291yUYLq9IJphJ+CHm+Tpy21Eu903vEMZ4NS1tOawXk2E1eM40TUEU
HgYfWvOt8uuwW8kuqkoFV4nTusYj7SYLsY1k2ASZJ4UYmoww0njwrqzfcXy95m2wr+uzavyxSY6z
SqLNfZ3ynt6H6i4OfCiRixLRnVmsgXKGaWiGTFBYCasu2Vf3OM87sUCHRGz19NjV4w6VlDyPCt5H
t/RNnSaBtyX/xZ2H5nFaiNH7twzVFt24TjM7f6PKm/uXLmIjH9cfZiWMhyyS9v95Pmdy6mmqhWwz
ldY3TjhE+ctOg7y+OUs/tRdtW4TezRyTR5VxfDnf0dIRcFSt+3A15ba92IKcuNNxGwuXCNOtuAtz
r3xI2Dw4eW0CSrrQA3pPFyVz8BKTmNwcGTdNpAYjepMaGQ56Y3l38EcpPjyf2fcPn6nyP5awhngT
rEIArRkiJAe3bFaQkEa1/gV2a6e9mXeVBweio1eIVHXiEU27ejHRfaLrxuFWBE3SPntN1Y63Ljdw
/jjKyuy3nHfDh5XuXr4VKhnzn8hWcfdUNyKOnpbRsckHXqCxP829IIu2dAdNiHcS7YQ4G4Vp9DiK
Lv/tk9mdHrGtVt3JFJVJvnlke5653MXu8jSFnlL/JbmsAREKgOYAJKye/N9KaqbTqegnj6eaZ8Qx
T4HfIU8JtS/hH7Xb0V4TtixZ7Zcmb5u3vIgXR13KbQ7n6OQEU2HcS0OjkJvMbnE9/dMx8PNf3chR
AWxeXLmSWroI6X17kzEkVpeKZGN7YENDz21GElJRGHKByzOFfuvLsyt1Kv3RzBmZqaP6jdbOcUi+
jceZbdmy8Jbka5Tg3d+iSnYVFUPPg16mOMNs6MG+3P0AZ4q7dgswsiI200Uc65YddHSP8a4SwQbm
Ky+JDIp7w3mO9WBePzt8oVPKDhVJkV7tNm7W4APBY+n2EH8C01fYipymkvGbKRBO3/JNdP8Vaqhj
ppWtbpgGD+6bK5iYZT7Pop9FYzF1P/Nq42cMXtzYSeeU5ilUm7kseL/y26b0S5Vx+owfsYvwywWr
m88ZU89zu/f1f2EVLN3l0Bv/adi2kOBsp4ApybXwWcTuZNhznMNrtY3l+odKIWYkXQYJuC5LuMUF
gSb5cnSiXBoiyRMCXu3sYGvB7tu99W7Ej7VbcTVNu+MemI2WDgnFJB5kGPGIIwgIg64JlQ/yW7qb
HU5a19qvSnB/Xw3kWcvjUJJQWdfL0pG06janMN5deZKOKi5oPkgNGfZmAI+KLwiQSqd6J9OYxg8T
6gWcXT7Hp48Xs83GnDsmCxrNj1LtLclAGlfrku3TthKjX2niJqWO8Y6RFpcUJAiZDRTdLmZzXRB7
AR6kVtFl003k3LINE0MgFFxDxOTyV2XErzZ4Ptw1l9nk9qE4+MYzLia7onzmuPPeZ79XGkRzMr/K
Oipeg8Lk/0qUnSd3Iv6Eb0QI51RWPTqSE00O70NfJ1uaxDPFKsExQ3g75J1pnvreqvnCk3M9EPvJ
js5p9RfPvDZsmo8HOUaiSutg3pCBeh7NcE46ecz32Omzmj/zcP4dmITvTQ+SKs89uGwe+WMHaalF
8CXuHZdIHXU6DdXqfSVb0N0UBM6bA87mis9AHLl/QbbsyFY5sdB/e36aKqu2Vpx8Nr+BmRJkcGJ8
OChsf13jZTQ73amWLf/JGJYavGhiRRR37RZvU1PX+aUs8s1LIyoVLBh1nEC9cdvhoWnDuDxFXk2m
TTKv4XLy+9lB0k9sk6S9nfs9KzXO3lQEbil59TsnONq1G563aO6CP11T1LCiQlFD2THRMKdNORpz
F0TFwKo1eIIiU8UWAYLk9xzuR+t4l31RdwQs+63J+UNCUl1GKzwzn80gnS7RwmE220q2J9Vp8eBh
req/CYmF+BRzZqZjaNbiUBYj/1u/iRLI24mm4gujKihwiqvoJmnrSF5Q48YCjG2imt/G+mb7JeR5
/ujagfukLqvKP6g5SabTYguHz+LOKqNakkQ/btg9rok/Dt68YJ/ja5WzB5CVvi6ebVQoWFk472+M
ziku9bZR5Gk7JLDAe1kAMWMTmdjF0lSP++h5f2eZlLdV23fQfBy/WDgM4QxkKtccjJt15evkOftf
0Tc5GCctK/fZWxciCwIsDt1HM42a2VgzL6sindrslrBFw80X5pUjHkvq2he7CqJdnN6rbno3IIu3
J2KSgr/pm+JQFGXsX/JTBZBq1nKbeVRV8qxZNwHja6oFRgAadXlZbWIMTw1WnSbVrDFFp3zJGQdb
kXdlWvbG/ZCbOBui2OYE28Ajckx8jRs0N2V+YT3tkEMUFEV3Iainh/ey9rd0iKOmyuZi5exC2Yia
juTeZOguJ/ZdH5m9eVA/7aJJkybomw0xQc/C+xVWgjDxwDH1pZLxNNxQq9C1NfwsNfF+Cf8fp16D
+TAbyTo8CyzlO7J+9+u5tvivHPrtP+Jfyq+taNpbFeDNO/l06Y+2XpsXlYsWSCMP1MfqK2e+cBpf
vUyNcDgzOxcIRmTClqLAyRNxCCgoAD27hLtf+W03v6CzB4XN6Pfp3uyi/OeJHTuArWMxHMq8DrkL
IDoAugoD8rHyVsYVxaCiQdWtHz6iyhNOYVlmSk549CFeiGiKzGutkri5WmRDObxoJzraVnMPpTPB
1ETrkldHOrQQ5WddsDmfYlpzupd63Qkj1t0IgoGjuL/DRHGOBPZtyNrNmgA1szVZARgpkn/O5Jl/
ziKSf7MM6Gx1TQp8tjprgGhJMjT0JKHIC5ZuB2o1oD3H93IOjDRuN35t28amS1H68AnnxPo/iCX0
QEtCMLFdxPQa51H/3ald+GQPg0VwnTCG5hjG00gWB1PgE5srDWyoIMd7Upaj+6b7XPO69Lb4G6ph
uw+tzOEQQA5ZfW99SkSygVqn4sE+uQRsFUcdotOxquvxtMluro6Ja+I8Lddqv9vG1jinVm7mOyKS
tEkDsS8/tU9OAkkvyg8PufGii9aZNFTDprBfsyNBbyDuKHOpm9n/3ja5Ruz07P3XwOFhj9Ea13de
7Tn/vLXb7rVgDn7yxzn80kVbv5QBKRmsNLbz9RoWlEgBYopOdzw++rLFhAsWfqu6f2Z0xLeaTe1x
vu37n6pfiGWZezLSHwAESGTTTqtft50niJ970jTHXci2xbnZrjeiM8NEg7CP/4pQ5n93fyieVq7w
x7Atl89yCchU1nxrP9G4TDemG11qfcVvnpLBYtwzP4E6sG3L89qunLEtOHJvCb0ty/U+mWjD09o0
C13VXp7bhDioHl2vM+o0OFXARB4WjDnpedeAHcYqiC5QLt3PcGmCkHySWUAFCHjdPdYuyYTv6eEP
hrX2KZWRiehKcRIATJ/Fnhw337DC0RjTX1s0X3naPBr7ozcuyJ6LXJaLqOa7TpOlW8BTr1BW0nWO
eMhyLeVDPsblG86L9mXzVuZANH7rnPpDMjpEo/ecIV0Ym+emLYJf3Sft3TZXc3FtSuHD84gpYk6T
6WIAh+tZUXFyt7hyx6gFxmyS5IU7va8OOqgUeeCOXq6mvg3/9toXd1A4QES6cVm+FxSs63VUTMlz
meS7YfexYceAGUuQZ3s5AqF1TdRcjq5UcNXkAPZz9A0mIJXDcbeTfZPbOizZFMzQSnJvB6ux88tc
dEiR20nr0n7khdnNLadF0J0Sr/GOnYyXLRuxTFDODgXNXc6H59vZk/2Dptt/CQhu/9NMLPqm1TIC
yCkENcDBa3bnX1vV3Q3rfucjnOlVeJp0Bf6CLZrlMVp2TXgv2Q58AXaDTcxa1gO5br7JysGGKtWx
CMdjQdkeZKKVzlWgNz5mwhIEWZDdFkUQQ11JHLrIX51Bzu8SO/1fZAJ4ce1aA6Ys2+Q93nT/H5PA
9nFaIdjUgYVgwsc881Z82l+DSkRaBp5/fHBbAqpVzS1IZ5pFniiRL9sxd3ztpa7MR75ZzgzmIF4w
P7eEe9Dse7giOD2j8VHTpW4pQb61ezPsIvir9/mM8Kinr7Zq5LsfIaGls2yX72YmeSo1LfPPbO76
EAhNULcAudc5/kJhpkhey6S4tcFopnTnS7wjNdqpWK0y6+2wFhQpjrtCXcyjtmetaxRQ/+g7PgXW
rM+4CiX/bm9gJQTjRn8hhzqHyacnQwvEWinNv6368SLvxHYHx4YE6hApdknH0ouKbC77GFyx3+7Q
HGZbf2DTzx+9Ndx02tEfwTstzlXbKHV/qUIyCVMN2KPPCp+F/et42qcvT+/yJbSJ5OwWVj31aonf
g8J39yvoD83LsNT9z4LF+o74iB7aXFglJu1JwfhwQF0sqccNzPJ/NbrPrVZcAXlJdCZHbBg9GeVE
76s/0MrhIpZvpdZcHVu/s/UTTo1prxen9m/amSaZ2tfv14MPoOOjinui6egZchrSWBLmNFO13HZW
LXM6yHbUKa94+C3E1hbHctwIPwJ5wTVVNM2D8uknmAOhKV+0Y17fTpagBBABCXTmuYl+i06qa/zr
VDGtpsRwl9i8MFmOxgM25BzsKJgl0O3BgIG+ZSBGXCZ783cVYtPP1i5JeFoW8A9BqKno1VLbKvOm
af50xi15DDH34bVXRJKkTdC1kB3If7xByuzhhU1N9afommXIhgXgA6GsmtorJjgKRLRfdH/WRERb
1m2Db7NFuuZWxsWecBUu1XNMEi8wgGGpgAXGK5TOlsEblRurzp03i0/MRay7s/TuzUBsgvm2ZTtu
u2xQiV4isU3lNcmRXI4lZXWZchaJy6R0jL5wiiGC6BjEbKkHBYeMZFh2nbstwfxLOyZHQD7Nza72
KaABC3ZI2GKfH6ot5FZTUYGM2a6TuqwihKKjxXn4EeSD/RoT44wHfsPmdjWL5x6Sbebhbpu8e19E
M3wnXSuLLKRC+UFk2O/qCC7bgZ5Z3S+AwtpHhyiGpXhOBobAsM/8hQj4fK2mT9ffO8qOapXrvcy9
IjzEKh7378YKZ05Vs/AWwNHhV3Ao1ekMZ7/xL84GAFacqyn5CYNqUsdxmu32ueWr+ydGOLzctXMG
BVu9fvTdlvx0a9/C8XSVeiM8Xb6vvahBWPqi+3Qqbt3UoeN+taJOCF4Kk/7kTiFPaRKuW3sU85rE
R7PmQ3U5MeueU09J14IfSqhZLG3xn1DOjBdd45EM4DPAbg/V0MTwg/y1N8c4rvuGMYcPdM4QnEB8
ulWAn6bSfC6ypgz1IldFx67lH3Po9chfbeIxmg+O3c0dxfNIL7u3O4BVJnrVke38rmOmNoxfYtdh
XPy09jxS2J1xfIprEcdHj7geio1t3LfMVgFQJx2tyxlWYiyIsH2YhqxH0/7n7ZFD9C+/Q+VdBsk2
/B3zlaTTPFohwjFjpq3ZI39l0iPCfriepSdaYjp96HokDHAcTdNQdpmyNnhc66251Y7Y1MEsG61Q
YbHtgVOaCJIvp2XYTp5HjYEDpsAG3A1nslvNct9zPa0eWBCr+3vXr6nb9to63cky9ZVZqKrwqWtx
DaRmXwcmbk0X3RNL50fpMoTrfyzEGwBWzu4Mh5CfeTh0kygZWA1J8ah3gnFSBiWNc6Fx7cJkgedx
nkMn8cSj48m7Ns/nZ0SVjt5+75V7Pr7br8rIlWOaDDf+eEU1nYrc1S+elcnD0JnFXGDXrx9nVbje
ISAj4mlJCHAk03sh9V2Fm4dc5ZYrlYAze644rQkjo7eurAs8HnWh3ayHDmnvGtnQqgVcgx0UkDUw
x8EKwjtFa7f2pppi93IahkWnA/r/S8lTteCsaWMArWxpFxzGFS9UhVcG1A92LxrRMCgu1sKP7YFw
4gEpM6+XIo0JHs+zcM3Nl1Tt4lyUdKngEAf/oY+28F/pJ3Ll3CqWPQNwtEdp0LbWOTW2aOxhyj39
skFUA6brVrAYJ47xCBGmikDYdAOGb0AfxsSYLny7MebFD9vcb2SoBRk67TZS7W/xHSLR9JpjkXMQ
/BmFkGe7WaZ+7oIQUAHmEtmez/hH3Yq7qXVl+y3KyjKUlEnzkqPQD8cuEskO+9DEj4mpqZzYLprK
1HFmy5x5b5ur3PfY6wUNpLjISGZQh4jKdcpWNL6OX9L2NABGQoML6kH+SSaXvtpl6fIZycdlhDG6
K4XQujbp0sRoUnu0DI9rRcl7IJMbYmNTUmPoQmgg4lupv718d1rqvW24rZuuda+8JRcvk5X+E95f
26XBkidMWB01TccOte/O9gEDsLIIltf/iwxpopPh11sn8yBUvryJvB/bYzKN9W/gN1yngzb2e9vF
9ODvqvwdeyI8aA78/GHYVcgRlPfem24lmb2a6dNl5PXeT75y5PFRecbQRe16WI2a/kZKMJi3VpO4
tcZly0oyUS7ktdXBkXtOPqCgzc+0qhakXhHsH5ikxV+FMsFFlpRmTtvVFcCF1xY9qVhG/WfY43LH
729BHwxeNP1ODpktVOvhryDIESTfGsT3nrfVTHonM78K01FZl8vq3LX1+aQBsJc/Ka7PJdsWV98g
jrB9i5E5AplWzW54ZwIroTLtXftk4IEqxjG7evCMCIk21Nx3caQ5rKYodJ7HWNXjzZxHHqRJr9PB
oYhaxpTEaMfe5TpKorICElaCw+Kq/R/f0PmwotRssoFx6hsUT4alEJAYmQcAxt4LoknAcZnFZa7d
5Qjhnu36p+acNHCC/bTfcuz5wNPJINrTMBb9v1x0UmbKlCOtsPb759ok85ahl1fzKZGK0BfPVO7T
RAniZCEun8eZ8n/iOIhLxCfWR1Y2440zUWQXhgT4vBt02nDWsZ6kq2i/kmwE/sZBXQMddFfZZTwk
+4dea/FSuPVUIQVP05dqcqa1GmoJ0HWjh8eQeNKfiZvngUmz+0hmb+89jnjhc0Z2XQN+46wQm1q5
03vO5M+5qP19fewcd+5u8nCxMLt5vcITy4jof7U4hx6f84aP3TxTy/txlVS4eWZRZVhsy2/VMJtl
iXKioRVT0yATDU356LENux6nRU/HIp+R+A1WPr7f3aOomFonfGrcphn5qgGgEvcB2hJ84wQPeuYo
zvba8MTGvRP9W3xnf5Zw+eabIQ65cnZ2btws0oH5Yg4eyWzGhHwREn1bXlUSe/z5miMTcxh6n/Kv
L5jbEUPj5RljXftRG+1+7k0bu6n2GnHD0nv/G0Ybg2eCnglcrZGA39c20hHcxQ4NPyii8aqbBf/n
btIjJa2M2iAbmzj4h+4BD7TBRXAWizt2rpScabMIjnd+mJ0wFlccajprkA+9233qnNdWyNE7CuA4
VbZVbXyeI+eI8VHJ/PdAllz/3Gz+/m1wcn3ygaC00Gy06hixHRJmctTzcrGRn37NwMfZ0p5H6A/V
kmoPhZ8D4upjK/yL3V38TydQ1Rsu1fLvymz2kzhPt7xAp+7exroKfifbA2yl6HGY+aPNfQ/9KO9M
Eo/bdAx04v5gHB9s6uU1IQDQKGRz5TTt9q5sMQXXXqny6bDgBuFBZrHzH++jAQlfjOjElW53Sjyc
N+MxbEQ5HOepkjczaRPITUbJ39zvmAS4fQyJftpC+NeVxU1YrZD+6Bh6MRd3RVB3fGaUAZEZntf9
1K+rD4Kc3+5aub2DlsxC5m8zbMvToCxFrcjnPMh2xtU+cMbA1NngtL5zY/MW/jDBRMGn8KDi3aoi
9pZTTQP7HDXChWIegDC+qqbSe8EOSzKA45bUBlFPhku/uExninMdkBZ5Pjy0yh9aDvdN/RET8hi3
NMSP1LpD9AQ1TxenTSzd32igOoLMzrAajFsRcJ957fCyjCb4j50L5jOqWfsonRbwivJDkmTo3vn7
7tnbZpKVSP0mZ9qkiyB6wKs7NIeYe9gitccjh5IIVtbrNOkQpwKAS3uRt2NU33gcH0yey3Fxj0CR
qpe6KXbGPcEmqmOPL0kyzvMYKw9LaDNvX3EPu41t3tjrCjs4xE1R8McnewiVZ5eUKxKNY+Wm+Z0J
0ZUHFB/3Oty6HO6xSsLrsImFYaC/mT8lX+XbYC1LxqZOqj4TMEunTJdeSeSw6sfhxEioeJzLcz5H
u4XuG+DI9Z19D14/teYYUMBEmvlQyniWWSEGrBgyj72rueb9+8InwAEpI4XQ5fkctg1lFi+n8oAp
uhUjBsJNMEeSmzjTxFbhuMAG6lz/ol3IfeM2iPKjNDQRqWz25KT0IurbYN/yMI2NY6q00CQTZa1i
oHoZ72HwOwRj+a44Ukq+hGi96l1KokOMB0o+26Zd4bc5fXVLdRbeboMTqYtAK10B0+sw1VA5MK1x
Xe1Oh057ggGMLXh4yiDoP/W+8kFGvyqeQM6174aegBUf0RNwYOMhf23iYoCmbG0UZQz+kQGQeqeb
YaBMOXXM1JusHfZpZX3Wn+7ddet/RCuC6sZ4YXDJ9vX6E+o2ODpeuY73jO7RvBaWIncOpTH8l+iu
+m9HW/1tmb6+ySHEOpEPJPqAFSyo3paR0vxQ6UE+LNg9cIihwZKjpHeD5KBlk+0eMeSEbm7TV1T3
HIJrybScm2SJpqxuqpmfYot49Jd4UDJV5SzfEqxHX2XrmjdnjOI17TxlvhQh0e6hLrV4op6wOFRG
/vFR3L1KuU5vjemdJOWsdmt2oPCd4ByTE0XLXgwVkUehsvRudl7SigAYRg0kyDPmGqIpTt3VyK/A
XeSr70Trk4RZyzw31vOP5xSKeoQmaDjkyJpXHR+Qki5f/ZuKkjTM2krPPZ4VcqsJ+/QJptUDJgte
/W644C4svyO5BQvx0rv1yXkaq/AgBRzTQ84X6GbYciPe1ZznIKs8v8K2TGYY+vmAYSs9n8ksrfAD
y3QCK3WrYsadKHLN8EbAVPtfY/TU48K37YNqqTyPuy4GZC3k3e6Q1FoaWMTI2qMJuzHbo0byyXK2
RAE6csGgjcfm79A4zRcNAXvcVSfsi+fuDlsrYtxeZLHXz96uXYZG7oYKx/XRDxl+DZTpNl76B73k
430nPf91UnT6T4ydfJmNOK/+7mzWfQJh7v7MYUOJjQO8xhNW5f5bGew9G/h75d8LZO7yslfF+FXq
/uxApAdp0o0Yt+VihZUuUr0m3BdiX2vkJMTElzDE1FKXxFym26iWX83Cxd+QFrSg3vB5P32KBKoJ
NK7k2IdbtWTjbItXd3ExEw0oOmeqRolcEfQb33PVET+drqvnPhl/M08dcLKB0aWsv3DU0YRADP/P
4Czu0nI+P8XzLKv+0g6N+ugRhHmgk9ZUmWAw4ADq9sskZejEKMqGTXlXLoMCTiy9iXt44w+dxlKu
JXiPkuF464i9vZRdjnFoLszyVMw5Fov6bLRPpdzKHT/aKj7ozdsHP2DUzTdfi4dhWopH1mkIz81d
Ja88dzkjkM8WJV64ICAgsunX+BAxVHtjqDh8OsXmBcfIaZnLQo127/FMqjBjr4TBFf1aiCpduxH8
+XHBvEHppZ72FUTMQYw+P3i5ICUfeAXY8ihw7H2I0oez6Ze7c7kJ5HfO8MJ8xUOQv8A/Z/Iwh2L9
dn2Lys9CfAVmxg12GnWxlW8uRNf8mkjW7UGNJMaceBU42LDmcVf2AdA9FFg9FlTu/sS8qRtCroq9
n26F5GxJ4akuzWFp5WhTEe75A/sW+ll78fKt5SKnS5fMkBvVIsVTufU5sqQMvpjjbRx/0VRc9j4b
9sxiq/7C2UacPUaK4YaPOmNtiLyyzHZWrn4rnh/+BjLcT7PThf8GWcKJF5NWX+fjgS4NzYMsbyqJ
qyg3HbGG6KWfY7y57DuUfqG4oUTMeIYZxX07sVyAPSbM720E0fpgGcThRShtrw9J3hcDJZGsrm2g
mGAPOT51Bhi4P06j2Jv7Jum5PLux2zwen8m/bgI0JzJvnL6lhwqbZ2cx9c/W2+hviR8cQ2bpO++z
HWmKgpbUHWlK3DaF57BjWKxOTlkeav+dp7C+xYr/Y/K5HTNfDVR7UXVGvNvYIxFStc5l7Q34mYxF
5OTArsfyWMeU7KkWdKIApuWG2SjZvCtMOWV8JOkONlOohP+lMMNxWvlcw7XSzmU5j7wSDP6Tx9kb
/MeBCbQ65Ju/fY4etyYPn9y+PQVuKK2bOrzRM94vONN99bbtyGXMpLbgjh3sjSccc2V5XDH2TWRD
DZJuPmpQMcLJda754aBcy8aIlyYxBUa2swGxDyAOXehRVxy4ufqcWCL92Py5v1dOZfzLuh2ckxJm
kRccrmOTRUu/lBLXBCNBcEDME1p93Sj0T/esJOKpi9OIjVJ9aZKgQ2/oqnDmBPIY9gJKYdGBrHzk
be03vE/8CPmEj2kJQoQPHd81WwXRDGAuqgFLZUwPlGnCCLbMhD+XsQTTCu6NcjnqIWr9E6QgRtr1
6k8ffe1tv5viDiKRC8X5UC/7+CdKXNHeYvStbmpOiy6LtnNXhcbMPwK7TFWkEbXXBzmk4oatRWTs
yG71lyzl9ovGx986NXOTHJhbtfHDJDsGwhAOLf0A+beorioOpnf24Ibgpgz66hXTwbJQcOlhxTJT
QemGnOJ0TTYNOLAuC0Zq8y3rtPOdxmi+ZoBoN3sJIXGoyge0VuO94LCw3xReGj+8iWQ+vy1FwyrI
cSKCK7oSSPlfpHxvH6bwzXqBJh/3h4SuGI/FKkiHpL9muF1E/+PsPJfjSJIt/Sr7AmmbWqxduz9S
lAIKBUU2iT9plKm1zqffL9Fre1mJsirjTM9MUwCIiggPDw/3c47PwlcLSTRku0zdegi7xApBg4Um
wXVRvDSU8QFWiZH4XQAekdO3PdF8D3CIBTSKp2nmqg0YISrdywFQuwmxQjk3+8oxuVN0ImwDpBmV
Puu1LSrzae6UQaRYOTNNGMrVFqTtcJz7Zib9NuMZXAoj3XMAaLqjPiQlFTlNM/lME3WkwbuiqFH9
AQVIkJlkE7nihobAdi0lPPpNgCESkLG2bcGlCGFCiUHAbKjfIuOYlLPh7ypyyxEiRQS4TiHKlAwp
weX6BtmxEm0mpNTMDZn7hLtJkSnNqcDIlxbTM8/lvO5lilY0a30heBx6L0RB9YCYjESGRcwFgcdx
g/kOo4iqQhVnk28nE+6dOiIJnz2q4DymAZwYYLvmWPqmJXICfzhHRhO11T4Z3Uzp1Z/hnOMDhYhu
NLagZORorRgMsN3hrJ/rtEo/AUxUSo9X/fi5D8Is3AsE3tQ2olJ5MgIZha1RKrHIVs9biaqhJB0H
gptvVdybL8gFW4CP6Fbke6k1Q+mcFbl9qM1IfgsL2aB7fDyK+1kLivJUW0X9NEy5JoLdMEGwF0to
n/l0PHdUsQMVRkQuwLzO9eafPEx558bIguLkAXH6Lplx9Ql3QA0JjhmQXCVPBRpWx0L3iJuae0eJ
EzCOZYyi0VC93wNqa/V2IRbtEddInRgckf8FJka6m1BWHV0AD5QHgflUXyf4cY1bAXirDvRNEX8H
Y24qW1Egx+eQJpC4SkSdDpI4F8H0pEHh+Yn6efszC+RmIKBOgs9o7PZPU1j33DClHnyr2mn6HRjA
7DZJbSXfLS7p2tM5WFQiqtiskKCJDXChEyGng8VT7FZDgXMDi4HAj6d38oMcff6tKI2I9tJIw3+m
ikuOZmja6VgUg/UN7RfQPFSMtYoqwBwDWVYE82caZ/P3iLcVs5JSMG1dZvSqE0ex1i7lPI2+1ZGR
vkVou9K4R5qh26tk6qh6Rguno+ktwKJ5MWeAT0SRzQ8o2x2aYZJbWzTkQeMcqEIIyigOas8sLWDX
3C20VDIDdQ4cCrLVA53HxMk1RF2814KcZgORNKTFlvgx+acq8MoEcUCPOrnE9QN4zH4AN40f4bW2
4AwjORM8EOH+Y4t/Ch3CfIlnWlR0LzJY8U8ltZtXTaeOoHI73mdFqjzHqaLmT1U8dEjt0M572slm
P740YdMggzrXCjJAZdr626lQ4ueuVBoyT8MEaWUSZ7KNxC6Ips6ymZgeryRB9yK14Lk4NpVeu3LL
qfGCNhrxj9ZQ5/tcHeUOOu6gmha5VQ3/oCktfx1C5/lRRnMpOGitFSgaxNIUfzcLgBNbJDJ6/9jz
xgHQZfj9M33RpV8qTwO2WlrEXPKAXLuvhsDJJhAwwBtaMf0+1KP/6hPp/0QUakmzTuOg4giIAT2o
OMpX+CAgPTLoQV+raOQir1vJ2lbpkFBlhSGU7Ubwnc+8VUoaG8dyA3xegxw0SHMlOU0KE9FOZDlN
QZiQJHF9H5oMcaRhPJKbJtrUYAXcxTXwOzeixSRN2KWO6wlwjfJZnqro+2iC7HXS1CDKhf1XV04l
mv5jHqvgjIj8CXIpu9IGvVAy/UXIZIA8HaIhj40gtbNTmT6N1KG/gWYqDbF4TYxoejM7XXrRKWiJ
nuTPouCGlkVxgt5QQeQkdUZomgpK/iSZrflM98biqyg0GoCloghkB39I+pDucPk9lDQhh9dcK9/Q
kwfwCRw329cQr3pPQve9dfg84qsP5/kwz0MBRoQE6s8miYKvMtk0ELXVmEVUYjExW1YyYQIp2C+4
SwBugAOAwP/j51OouiCSZsrwhlluQdjznQrYuoJ7j+obwTGQfLtT0Enzgro1HtpYE0ZcdSpp5P7i
+EtdJtGr5SfWI2VDMi6D78/CkuAaC9vUBagtY6QS7k94tm8EDTw1ZFCWdltAdrAhVvnf9ZBUxaax
qlh1J7AQFjivdjqos56hdSEuN0wsVmnkqX1IWjYF0aF4UmYap+XdqeFUunnfFE1QO37Xk9tDv0m+
b/pZ/RQkeDEbgcuIDkQ8SzZmXRLOIN5c/x4g/N1HVdbKbl+L1MsjE1YBK41BOlpbBandz5PwBQIi
ezxOSKKb0Sy9KqOBVEsF7lImNUaIZg9JIUO8SXLrqU38WbN5rIcEDb4kcSBEWfg0RMr8yY/6TgIQ
vuSZEYPrvqlxo1TOPJCHcWY6UPiLruBEwY2c0WM2lYEAfJZntT0phnSELlY/mFYA4NiQMiL7QDVa
mkVZ5TDi6SnPy81EqXcek8HfABRVg10qNdaTkIeoaFgWFfs7pR+oZlAOb1wft99AseCu38uxagl2
09JLuc1rgbdoS9nd47Gax9AQ46J4kicJWACYsQYSjS9S74Ij13nVGE6lW4ujpDrmDAXaGcWu+9Yr
gzB4Q1dL8cYKrYQzFVo6kRYA1Bn4XBDErkRKMPo5BiRmvG4WpN7JCgjwBGZTAuTCquTogP6YlR2H
PjIftShJK1fp5xSaVgHG7gTlh6J2B0+BxaiU7KeU5FKzmcLZH91pJGW1CUICY1diFWt3xokTW8RU
qVjYtBQkskKy/xxVBrFEResLAaBnTxAycVZ/pflIQ/UI3sdz0U4ovCxtAI40RGi/gJlVKUIWjX6s
NOrOjjJPJdBis4zRYlR9CeQtnssWKKQ8SL4E5GUkkwoSbwCW7abwh34Wfjl9KlIpPqmg0sUFMEju
mGyswUO0KH+bfs/jj7wuuUKyh0RcsUbBpjVS8Y2Ib2gdnig5IWhfmyepVCpp66vm/BYIg3iEYtqL
d5DJlJ+DJilLciYFnkkvoWBPYjicqY+K+QlygSKB4Ve6kDI7DQ4cQECcKGOMxaeQpgeJU6giG9aL
ovbaNTVl5arTKe8mYmPtJyFoh+3Afr/M3ODjTiWbsY/Jnjy1Sk8OCY2z7h5ABLdkAfrkgeiA6yIV
m6K354YkxtaMqpoElgyb4IWcZEoIUvQyeKk8MZ/0rAAMy3UTnKoUJLHds8r/gFDvT8tDDyiOmMIH
E4SieYQn6f9ISjLITq+MvDDU0UyBidBS5asVThzmoAwnA3xWSroiixHW9VDDU3+kJNtQhpXL8DVU
85aXr2hVX9EZ0lOSbHn6I5CqGhSEn5BSgs2dlmDS8/JVKkAA4GTBX6gamsd21NCU3OUUT2/WpM89
cbwCFmQgVauBwiFsBCetps9qBJfBoQqlf9fM2njiDmqUTeEH1Lkx3doT26AmxK9LpXQW7zxt5Jjk
jhePLWlszZwBRoZmdlowqJMbjtV4JHLJG30XUNGevFCVzAppuUo4Nj235i4pCmVvkhORbROBeZ7w
xVhKpwYy4M/aF+eTDlu0tQeAFd2uncm/PcI989E2FYyCtQlVrfDo4tUa93Orp+Vn3gXCZ8EiMUoZ
qBTB5+sxUW47lNLXNJ9VkRiQ59EPK4h7web5BUbRlyBNbcsK1Pg/Bl1DLUouVq7hJBRSY+BsA5Lw
AICi6RPo0p5+GxbUpY1SwuWxi26iF+11xvWiJfCnuAHNA5D+RK5BROSMLOSK3J1Kk2ZVAH8oCKvy
m9AVvt0lVbc1kmF8FIQUsVfBD9i6tnPTpJO214dfE76X4enVCh3fRMaWKtg51xoOa90CW8lsqFc8
h1KgzN1OBCWowO4sT9QoLHvW1OCuHlNgwdcHX3cVo8Eco8uiSNVR0Rf9lPPR6ROma5TucjvxuXK9
WvI5SBltAb2EV0UErIksWgAzm/p5xIsKjqiX5KBNCGJIeFd6++XGJ1pzz9efaCWxAuDZr+qM7QgK
FT9MCdONA0t2CJU+V4TCOB5q4TVsNC9tBw19L3Pa5jkZAHkIgIZPpBzAk1g3VmotAfD+sWhiuKje
SsoHZbFqxEN3Kk/iPAtIt8KdCwB2pGQjk6bQC/f6Kqy1IZbRFoUPY1E3BROzkkkpBzWnzTtIEODA
5nc1MhTgcdClCAtHbfxOo1/5hojOJTNEck/StcUGJW0lfQFAsimShjo8dED5UQdmQpgrgcVtxXEP
es7aljnc7ULR/679w9LiUAdprC8WyPjSygLNAgYi+BfKfQjhQbki/RuVnzKVu2BPJojS9vWl/TjR
8/FW9jXpAsSUsoR4mIsDL9phOk6MewceQwErXrVuZVbVs6Wlweb6yB8tm5ERn9EQNTboR7V8sj8k
n5pJK6RIxbLpkCQeArCtXLxl8ZdaLe/rSZNAzAZGBkmc81EYOlKsihOtDFJ70Bbom5lJB4ryw4sB
3vqG3Xw8F6hv4z6oHlMQZDfPhzNVy7cyAUutW26zltSwQ8bxH8g10u768n08Eyo6GwbdyCn3oO+7
LO8fyweVq67HiLvBr+RqTwQDFwv6cOQA8ISVXJPOvdF2/eKICkJMMOChJqzVCyVe2FXWcebLUBh+
+BOJLquNl0xiHSaPqDWaN3RGLlkIrRNMiBAm8k9rdfGBjhAqlVuqAehcDE48TK3plEbT5/+BKdKC
CE14SVXZtdVaRoDJiShYy7kyKrDOrQXmaKxujHJp/ZArlwBP0QUFTPz5jg0GON0kZJQWhIAOtdCa
d3Eo195IjpUKPrmw6yZyyRgt0QI9QFiGN1udML2otWAyFxOReutpyBEGccYgMASvSwlqbniStUjR
ctIsxRBZRRXViHWbksLqUmJgmMe1FGTfIgp64EMToCtzeW82+dKSWGj7z9eneMF9cTEgQibhK+n0
LJ+v6eybs6IBErXRFIDRKRn+tpnItypZvKlS3yQLoahbVQHweGO6F3YTEViqzWgy4VzUVaDSy1ER
mhUnvfE786sM8TrmLpb6Hc3Kuk0AP9q7PtULp2EJyGjNokhcSWvX0gxWC8YupZYFPNTVULbcdIJy
qyv5hV00ZBTddAmVIqSfV9NCriaI8+XM+XIijaDekybeKk0jiRspF0EjR7E4nSTwv+ENh3ZxZC4C
KGw0C0Qv/XwrfXD/Y5vRIyE2O97RkGF81284GyRJGuk7vh2w6wCV078x8IVjwngi0QVi1+Dblg/2
hyetobwbMExZ2KQcD00u9h5KsMKTRQblhke7MEfk/xQamHBUlnbh50NVqSjPg5bBzof75wo10LJR
qyHeRhSQnkpgyl8SybqlV3xhgtaiDU//II0MirjaUwjTaDD3HJJIQkBHrIEjQW3xt4EIS+GvjdQC
82HRZYO2N4hgnk8whnROPokJ+ggCuVYLjmmotFt6bx+PwtJxQaTJqobim76WBBR7ky4eFX1gBAQE
TsmQgOcL4/5GKHZhlEUbj3/wnkjor9xnB18lyzWL68cAI1pKuQZaJ9T/+lgTRXPkZDQUZRH1s/MV
G8WwHwnfAVkAGslONeI6hVvUQnvrfF2YDo5ZQs1e5JLDEs4HoqKkBjn5U3seUCaNMrl2ACzeUBz+
6BXfW4qil0WLeMKf1WxkApZhzElyMt3kgPOMJi9qwH+UI6x/D4Z1OX39W5NDjJdmjUDUtaW1yspv
RMC6yR8QMStKyZMtNMtNOY2je32UCxMzTPyiKnK56bzzzldvQL81qJOKp7hVUTJMQ+OeZjLNxjS6
0CnH4FZznsvj8QSgkSnx3VoVv5fFzjDI6wBBEBrqf7QTpbrqBzBtYjEunrqxVn5cn+IFA2GKtDHj
lkHz/8PTG318WCss5BTmEczdgupC0c5/b+9o8pAY05TF61oroWGr0eG4Qzqwu1T0H80RwlMTJ9ON
7pUf4wJSURpXicFdCSV+dXZ9PURuapHPVGhtB1IbVRZYM8MLkH1raw0mHNwkGCnhNW22vb6MF3aO
cAu9QI1ehRK5lHNL6SMxqioaltiFrgZfoABpX+bOUptNWiDbYesJkKLN9SE/Xis0pmApl0oOt+f6
0g4HObcGumjbvpLPWw1U1lsqUJG8F2Se548+DF7JLqqQfO71gS+YjImsp8kBNDl/a61Z+l4SwKI3
aPeoVT3EmprZTVkOfx3HMj0L3UsZwhWS36v7qyhHuPwmwC8rNfMtvEYfkTchNzgKaZppNwz0kulw
NZMNXFYU0Nz5/nUKLbHAqfIuNcdoi7YX2Lo0ElCl9434iB7hdNRI2m0VguvXv19Og2Wk24iJ+WiL
af0RiRgRuetA10D/A2Z6lNB88go0FW+8US8ZqCHzJiaG1HiqrmJmNJ9KBcV5kMl6YtgNgIU3ZUTV
E/xttYMn0uz+g1nxlEbolmcPrvp8VjNyKgUUQaxTLcrIheVe6sC8EMm6YY0XJ8Yrfwk++H9z9dZH
mQpYKAoNKLj4cAjoDEzBpCmsMd0lmSY2zzPMn1uZsAuDLk1SePewmFzhq4thloEplzM8m4mObdSo
oHBN4OALdG2CLHOvL+XHSA7j4IWq8U7lVlBWviUbEli2yOpAiWohFznRPFbpF7hfRjXCEJ8G+dar
7r0vynk+eGmZwsvKZF2JHla7N2ZWGOiUJmyLY5d5Ud+Kx2FEQcyK2nznm5SOpKhqtiHISHoACpSn
7GAyKAhmaOTdMN0L/sZC+ASXruj49nV4GQ4gM+kOVYCtqQOPRrpA+AKU4q+v8uU5/zHMsg1/nMNY
b9Ne9Ol+48/zqNt1t4hr0SpS1ZxMsdqTloXCXhyor5kpirVlSika4XKTrjyxeKNP1SX7Ysf/bayA
Z1id1gIxOd9QmXIAdtxRQav+UuoqARImBoe+4Y12ffKXlpjkN3cJN+fS1O187qo+05sCWUbb0JQK
3TUYRMaUDTdmdcmQDRqJS4jjK+zlMus/VhhksJqOHe8EJPSqr34cUEes5OAbjbdvhQIXJ8Sba1Eo
B9srrhYQdWQAAhIBR00TcdevQQRSqAlvBBwXR4FUguMh94H/Pp8QvCa/lGmbSpvgIDI3yBSpnctL
Cwb09f25tHK07+FqJfFO8mEVxtcE9yakVgYSWnEjgEx3jaI3nkoYwy//yVAIP1tLYE0P8PM5Zc3Y
tJbAJpVjW55Mvw2pcJrAeEETDfGn/2Awul2RgiPEltavcORsQtShCXh7CjCbrmtpfAlC3O3bNNtc
H+rSXhGicQEix8wNv5oXGCZVbzJSN4qiZU9IWZgPutmbN3zV8lPWjhORZGNJD3FDrLWY87TXp2jG
7vIG3KTdgRXd4xyHzyEZqk3Zwfa5Pq1LlkGyD4giaCVqWKvrT2khjWc6pTP0tHInnqHH1TFNwojr
wxub9XFuZEtUjIKLj0zGem6DKllpA6Z6YVPX29CvngqzPgCV03diHfU3JnZhNBPdZdon0PNlgZud
2+HQKQLdximva4OgH4LMEl5p7QR1R+rmRyT6/Bvx5kf7ILMu0TiHOEKG6bo6y5GoA9gXCkjt1Ni/
ltI8kXOTh+fr23VxFLoccoxJZVDzPJ+VIPT6OKPOBKINBVa1D+oHIJy3eipdWLslFqLQwuOApPPy
9384WtL1sKNMcPV5P/WPkuQvkAlYvwc1G/R/5MpPf//1tDBBkkwyavVUeFbTUvS0joKQJwEKYwTr
mfwzyo2/7FFNYoH3gIpbwqFzeaxDSllAbCKfe553hYKKboN2DNllNXeAYkBQE9mzG6f5427h1zXa
b/KmJMRcFwSrvoSB01vg+dKquzfm2D+K3aAMf+3doVSIBp3LDby7bK68u5mB9wEAkqCM0RZelmS/
5gVqVuvxrTZYHyakKxIvcEPkiSzTvXx1qFD6rYVOhIgoVVP0NSuE0kva8K/z84zC05RwYmmWwITO
zQ8gKGhvA7nhGhpuZSe5iRTOMA2Jcuy7Ethe3FiA6ODJc/hRuqxu1skuzXNxG7zI8SBUHM8/QcpL
ZyH8gl6qU7AyUa2E92qkZX97/3OdLD22uJi5mXGN58OIyMN36pLGgxZmupYy/MoBGe+un60l1j67
Ush4Lu1Cllq4tfz3fJA6ypu6bfS3Do5wWQhPerTLRGNTSLJNxxsCHEhf9Gu4YZMfsgvLqJCNSOuq
i2DQag/BEqLWO+pvY3ewQvM+6z258J1Uj915/nJ9guuhyB2LVB9okkPGFQb0ynlE6ErMQENhBetj
8IDaie90Q9bfCeite2bmAybjNnWvD7q2kPdBqfFT05QJMdapvRjVIW0oxtBGvyN5gh+QerM5mTdG
Wd/O/45iEvMqytJYb3XeKEIHyAEztRCa0wCoRFhSsagoOfDKbwEmLgy2NAuBh0bFmxYZK69fFwVt
yrQFjRj6jDWU5jMXGjfm2Pp/afjM62yoleFruu8bc8VQcBMHSAyZv0Vc5W9DtmUUMj/0xiCvhidZ
+cWuk0KQ96gz4mS07UDVmGLbbGz+1hKozsKCwE+RbSI/cn6+YBzMsaZDTvSjsuQV24QoLKZ/63mp
/JyNsjrFPEjQBBh5PCII6tvoZn0VE+nr9Zl8NADSEUiz0pxjqTYZq10ZU6GVgxkpNZoW6T+lET2H
FILuoith3GqV9G66f7olAgwGI0VAtYT60rpD3YBGgjr1VLGooqMiQ8woQNY2mvtayKoHwLfFptW7
bof4q+yMUSzvUclNb/jGD6eYNzI9TyTQW+bC4VzNOKtQWM9C44sVwQCokFl0Rj25FU1dHASEB2tK
xUYX14Mg+4KMcPA1marM8pRK0Q45veqs7V/t3oKIUXkIUUJhIPqfrHxFl6ajFerjYNMMLwS5XJqf
0E2BQqrG4Y033mpG/w5FlEurVmrYtDM8N3nFN6IkJ7i19Qzyd8ME3S4VpFtOQjwfh4IuxS2WTVXY
IG7JdXGBP5IEKZSe7vanzWnnbja2vbk7bjauuzk6/P7o8v+u69g7fuUe7zZ7e8/XHI/89uC6/N3O
PfB33oFf8tWb/f7k7vjbI9+850sdZ89P22xtfiQ/fvmSTcH37183p/2en2bz42xv+evNfuO88SV8
BNtZ/oRf8xvPtp2ds2Ncvpaf+Lg98ePvXJcf9caf7D3b8/iJX9yjvd+/2nvP4Xs8z3M8x3GWL/P4
fn7e8sOce35xZCZ8oudl+O3OOXz2DsuXeoe97TkPjsuvmfVuWzB5h0+38Xb3jrPZHzfLB+WzbfnO
Z+cbP3XHlx4eXna7l2WZWKjlu93jMbOXYV8c/vi6Db4nLv/nVH/YsXWhJovrRgW29HTcnN72m1cm
5TnfnN3Bebkx0nuy59pIK+feNnUqt9jGxn368v0U2Cfb+/rgiPaNcZTl2FwbZxVdNFVTwl9mHLbo
y/75mX12WG+2ZHd3dO8c50a1f5VH/LiEqxe5L7VVjJL609F9e8Va2KfrewTC5caUlmP3x/MOfDb8
I9SRjk93m7vFoDfH93/49+ltw9k4YavHt+Pm7XiqbA7O8e2NvbTvtxjW/nm732633nZ7bz9gYQfn
boc5f72/fzfHe9t52LHfnDyOhes83Tk259M7PDl3d1jfYXfDhd80hFWsroq0tIxZL/eL+8q5YcVu
WfV7uH/NBlb+DqkdSIwMcbd5OwUex5LjfloOPMv2zH/29pZfLac6sJnh4fcOLU/7t7vb7X4P9tPL
LRN5r4hf+0DrK6U1lThbjPK0fz1tnN+7fWRvtptl0Y8bfJz7clzcJBvDRng2PtBZfuueNq/u6/75
6H4p8G1b+8vd9w0/gKmctvb29bFn+Vy8yPN+i915B+y8tL2Hb7F9eGGrXVe23ScM4s2yP3kPeJKN
a+9c7wk/dDguDua6qb4/kK/NcxVbJYUwKhKWisM+2l/wub3N5/663djP/3pmpocTvXPcuw0fwsPv
Xv8Eynsccu0jrAKvGWnDaViW+gvu/cgqHBe/dnxxT65zt9/jrXdvnBacNR6fW2LreRXudbNhzbl6
dsst4H5hczZv7v50wmFjN6fnwLb/wYo27Am3hHfgFH7Bax/sd1+23+5P++df+8D+9bz80O+vp7fI
fp3t74G9x9nhh07P/PbXL6wRn79zHl7wsfz7affivex+O7j83Yv9yi0y2nZgbzmq/9w/PPzzcNh5
n/aH3c+XJ24K54nrwPG8F9f+ds9FtHu6c184orZ3ONzjsw87lt5lVd+XmZn/Zrm5XBmRu2V35F4+
3jk774Gj/v6Fn1/448UpvLh3T1++YIjOzxs7ct17Ebmdey/aKhWCwRXDLXnH/7Dd7dHlyuPo2457
+PeSc27YAa3qrjpNmtmdD5v0htEXDMuYLMfxxPnnqC2jLrd3ZXOK7O/LXY+75Fzsbb4Q77B5Xm5l
NpqN51fPfMPefiAg2PCr5Xv3++0D/969sGjuwXl6D2xY1s1ya3KiHji5+/dwYXc4cCAXU98sNnja
LO40tHeYEMuPt964+OO7ZRvd3ZcjkY67O7l8z/UNWG6H/zkQ+nvwByLnPcakM/kaIDoXBeqeeQgB
OpQRxkWo5l4R51s4qjWr4t9hAH0sPZGpImirbUbOsAfWJMBu7LV6F4/VdI+4b/egdYG2DaljQLgf
NfQxoNUPCb3t0K/pgr2GnJ5DpH3r/bV6G71/HB2ExvIyIk/5oUxs5jLKxih4FdOY2o2apHcjKlOb
CMmB4/UFfofrr1cY9oJMPA+mkpTluampakZHjonwOozr1w7ONYqmynb2kx2dJHZaUb910fDWSXQ1
VP2XXOu+jAADJ5JxVZvsaRd0q3y0uNnVByK/YpJnsWTYDWsQN8xXxFJMOheJUm0pvzJk+ZND3gA+
e0TSPE82STRn8jNSvdGPOaJJyA0Q+YXF13VdEUGQg2NFE/l8Qfx6ljtU2XsbxD6tFfSicKF1lW4V
xumNg37Bus+GWkUTlTTJ4bSYXdjqwj7BIO7JEXY3YrDLo1g8nSAYLCmK8wnVqI34ecoZ6uYg3MjW
KGxKGQnQ64Z0cRSy3RLILLAh+sqOLJpfpSjiYkdFHL8hVtM8CL2gP18f5ZJxgMDlSFC2AlK3Co7A
wQZlnyF2k0RSvO0zwmWIulLgBWrQ3oslYltyV5YHpY/7T38/tCljEOC45Y8HBcWbXBoyFB8UaqbH
UdKGb7SrEvYo8GiPGWK/KNrq+iNP8luUjY9LC5+RNDgocnKcuITzDRQGEDdCHSOrZqrVMU7yYhda
zS0QzMelNQFmsXWiKZJ3X8MoQrHqdbHMJhu1hGdR1771qvnqz/qhR1gPKf12Z6j1jeByCR3PzzqF
YhkRJ6rfMsypVWgJLXygGpJPCIKgIfXFKunXsislJdIdlP/LECntJgAbg3J6/Pn6dp7f7MvNYkqk
E4CZgooB6bwaGkwzHP+EoU0dnpwy+rFXlGHl0YISDmpb3yoIXZqqCk4FwhRgWtIZ55s4SbOvBjIy
hc2ACpU8ZvE/aRD4G+hvMZoTRrmjRcSttswffdmC0gI5DtsHy1mDGEJaQKNXg+w1OpOCk4iF4CZq
Y21KZE/d6+t5cShKKWhzIDHNjX0+P/RzZ9poo/2HoPMgc4GIiej5VpRnGymeJX13fbgPZ4JWyGBc
dRWTXSCUqxtbGJG0MTWIsdqIpJpQIztaJvSzvT7KByNZCIQMsSAzNDrVL2fmj8er5fOCnpEGdbiE
5sGLW4Si3FQPtZ9Q9k0kastY3Vwf8sM6roZcr2OKLoNJoykHBY7SldTkV2xIrZtVaX9jch+W8J0d
CfKU6Ao4ob66F8J5CkWUKiMnmKpuj4Rc5kDZzm/YxcdRKDcBjgR/xpVKS53zJUTsvY+NCvEYK2k0
rwr7GSFNfd5eX7X16SJ24VRxrrBy2UQg/nwUCPMSrTgBIHe+Lz6PVk8vy6DbT4rR2/SFHJ/7YrqR
MfwwJCtGPnlh0y1kunUqPpUMZVQa+K1RU0vuSFsZzbGKVniUELw8WWa7yAhPrXd9osv2/+kxqVWS
noRk836myUmeTzQdh64XE/pztpvI7pzBK7bKUXbDG8OsEkM6TuN8nNWdQ7TY6VXKOKX79jl3OQH2
z8Pjt+uTeU8TX5uNcj6bUW9CBBkYRd6C87RpseZJD6jvubSlczQPRJR9V9sHuhrZ0z/Xx17XBD7M
cDHcP892naRqvXQ6FXaqMzhwE+0fxtE4/O29ul7J5cD/Mc6Y5sh05YyjPvnbCrWjz/DMDv6NDVvf
3utRVtcLKklxKiyzmTe0bHPQc3Zyp7xxlj+8k9ajLGfij7koUS2p8bJfx8r7njivv7Ttt88vtxqa
S8u2XzOLlduFX5ZOUsQwlQcbyEEWyv6MBvppdoxPyKrvb1jCYsvXhlu5XItG4rgPhhuc72jx2z9y
+/Dbefl8Y5gLDuPPo7uumWRN3hgotC+zQpjUoYbn0MrRMV3d/bb92rifkHC8tWE33MWal07qrrTC
Zcze5WHHAYu8f2b7x6eH0H5s3G+8CezQjm9cLLf2b815VNBOk9Nl/ybn+7wRtzQq9ZpN+BDtfTvd
dvaNhT3Pmn/wVfLKiyQq0haoPiyTDJ2Mf1QbIXbS87fsfzmqVwxljaRWBTpEhgDK7IVoaPc+DNWi
7g59Ytya0y1bWTkN04gbM18Omql96fxdRAuLUqYHbZ6gEHcLB7hKO35cwJXziE1B1tCB/XcB0xPt
s1xjQ2te51PkRi5Z5QlHLNq/b81ylU7/OPDKnwxBRounioGVF/nQfC4eqoPy3X+kCkw3lPLb9Jof
opPyqL3esJhby7tyMEE7RnqxWIyCzSCIhX32u8hBddc2nNLLvcA1HdPRbzjpD8mWlf+UV55mkvMk
bZaDAS5sE+0k9zVzSKz6dsnyFhvZvnmPX3IA4LTgVi4iBtDrzj12k5hZLi4mW3m0wOR8KK5F5KA6
1l3m0Fn5qXmk0ci23qr31v7GKl/yq3+OvVplZP6mFNwKsYo7ePrndBNuhs3kJptmL+9u5cwubSkw
D7AkcB3AKq4eBDH9Q+KpLhu7pimPKCGKgmqoOv3q8tqN56frU1s7gqVwBo9JBhgJ9xIs6fmq6m0k
+2Gqzo6gtMoG2UqaXUh1ROvbab7hwtWVz2EoCDfgL6GGmwZypedDpaasj3JPQ1Mf8aC7wspzaFpK
esOHrldvGUUFWMRrYBExWedVVGmiH1ODCmWLWMoJLXDjUPdp44iTnJ3iMss+wTCXHv96Fcng8Kwi
aAebpi/280c0UaBfVTclLbTpA156yOXjU9U2e6KLUHrLFhcX9qfrZoK84UjcwI/UYMWvzgFNEuvZ
MoTJMfI+txwkyZpPaPIibVlrhZK8plLfosOfGeVgAzhoBBvJ6uwxjSf/s9bmbYGuU9/3+yrT5SdA
vhWtH+uoNO1SpJ3l9XX5EHwDhQOyBAYBlLmlACk6XxiV3mZ5axj0Fpf6nlZwQhpMeENaCYTu2Og+
BBZd68d4Q+P5/lsNIOxH0FiB6UqAtuZNXCr6LeGhdXy5fCQF+wB1hAI/7SXPP5KAdmYkSuXo0Pkq
of+DItv0CMu+gsfQEJIte/MwlTLXbtSPN7zmx8OmsGmwBsgHk6F/rzD/YSYI7AvDBGnXqVvzrQJT
+6lFE/KEEPot8s6FkRaCsw46kqwCEOvzSQbN0onYkmdUjmMdhCsUdLeYYkTcgQ/9ur7JH881KUxy
Xqg5QaEV10jJwBDHrEBh1DFQKPTaeqTvZhXceKN+eOSwbYhdKDBlwPVxBSwz/mPtAooTSjx3veML
oW+PNHq34yxQbAwqO0TdXHhG6qeeLMbqEZBl+kvLJumGB/t49PgMwKEXEjno/3WmbZr7ISgqTpdJ
iw3dCwpfeFETEaqG1SJRuKerBAp7f726ix+Ddw0CWyJTfz7vTAszpUh99I+aAmHCSU02WWYou78f
Bc7ZUiwACoqAyfkowdBTm5riHvU92qwjUEnzh2K6hf78uH6qqDARiczaAk9aHb1kUhKjBa/rREOZ
H1O1kdxIQBRwQNTdzbrR3/ztrBYoLUQXKiBYjrqyGXkSm3SWW9r2zFFwiAth3vu0yrvxSPjoUExZ
Q0qDSVFy+8AFQYyFkt5kNo4hRLkrisgSpvTO2YmmJgCk1QYE+8em3/tC8/+Q8v/7x/h/gl/F479u
v/nv/+L3Pwo0OBc0/+q3/32MftTs/e/2v5Zv+/9fdv5N/33qf9VtV//6X8dvZfO/Nl3+8/9Sdybb
kVvbdv2VN9SHjBoHjdsBEDWDwSpZZAeDmclEXR9U59tezz/mGXllP2VeW/JtuGE1NIZEMoBAcYq1
117zXWZN/evf/PQRHOmPM4ne5ftP/7GpZSbX+/GjXx8+hrGUPw7HOV9/8//2h//x8eNTntb24x+/
fW3GWl4/LeG0fvvjR4dv//jth8fxv/358//44e17xd89jt/e//X3P94H+Y/fLPE72ji5YjZNH7ic
r6Wc+eP6E9P4HT0ZWy5tLq7n/ugcr5tepvzI/P0aMcPwSc88FVub+82rdf2R/7st+IfPYYWBFEju
zv88r5/u1X/du/+ox+quycDI/uM350fbyX9N5aQo0BFMTzoiMwekovXL+0DOeyGJM3wdAMq6T2k3
dZ4Iky7P9f5GkPYGWVafe6ZKWauh7T/bctbMFTJZXa371coMPYSEFW9dffEL6npVJQwShW0/Vf5u
sFXJNqC1LGneWhSCa3MbZ4KcTfgbOeGhFeuYgW5dzL0hifB5TRyidIf8PDY28NMBpoR5m7O/4KNH
Hu1rwDIZ4V6x7dwKHFeyDML9ksRpvhZb0az1QJ64sJzC23sFIPWoA/ZB7LFrEeShJZ1/Rc8pUmMz
v/X1ZicIr5tDnfVulmxHZy1Jz1XJAgkg0IrcOxYuoflMKPFq9rT3dd0AE/Z6L49a1zrOt7xmxDw3
Tu+M23WFJkgkOvmZ2dYzhwpskSIBHufykpMhUfeGGTR5TSKqsseqCb2mR4tueUJkmIhWnrsmUfSY
OiRhkU5DTEL73WrYWUWWogWVBHwr8bov+ajS7tZNkobsBuoxIILV2hdOQErfBOChJsWIVOlOEMru
kf8pDnLIRfF9bezaJBTGTPzxpA/VWGygjDQJ8cNlMQXCMpoXLGwY48nwnw5pXAOvWhKdnN6+LLu7
sZuEGywQMR+5Xc74afAyaZ06zS4Kqmn1aJ1hjY9ESYBzBU/XLfEpH5PBDfHqkvMOg37m9MxSke/c
DDSk7Mq6Nr850vPLsBV9X24KHuAW6m5aADyaVlkfK31IiN00+MWEuAMv7OLGEiE8twxgHAjw8ei4
s/4idDKPAzs3+cvMMVp2ElS2vXvwNCl5jTN4KALSXcKlQ10KLia4rbVm0gQCfO2J4VvCw1T+iwFX
1YvoQPPajSgs0sRLxY5+icCapmMTxguxowTnxglJso1dYuxOaQUVF5dag5OHptCsJSogq3+bYyud
dx4QaEs/TCRWW+/JXHTWq942CdyyqQPPlYe+sifzgKipLKqwxBbP0GL7huR/ABANEV6tZUZjklmX
2l+6eNMrAeTUoIl2IaC6aUviaZ2aDLMMShurbr9ddyDFWEkyk6Z3o+EM3+yxL2FikRZJWKkvYnJ7
rRaIEWHqmQyMZErueGOXZ55aLuOsA3ENMuIXAaCLWV5IfOOjzdTkh/kU9wQVQBj3tz4g7Ddm027Y
NKMZ72ZtquwoIRfoc125+qMXK/uz0mfvuSXWkh3JYtU3ZJs0xl54FAdvxjQdEatbMxPB4Oj+HKWj
u9i8ITkPG0qUDWqyp90n8Ctpqaij8yg7elIXWSBmtznYTtksATGN04Oo/P61dK7sk3ZNZ4PsuJWz
ruOCR8WDY/nW2Qwxgaev5bxvdXttwGizxPdmaICfKYLJ5moQseLlIsksJV68ZQNHcvhcdQT2LsSa
HaWbueOWoWq1InKNHfnY4JEvz3WCxyQoZtVUfpi0JO/AJnRzOwdBAQMPHrbD1K1eZOFr6YMmfVQT
suDBQKHGmzBHxqBf7M4+J0Tim0T2mn1MznNsdtBNVAu+1vSH1COseSp0HQFy1o3+sHA5qmieYPRs
Mthb7klLgP8cisbphjNoOqGdeG9T7zjTQwzDgDxp+PME2upuSCx5LwByi6mGL1kC/k6+EhSTTp8X
PyZ0wAEg3YaD3xjaC2yP3Fwp17X0e8L60JZ1HoLU9lrjCwVpoYpDnWuJWbkQNHo93/tz7iaflD44
lyy5es1l4tmfZn3yyptkSGxrZwJL7ndtOS66W72axDjXoT9ptbVWYUoTZqoTIn9lWNknOq1jBUW0
kC/5UBTazURZfXwAg2y0hzQdYuCivDDpY5VOVs+EVNZVtFiA9+gY9OFBeTBV/W0J3CPdmJL23Yek
GnQvFH4s7wUxWcBcxhhOKhCDfNmBXIljUB5zdRsTBi+i2tbNd6GXab+FbbaAfmLFfTvQJQFM3VVF
zkt1fST1zCGb1PeGDpQjTLXy7HRzDvnCdl1JfJUFxawAJHo7kS/PZDo4kqgBl8b8ixzKeN11JO7O
ZNrR5Bo3GbuM3G/m9dDYvd6Euiu7j8F121dobQQi+37unadubc8Jc9P10dD1I+AQh9aMTPfzvSKH
vQ/SeVD6AdoOsye9/rkZxQaDyhYyuJts07F0yRLPybFItwqO1zutsO23xF9EcdZ6s7tSdEC5BzEE
zYEkehpqgsmdZx4ZQFwWgEtbP85rkwPybpgAYApWA9QnWD11EVwzjuHg+ZVLTsQsCE8XXmKcMos2
RIDZzvyZtboLh6b303Ib123vE4zuEQOXTmWih+Q7ZVdKXlwcbXg8C7kbikZkh8d1X0jQsdskb53P
C/3wkGjKwmu7DUoALPql0Xq1Z/kt1YPbDakbEncELH1ErTzyQC1jBMkdhGMPQPNR0BuZES6tp99c
OJAi1K7p+yaBxCJqe1M0ZDC3U387gu0kvTR+KDvV8JHVXN6StiawPmhr/Q6Vs32aQeBASJ9wXxWB
a2a1RUA6FKtrjLqxflpdOJ5Ri5FI28eDaV4ozC80Y9AMmV/KtFDNAUIRIz+Lj/SekcR6s5qxyPZ0
rGYfDneZC1qRIPc6SdMeP9U0Y447zc0bGmIBkphHSt6TviM/uuv2aB+KMcivGBY9u3OMjXSrrtXu
F6e1JN26hmuCi5aemUNN8dU57jPzS9otyWNn2Q1JF6mhf43hMQHgK8eR2aYhF3RDxKL3YE5WW5DN
23vXiS/tn9zZ0L/1RDlPQZ8mHvdVt9TXEi8ww6xTAQMFrQSUJPVq7x3clTDR+lIUP0xK1kmXTsEd
JrKG1HhWMfOGhlbz4FRcCMLQ7Yzc+syezinppyn3raXlHdQNIlPjs6hIcsk6UVOtkdGblKxEhkxD
xnAsS04+h5rxpSJXSwYE98t332jk0aU/9EWb6uaBjrPVhBNb2DmjXDOdMxBrOnmWnuAmOrCKNpmU
BOTCWvahaerV98lx0pvBk/H3YZl0Sgup3e7WyXJ2bqmPcJ0yNXdBI5LePEht0j8oN7tAeiAHPOvZ
PHxPHb+JX7qe0H1mNhjqG38qUvNtKc1qemqIPoF9mKRj7e1MqoU6BHT2CtbfbB5/3hJftwDXWAQk
BYGnDfvQL9t7f+qga/ClgrQz6U/3RVuWm8bQh/vMK+jsHrqpN/7dY+I4Y9dB3jhBT6hRv1SZrl7F
SQwZtHSjqE621YqdKrRls8aL2hQlF/uvt+FXYfenbQ7Ho9WaXfj1gIg4P4sL4DpyJgXDxQSa3LvM
tyHXeNxgpvE3iSbnSC7GFJkjOESLNeK/FS3IFbbpU8RjgCCM5EbW+s9HB+i50vBSsHpuXH3ju1KG
i1l/++uveFUSfv6KhOIRcYG655L09KtrA2GtThcGc6JpIIK3K6kGjMG6uSEPv/kbr8H//lguaRD4
ILFBXh+pPylhsZHDGQHOFYwsuiKZaNVLN/v6zdjn49/FPP1S17pePZ8MPlIu2POi2ei/SCia0c2q
XAiRYptYhu7qQQCfK13t+w7cbSXLedOy6o66hZwDr7LEF4240U1qdSw4rzYW5h37hYBf+d6W9XpU
WktB7K8v/s8C5B/niPxIOCW3gDfq5wtCbr/VFDMXP29EsxnBPuxtLf9DTPp/obW0H/Wj7D8+JGLL
/w8Ki8Vd/T8rLE///T+Bs11V4X/qNT9Emeuf/FNksW2kFFQMQo+Ju7xWkf6XyOL8Tvsm/kseHvzo
3KDf/uMPkcU2fzeuTtBr7r9Jfp+N+2f4p8hiOVdphhEDfy+Tr8A2/W+ILL+MrwRjXH3J16MTA8sh
f3n7PX8c3Jb4TJi1+duYzjdTSb2QKIZqmf/mvfxnjsOfRoEfBxN8GN/nOhr8arIrxsGUdQcwTDYQ
kx6rvDVaQm6NDKgYKD5Wru1iGmdmnvx7r/pa7KrUAmpnDKNgsXRFD6QVRvJAGIRu3FNQHp3DFVQz
3JmdI+p9nQF221LsqbVDN1TuciJVRHZ715u9s5WVXXMpUmneOEMmk9s6zbOVXQfR8kAQ16TbKtss
02iqRLJC6FLOsDU0na2hkfeM/J2p6mjpy+sfOagykEFZB+zkKOVdJikjbuFD1tZxbCuYk2WN3rS3
Z5v9bGtOlzUZ+SS51FMeum3F1rQQbgeOUVla2A0eI2I/pVwKRinrLm8SAeC8mKErXwtaJKXwAeFs
lgDI/UbpRjTpuU4fg9BTjRQ08Hh4/xqCnuQ8ZxSbdbvodrXbGNXN1GZObSNdEGMW5GTDyYMJNigO
K8AnwG5bXAesfQyf/BzVXPfcs6Yv8N65iYHQc98LwJElz/M6qvoA69R+ybXcBmyTaF+SvNrQUHvf
TmCy8P7Cwa0kzRJDq23mLDYCE35pUNoaNfj5+klFXEctZaZwEt4um8eNrdVGCAdJRmO6JIErnVu/
9R4SN8UeFstnX0MzkoubbrTUfGVP/uQCNmZbfrZXtw0cs/jmaPAD17GYDsrMo6xQVMw8/dCtwjn4
lRMH7PMcAD5+EhYcmpVad2SvfPRXnS3sYm6pEhWBYcldQ5RQCGU7zD3tMi3zfprUHGWzvS8HCsxF
Md8vXX4CpkcRONe2A0RqkF11BEo9jnza4NEZe+aAIQn04cOYTZho+rQCURj2Ff0MYE+dB7bRqIWE
jKWDeVy95NwKqDUFeHkYRnG1M+phy3r4TkxllMMujHJDu52McYto97AayW1BZArsKPOoVoDuYuRg
3sBSOu/Prp3v2SnnANzXnTeve7XWF0Nx9LZxbxp3unPM9IPgAVZvff/Uj9OjNeobp15vV6ukvj3G
nyw5nXQ73mt2rjajL2euXXxAA8oPoiRgwYSBrcy1CHRXXc8pCxs5Z6Ep8Y8k6lPl25ey0H1gnosI
aqn60BCaCyupYhvA6xEBEnyx+0QLNH+8sENBcZRaDwhRj/wUWrzmfzM0n6Q5f4FJ1OU7gHgfw2KW
gR6zmp7X9JHlVNSDI4oVwXNtMZxbo3oikC8NnM4/zaa6qVV215gJUDnDQ6jQbwFZJEG1OjMHKuxt
Vec1CnAD79xicUlPwLPZ+vDohFwCMJQ74EiBA0iFE70xBV/Fl/rXa0gMIRPNncrS7yoZH8cZdpvh
461A46jL8dW1lr20UHLtWrsqfsOXtPenMF3jcWuNtQ2XKtYiiuJnzTdP3sqXVuBlCfSz7E1a5PlZ
tp2KYAneWW1j7/y2vVPawHYk7b6NM1BtephyJDq1HzXIeaCQP+jX3VbM76e1SB5apFIYji57FErf
gEOaPhj7XiD0qhsbESSszEaFllV8n1aLHqfO/6KKNZykxneNz8WyOofYnyCkkTTdl+1Hk/mAG02w
677mbB173DgL2gGM+SXohR+VhGgGg2deJmXxf2R2GlK93WWau7WqDBizJ1JeimmrchWKtDqmq3VI
4uKk54S6FfRU6FN8PxQj8lrHq2p61X0e5+BkMmcOJ6eUYWE5z4kASmh6IBzlbItQp1obkQfzGDfe
nekU4i7G/rBhtWlu8sZ7smks2qfCQk5APuyoLMukA3QAZnLuDqviaFbvrqEJtBkbtqEeCqbpQCXD
eRTUCLKiTYJkqcrdLOvva1k/N673rZ7B2hh6Gik9tUII4tYVT6tFjBpfFQy6tmbnaPtLG9bFKDdJ
Z24peS83+oBx2Lan/FBP2hGGGmdKPQs/alfoz2kVp/vRG7cxFGnbAuFr5/E9XNFb4hC+dg4PejMR
opGlzobQjk2FMBR4ItaxbmRPgBoJEJ7BJs+S3aeDqAWS8XboxGZdoYS6VbpsmCTqWx76ZmNQNzHO
S6n80JgH7aJb1RD5Y5oQ85AjTLUd93YqtqU7HD2fvU8fxw56z3RquvLYAbsMe9/7btEiB020KJgX
aXnYZMKQgsvSHUStHbu81k8OnPkrcK3Yj+Ta7M06u0/K/o2V+7mpjCdpgVuuGm/XW7o7h0p5LzXM
p48hr7RbtEYIS3N59srmDOMGqjvVhrB01q0YOiio6ZM5N/bHWpV65LjdxXPH9Z4NTblDYNsy+X1R
XvMmW4Zov+rWQ67pe9BAS+TE7Z6tK9jCuhWbfm4OtavpAfTIL+uS7OfO+T413FxzasU+t9MWp1o+
nwy3tTaFISymyLp6SmJmzJGwrpCYDIsLxU3Cg/WpppEUNC6JLQP17tJtH0wHSdbOjDPk6e8V1SrU
6balXG3dZgUvVWUPwL6zugs1BVogqx2m2X68jP6QmKS/9HWUVPVLzVotbNtB3PZ5wXrBH59jnyQi
9uJUEFKH5DHgZkevb09j4vcHIAkZMhAU6Statib1B3Ejf6tlPR5a3XkVa+tv9AYkXVvda4xTsW1Y
wdz7/dmsHDOCkmjf6FahaGNBqZzsTosqpheVFkfRZPc0DZ6J1Hp0RAbvcaUqxgQ4b5zUBIkHvyGw
Kr0ME6WXj8JVb84ymgHpLLu4uRoqLT3bIwl3kTFV4z2JCPnJNrVzO7R+RJDXW8IbASdAH29oCiKt
iOCQjT9X2rfZKr+Oy9LcGkv24FzZdUSHVKEvNOOZ+MhtPTvZziaVKmyU+6bqqt2Sl4rRkYDowKi4
7eDYrYvVy92gFgn5GDWHlNVDIS0q0unBNscLvbzvs72cecLtG3eqpgjtbTuWhMyCS7kdK3Bn1iqa
sJDMElVhsGT2vEDC8AZbezIK0vqbevrW6OUG68+J5rE+sPziHUvNRfX+JZfZUwtFzdDLc5/qyLRt
+bXwoeXFCSw8duNRpvS9oumMZJ17qardatqvC0k6sccSg4Ucw6DoRLCU+rsUFBKa0Xnm28L17JYv
02x+0j3ZB5k3n6reePJ5ECt09aM9ulePxqxFY59kFwB5PIp+P+Gh6N7gHi80EMbmbcPJLMACExZl
druW4070aJn3mcgrpheh4VtCbK0/stn0CrTubjJpki2rh0Q3i+XMwEyhAzp3lUa9cpxTm1W6uwM3
X2sUGy3P2197Lur3olfFy5yPDfWqlTrwFNqJb52H0dZZEuKgCvOeQJ3I9qCJXfTeiv+up/G6Cfuz
QMHWBBEETATuI9pKcB/9vEduezmNHgDq0DYaUFewmW10ulwSsF8KSm3o4z46Yr7SKhLmYE+pZbKI
w++8+kMEhqJ4xPk27bSutF6L2MQAaeMdDrxKJpEqpCgjsZKQygpNgVwHUx9UuD3yAGEWh5XeO/rT
2DdJGybatNz9aT/6R2X9z5X0nz1/BPZTi6d+Tu8UeezYKn4R0braS71y8iC7V335PDh++Qx2dw8y
l9lQWzXv1e0KoW/++qi/mNuuh73GceIHwoZ3DWX/RYgpNCWJ1J310M2nMotssr4/AcEkfr5fFuKm
enNa86CBll7i4VxY7S8rpcHrew412O/gnf71Gf3rdcCAiDP/Cga6GmV/dfHUJi9JmephUxFBRLHQ
BG/B0HJTk02WhGu2Un/KnXj4G4ntZwfMjwthQ9MgftXHPERg7s8P15T4zqSZvR6OPM2nyqvFacF4
eM7ZgN5pbatRXSc7JdRmygR//ZX/ZX//Q3RAfDcsKAT/4oY0Uk3QbdgSUu/NyZeJUj7DRa36JLTM
nKet95Qror8+5q/vEvoeoefA1Gimoyz6a+DXbC6959EDSXqTOlbevo7Hzdi8/s1Bfr2ZhOZiQCGB
0MG+B33llzfWmS01VF5TRcYj1bNIHS6VG+2G4Mvn6Vhvm1c7MECoUz6PdDMMxZ5Bf/vXp0C72S/S
rYmDEEFT4KXF3WfRX/rznS3yKos9fG6hTLuTXzRPKcnEbNvHKbK8Jn5c0rmPSs05LmlxaSvn0EqG
3kpkw369gulZ5l3nZZhwnWSYazx/OC5e+t3VxgNtbWWBhJizgMK4em/2Ko2MocxZs6YvkgRphnlE
fZoiIg/Uuxrc7YBo4KzNY1M6Ry9z79p8jlyjj1ytuZW9uZclvmlX6w9NZwFCyeU1JW/FziCYry0r
Cygy1TfCLcyNovOSFft8N1rxa6/HG9+pHjFafVVWdRKTSCN2MbelO7/0znJ0wAlx5OkF6PabOSxv
+tS+xJZ5zK36RCNDFuUy3wBMT4PF6A5TpQHc1fynZDajKuEexTrt/u6usZcD9siLP9neaRDia25q
WwUsnXB1VCk1SJYhZf5oUOJsbXdL0N9u8MQRZTUipSyiOf7zHHeP9Nm/Z118MxfJfp2th6zxQ5RP
eorc4a0yWByCwuOqPDXkO1AxFVvQZbt8zY6V5ryyQjsPWkII7hqtJr8MWTXo2/Fl8tis5AbctLbb
Jra2c1Lta8H8ahrUf+x2+iAP+4n5wQ+wLu3mbD7GtCaHvJ2R1sSUw7BkYqfZqHQIi8x7SKmUOUUa
zmP1rHxqfxXZdS4dtQGeuK0nujBFXM7j4tD0ULBb/61enEOiGEby7tZc8xc4e9e18R6w7DaLp/dq
pnN9tJoHK5sfyxxidWVt9MH4rLneXgw+61du7FSqyzCUT1SrjpXdlZGkkRKvBwmNlmiabaJq9jJ5
/eZm0MSTHAnCZZkWenr6yILy0yyHLkKR68JS5ymiC9u4HzXkBQwZ0qqfknGdt11H6TCL+/Jr3Vje
tteNmzhvdsqsTy5VukYHAlJZehXFWnZjK++4+GoKYqy5qE6+2nSIFioVO61fr34aSUFe3axOZgEy
HO610ZK39aKx8pX5rSWGExvii9YNPPJrJbZaah9ztz2xPT36ivdsXL182/pXuvikvB2uEwvflZnt
06pYcRm3N1Ne7OJ4VCgV+UR275zvywmW2ziw6LPUerB77ZONOnawu1G7R6X5npcTPGOpvchSfm5s
6YVKo4KjV5U8jLxtm6zJ3nBUPLkVdb5ldZdo4FrontoxHshwXRuHVIg0rKvmRgN1L+PiwnWNakgV
QeoaPu7MBb/GCpG5axY3zHrWfTrmTSTBfmOX2ZnQ4X3ZKPN5XVTOJ45P2GxAwK1xVDlT8yJaJuEO
me0Gr1FMjXRkkm0lmGuJIS0w5Hgalu57bBIhOGIdqrUm3XQGsBGvxy2c+g/zML5ow/wwg3ROhpT2
vNjKQ89CK2t522FH26/YADqsZ+leiZq4wNQJzco/04C+wSv4RM/wpjQNj4R4pYUxZ+9OzkV3p1tn
Sd4GSO2j0e16c9kblbNrY1bSg4NjDa1RNettNhqX2He2Jk9K32TvTSuPZa9tiF+OJjQKrVu2ZEuH
9VpcxjX7UtXGJm30fVbad4uLD1Co07Am2N7Kcqv7za4Txtuo3qnvvoyqzY9+Lm16Y6pSS1+GXp92
cvYoSltsD+a+iYZ61DbN3LctX5iyjcy6zej5O6NyP1xt9ks2/K2+BVkMCDbPMNI6tTVs3LHV3r3a
zIO4T6hk93n9WHqZ8zDOeY8kzEX3GRsTsz0ZVHrvO5m1t7qWLbvVVwWycPFsszfk4V+LZ98j2qMd
iJOs8c8+GX7R3SEif5OacVCTFiOjGMD4tO/a6DqIgtPiRK6VyfmA1yLeQDO+89pGhMZi6d8XhUhy
xHqC0hlD2IbpjlmwYKcgCpoVMyeBiD2JwEmVOreZ/skxJ+NB1/MhDqrM+zRmGrzrwR7CspzNuzo3
Sj80+ZIn0Tcsoy1PfkmguBzzvF3PWqx7GZ6MIg5rMmiiRMjLjJ6y68rh4PrZqZ4AgWkylpSkAYQr
mMfBOrvnbJq6zVxqN2IWd3I2bfztcRJ5LgpEGjO/J2N+xP1mB6wFDNQPltRp0T/LwXrtFjJ1ZI9f
kgBQM+zdTjtaorsdlvl+neSNvdbaSIqrbL6aq/xmVaDSjdg1wLZrqMFVF6NwGVks33x9wuvm1aX2
pUxtUQWrvAbaKono3HRv+kwQyZTZyiBRl+35Q2WoDKmjKrMLWpX9YVB12A7GAMc5J899CgaXfB2k
8LRTp9WWuRUNah2bCHN/+YxX7tKzWYHrkRODjRrjG1U0lALvzFTHeLOS2F4+Z6n9dUx0p9qDAjdu
sbGM20WkpJ5qVbyl7Mncn09DOmwzfRmGoCja9Ix+gnWNfwcqs+7Xdu7hmuMjwoXYNoCahyXDPqcQ
UelHaqDgDuNr0pXdbTUaCbYjoQ1RTs86onkjvgxj5W2KqWwflraKD0mW3zjxFXCrL7cinTLtMDnW
1IWs9/2HifXFk9SS/tjjsxwBtmYQD8aVBzmnrR7dKhJtXNzwMGKx75etPaR367R4O6E1zxPK9iIs
LRAKGKOp11dDzOqE09ruRKoVWHS1+SV1+gfDxwmZzgyA2TS7911XleEwef4rHDsLgSuL7e+4Hu0n
VfX2ulktFdpLfqlMunRzb2O3nb7p6QoJiQt/7prWAIEU073R18De+wX7mFl7SLAY8h5ZipSB1ylx
SPHpPfhVnX7SV1DoTz4mYYyrE9lRnr6cZxiBL/WYko5g6/HWrOxk46N07ercLyLHgikrzHi5y43Z
2RXKn/e2j6Vs79irtWP70OXIgRMDumFnWWDxPu8nHztRDIwAI+x0U4tlfqUu5kaLGh+pJapTL4l1
bvQ4Rh8pfPHEuH/pvbk7Ckdv06BhgRfCkZvtLUvsHL8xep+lnwqnfefSvC2pf5uP5pba16FX7S5X
y85IBi/qvBmi6VgkOsJ67+1BtYmPyUnrmzihJ+kasc6aBzh1P/aQHXkur7PnpOytZU4EXJkMorTK
Y/mkInaiRoSfaoi5XfnU4B2c1EEI5z4uXDr2VYlF13Pau8ZbdyLOBjxH/WZWlbH3JpyeBGUdqI3o
wUy6wGmc1Zk3ZA19Y+w3OBhlMPTFO7N/tR/1eUN0g9hmTfEuE26O9EtQL+Z8N1RtlArjWhq4FuTH
j8R1HlxTG9i69Eezzm9mk8hbVO+7Qvhfu9xXkYZ5ckWbiSZHQhpXVO2zxNjnMHh6C+lXK3gAtWQ+
Q9Aug3z2jzmGWgxLWKmFuEtIacnUUOztye/CZVp2i51NGyzNmJNoygjGrN8ndQZub1TqkzDiT5jO
se/VHLev5yfMX90G3izzbo15hPoDawgDhSMYhtH8PLMIK4LritKac7XHTEeBMM8M7AidrbjWvpPd
jTM1V5y9JauBuQwKR9z1ZWydvVGzd9rk6K/IlfIYD2Vo15UXtKaP3xzzNr1FTcLWvSuxOyAPd6Gn
esc7cBWwLdvdCnzK288LDs5yVPrXvk/TKQkoJH3L8qHcacgkF1lb92VpL7ck8VuP+qxhyFvEXTuU
1daBrPbZnYfztNDcufrpbrY0dd/VrFQTp/jUkRIknYw4oTgf0Uztixfr2GmxYwSFtR6THv03mfvP
wpXDptKlnzHBecOlGdfpe110bcTI8pbnk3fMBY6uQZ9e6yJms6CK7KZKeI9ivVv3DjrEtuvXNoxx
pW/mhMLXYGZ5ZMeN2FbWqIIKf/Ia+5Q1NO+WBoDy24Bb6t40Cy8yMGpbP1SOuDkop9sVjHmssilD
V3KLK/VZ1fjAp57L3W4xv4dushrov4OAMW20Dxk9MbUsN4MOkDaI8YvvFm0UX67NK6iYsc9q7roo
SVb3kJZTnkUOs15GJL6dPFrWVD6utjM/uzQXtrsEHX68mwg6o8lc1hpW7jLeqJrl/LiiFbo2k7ke
MdBTMGWyNOf41phzLCP+jvV1u1dWdk8dk+Sv4eKq7rL0+abQ2ofRplaNnLTTG2vc/g/izmw3cizL
sr/SP8AEh8vplYONksw0y/2FcMnlnC5nXk5f38siutCZiS5U1VMDiUREwF1mMiMvz9ln7X2I9V7D
fvD/9KXXqgBP5buYtSmcFzdExtPP/ZJoO3If2rBoWi1Uayp3Q1EnodmwdCfbzLhN52qfjlp+cJgX
cbT8moyhCErdvG9McTZUc0LR+mKUIWIOxDgH4I09h+f1jDgZOG4LpDd3W5At/RXI7KwGroBmKp5l
3eDn7F8qz9wC+NUy6O0amJp5msvak240++si/LPv9uWTkAPYbU3tkLjyOHXzVTopnm5ar45RRBeo
clFh1erv+TpySqbWEdjOzIKkNqLeNH910ny1tcR+YvJOQYVB5YdLFhzG0x4wvC5hW+fqPalMm5Hm
+KPRwPcZUIhjnm8v2uo3j36aUeij8MWz7TXBuNbJjtvnaMM+h/gl2p1VIAk4SdYxjF30CH3TeHA5
3MMiyz70hnLRn2pGRXZxZ61JFSubGntW9zz4zIBr8kYvJs4Z5NnamQzFAz83H3GZPiUaH3vn/ulN
9rm7hf/oLk4a551NLcT+yFBotOh2/eDXq7mX3ljGUp/DtR6v+GvONr57kgRH6jGfhqiw0u0kW3aw
FlNanLh3a8CG0f+2cu1aUYlj2+hD26h/WYNz7oh8vrJeLqom923kEUxLYR1ZOJWQHW+djJrxkmGl
Hjdv/9athDWOzG6ehFdcS+ZM9xN5A4jIcKrEVd1N7I3YpyypD+Zb0k+o/M09dzNLZ4esPa0OD0ix
thtP5XUIh76Wh1SZ6yGZ0memG1ogRnR4ipBd0jpjutML7THv7aPCUPDh21TKU9FgKdYsft86ifqM
SWY758GoT89j18NWpMODJPT+ZbILpuTllkZwGXncSt3g2bA1fMPD2zKo5aA85Zz8MqOnAjU99PZk
h1mdHMwm/xRbvfxuoOWDmWXAp6XcPnXw35PfrKHMih9dJ5CB3PZHZfXXTW/reEyJG3ThgONyzoaI
rdIvUDffSY4TZeOMjevK+mUTux623miECzPyIZvd2GPHLAbkLtza/JQNnRmYS3qVeQ0jW/I1jZq2
Yxnng7viWbkpD6aYnr1FXfiE2JPlVIdlUodBMe/JbOcM2r6ys7Ir9x3HMYL3BaNGQ4Xd+hcE4p/6
uvXYKrzXVRl/mDcq9kY1R90U18yYxMEs8w+JDrin/9XiXPUd0zCnDhfbdPbzLK9rWjB1kZt3ACXm
OZUzCLX07rMdUOvHkYE5pf7DIMQVhbwL67a8DF0LsEuKW2Br9qftFryEy2qCzdnSsGvbp3LCygMy
JCM8yOe6mvalzAhRoQI8YeCof0tZm/uRvzI5xYeCwqZ0YBMvt+q9bJfnMkPj7zy6drDrB3MRvJMt
X6LMbF+7Tn9dffeaVkDIeWPxRswlSsj+Cy1hvhh2flFE1AWaLh8Ze/+08Z0Fvl2cW2tZQ7bXgFmo
/Gxg1rTY4ip7bhgzC+3FuNht+TsV3Dm5rUVZabVcPZSIVUeOyZhbiMyTD8bc39ocDJjhOk+C+jyJ
140nytr7YyT4bwHA/92wtq9ZJ583F06iK7SXYZLvjcgOfIp2oNv8wyqvS1t/UPwe2Soy4/G8yYn9
UkYrPAfXiL+wAUFVUPIMtPH7x3bXPk9z/ypXZB5t6B6LnEXyTdufiy69t/T5oMhoPSSyYLWkrq5J
YpxZknHv+cNTXUgMX4P9JmCM4MkzyGm9eq91G6VVXgg4f3UF46s2n3aiWY9LIn8Jb3nFMbh3fKCs
3Ko+nF4Wbzqmh2Ce9F3GB3PHlAITSFs1EPElJeBY3C2KxEADmZFvXBRH3RZf3dIWYTYWO2usr7ly
ed3pA9g/xA1Hi1EVepCWTYgrocG/ItDQUJQWe8/Y/OKkMBBqgKVJU2Co5dfUN4dVm6g8irbZzdKf
+FfE2abVn1nw9NZl2zc3tziLRhYR8wmJr7GLy6FJUMi8RzjkZ5cr1zeYNc+uMe28aTwYqrg4CxWl
ZvdJYBMAmmrMFKi/mOfT2O+yPr/SGOZ0RJtFxeJdV1F1SEyy2TExjavRKT/YjTEHnSWbaOYIyham
8B774WMLOD9eNY/LqS5+4bC4A96b9rS5uxbTSVTVcxbVy3TtHGwQcrAfkBCeMFZ8dD4snxTA6hx9
Y+1Hm1Pt5IK+1+T8xcJHojM9i9LZ8Q8N9P5hFn3/0176L5mxZYUOa+NUXLRQYIEc6WDNhCy02h5P
M0dxZFpLSamvXz1a78BKbJq2JLmstrxb9emOUdt92iFPWb2qQKUW78m119d5mfuYvRY/qlIvmc9Z
e91JTjB9RaBvPAgbg4I+wQOmV172kG2TD5zn/PIU8Rksm7OjKmmT2FPzo2HjaBtdMCxbwv3CK5xK
f37Tm/SlwWsS+F11x3ocQnb08kWsIuGCqA+ycvpIFYkdMn1FFp3v2UD50M7eQ5tgOGg0K8pkLoHy
pi92LVF3Kfmc1fpeCuaPG2sCzaabjrPYTl05UENlzICnZBABgUJ1tDX62yh4qmcerobCzMcQ9yZS
uSmjac7dQPNKLUpbOgowQ4suOA0WFBrdH9i9C2sCBfJobs0SSyZI97pVP6/dbPOwTL1Dykpgeul6
46My7Tjxlje2CIVFufzy8w1CDH/sRWcBGo+rilPNuqZ+JvBP1PrTgJcMPcLMtdO6JL+nHgLC7Lbq
c6kM7d4dcQ0q3Y+NOTnD5VmooPX6xDomtGzsoU3vOxBLDS6aQffPWcMC2LrVyMbv8wveBzSyBG8g
v64Wr656GRL0BCmVBkzYGjut10LGf+0l4ZINRO440Tpgr0S6ge8bMq19A5cdXpykGa7rbTH4rBlN
3Pa1Wu4SjEqcCqWyKLbUHCyjW2bnVOeJyfG5H1FFac6nXe7nHEDUck33yRYfEVoM/e4sgkh3fWOJ
gHnvVkXu1Pd3a5895Yu+hV0lfklMkIeJfM0DdR+9vv5RL8nXgBnq2Nn269ZBnYJldYHhyd9lleZh
1qM6lc78YyvBP7bMuZaLvkaGqd5gG95z35mCgioCqOl237QYiZib/a7S1ogN1V1ah4rE2pgNWa1I
94a2uNE4LOiBq/lTEnvLLcuvjy3gMGfLU6/l1pH9w2bsWOa3XxpFOJkGbXYmz9q0cYgTaR3r4CK4
J7r3jiWCDPqbWE+982qZ26nV0ldBI78DQoxvbtyYceEYCIOyXZlLsWdvD5wL4tiQQCEnrkUrod3X
m5x3mzPRiU4AMtI3jlXGN1W6nJBWkceYpgTMHkVd7+hepHQBRejanypLHoQg6RVV1o0Ap+yHEQfW
vW77ZI33a4+1M+MzM06t12UPGlpYZKU9Mre1TjCaZV2aoWv3PCAszQ3rOh1ANtru0s31q9PYM6ev
lFoR8d5kueu3bkB0TTscUk7OkMcYDbPa21Ne1XE/ACsHRn+bJjn05hU1j+2cBts1wtToQL9uMnZm
DLStZXvozPah3qqCJtdp4q3rIfkkw4/Rsa5dy9iKU+c41e6OfYD1gzUl287HR+kHU25XWMIohAxk
lcmgv3XpCnGpr7FZzfhEp3cSmz+rVnG5uk3HBjf/1eyIO/P8Zw0JXaaviBAXX1XyYYW2jdTqdwcO
erznvjgs4G+AWRq1bCaa2y9TZrinN2rBwkhQoDQTZ3J3HP0WSaP6YSf+Hj0czcnGjUr+KlvMXTtw
tfFYbaBqfrJAfc/7vvFfeotmpdzMH9o8vflzfT85dBYOvRKqxaqScOXzwii8pu9JNn1M80Yvh/6O
v1vfGZv/6lrD88x167ZqjdDfkXD9eKm5OzNqynT4iRFTZ9ZViziZ3ToaAQkL4a039/YbxEpM6vtx
ZamimvQvPP5P/WLctbhd0RkGEN91TENpTQ81kJHvbtEsrFi1N09qUz7JauhZXghqyTv+Az77oBfZ
sJfJ9FjOsxnWTgnsWS2Sl5Rx51uHdPPOOFq7wCbWAJF2+mVVG6fRZESsQj8mncXUbUF9aqerlf2s
LFYvI9CcNOxAniYj3tk7Q+eXZPieV7peGqdMIxmv/8JyxqPLN9dQy7ND44qPucmeGrdj8pZaEc/o
c4qCOpjDia7yoJb+p7FtMV7vuMWWN5BXsI3ek+qKLHDH8b50dBDP7LIgD3DVHOlb9nab/3S3oQ1M
QJajXNzDaBugmssxM8SxcrNs72fu87YAPw1mcyatoN51MFi0kBtMSF5841b/09rVH61jg6otLhTl
72Uuz0ab3rRs6y3VJYCpiwWWrVOU7psGMeOWxnyHlQaUFwNVIMz5tajWR4qwMTAzY0fHccZXH4kO
qVN3mwar6Ox4fDBIvwQkbxdT5OreGFc0tmrCf206dAVKdU922ibPnFGMqMv5ZvAUxqlssZk1o8E1
aLVVJAoNrX/x+qjWXEIY2HHm/ME8mL762F135dah0plYqWqlV/Mx0clBsBsrNtf61cy3DXDWgJVj
5tsr4IhZd9vIqoopqj0DkLPM6v3ktHp0a+FzL0tCNtt9JencPTc1KmmgMha8W2SuoToZroqnzY4x
D/DrFq0VOtl2HPtp5pK03ZxFhZazhG6KKiPJb9pbQv+JWtpzN2YHj2frZXMtjohWN/YUdl/EUvgX
z2o/NsFIR0/yhzEb6oDH6ACf5hU7fVRxmgn9KU9NO7JW526DNQCFiFdGP6NwIa7bvn3OO6cAMq+4
88Qc6CUwtNVqv802x7XsECXgD7BqeD2bh6zF/6Z5/h5Qeq8v2xSTx0yGXWJ/9XRMD1MqXtwke0xc
Krl++0LJtGOj6bR4E5nLb0w4Rn3rgciN/60A20lJcNPjmpkXp0jf3FUcpd8+D619mlsVlnZzOyb1
6lddZaxKZ/admxZDVEYsfarKU9W3H7Ti625ZBpQAdNm9VSjtk1XGNcK92e3azsJ8SWRVDkvnVERg
WjVinzc8Crny8ulYn+cyO0hdY9X3mt3hfujYVt3u2X7YMdJ3ykM2YjFp6AZDVXgfmqa9bk570Vd3
xoPHmI/MH6aPjk3Y0HLzZrqxuzGBFYVPjMBc9pFt0mJs/iMVQsRoRQV5Zj1X0geZXqYo1er3tB6+
urKiXmuYDbp31UZmZkoWhFFyv4rxqhqFtVS6WBmkiuXGEx3lXWFYJVrMY5l4QCF6LlpsHla6ulhp
Kx7noseqNsfZVu+MMVni0WTm227+thuImF49q4r5zk/F2nXHvkEhLxLtoZ+Kkyas96q+5adovr7L
h/S6WWq619biR5+Pr83srmSCeAmCRJGGGbknQWuPT25Z73yZNaEcsiVUdcldootd35ZubCOXMPQT
PE4TgAM1dWfdUB+Q5lxm/JgmSPj1Is8gcGEW1RbUSeGei5HtCKp2ArjV5JmENrzu/fYBTaNCiu5r
IY3dXDoJWI8gsktp7+ugeMfKhiFlzhKsieXSHObZnk+DaHfPKz4WoX9nvTU+C2y7JNANHMglMWPE
rzA0XCjuaz5fva3OdkFXZbFNIFzL7ZqzMf2JPZnU6YRn86Rhfh32wPthlq3+7Yh7nfvszt5uFchA
4d14b0PVK+Zk9KulXzJG73gqdkgYDJ3IfEfvPMomI2ej7k6OtjnHNadKWfTqhbb3saycKsp9ad78
/MRO4OQ2QuAiVRA2UEu6ewKbe5TfVoff0wzBH1TCZIEFv1N65rvfSJdsXZDmBHyz/mFIJoA4m411
PU+44RFWcU3bZ5ndhC5dlSqygN0xBpVVb15Mqdvl/eo0vEi9LbhmtFRMYdspPX9ZTLTJeClxoZwY
9PtubNj1GOaT7lvcLmQn7EucUPjUlVp/uaa7NvHYGK0TGw4NU2zPbDIA93BUvHlpU16mUqu+J0VF
o3WEuUTdyA+9y213HWLXpqTDbFNyKw4+xQUdVFF8O/lS1G/1wv2N7QKsKBqNXKnvSg486g1gsMNq
iK1/71FaJbPAN3RRPvcUaz7/T+KGHhAXUa5Iz2xgDerO0KzDQmxfEyL7EXpimQxwCurxZmDym0xN
Vd0tmTf1J2ZCEEZGuvo/0r7mfS3OtPFDwdw/O2Ms1q/ZnCbva4E7ecvmRM9jwT3A2xK6c9hSStOn
aTYaEZlbVd6TLeiuZLLIZr/gsljZFu1LEXkU6fXemVOLVAI5YwMBxILW8OiSytDoMfA828Y07s3E
Vf1uIrCjOPDMXPjciU1JdmWP3/XK8lLfP5eb7qkf1Hp5Ew4gpWTRyIosgNn3Zu2jGPJWZ8MKY0Vu
1BGfcTVm6G8kfjUWNTPj4CgHro8FyBjedObA1GS9te3TVULzJ8NsvAiXJQMx3g5j209kbRPDMA0q
v28dV8uOvpoHsCEcgNVv5Jhs2WfIMgBGhaMobLNZtRZCbFlPyYmpellgsp67/mLjnaqeB81xKKkY
FS+PTcVQ+jQIgPtIduzpPaUiyc372cUihyzCrCNpC7BrQpw0PdRWfbHjxZinLwSseqbQ8lr9Pptc
anldLwska7009SfDWe2PMe3nNbY6BaxgDcx+H81ekzUcXTHvvNTpmYVmgwFJ0RkE69yw0ZOuhqwH
hZGsL0WMbBsVeKTyuFg86DDMiwHMPj05cnPEYUhzvhkmxdyMqvUa944oG/AQAOA+5KM06fqXdp0i
DfjNY7wlC+2Skzul3ZUk2fCzenc9N3q9EW2gOY37sDmSxwcHOsQssQTTfCi3AXJUnwZ0VS0DBAjy
JuHggCDMyPvbUGD00mlf6z7NbKZlcmvuSRDwzgVoz29tbUkp5MHSHJgpzHfA+vckI9lewPMP4IQt
OeNj1VaEKDRL3TJKtNfxddMaQZFQwrKh8mmw/OlABJSBbH2a2mrCHJekxY7obckE9Dax9BbSS3J5
i7lYMpYfRqARNWWQnRb5xLVoVJ/AIsZnXvBICSzCGCAxqai0SFijLd5ae9L7Hf2Z396bZZEv+Gwm
2UPp8+lcK46ymwJJClY9bPW+zkHLyahYoNQKWF7r6A2O+a7ZmBiCfHOxd2TzAqOTDp4qjgCltO2F
WUmgvoJdVIfWyzE1KEdbnmwneynzBS53MbGWkfGTzGZ7qp1q/pPyuuVDjViC0pZJupVeNFNCM8yk
CmOmeBlQOTogrdIeY7NdtQ1fBJvGkWtF9uUuHdFFdZH7gaoN71dVyva6TP5wtYWGoJOZBQM55Cvk
pSVdX91i4Vb2h3I0L0vB2wmZcUnWYc2eExWFGL8a0wRz7zH3m/cTlN9ByAqPzkbeHCY4uxpPFAwl
w5hB5/DUl7Q8qawvZwo1C3aLklkbQtB8Rq8iN/l8YUc4Og2QKiwOf4H2Tg6hvVasASLkKGHs0d84
etIYVIQe1T1ga+aIZKryOo4DhhfLHJx4aLqyO+Qr+yRCv11uX643ai+kFAMms+HdOiRWld2N6L3X
Rsf9JGgO3NCAP+h2o1sZL+bqq4k3q+c4VMipHZJ5fVZZY1wRMtDK2w6hMux14nw8mbfpsTGIQoGs
7EaBPoXCtndUzcnWVel0gclqPuBsOULQk4YSrUJQWVr6lo3RNqecj3RPSRtW1Wp9YzyxsojcWRGO
eUn6Q5Gsmo8wAcmtSPK6Q+2p+12rO8RE5Zs3Bqwqb46V4UwfzuRBzrMthudQz4KMQ8MK7ovZeHxP
ZDzMP3unKarQEZXX0IPY9hyIwRjus9XRP0GcqPlbrUG5EFl6Aa3hrwlOCYwui85S+dqXfhZ0yaT/
qUCOQz/HVR4ms4FJ1ytyT5Cni5wZc7ws/S6vcY4FK9ZKAnCUPzlxW1OHnHSv0qBHuBuCMhu0X2yU
mn4MxQLF683LFZez50XU9/KNaaFc49kYAD11DVKUEW8qHkrlcIYb+iKSqB0a748+tOPD5OMWo/Rt
waEGHpyWQU4bPo7K+zE1S/sC/aTucxfbck8+WhpiiuBaqkyJcTUnDu55qB1YT9g/HHxi9X4lWy4+
gOv4s7VJBXH16LKySOdgZ+hC1uqT37eEa9mDK1+SbLgToxzGmA6cOn0Yl5d6XLMPf+jQuHS3EkAm
ZCzVvwbdrB8XTdc/bQlwQDhe9UliVIdYZ+PY1kqDJmrcWjQfqaonBieAdrrWWhFQk06MUSum46B6
50/ethRSq05VMlazuUN7k29QqRkWJDtL+WY2qJxKn3Qrmo3FflayG9iEwZTlAe1lis257fiNrGx+
ost9GaVtclgJNmAFI7uaXtY+qb/VJH8p4qtjB/1ti7fpiYI/vZo8jR49RobluXB7uPAl93FwZz5m
3N7pw46hKHAJK5cst8uuXdaoO2ID/aiUbuHCUGnjw0ZyD6Q5QTtfeeqTpUXwafOay5y2cgPrCZny
lZiAJ4/nCslUjxAS3m9+7fSRODTYojFttDu7HfTXXrn5VwNsouGoU763Y7MV4xHSFEYR4fFVx9xD
Maca0PJdlqLoQhLqXNqFFDzSTOvmy5X96lQALFv/UNBQ9PEGAr3sJaIGN9RffonNU5PaWxaluTAq
42o6G9cl1R7XvUF0nwMbSpwQMbtMG8iiS82TNtb2H2bz2sVIZYGeT9oYIWy3vzflPnNbvCBdBEix
nQG7fHbxjcaXvuFGixDl2iey6Pweb7zVI52AGx1LTefMyJeKE0bWFpdxAiC6txIL0mZwYfmHouPh
0/CEBjey+WP67X6Sad2AYpo4fE2dwf484P4lQEsDuSLtJ0iThYI7G1LFT0chAHhvDBsKpSjKzx6e
JrKNwj7rncOpy6Z1fw0y5LBT3WkeVSuw1tdCztCwG5Ut67DCLvBNY5HcN5iPIzdf1p2eumVUkN5A
1HnBFNDdEBpJYyo9jEDawkfSUjN3qKN1sa98cyKACl9uHWPJlJ9zTc8eMU3AyrQmg7szmpW9jT5S
9x8YZdNhb5vhvM3cyBxlhuxm3LquaEMahWx5HohIYXpn1T0oaYc9xJ/1yfw9/vVhjeOWbW9oKPKN
G9iGQ6QVSQNXjguSa4IPrN4MxbOT+tnpvRp/ouQTGQ0kLf7RS+7BxLVInz326Pj+cu11kgqLACQa
AwLvjagB4hcxG1VFWvuvjpeme5zm4tlsmJkuarHfMseiuKyouvSgoJf7EMZS42kUHtCSM2aPGSuq
HoCriCffnLSP9LG+weoYR/NHB0Q2CYStdyL2tZQSqV+z7NFVhACfrLHadqpD2pCMi94y38VRkPev
xNMxIyRt9TcxVClPYwBqdF3nHuWfij3XwVUxqvUmf9vBpdvhqZe7mlwFFDJ94nKpSSdtoXbp7YKm
YRgYNFujnoxq7U9tL/IHBpxfBqEfKtRTw/fidCJw460xy9WJ8Wvwhcqq5DlS9sSGHXQ/0/r476f/
nCswa9yY3Fo5bHvUinW5boQztqGX9FzhEwrLdBYpV2ngLzYdpfuX1c6/PWru60EbrF3FldIHpA4g
Lv/1A9C/uSMISVyhDYpmWK5Ol1JyWf6tc3OUzUNqNhv+i1gWbvySbEQSP4jE0ENWRWbaGIJk6Z/l
7VoBsMfdaOv6uhudrTDvHaLwy/tx9chs3ghePttq9B1cMhMfUJl0/BAcnzyg5nFdyoPVy+4W7lTb
EBmbojM2x3kqD2228Of/PgUYxSTOySNNIKVBKjviAnpRYvX86wDDYeCuNhrUlHthMs7AcioTCeKI
zE1eDDoWFqZpeEkSYsuNWLKNwY0KvVo1Qj+Ab4LSgypoI/zZjJ5WnjabvM/dBFmnY4J0qlWEGH/R
9EPvr4Jw4PDRX6txK9sz4oBVXUHT/CIcFTBiiDXWLHcpuTj+wc+csd8bzg2FnLlRWRpXc3gRl+fV
QM6yfNOqvBtCFF/S2AfAHq5qEM1vv+d5GixgHISDTKPjhmqkkArYxLrpYZ3RV4W5k/NNrjr5SXft
uhjFQUleO+i1ss4iTWv6d64hBzmzWew0XuSi0KSSHgDFYjWWCE3hp8/j0CcUM+OYntq8znFFOIOO
xTovMXJ0prmSvmmDRAfbhlayz4wcG3oAE2iOrzYdiBdTFuFbVJ0DJEXeAFdO4U7y7e/vsEd+H3Zy
SEt1mOpSJxGXP92E9Kv+F7PJydqjATEO1q1huJq5LRWnijeScZDpOvyKWvAEySyxvV1h+XY061jX
H+kXEnfvLLmOL2Guqi/LQdrkzF/XKjS3FaHVnkf9Ja170T0vgDnJic6ey0/0C9MXeKjybbB8Lvkc
5aWOKrdMjjy7ZvMCYpGwYcrJCOdAVpQDc8ESC79PxqR/GBbD+kmV732UxL6yWAZ8KsdZcwN5tTR9
0lquvTmt39LcXHiEyIdpFng8LNoepIjAX6v0KS0YYGMyGwGVxj9m7//AOciJaNs8rHcEp77/5dj7
H2VUvTQV//v32Kl/iQb/70WG77+bW8T28O8/6vZuvv4pjfz/vLtb8vf/t4xwgXvyP0+wet0+v8t8
GH/9a1D47S/9nWHlWv8wyWxyXNpd+kQcj/+RYWXb/7htTLR1YdzCwnUHb/F/ZFjZ/7D5D65vOB7Z
+QZp4P8L7vwWFG65/zBu+eKe49Bp6cCP/5MMq391grLQ0BW88l8Zdhbv0P83E+ZIfKbH9ZkdqiRH
WEcYgpHlqZ8SmBjXhFi+oHGp/8JT/a/Oz9uL4mkTrGoRpNmxOPLfgrOQJvGDCxdAVVUO2b+TTymx
cfqvYCMls2hG1PKe7Rkpcw2ZDSALmVz+q40L/+os/vtdmJZDajYKrHDdf38XECx0oUTadhmwJSAZ
UENLA0ajPjrVz8rcXnzf/Pqni+P/YScnfpGvrv2/SV63173lyJk4qVm6gHx5swD/U8Ze3q9ofPbQ
7DV7nF+VPdyt4DPr02QLQmmqxFoenVEl8pw4vf2bHGiG5t3aIIkbCtNOiXXjqx+XWfyc+tZ8Twu2
sRzyYrOcV3a0FSScWDaWQ5IY6/5wi4WVz3bpKPPOWCa5HzuCuBjD1fR7cHB7aflpAyjvXF3LfsA0
RcmW0Bqat+d7M5/BHUd0OmW9k5XbMknl2YQRzAe+qZyOOJbKtxjILrOHSTDdRIv5rgBWavQxNUJH
muWr42f1d4n+BDKrCeQVB1LQs4+1mtNv39GTwKksLPVzaUdFm/p7cyuvra+u/py9lyvtBzWk9rgu
FlSDm4zPWGK642qYjHs2ykrHqfU/7PVjjDTVz15P6msqJBmsrUnUM+OMaEp4kcItzB1PoHLvknKy
oxC8ON0221GmqR9G1392SfKhScuOZ9bXEBxkkcsJ1xyQ1USi8Kj9kUS2kC6Bj4fYHxPJZ3C8GuZJ
Op/j6p0QcH0WYPMrgn3U363n2F/e1LaRGCGbnxjDvVdu0VNbWmcGd6rYzRrZA1DBC7YxQo9znr5W
Xd0rVTcX5gAdod9TtzdI3PjeunYcjjMRmAso02QACfptKq9q0YYy1G8iU6Em+w/u5Sbnc+/K4swf
ni8zipwRJtlK1EezOoRgZIyYIHYUOfi+q2b3ktlV74djCZDNfo5aEz8Y22P9GukQuydmrnP/bPNF
LQcC5dNP5WvDdN917kDvXvvmiVXkK4SiTykdj9xoXkh8VrWE28K88GDXpnuvLQ0jKRsFXJ1TvAwv
CXlrT0jJNHmGRlpcqCUqOxqNNaYxceT0a6wur5hNeYVZ713oLBvVqCaatqTIP7jN6NcA40WqoaV3
xpe/uAruol71XcpkiDqr6fE0tjNWjNCYlJzTmNmhUd9TQToXMXtrQYKRyP0xoFHc7EiIcp0+uY5n
twU0SUlLAlIcdokJkwBpbEMCr1kD3TqKFmzOKeqfpBDqqOFFK7U40drC2Is8W58UMXEaI6TaaF+m
EdDz3OJexbwuy56MfDVSSXdTano4ozwLIxayvwgLD1hrt4z4Q8CLnKE54YPIXmYfXCEYldabCFwc
KpEUTmoexc2SgrsdK+NzDsS7gq30zHgKB4AmG28J67KSnjph2Kn0oz5aFb8XDrGL26ST4A0M+EM2
PMtweKxKGOOJbPTbBMER64+CMflwN0/ALQupK/J52fxbvBcGtpeuTub/Td15LMeObFn2X3rceAaH
Qw56ElqTQXEpJjBeQWjA4dD4+lrI12ZV+ay7qmvYg7QcZN5MMgLi+D57r/2jrVz5DMOAxRwdAThk
JCAMPuOYqqPNUDL8fXBDE1yPMsuJ3npZ90hakxGnmA1jPzgUmSyvKZrzkpFeZsQ+TlGRcJ3U7i+G
08ncmsU0eifejnIJ61pdcQ7QK4/o9yNSmVcOxaabZix5hMZF/xJqa/oFf1fFZ61tgxoKQjaUJQBc
wP42tRr/WcyaNc2H4SybMn5yxmJwdobLIWRjGwGkbAezGuntTEyb0gyhfcVtAr6n1VP3Cjdf+9si
tQiJlRnCISik3DyWLZQfFqhFWp65aSXJ+USH2dZJx/nJHtshJ2LrmBzwyzGosDMv+BveG8OpFvFM
HMaa9J/ALByWazomq4tdDRqKnTtwzHgA/TJ7u8v2feIqBCVEk9/Kctybk/U10eS8XSDsrsR57tle
/4UPTPsnwrJtv+KIzIwYSVOdMwbT6ZANxPM3Is9qlzy1V/zyZB7cK+GRcXQ5OY5rVdaAjhCgv/Jc
E1aamhx2YJYsGyNarYl8+ijBYrYeETdZX8R2HJ/pz8MKUFGiRKzNmTwaFJLE3VTj0By4hQJcIlHA
GY61h6P3OgLLdyeBPFZXAaZxvqJzoprbUPmTQ1MnalhbbpM8eNNQEniqKdQgnGxgJ2lcmWIsa1Mb
FROoAF9BWk6PmZOrB6OtihoPMIfKI7RZCq/hT2RsAEYunE08NHzURoVOte+SbsGZOWNNrI1cx0O8
tKLovtLRI56WEB+PbSd7zQ/yyXMzYuOao/sYSZ6fnMKMOdq0zTsM7WM9FuO8qiLeX6y02vJd+RmN
E07Q1mcw+K67xr0G1CCSigOPm5q7CpDnR+kF9RfQWxN2QI7+sWXJQW1G1An/qe0U+MORRzuBwotl
CX0rTK36N5zFI2kbrYx41/pV95qVkfGoRhNDpY5al0hamBFmi2Pf3LOrJ81aL+ewPcVgqbXBZDTl
azmB2wKrN3U33qfL4NPTSHXOoPCEMAcmw94OkVkGezsbdYPEEeJHDaf8N4eqwdvkOR6OPbgw+FCl
7UfJUZvC1GfTL5v4NCpn4h9SYjX4mbXJzNzwb2y1x6egJpN39n2dAffpW9nu7MyGcELov9pXk40v
C8+A1teKLD7k9lL7mAeYApsj4MKQucC2q980CvQXPzUmoh4aVMNmFrVz5Y09BNu66bwvlbEaxZI6
NxhWc0Eio2+T8E/n92Zx7pIKibypqc3Yuboz612WBhGH+UAMf9IJrfySm1EeQa302a5YHQPsaooJ
FPDiifJqZVO1gb9j+FP2WLTZn6JEes4D9hvjXHW+3lpS+Z8BcWlrEm8t1rbAMdqTqTx0IKvL8RVo
6lJcLLqw3k5DWMQH0Tao+3UNHh1yz2iuG4ziEWJ9ie00jxXbCrIv2KaJjg+B7L6tOAhPBFLKoxoq
+4Cw257KVqWbqh4IPBqtuJFebP+4YK7I6dXhqxHk2QeqHtIm7z95VnVoeWvP7LOLHefidxsXsAew
OZ1UUPOmTmS0s4IUbxqqzGvqqKdBU2YEpgtLfMHmaDWIHuRJc2MgxZCm8kso5SdVBukWVzZ3nKH0
sc/aZtN1gXVIpwiR2G7adQ05do96eqqb3jx0UeQhyiEU5H07HWjpSM4eLrEt61Vse4GRwsQz8lvu
Fw+MQZh0mpSlouk/6TZjAmCvvXdx8fpWcAUwRQbEz06EoPZZTLJrmmqH3VJ5IGZ96FGRbFQANGKC
vtIOb5QSwS6r2BnZxPhXNq08W0lXwbUA1Lpj6d8feDx8d0GV7R1PfzbRgsNOw4PpBT/MGn0fZyeb
6x4qLulGlOv4xL8TnqZGq1+Rlb1XmOYJVpNzyab47DvWQRMnb4LizoCMeGGY9xBsmA0T8rCUVtBW
aPOaikV6mtmerawWKkxE98zKmYptyw+xpvHCPYVVp9dJkT4q4TEegQO+8g2G69oV6VM8I4StasuB
KGkMKKrmHB5KibOXW2lc40Wxd/QV0XOi1CODOyUlbT8UazQiPLHKcL5aEUNkqUv3RVqD+5XOZXzr
s/rTmXsHD2XeXjofoI2qvBw/kvFoSRYBjRO+CAeLWthjfOJ0x77Xe/di86q1Xxw4BYHoFnYJ8d/d
xwXbycqpnBOm4Bg8rD//7LN5X8c5HvX4w+pcsRnSEJHY2hsY0amoU+9tSQQtCbzg2qlZ7fHuQBi0
2us8pkcRj8kbHKon38BD3qvxGGZ4xSTGjmtg/vZpgmyEA2fciA9KdC9K4+lT/LdOWNaztWcXN9ft
MWj64o3JZTJW8N1S8l2j+95q7wcbW4H2ZS7bGLV3y2jcQiJdXkPEnjsu86k9ywqySGzlEgpkIZ/s
oqjOlm/fp9l7gufR7YvZcm/uUPo/nQH66oD/Y+f79ZlrtHtxdXYBgH1RZVhe4mSJFqXXUtrFlvIt
jeWykORjnOnYtJl7dOKaQEkfPeVGv+vafgIRN+xMSAe8j7Ma3gIVPCebXIRt20/UehGd7ctDY3fR
2ZS19wuFK373hz56gWcKZRRw6/tUetYt9sZcbYfJwzAQ4xdOlI6hObjinhsevVLhKNZdSOofR7jm
KdaUe2Oe5O9QJsmPImGWMqPEv3Q4RTZ41DIAs8MPhFtcsQGcB2fOTxXiG06QsLsrVk6nIZ5fzMCA
UV3V3gfC2BJtRAJQXoU03nvtLiymExYjCxOHkZywlMuDmmN0QhOnQjWE2MKrKS6+ZmUuGQv7pZO8
7lh0uquQpz8+UPdFeyJ66tMB/gbhn9VseTkZZUCvpUyqzZSFP1KLnaSZJLupSLFXV1grCHfayALT
1LofkeWG15kHOKmKgsOXKnMSHEFyLTqd7MDp7Ae+mrU5UFrEpsXcei4KuZjqTYYcz0u5wrosS/Eg
SHWt3Ipop1UZ4T4JMpo4Ojtp1qGQ2NKnuTwJ7HEgEUuj//KCqL0DG5MPboLhnPclGwppRGd7Stm1
j+mZAyfB5Wk0XsI5JbcOJNf56XnjPUja4Mt2+Kw4XHaRn96GGJ/+OmHw7TcdVkPhmqeKm4eBPG+P
IwDhtalr583ja772npEC1WrLK7EOQmglFp7VKKNiJ5D9YcBAeaD9pH0hWHYZSiFZrbGz0iKzNzPo
jNPMSuNJd255cqGLuRAh3rRCtlixr3UfyFe7h8Kc8PA5HAkKIyzPcZy8tfXYfjcd44OVQVaOZ7bI
POUGVp84l7M6aa5F4v7qXJ6VfWUevdY+lKbczyrdjTmHwpXqqbEiU65OS2nPif3evG7Gis5hE6w4
W8tctuxM+yILnmMKYjFgj8qX46MtTV82R8JP8QKGQE12n5K2j3BOqXGO7WnP+UxPDSFv7RpbUzcW
QEt2YlltkPkG882JOXDYAg0Fa1A2V2HC+AyCBVM1rVaTqn9STNTRszQZuYOXYhxb+utsHIbK35kS
AZGXeVMNsdylbWRW0y8xiCh4tJv6tR1wD24T5G1yLOnMv+VfB9MkPLk1nV5390AJZtE8p04K+7aZ
VL33Ho34ZPRX1lFoVx5G5TVuewzyTlOrIBJdJsVOuY4tx/0841cLcU7Lwkdg70hwoErXeKLy0+hO
DQ7eTTH35oxd3Sc6aexiCK4+9qOBJqFK5NVn1Cjydbi+dpLwIduVXPu7mb7PDXVYeOXtiC1FqPdB
Yf3ipduugzzVz7pOe+LlgRSk0Y1p59kj2aCgoAsoqL4rRba/yPlMG69+FbiEZx+RnoawB42RP61N
Y5saLL6JRXGAnVN7E1SU21DoygOD7/Bj9IXeUqFHCjPJoUU6dXfQMgeimope9OtODstpzHwvnKY4
cSvqXRRn3p24I2z4ecksdXl6qAaatQq2XCt2XGZE6gvOVNC6Zz3bSXuYa5P7aZrBVOW8SVq3vSdd
I/l1mlG9+XMKMjpsMQCtmtF2t9iMODuNwkgfSIBnH+yn2P1ga97VNpmSra4NNpnkW5fWTzJCsHqa
OGWjgGKJAT6yUSSmOub8OzvsS1YIjswSIlDWcYghPjik2/uNmjz5FicEWRbwQ3yy+GphyVEYZ/u4
mCJvyF/NCi9BEuvxAvzL3eTzdBsbOzu2FH7WtH6lk0XFmSYTWtjtxsz9bTxO9RHn1oDbMY3X4VzN
d3sewgOxvugB6kf7asCJNHTOrJHP8S0TnDrwXFffuO0idlSD1Vx024sLrrWnJKG8yRCsZRoeQ6Q5
4+uAwWWnBZFGYZanPM7zPQViBnwjnXsbXMRIWQZu5yfTGXDb1oZcR2Yz0Ws0ul+GAYVrcnN5bHoX
zv4QiT2A4u7UJNabkoE6CjDgK2TYV7eYr5PTuDPMVkvvzbS+y6HhNd/N8mLO/Tes35IMdFQdW89e
AqR+c8TackhLgddxiAg5c6s/xJj1j0kWWHvlqqnFvlO548GT0rh2DfVjLJyK6ZHAzIIq46p4Q6IJ
t2xDaziiJa1otkkzYUpBJ23I4QuzYnokAcVFbxnVY91bT65t9tucSp17BSWYgSccT3loCGMnwU1t
HBcKixGRC01kEhEkxorvp3nL9WxQYYLCGXtXKgEU5oV+Dk+Wsn2CkAF2Skp1vD2FcMklyhpjW0Sp
86z+YgyZTcrvR8yuZFAe2k2s+w/T8dSPOeOPOGlAxaQnkO7YVWXXyvCcx6JjHiaFUD/bFCKsBnxX
eJxiol2xEKyQUeQ2hanSvR2T/AfSIXYFTl7l1jvC0+3PzrSnFZ7c8ADQlsMBS2+YHOGwFhwRf6cc
MZbmSfoCyE/vW5MjiI1HjQIM6MK0GPDwz6bujRM7OPNVXEQOGQrWnSE+EKzf5iHLhKvfkzGm3Qwx
eRt6qrlNHLEvAT//C9rGuHU44X+2LqLk2onGHw52eXxHXbvw2fJoF40j70J4vVuQSONBoET3g9An
mGUjECQ3Mn5MOED5dEnuNTmQP2+e7T2MuPokwqIi4mF3r5TCzSeZJeK3NetvnFy4RNHrnU0VFv2z
ipynySSVwXoYiCJBzGtYzfI4APXA18coUQ4hst4U7RJb5lvMhO8sHHA2zbWLaYEhXyALMMfxBvah
bBL+761L0bQzcQzMYVbZWpt2Lqujzs1xV3hO9zBGEveHn4s9Ql3wY4qS5OZp5w/VyeWjTOx877mC
MYRZ+5fq2x7ekaFvfT6Om9Qk9gS6aFw5rRmBW8in+xC27yhReyuHlBww1Tl+dLJj+tTMrh82YamR
HnT55DR5eeywDBCpdBhggGlNmPOyJOTggzVgsR7WT60xYpSsvXI7JlDyGhbL/LLtR2HpkZIKPwb/
F/j0e8XyODmZejS7MFvPNVRx2q+olTUK2BxkQzKAKEyBA31yWO46LX/SImPsQTzTRFZVlP1Qm1A1
v5Gi5l9ZRsLQJ6iJQsxrAfgItYlx021DHM8PaUWbqpEb2Q1M1FKBMJAkQwYodxabBtb9yjlq3V0K
URRndMbFY2Yfkrb0b0k8XKEIBGt/iA9ebBDbqHFRpCFZs3IKozefeSPd6srPIaLOAiLLiCn0PoV1
yUCa8zitpj7Zj3VzLHiO1qP1jGxNIUOqX6EQeruYktePwRpvU2fCt+zAA5akhzkI30dz4IqOnbmG
BZmbmBdxvf6sKemeCcOK2FnL0moyvA5BuuOPm58oCE3/OQ3enO8ZQtQBjd871mYIc8EICrWemNYF
oWtXnvBHlgu3KxLWOzHuzeyBPCE5EP1msJi+Oodey9lctkygjwsYXO6Wpsi3Hlcla5ILIggYEcty
I5y26lJJJ9/6DolnkP0MwpMkMTmNkHYe4ooxeOcF8aamFJwjjlUL7PNhznRv/rSipNyFGDv+TOD5
eRdX4wZRs7zVZmS9hF1gn7wu5PSUSjbvQ704uBqQS1mZ4FNHaaMGvod2OTMLrPOixzPmc2M6ioIN
KdPpuVSW4rKZxb1yxnbbeAYvYLzccl/0MueHhN7yBE8BeDW2ck6tbdrCGZ3JvAYDK61RoJLmpl1h
/MirN8H7bWWhJsO2rjVDOrTjbUFcZNsKuwNjJPE1YxHZ5cxw68GQ4TmZOILBBKLd1+TxzkIpOGFS
t54mmA5Pi2J0R99xTlba1CfS/C7RX8LBBy+RAciZwL73vNVeKn7veFUAxT8wrqoN9TGK8286PlEp
94l7KfsAIqzGNWY3PGbCXz6WQk8CBwOZiVWclLxW+Ik4rOB5/Gx7Pb8J+nlWolcCbsqsi1+00bJ7
632f64PjqT93rG3SRh44Y/so1FVinzpJU4hQOdhDYfeXLF3CmSOJIs5NJv47k9ZBN836l7bzqn2Q
NmQJkDAPXItUARYDBQyZkcGjmbx5IpxSuHKKvpykwj1H7SMerHFbJnXAOSNz0ZhWMa8nfnUy5apF
7wT7RudGlw1vJu6JlGWNGYVrzVH5uxtbDjdrpmm0N9/02/No+nYPw0pl06qeLUOci5Bm2LSrzfMU
6IDlA/s0tzxzIZJ664RWzzAs5kMedCFKkAPiQkuYqsQEiAkDE/uUynLZLiK44bqXtfVAs8VPVm8e
9HyfqEcwauvmWR3jv+kxHPJY0xJuTR7/GKC8apvdi7VqjBRmcW56/SlipmnDyjC3rRrbP34ZxOZT
huK4Qb+cX3RmMcami7ZuuQFRXHMfVPVzb1JilBMzIdx0S8n2qz54UiDhAopCN4TWXhLtfQb6i8iC
urZDfSBjCRQ15ArftKN95tmI3TbPTi01pw6MG0VI6WnZ8+6BpgB4CHCHeSGFsnl4mVK2z27kcObt
zvzCMCCIRbp2fNdWPe1Sc6p27jzg3MZVTd6SbU5FVj0tH50F+DqGOKHa+EawYNeRfFyN3SgPfWc9
jSP7r1q7MafreR032l3RP/5RBEG5yfAXUSmAu3Zm+4hWcfDR/KMiJoavuh32ef45fwUKmZtV8tEi
A2AbApsRtToDzkcwnuGA6Sz2nsFjRts0BthgYBj2A8puuUc2fbZ0+apbYna3PvRmXjbNd1CWjzMn
ibXFNH832BTrvjtaTnrNe8ffTEmNch6D0MHXpicTyM3gn0UOETu01AdlBz+l7z84k4VC6d5ICdUb
P6JKJMW40FF39gQiLboXk3mFovaL0vNhrXiSIpK4KyW9faE6yMDUim78pIxPOa8mMqABjMOFc9MK
Nzknji0WM2LE7B57G1bC8RW/aA2PR7LCKAfCtmGd74hXbqKZeglAChgmIvlrdpDeM+Oalem9kKgv
WjPBhuyjVwkD/TqKTHxVENdWRdG88fkcpsVoreWbDGIVr2279s6aR8ieiY+oulpQeeOYXP1BD2/c
CGT5RJngJeu5QmcbylLdupSEBLVjr8cY8/Cqzv2IW3kpqJh6AZDentj6INMGFnZUT0I/zYR5sxls
0HxJEcKtSXFTgCbgmBd+Gaqwtos+Qbyq/+wImn0vz691ZxbZr5ANjCbNbAScp2bmsMeYOpz2ip2f
vIYSgzsctT1wsBtqywWrl08V4xspR5I9ZjAx3HVugWWXft+G7rYqiS7siGjfiBwSAaCTxep/tuQ8
Er/rICsrBqkPIiL9LnTqVv0XEHjr73h7fCh+AD5TOiif7N5gzf/dh5JmdUAYJI4Osg3ie27n7dMg
ag5PJseJcTOSefBIa1J5iL+tQ4OucQAsvYxB+IHx0XrAq2CDIzby3IPA6DjDU8lmnHabAR0DZ3lC
e4eW/Zhu+2Kg4doJygTbcjzWFwk27aOcbHSlTva4Q6JQi63i27f+CfH/b9nW/t88aQ//n1UrCpNv
9P9uTDtU5e9OfzX/sVrxrz/yT1ua4ct/CBRw/EcsPJbvn0aH4U/T/q//QVT8HxLDremKf14eFhal
/21ME94/bHxbNp4126ZCQPx7uaKw/kENKmYy1qrw7h3+g/+NcsW/ih3+3SblAP0RnueyBl9+Pvxi
/2LPohOjozPZdXc0kpP6mxTO7NI5t2Z6l8aC6YEG3oVgFSjQISH6FqJDneaosI79iAGaSNuG9hrc
yyJ5+g+f4//Bw2X93TnGjyYdDuKe49uQrjxqUv9+5ySsnizgQNGeaS78gCZKkZRRZBEkOEmpoRoa
NgQectIRYLeZX9QYIMy6ThIfmZmn55k5a1vLrnkhAkhotqmwePF+qZaHyPwI+0BchmUZTpXh3FIK
iCDer+eqsMi5AGnYdHCH/1h/+bp5AmHjDrMQNcW29fE//1XF3/2Bf/2qrouJV/INCMv2/8WsRniS
pFeEEzs2DfdlLLt22IWURq9x0XgHNOnkOeGofPSNzNhro0s+CkcxCDE8+DT7lF5yNVorfUjASsGg
DfzfqBvsEOjp+i9+0uUn+dv1IomiCMHV+dffJBfmf7TVxX5t9SZiwx4mIEepwiteqdrY6pjLwsEe
8dDrycchR7Bq1r39QC+kf0zpuNpkZOyXOIU1HhmXkjM+xOG/qLv4qwn4bz+djcvQ9APTM2lHNv/V
9OcCn8fokjo7pZr2uULlZqjDKDWIvDgUSdb/MEHH2Hkdnhrsn7RsDuLyn39C/r888fky4XMElm1K
Itce3dD/ckuhLFOxggaJKOkawGTGKJK41ny1xbH3HqWY9yaZkxpFl91QGmivfZMDsRe9zmw5Npku
xTlj2uW0M5gXg6WWWcP2BU9crZqor56GplTsTozp4JLv2wHqtpAOgNOMtkjWKv1kO0o2nxXQj8pZ
XOGqzAiiUIFYeP0+J39BLHR4iZGqrvVQLGhJi6HOFV3yEsuBaBLGpx6+R+V9pU4kSD5kFu3yBlbF
tdv3JT1TXfxamHW+N7V5SQg2kqPu7YXuQ6cQMaOopw0iIH0bTa25TvGlv3Vhgkk8DVvJj+HYi0am
gl3Q0+gsUkShjAUn2BRQUYb9a3CL/JMmPfKRNRJFI1oX5xPssZUmis+9XFNbPOT4O1cKffaPQbX3
uiZOBg+Rz3doYct5KkXIAV6c/IBSPsGUcIfDPBb1Z+Bq+2YU+XSOlD/tW6tj1Upx+zF2xupg2HXz
FfrNmuoUmkZY/e/qqS9ObEuqVUokemEE6WPRVLexzMCej7VzwQeU7is3d5+EkxYb1Rtqixct3seT
KC+eTZ9l0ObZ1vLBoQlDPUuHdoNCw/TFdrXzvXDYm7is3rHcq21RucEDgQvN3rZPAGE2QfDZDuGH
7w+PM7y4et13jnwBDhutfb9/SYZR5RCip+AlHQz/O8pVGp9HI3BvUuIRDBohVp5VRtue+jYoihmf
/UQ84hZZ5HKRka3i2Z1Uv5mo+d47FBjsWZs8T1R17TKvDrHNM7M4LvML0k33EsccUyLKBDpiFD0V
ckVlEHDiSxytKoafM4pjSN6dYBUAn8As6UQf/A8QjqQsq+EDZp7xx4ibYV2MTfzoyOqT2ZKeuGoJ
MGSQsN3UDdmsBr8MtN6ayNeROLx+CKf2pyDtAJBOOWufiO4a1W2N77Hfsht3tpzA6y0SV7NJuJAK
jC3nfjbucZ3e89BpHpGXN7Z2u2NOry2jqwp3dhe2v7PceXRAuO0HIFsFeN8doAb/jzF7v8h708FK
VGAlQt/ZpUmRrbuAXhfTQhywKgJiYRyKBSlnncc+jL8lC6wbzxoKRo2OSvphBjCC69rdCToSD/RJ
sZipZi02sR1NRz1oZ2uo4A+vapJk7PvWXJPDg4K8wQk+aV+mnMEcm5n9WGOdLadZbAMilBulHdbR
iZjkxal1xjqnTMwtb43xs8AH91MWtX1M+9h9Z9Vhfyq23cCq7eQSYoZYlKmsGMiVBvHBaeanygrm
2yj8Yp870n3w6/LXpKa3qMGDyvPOuTRKoDx6DoRfaj9/wD9onuM4PM3hYjMqivCejd58IeYp11Xg
HsTcL+0NLApWWljpIQtSINpOuixGVBV33xn36CeFWAYkutwqwHpRbhig1O9o/qACakqPUzVAOOUo
sG+1DEJCg+x6ujKVx7QYuN1yRA20um/TmYcb4rXeOjQz4y4LcwDnkZulj0HTkBl3rXeaHi6aFcEx
bniM+ZyxmMO9+hS7Rb/FKpmdpwap0Z8j9y2hqI911jCW5yr07Z1vJx8N4aEMqifhEWoa7CjKD3O/
hEOLgYWyV2Oi9ofgZShJJvHcFU+N1VbslhrMUG7MCGWOYRCs8LGojUOxXRR3eEm95K2yXZFshNE3
CqJwN9+x8iy5UfAKdLQKDdu+pnvIa4EtUMm0MRO/XHNNLBYeixWBES3t6W1+Z3VbbGqPisBC1On7
kIrk1cywbqtoHq4AnX7C7scC5LCisUPDeRnTPN+UUWAdAWl/B2793EHnWYkAPs1fExU+n3IXF0V9
jaa0PGal66HmKO9a40xalboPH1K3uBdz+yNdiIJS4Aynm/Ik5Sjo9OjGYw5V0ASdfXL1cEndBs+h
IxHO5U0tra1GUzl0DWl99FTRbUa7FocMJAGJufnEue9edhQYJj7WK9LhLe2txHLv/bJ+yNwJzNQI
tdbkBLgL0/An0q63AdfP6652ASVPUbTuevXGObn6EnWtXhMrpQnUZnkayJ7G5M529okHOmbO7fRc
Yv5mRRTLg8tSghvUtraE1OOjjcZ9t1t6peJ5OZvn8FetpTog97X90MHczpcOG3jd0G4ORtln54qJ
D45u+ZzGhfd7pDtSt8lrl4qRZUvI0qlXWw3h4hvGaXctbbe4piGRDX8E+e214QC5eUycP2WT5N9e
1A23uq+jDZbRlCLNaVzQeebjmAbU+GSGUVQbC+kV+QaXtMdqLgQ6mkYtjy8hfQsqRzT2/qWPcDdh
p4DhftZ4VowtrU8EKOt+Mu1tFvaIMC3UDBPgYTPm8nlKPI3wl4R5Ge7nmjA28eTSYoXHsnWVOyLI
99BLil8lL6f8WuMB8ShQQl5bC58u0d8FIpwC+Fsv5gcuoOpQBqQu92os2uxZlV5xEWHe8XwK6Gbo
Xadtb62H2+cQEQWfVqA9zOhoYoN2d9Yg9XDvyom2LXpo+N0Qa+V5DoS4AkeIvjs9BZSKxvFAZpX5
6sZlDq3R14oFER0QTtBQ2VxgWCV0QLiR6FoocShGaX/xfNdCOrem5s3G2/jawW/a232fw0XyeehO
MItp8gy+yALIg/YgppUp2P5V3M9Qj9pIxSR6nA7Oam8CUfQyF9wDQcdtNyMb42eMIPWjSY77UBRL
C4PZj6xgKTuutvHUEISYKw+vWNu26auHfRP2uN3ROdy50WMXJ9mun4aCduDAPM+dKa/SleKSD1X4
4SXUom5bnBJqg7WumrZYPXg2BTptrtGo6O0KWxWejMJEYLW82kQCbLA4lu7wLKlOPVldh2RjmQS/
WWjjpbO76SefAHNaV+Lik33qPlV1FZ7ipGc2m4uB6WkUGJDKHpa1lZy62UAR0mGSPFpWKN+gBctP
Zm0Jxb+ffxrSm1kIkixmgK28P7JsgaN5CfliIODPOqSrsqvKH8jzEIeC5C3hc0PwQ5S20ltmOG8N
fVuwEcHBMYpSM+VY49bKmid4FvJSlVN7mVmhwKCoB6zg0G3IsNflE/3LSXpIrdlXHGJFVR5U2Idr
pBj6y428R591wsRZt5WTnoq4BQhge11fXGj0Wizo9BocoKoK40qBXmPdkznAUDMnOvs9BHZH6Xfk
/taRAdnL77tNCVPzSHAof4/RKiu3AVc6e8k6cbCXGxW6eJJH9QnVl+c7+YYHg2YEVo/ao8FTDTPe
kwm0mtBjv8ej4BC0VnaMIDdPeOKQq76GYWgwujTTe2zn7tH2amDHmZ5+52n6MWZ9g+lotoD1VIp0
JGGATzeBt2TPmv5Xc26tL1qViuNkwbRugc4fqGZ7jWrtvMpGz7uhi65NOap3VD3WZYBs4TGqrvpi
IeuGnKNzk644Hmu4xWOU40TTg7AqWVwC7LTy9HehikesyemN+7e4qtFK0zVFIVO0UugaG0MUuAjn
yGG2cf1vbELuphgWVA645iwzT+ZospwL9CivmNH0Nkade6jZ8m35JBw4gogVhKgW7wPxW1/9TtwA
nmhhb+AZQ26XlUHFHVT+zwDO04Z1wl1SXM3Gix3TBntc+JZhd07XBrvPvWNz03hjVzxMlTqUNC9A
ZOOVGns1Nso0D2GW9airSVBc/FozfeLtqYnxg6GCZWIr4w+EjPEhazBK1ilPubBsv5NRjCT0PXgn
h861W2+jwTDiXinb6tDaTYSXNx8CsSYHWO8j0c7NUSHuXfnMv0uC+cjck3OQVUOUWBpbbUDW92kL
GhoZHyn5be8kGu5DC1cxy/y3qK7x6DQ1w6TUX1GD79pIub+I/4YvbHnuWZqJ60i/5yvlEtirbSeb
3qOEu5I0ILH8rg6KnZvn40+eKECsGsy808BS2Bj4/+WCPoxlWxy4/0beme1Gbqxb+lX6BVhgBIcg
b3NOpcbKlEqlG6JGzvPMp++Psn1aStWW4AbOxek2YOxtGC4yyWAM/7/Wtzij1q0TEKg0NCsvYP8F
+sWhcGTGEYPfsNh4aayvM1E5YbeDlFFFD0kfkP5YsuVk891d5jnabLZ08cGsiOopsdud0EkB6Wwu
KwHWfaT3tZBJOiLlseeufJVn9wUu6VUwKMjkgEsRnCamZhxpHYVfeszOKbG3Op50+jjVATkZk3zJ
bO6OwroeIhj3fjIY61oa/ldWnGDlRp3cIplrNjn4thVQAfVNb6uHIrHVtR170fc0TusDoYU9ZPg4
YMta7wFkHE3g1F+9oCutrZ5E/t6tjOgH0Kf6C9hNkg7hlj2wsUW17rbgWdOuJ0Girm6mEQCvboQs
uNxZHOwLqPfmus5w+JVTLn/ovd8RCzqiVksrW3VLncVgbyZKXNqGLldI6fNDGMno13Pp4l8VcU//
H3qPZ+/of67wbttfVVb/Gl9WeOf/4u8Cr/yES5gNDiVeB6aeUthw/y7wyk+Yh4Fq6ToFM4q583/1
j/PY/aTYB5ugBQQ1+9le/I/z2HQ/UcLSqV6hxjIEVeF/U9+d63EvKmJcQFFHVhQVYUrbYrZFv6zX
SSUa1h1/XkkC94AXH5BB2UZz/EpwaI3UWDWhpZZMjA0i7rq+qCzCOXMrVB/V5s5qnM93gg/5uSI2
k/J5GC/vpPEAtzoyGxYg5XISOMInj+i/S7ecxO+w1fgaHBk8OehUb0y8Bc2iNZS1raze/9rUs9SK
UpKFBK42d03X0eBBih9yDhunD7KQ/3CjjkW5GSOAQ+ldnWUwd3ZteL3BIys7zKNapBnbqrxQEFH6
lHS0FPrg4cWA+kOpW5xVVedng9Fc16VhKL5gMVu5X5iVofo5nSdppWIqbdNp7rbnwVETYBV0m96s
b4+smF77GMY2wSwSgaOBOhQpPbhr06Fqj9gu3OIErP5KSv5Xc8L/o40dyYv9z5/9xbf0W/jj28uv
no/ovz57ZcMHMFHIzMHKfFsv+jrK+WTYigKwS+nAFmp+m//0dZxPFmV+XrahCB3n6/6vz56WDxUU
ExCBbdGMITX6X333xowUePHhk3CN791mQkIDyEwyd5BeDinZxE2LVjkC7qLDk4K6E35z0LHVxB2Y
VF9xIBczMMQVn3Ohx2ji66zE6xVr3YhiZiQjAjXkQLE2rZGc6ZhaBqDOk3c1d6wvG90y0lXqsulb
D4aDcsDGC64AZQEza7vxHrYQaQgocFsJD72LvxQNu/41IqKLwAvSz2MSGaQVNsoeKTc7SbQkoQW/
KfRfgFqJB6OK5VGFPq49qqPUqCzjAQM121BqWMZl4sn8sUwKlzKLZ3ODSA1vHMzAHRs8BFhbzYb0
skUvLm5rlKHuLqAQ+mDjdcK36zZEYyGEoDOaYmZgN16PqkN94FznWJKHFeSZ4ZcvXGyGIXL2exE5
+g67dpIu9UnEe/6RMEuZYUHz41J+V36IZoqJPvzWSqoci1LGbA4t35IQQefYgLXguPYwElz3Ja7D
NNz1U+x+V2FZHsy+B5wcEuRUQN6F6Llo5sisVTvhAhWW15LEl8+pJ8xZ/T6LRuFxHgx4ObUB0pfj
r0bMZ+CaZGZKvSZHXHjeCBFd5P7SdoX25A5RJxYe/aE59KVz6BhX6ltO7DVMVS1sHmVqBD88j/FJ
iaXwbmSfC6qaI5oMqh1u8yRKOBmLySYomw2taU6XXR9Hj5pju5wAOrbUoYhJugvyxhpAwFHWwxyM
yEZD8W1y7nGNX12JrAaG2exo7cIq2tS1FT52HBOTNZJOoMJkSdqLwZN9tjGbGWVQaS4qBUqqFcWd
tjPvmJ2HdBs0Adab0ewpqyJf5Rz94lv/w4x8NiHz9QCF5W+LL9W0TPds2YS2BLMonZ4zILI1Xmtk
khLJfePCpX7/UvPc/upD5fOkTyTMuZ1rq/N2UdJyEKzEnPtslbeaQkiRqF4DP0p2cE0w2aopw+6y
4P/eikjvr56v/t8xv3e/qlmO/r+uvhX1/9q02c9vc4Tf/wC2zPMS/p9n+odvWfutaV/N9POi/9cG
Tyj9E7OoRKk3N+JfTPTCtj8h00GuTNsDvso8mf89z2vC+IRNW9FPd4m4QPLCn/c3WUaT/IEWawle
C/r3dDDkv5rpX48fh2EqIEwYAGyA3iAaOds7RP1c70md6thZg/3F8UxiIrTZjzwG2a5xaGwHaP8v
awKs92HVRocKc9c3lRLVSbBXvtZIuLqyIjXd+KaL7Mg3phudaXpbOyaZHtHUfH9/wL9WxPx1w/Pa
h82Hv9DUv16Z/EkPCyuI66M3etOKiKVp3VElYltTuxtBStzq/evJ10vh3xfk0bhUMUz+h3fxcimk
+9g6ExLcIxhD/cEs3RssCSNxHODh28H5EidmftFk2E9cFcJRa1E7ZWaH4rtRDnbN7irmWId1mpnI
Vi5pfb1fr6smKTFgYtfK3UhtmIzUNoL9szcCkvne/wnzdPN/5oj5F3AcYJ8hXMl0JJ/3jy/2hwD9
bORWaXOMLGAdxNX2dFIx5boGxqcxUUc9qrBU1e3x/es+7xLOLixNC0EL1CvOCu7Zu9JYNoj6oBGY
e2N7MWoy3BLoGB7StmkvXPLIF73S2n3ue/0Okq+GDtWpyYgGdPLv74TrSxr7UkcTIs5eYsLZq/CS
sj0iT6l3kMKNSyeghhC2ZbMb0S7ftk4pNk2t00WwIqzvdYyJjx7TR3fyh5fhsOOzFMGJhnTOd1aF
OSBuy4rpGM9ZEqNHK9/t2/6+ZARt1ZgMp2qgFExikkORPyuu+ZridYrkD+Nu6e1bvXPu+rhPvkha
C1cJDvcHdiXJte67xvaDx/b2YzOYnhg1Eo4Vx9SzF2iQI5UkTSyPTtmHVyooix9gzWHEZFj8aPZP
NE8qe9sSenKMCru6sDvYlXDvMrFBlTDgfLFhKnpjuM3IPL7RQoDi79/j67V2HtwGiy3v1cT6SIPz
7GCooaQ3fdp5R+yZxpYO3cguhhAhzol/y9TAmfm/8j8s62dyp7+uxXfEjMxcibxqvpcXH1LiRoEL
kFceuxKQDqW0OR4MVmIfrhqyg+Qyooly6rKGgqvwdf2ztPpBbcJ2pGNEx2KGn4tQ1hh6RDts4JBY
9kGjhzWTV4yf7z+YtzP7fIcWqwsiLcQzZ0O+tojgagJhHOFVw8mY05MCsyu2ejOWS3os8lBiJNuH
UE1XqemJD97LXIN4PeuAebE4jcKwMqhR2PO/f/GwWjMpWgw27tEQnfU1Ge3Bu+hSn/1lTont2Hj+
yBE0G2AYsezAVijBXNEBjZAsLnCrWE+pm4zEFxXC3eN+4Aw/aIN3b1DK+uHqGNHVUFuHOBWI7W2w
QBjtbQf6hoPS/gcFZcrqbeA7/rpOnfaKy2PdHd2e+lvl21Cq3Lac4XxTPAdjD+QsrdhpA7ao8yxF
BOsN5gn5hwVuzLdKOKNJG/8sc+H+VNKH9OAB+AO478T1SeFXAUPuiulXDKNhDsq0ZTmDPNnu+mxF
9e34nIJqFUXSbdymcOW66VMSiztHNEunmwr6sTJNw+WU0N1Ziy6ZZvcghJ7V2AqgBP5URQedvV1B
swBv5CKlbhRfRXlEXmlLCyteYcdJrVVWF6fIrnBMuK0fr0zEu2IzVrRTtl1TRcRVxlOk7Qurj/a9
3lT5ppRpcFPUFLKXvexBMeEbTD4iuZ2pq/h4XCFnkh6iw+dJ5exI6Wdm3UdRq44IV921NlGyTVs7
3KB1MZ9yfCa3esVvnnLLOkppBD9JvDQ/GJRv5jMosDqbZcPC1s/McfZNiDwP8GI06qilZLXKCccE
+UYGZs0s36VK9qv3v8E3kxPXY9PHmQT1Lofzs8kJDdE0NjJwjpoW9jtMkvHKyn2YAi6i9vcv9Yef
BqnPYKJWM7fOOrsUcyyEY0JLjlVOQiw0A1KaNME+Bek7Bj432bx/vT/8NJYxNo7si9g2GvP9vPi8
MZK1kJSJU4sny8fFZSIg0ONfmZ7If//S2O1S2uJRoot7Vnq+uBKZv8L0aDoe+0IQcIYxikxHzdt1
LAirvvKGj+pp86r2atvCrntGH0qdDZ/NHv31T0uLmIO4m2lHcFb5Lq4rY43AOj4Kh680s1nRQuwt
i3JAJlJy3t65Me3p9x/vvP1/cxMm5V9LuhR/35APPVd0BLFoFt3zuXxZasjE93FZ6hhHQs/xVtaQ
gtlCdTrVC47ARCI1DELYuZky7ifC4+HwFWiWPrqx1zXh5+/YodZEkZOF0JLnlVgEYU4clZ57BBSH
ucP19oUH5k1QUD1CtVGHvAsV0giPNpmGv5JOcn/d2YH9wQB8uzFnP+faPB6O2waFsrMFhtmPINrQ
iU94aDXCw+rwkdQr86YMjOZny8MgTIQMXjpDUTJ8A8Qqqb60oS9WlM808ejWbvwAgw0Hg2H5D0iJ
iB0eleaJq7gu9HtD8gNXYaAUXSdd9wiKGlMec5GYBnGLRUGN6f2X/vYbZowbOjJeVKBKumffFGqB
ZigwIx+1gCzBwgZsMRsOyD3N2s0ARPmDR/in6/HcGOeowWmin+1nWqCIejrZ3tGVFdlghP+Fcfx5
CtObqnHaDwbOH97XrGxlNmTc0Es4J4pK0deoBR3tmDlmcgQiGN5Ij9hgjC8FluvR3weoNRY0NxC2
Vk2/MvCY7IxW/qiZma/8BnZNOHpoUKWV7NzIdubodcCKKXlfSCjG2tmrCpdrUpTTATdb+WiQNPrB
z/jTM2O4Me5pjCi2nGeTA1sHsrJCn20eir7Q9p66aPpZd/J7Yurr98fD2zmWJ2agX6dWTCFAN15f
K8LjWfa1pR2NHk0fQvmnoMeEoyzj6/sXentSY4J1qRszFAh/lc7Z6tG3dZOOluuf8qBsniCZTt9g
xKEfyiE9QLoprQiYWOShHcuJZpoWPprap16k7oS6RmuK6w9u6O0czA3Z/Gr+ljzqs4/bzEijSovM
PyV2pXYKksBtM5K7gtUu2ukRERRNiWq/NaFNwOtwbjiWFB+Isc03UzClYOFScZ/3LpzWXj9+us2R
A1kvOLl+0u8LCmtrC9r9B8vbH65i2TQBwfJTvceX8foqWV3Vdkzu7WkCjEZ6OrDTsI3/L4atxcmF
gxwnOSbNs6GUwud2JQDrU1NTu860+miNxr4hLGIl2vHX+29Pvn17nD1ZQql6CVdJa/7NL5ZsAiIk
KdpFdGLFRh2oZ/5lP0CZWRJ1U4ltFTTWtZl0Uq28xEuju0lKQDZVIcbbvuwrfU3NeLxPZOHewnnL
v8usMPckQpaq3BopRVw2yxnprFajqt379/66fzcvb1Qs5nKchPtsO+cWBRuTL9FFfXSq9foisjFW
laq+zxPzoFvJDynQVb5/wbcf+XxB12WcmbR0z5cxKwriKQDdcuqdgbbkgGEaZYGOpLxzP5i7/nQp
ao74D3UGAsf6168lyUhrMloRn/pidOd4T5vEFCRbo0j+XQn8r8doA1ZmCNi2zczy+lKVjGzLqlmc
2f9Gq6nM/S38LG0fSNF98ADV2x2JaXENKoKAJN5afVB+R7EBpPAUm2V754AkeyR0Vn0HOSy+kmVu
/DS6VgNjGuT0VNJYPQZIYUBmgZqgMt+G2n2X89jjqILW1ld+DlVgMuOlr0Wo3wt4wESVjRZAL7zh
zaVXkAhI8qJJiB8i9fo2g0lPaDLhJgURW0311dYK+3sFcB9ShjF02bKrmsnHM+1Y0ON10QPCLNU+
CsY0ufTtbrjUaz+JETTZPSe7sbINEEgTBvwhChC5T3DJlqFLbuCBoGlHLVk8nbuqn2O1aYBkzaaK
dARUpl2UX7XULIhe8YLgSS8GWnYJ/mGyeJXMuwU0qv63gBfOskUgM9o1dGgAZBGOa20BOzEdx/y6
0gq0O3A4XLb2ftdV4MViWDph5NaXRtnMDaNmGKDGwDyCxYQQSY3jIWkK/en9r+OsE/k8kPBzCGqv
jmDfoJ8VqKWRwBXDmX1K/TQI0bWIpEev30W4/0l/9VZCnyKyYUaHIPBqcOLvILlH7BxJVd3lXdUz
Yxil+jKxZ8eUlTX6BhcFib+oW+u9w65on41+QWxMZy11MwthliJ6W9qt0Vx3ZU/4beMY3R2mLvdH
3Q+UcmXa97iYTRX/QloXAkYi5gybUNAILGV9E0EvaehHvf8k5B9mJo6TPAv8bJQwz+1JEY5UeJVZ
dTJj6f6w8IxMi6puyRXHxA99Ik+huJCQ3vrJYtSLQt/aWt80C4Miv7s0Ac9t0tQhuSJxQWmgJc+9
HwDjDGeVV3hhCf7VvzbodaOlU5rZFT+pAH1YsIdHThjCgsG5Tw0bNJHAaZ0Syd3wAhZlTcT8/v3f
+vanWog6ycm2JdwC8/xwiVCQjDka0Ccd0fNGuKSiBQKSp2YUa2wq6qDIhv9gGnk7OVIax1Ip2Zpy
dXVW65QW4E+3q/OToGq9KovK28jUVCDEiEV7/+e9XfI51c1VRANZDdc7G9NVJ3QjF1F5olkcrG0B
rcQdhumDATNvkV4fY7nKXK4U80PkOq+nYArIVgOFsDwNKGJWte7cBK1Wrn2viwAmj5+zkkOG1cXD
+v1f94ejK30pY1YNGXOd+9x6SWxoEaZK1aeabcc3XU36lcLEfDUqk1GKwvcWBiw9WyY/bP6xc02t
1P1FFLTahRglP1jQ/3g7swWU8+rzMz97Dk3XsHvE13MaCjHA/k5PsqrShWe1/fexCBjjujPeObnI
NpWljO0wjd1dCp0SBFOYfbCx/cOrt2gkSZp6FicZ82y3Z0dmlZmDXp96kFGzeoBksqxzPxjLf5gr
4NDhyxUMZDyG52et0ncAaIVdfwrDSFzpfjf+aLBQrhuCUZt1lNsjulQgXGs9N+uLlHsd1wKLf7iE
kYboGzYEC5Gtxzn1VA0U3b4k8jVdBF44/WiTum7hWWlGv7T9MrBXEwAycBtIdVdQGka4gEFXgEdI
K+uHFzbEfTYaYVXTWEX5B3ua5/3Ry2FOEYKhxsM0gCc4dNxfD/MWkIPph+NwcumwbWVHug4Zw0a5
L4Np01DH2WZEzgBpVvdoyKP7NJPFNpe6BRY7HjfAtMgDBV17AUOp2+RBLS5638Nx2uvDBweK5zbT
+b1SyBKUy2jbwxd4fa+oSO2wKazh5OtqfEhKwBtj8gx7jhNssHWkrUCX7CYSg5aCsfJZmwZtjzw5
vyiV794AFm6+RvgmNu9/sudz3/wM52+DT1Yas6f19X0VZN8ihc1GqPEYNQokA4dWdvDJWmjr//5S
jEfHFagb2YeevS5f6+EKNHI8IbF3l4VugdMwvHTbGgQKvn+p81Vk/lX0PQxyXZkCGcOvf5Xe6Jpn
pfaIajUMiEIM6tPYew4k+7JDhxQ7V8JmU/P+RecP+PwVOwaNRqz5QDrOq5VipmijuuWiJY4JX6Kz
q8xBW4OoHFc6OMAPrvdmeuNXMuoVp3ZJm9c4P6WaQiZN3ZKBlJLuvDHYnAwIh8LgEsYmAcmEcSEw
ngvrg0U9pBP3XQWXHLuNe9VnfvXBEP/DM+fVUuGnrDTL185GeFu44Nsp454oV8bLLmyHzzk1h0Xf
p2JTVrgtrKEfP3oG50vd/Axck1eNIIC/zr8rDFRGLAtnOlkeiunJtYDMmcQN5oPfbGtA/Guj0nKY
wlmyIY5EP2FHtVbUkopD2zdXGu2Og1WZ+h3BBs1e0wv0SVOfw2bXrA+m5j98ajTG6EKgt7Cot5yt
/VNMHyQGOXCqgjB9iAinn3dX7qbCu/fBp/aHp8Iug72zwdCgpi1fj/9cDEzAZiJOpmqnPV2KcZ+M
vtzgP4ZUPCJXxy48rAcvbj7Yv81v+fVHwOcmSc4B60Tr7/xHIiXRqT2708nGE3bRVBKyYqR9e/9L
e/vzbPxvbIXZ49Clfm44vSwyDEnKETfRTxmxNauOf/yS6Wa6cM083hjIDi+qkuDk1G+6D3Y4xvyS
zn7f81l93i3CmXDOJjE49KWXhoY8FZOJxMrRzM+EBSJCDtxWws4xw7haTdOkf8tqn51zk7dDv2pc
LI9LT08VQRmUFpeF0xkuH2ZQ3AMbsnYDrf9qmfsTf5IZudcGoQogifHr/h6klUJp0pzp6EB0OPa5
9tUC1XzrVCgXNgwD9IImhubf5mTlBxctyXTRkAQ7bDwyg59aXyMHIETbsDRpMT40KKUHkg+L4SZx
kXMvDCQr5Qdj/blY8uo5OdAUdPQnTPS0icyzrZeTdHMnzo7vo1ovD3Em9XYVWflwqUZ0a+vATUBo
YTMH0ZtB+L7DWoL5Bb4ifnwDUWW7HKaUUBkTr4yG/UzLmiVOs2+QAmes9yAdLE0JZIAhy7JVlHUD
xjAc/flBg88Rr8eB1JIF5lNY+MpV/saVjXUxEsZMtDacK0J4aLPs6KQ43bWZldHX94foGYWEL9yh
PWZQKUZtThXRmleLF2M010AK9kZT3iuDCI4Cf+oOhz867QjHpM8MlJNZkQZtec2xJtr5Pb7lRdna
+QgsV9NKXN+mCACcBaQPG1PS7XxyiNZJB4R9ATpDEIlDo+PKKR1azQptfLFycNt8N+lLNWuyHKJN
N1E7WXqZqm7iHkztijwvs9kIXZgfHNbffBZ8ipIWL1oMFj6+/9e/lv5F0cW+k993XQmhl9XFgEjl
BxceCbBbRkm+Ti2HuBE/MDGjpXH5wbzzpo5NIBt2CuzHVFJQWBtnSz4RLMBcnbC7d8l23MWEjaxx
Pce7Rm+sFXaxdk+CVb3NHclinBj5ss/t6C5Q6bh9/82LeQp4NfSR0/7VoEKCMcuvXj+LDkKUkWX5
cD/iS/uqRO+gmGsCK15itYrg1BUW/aNBFvJx0icORr6KIfMqKaF2jkkDnqsD0R+PyV8v6b9Ds/k/
DbY0H3P+s1LzMFb+OJ2nANJv+0es6SCt5FzOtmVWF6IqYln7y4xju5/YrFMZBp40b7ZeiPJNogNp
0Dw7eP75V/+kALqfBDLO+SQsiM7UmR7/hRnH4C5ejSladPBg2DcZXI+tOsfH12Nq1LK4KODu7WqA
v8NChYgfcVVrW7g4cmcUNfseGz/b9dBMAEWNqt8rFVqc90pt1yMmO/RVl/xMClKaE/qlt8KLj3ZA
5vSyMCkNkBEs9k2CRRoTddtckYhc/S6HSczBOYKWM7HAv3AzUwO3OvDPbZuapzgbVbEEw9FRPBzK
apsOxkOJq4SM3MILbwF6wuFHqh0R4u5l5qNvut4PUbqQwTuaBIjnzRg4SKd5N1kqBBE8FqbMTqfo
mPs7XdTOhiMSnqNgxOLSWPJLEUbmLxGG/rYmZAU2QJrv5eAO+3JQVbK0iZ5d46e279IAcYcbymld
pQpnXdjVeyvUnUfH7n8TQ13BBeiSYjfLy5oVwFMdbnGrBydLZcmFnhskkUNP/FGn0PErhY/TGIKb
MZjU0jVHGYKYy3YmUOSQgjesxGJaMQCDFV6+cIO7e2GSJ7RpVXSpGwjTWA/X7PpwHgKIaLQfdZne
OM6gLUoL97qWuNoKdLK9cIoUS0TvP0GTsK7DCWP6zq/sX1TzCJOKxOfRK54oSz8WjaeWGvKdhU2y
nh1IGnNtKBYyo2c9ODau6RLLqjUMi0lV33si14LWXpDEUi6KCHJdGKI1nCDNb8l9v7IKnLLWlENY
TQ8VAQhHsPnjg9m0+9iFGyJnDM60w5rPU+zXpj7uEjsWS90JYWD45gWIvp89GOouwkIftwDl4eWI
KMKbHm/rxNEuS5j5S22ExRDkE5on51c+kixtVHetrHG1OtY3zhBLUZoOLEgXcniamkvD8NxFm87Z
WITNK/0hsJ47MxrDEIa0s/N0Y20DUVlGUD32ps2WByyebHd6ADC7J8cDR6fCC472Sf4oOAHDnPSI
9k5tkmG7O3y12jLuERDKut27LogMU9YLs21oeCYVWP0RQj0xjQwIMx2DLQdL51TrSbgmZlgtENh+
nmSQbkTd8cDKPvqRBLq9sPqCHOUy0g5uJduNZmFeX8AKMg691X4ObWoV+mg4a8NxO4rxTUF8Qhp0
68ywrvrKPGK8GR+R1w3boR/2FDMW1pgTd2fZ5R7DeXPtSD6xqU69h9Y30i+N9dkKRm+rqibaAvVw
jwjJ2gVJjmpcpU5Y3cLvi9YEeoGHN+ma4H9woABpXXU/4YOJ4CquTD3LlsS+J5sGzzYxZUL8Vl7n
7yPdW7a6ane5U/s3BPcOq5wwp6Vowpp8szi6K/SyuJCkbkFNdo1vmoqylVYMh0GKS9kSbxDX6Wdo
73hVlTvuvbq0MQ56/oaUtl2SMYWoobqy8gT6cdTo9xkBAosoBalk+dEiSqxlEpNyRtNxJQ2os617
Xeljs7M6taMPsSpd/zoegXyWUZavHThFiyG5SbL0d60F5CH7JbEDjCqrIxnO1/v7aCTPqShXTDnj
njsdrno3/xJCV4LwGN0kUfnVN/g5sJYu6j48ipYH6XeSEMxumWTDBUGNhGRmOLEvJ+XdDX10nYzD
BUlXa3Y+D2PC9hXLsnc9Qu0Io+ApHHyS0gMHk3lSPIRRB5oquWjs7JcW0GZHb2+TiIOufZeM5Tbk
6L50u5i71r/adukDVw+jzwZRjl0v+NxVo2Eih+qqa1e0UsVl52byoFU5ccYmoc1xvvWm1gDpPtVL
vlZGPFH0nZ9eNVOxzsklGSXGIWUHKXF2hPo4scLgn5DJ5mS7NIEk0kAu1Tml7HT9pDV1uBOtPjEb
hBdGNT0WOjWUrImJG0nB0ANsetTD9gtM4u2okgJIhEOHwqWYlOjEVZtxeIAKi2ygrb/GZf2VbPty
WTO3rBLLv8bk2S/ggsJQCc161/f+Z4OW1K41q/IGK+ohj2PAFFW29IFnnoqw/pJGcXGprOpu0B+1
fJ4QvXZbN3REqOteDLraAk1aY269op23pBDAMuPaN1EHASqOJUcti504FyFmA2+r2bXNRVryCbnx
k0z6kG+OsIeCBJ/YK5qnUaYJrknxGwqb8TRowl7oubW3S7Z2et09usLLllFsPZFYuXY04LdNm+mP
BSkUZq3dDOSMM4CD4jOwvd4leIUoFXeoH/g6mAhDm2wHOnWrKupJyUKsqgA6bUHNbX3dxUEQAA4y
TDBeGOXTwrsnlOOefX+0r6krrqQV16uoMxS86f4w1ZCPReh/CXrtYA/Z2jMhlXQjTX+vbLuLuC36
TV3AWalJKLhPq8G8NRozvZ1o0jtmBDBY81ArN+OmHyWpk3HzCFEcYTVrnrkNPLXvbHsNQaKZX96V
76kYcFM/Luc8UlJkp4rmWFyDYVNiF8ZBs01qB1ZPBqQ4hAJt6Xi+hA9Ers7V1imKLwmRi5ek1Xw2
ehSs1WgcbFlTwxlzkujLpxZaOZwZ8CjBTGCmdb4J/Oo6UyT9SONmJFtq5ccJMfUekEGFdSy3xO8m
dvYG+UOLoBiDtbI7DiMF8eV2m5AGk4oVmXx3ZZkTGgBDCb1YeY/3cSf8BkJRTd5aXih5pK8sN1SU
wmWAFpimWadfCmbbpR2JpTZk8jOEuezS62nj+/BXVjUVAZBxevFQGuW0JaxpbRMx2Ph9A/FL7SSc
gRxYzJr6K6XQOtoYvbn2cydc221orgp7cm+eLbtpv8kKt7uw57ApHWydq8XTLhfpVmoacHYynaYA
Hm4FlAhKAtuBUvQLjIzjtva97QDvPvZzIlviqV6Zjf6lsNpoJWS5lSCXQPGKzWCzMtHyu8beCXt9
Mhds4a40t+MR+m0J0sgiq73ToH/kTbHuMO6VzNXLevKaXTZpywY1xRKo7F1IYN2iKbKcVRzQRlw5
C4e6W2B6UNxIznT8eN1G7B8U2sGEEIGlUTMbA6xbYOmJIVDoR3InL20rVgtNiGvpg6gSWeleFj7p
636sf6G2lSyyQQFzgri8640xW/vsR658m11Tq65DuHdgwoBGD/5e9cg4+nbEjqNIIM1YstI+ferY
7e9rrbMWKblkSSDXamrNgw8DtFxoinaHDHx9XwReNfeI3FWW1Bg2/RngkVcPfDM7am+rju7vSlR9
9CvSrWYTBqHaWeacjTbSSQlC+R0Wev55Csq7GsXE0oyJAa3ZYQkXBZsGml8ptUAXx4a0h33T1ovJ
IO4utreZH/zOtVbcaSh4mbWzK2xD+ynDJWsCNvSK+nnbk8B4IJVHJ7RtIwan2/TZsNeC9Jc9tc26
DdydnNqntJHOwbO8iopfS/6POwTfejyhm7ZDY5glOdRDWdjdzpa5ThdAn55A8pgLCkVkYPlGcwgb
fbwkSwy0GC2S7eRk4t4lCNbwZL0trUZfTCJU7CAzChyVPjBENL856pVHp9Fws/GG2IqvEDwohhVx
Ip5MK1cLK/T8hQNB5TYUzrCL7GnLBmzfiPKo1HgZkke7NlErHNPQ7NYIaKyfbRTkICqt7FKLXSQQ
voigYPuEeRRwBssEhrs1iok011L+aqIUtT/A9xrGaH4Bc/p37Rg/xJS3KzIPDjWqbM8rn6DQe7d5
QbaalddwuF0j3yXWb6Nn1QhM49Zxxi8EPoEPKsmIsPL8IZ3PJjbUGhpOGQWNdk7cMOX3oE53rj9M
V2wSt4o9tYridumPYQsE1j4QKyjWeKehNSclgCGld1TKr8mdY7pJjV9BNScrNNSlzLDa61QXbzXg
7UFy27lGcKUVabFuVBLdRXFjLmXA+LfGz05onFoe9xU1Ev4unhz9G/Fi8IHan9gnxG3SQvku4/Fh
iurvlRN9rn3jGoJRxlgXw62nygw0i2TxKgCJ2gocbmn25FWMVHJI45DDYRRWf0EYQ3A7OS2WP5hM
a9H4wcHCfLSLFHt7UibKVeWk+nXbU/Hvy98eIpJEZFfYUIqFExSEDVfs1FjP/XYi0rfCZMU1jLWf
BPlVD7nw0fAc+PSB1p04N5qsr6EL5clqf4cEQpw8TNafrS7rfxohOZ3ouPprWegAuSphJ9/9ypOX
AW6PYk2UgrceS4jW7LOKx2AkYyPypPEjtLrqkBgDpKqI7UtXaHdF0sj9BCELsYy78Qlya43it11o
i9ok2yK2eAWATB8CXQu3cedSt+uKr6YAFkW21cry0BLl1YAjOiq8Vee2FhGF0bQHbLOlfDctBEeT
VVqQwp2Rg9aMcbJz6LIRolDs2w6+EV8dHHr9f7N35kqSI1mW/ZemCyXYF6IZA2C7ubmZbxHOQCLc
IxT7plgU+Po+lt1DzBAjMvwwJVWZWZG+GBT67rv3HsCY9uy2kaB/FlaIv6mT0SAcL78Ge6W4DVY6
/j54SO640br8bQUxHQ6W1Xabkaz6hR3PEyjcw1LMctdqFdW6QkAEo4LCDAgiFsEUC68bIqdP5QWG
+wWU0NafTQKBtDh3Yv1J6RpFpY7mdlf6dYKj7c5xO1v2hz/nL44dVAeUNou5bzYOwJV+VyAaKZiU
9XeR9C9OR7aps3hZg63C0RQHggS0phX2U5bfGAwO+biHeBg2xeHRcZvVLUAY1/w1UzQdO6nxkfb+
3kqnJ0bUlURM/6evgq2SnJSD+RgsEQLq1dgo5UUiMJZ4NjxxLuAVnJpGwBWchw6rT2+FdSHjtBmh
PnYreNEKeLLUqaOipczfOuT3y6W9NkO9LflpvrQuAkpluvvRt6ndWqtD7Vb4/rjFzKujjkmqOWGv
6ckHyw9tM1EjL0Ovq4wYBkqxmYbBelaLb4XGJPwjle0Ml/oaXPKRSbNorA7Uw3KTnjV/yzp3ow7u
SqTawHgJaqxiw/yYEVwxLtl2poQ/FhgWNsZcYdAO2hoNl1Ip7CLGdFadiSMKR9NZX3oWp5aYs21R
eendTDo3xlE4b5kmm90cFPXBhzOOGLom0TgZPmVU+Tx+yRTgY2+bO70tfsFAcpJICptn1/BwNyXD
9NL2q38CStsfHH3gkmKVWzNNm1iMTnlaluLDcqbnoe2WsBwX41IZU//See15Ai23GXiG6Y4D0F4p
vfBjzZuDkzN1x2kUeOip2zwUqmkJGjdTCG093+r/UEZmI3tPFiZus2m03ejq07dNdjaN29In8WV9
CvrwOOL5eXMJYHI1UvODzimum51LCxdrJx0mW/2pErELgFTWPgUUTTEePWqVGcgzSM7TqIeUqsGj
ACjwaF0Ux0opKmlJfADLrPz3pVsoYuKiVpZus5+5iUWOxcMdjNqnannTVK352sAUHcyi3o09wgx0
jw19ks3FXHkyqdc4sh3TolrlOSO/xvMErnG7tG72JjnUfExXvFbr8jKK78m1eBmJqY6BFNcHKGci
aj1UEqMw3/SxpZZMmKyTfQeOXOAsB91gfSt5EaSWovmAqjj+WZbhmyEPdgYrH65vdn1ujOaHTMW0
XVJMckY66huPLobdurRnk9eNmdPXU9tUJYxu8NQQBwhpl/gNR7XaUps5xKBC003uFUdNBtaDMVBv
Vie7tLP2JZL6lmjyDy2wW70Qr6Sd0vce4T0yOg2jpUtRF2BI86Yr8VySrH73J5fX/Uz5MipYBWAR
jEijUu27AbK3Y5vy5nnKwMjmWXFDiavI/RN23+26GJB9kxRQg12cKvxrEMvgDBtCvBiTea0adckw
asejNO7cU8lOGI5+al3/vZPolCpjLLbEOcmzqBJ2FmWt/0yx/Y9OqnuuCEE2ydM4yFhJd+tAMW5N
ey8xBwOJbjYYbNiZFXvPnV+Tssc66Lmq2xIfunvANfmGUMDcOpebiRcFjzg1P5IM40wZLQVFIv2V
2ArpcGhVvs3KTPykt3WJZhCQ4A0NsZVU5sVqqLhZ0D+/Kde7IYX2Kynz9EJhX5TyX47dDH8uTbR3
A330T0s7XziM1RGLV7bp25SqWcui5KL4rlQNraQwIiEXJrBp6+azE/dj+T7m0x5Bpv5DFSBfXiK6
sNHApZU1EEB2a0BjxBQqCikfl88szmAZ0/CHD1I5ygPNaBm7ylOvWO1d5qJ++uBbbA6weX6g8fLV
1QKdwXMohJ6bepeQ3tmavZ/+qRewE4gQYaF4gXmTtn38RKIOwWAjTQSFYZ3wJCNUUcOacL6D03ls
TFHmkDbbjJ9RutRXi983CtVyx8OCMEgJ7w6rza6o+2+UmDQ2ysWLaMaeYuz8HSFlONXrXEyfHcfh
htPmlR3/wZX1PffaWzkt7X5dvO5mEsUGPGZ/UIn6rME1ecK3oEGjt5Jdr/Q5Gme7uo9VZt6z+XF8
1tnOpk67acVl5PO7gbJ2H5PUPEGIT28etG+Y43Q358thxnNEwkWjiQ+IT04vFL3ZGpoXwCEsjcd+
GmKHx/pNE6n3m3Y8iUhVovNZiK32GJxdndrqGWIjWm6/b7X297gmYd2MO6MZvS3VyZfMDI5zua7U
Fz4Wve5bbam/HPG0wgdJ90SpTeR7xWZu7f7M9sOLHKNVt9osA3pxki5MZ6/j7dXCwWNB3Md9Hqi9
U4zDXkMLzvBFMmEu83PHXnWS+RApMVdMEjOYUhq+D/N8rIrs6KQOHTgUy2/GQAdCBVMvcjjsNyJB
bCqSc+oTUvXYQDuaXKPJ6D61ru5YCaoDV1ottNkOHPkOp6eE6dmRqNU97S6MQjMF8eUqmFSaezms
w0bNNUC4oJvftKQdT0GzHsVEE2DjV+KJiyJxoKZ4S8kKAlEzpygIlPcqez42MBDORTH0W7n6+2wK
Pte5FM+m5eySznnqAiAO2iM+RMtF6g3PVLz+DbjlKho7gU0nx44NzSal+zZ0O835WyfGTfbGaUDS
DHTCOc6QbLtKULEl/9qjF0Q4UrqQeV1GltTvg21em3XWt0swZFuaE+iJKLiLTeaw0WFInGx68a+e
o0Gi76z6u/LZYpjLfaCG2HVxzgS5wY19GVq5efRgRJluX1xwjDucHTSXDxxPdlH7cdP1595r7Z1T
DBxws8YJ8ShKBiy/h/ITetAKr0XNj52XarZtAB4N3s/Ba9pzDQo2zJsZdJfaYuxG3uYe+uL6Wvss
Us2iT50BpmJtfS377KTb7UPoYpIBYIvqBfRXVONLaXpPCVdN1SCSc48a2cGU+7Foml2byGPtqYr3
OcpdwcmkjzfPvaaGK2JD6nCNvK7bBA0mb1tYz1rXV6dgDNatm6GAdDV1R9yLTU1S3jqb69E2uIix
1XC3Gn9+NPRya1vjRQbagRkVlcVZ/tRW/sfqaSgqzeLG+7I8UNO+axta8ksPQNZE+tl691NT/4uu
hneg84uY4S/744/az4Rr0KbvDPvQp64eygQnhySgIR7FaaV20xwBzDzvDkNB6Lal1ns3td5B5dfc
8/bW2Jx9V7qYJtVmGHRKq4XHAGFk9a5NcxGRdrr0a1lfOcWxbxd6ujedKQEx4Yi9UYPp2QVLLxGd
ftS5KY4jIg4fQ2W9tUzwm9TKTy5VC2HZrdvc79hDDEN3Zrz4ArL6IjIWavxYXyagWlzSjDqNCkFY
QaTDcE+NASpeJrK4By2X+H0fpmkqo5mLTdrAkmrHPPlVDYsbU/Gv4i7gg0Zqi0bbgCJ2bVb9+wju
D11strsXfRlhpdM22ebj1cSC8ofx8g7MzICvN2fVE2F6yVUOovSvzHQODVcn9dhmLo0418Tr7kvb
uDE3TYke5KwcUgqgIjyWfgd1VPB0ldodB86zJ/Uvm115rHJ6XX1as9kU0A3V2S/wGE7IkyvH57ij
6JQDtfGcX5qtP3mJGerGGXJSZFe+dlBdyXTS1yyApkfjPsH/32260DOs1h8m5pvd0Fd3xFnOghEN
N5se9d7dnYig3LZV9RyUzd4q0Epnywv9wdfjorXIBL9lpIJRxu6ciVoooUCEUojX2uTZUbkqw8KY
JpAOw3fmJwOznlW8O67NwDph2hiLSB+Av0mzorYQjF5vKFa8gm2Clj8XmEAjumVeJjIvG2sUxIWq
rZrgT7QgK/Vgui7MQIy+wA3KYg7XPGHrIdYvn2vbUZRfBt3bW85Bpw1LNbM80dunRQKIocJCe6Is
Ed9IdumgAOztmWWCrTVQ4BDLRgB6k38oeo1K32QFnjb1u0bZ/HV6j2n5pqG+5BK1qTjlKqd7Aobx
QXw2J7vhOKEm/dexYf+42NT6e3m23DICcLusSuYN7HbnmK4q7A07eNetDo8QL7SwsHDmes8Q7o5T
Y94GNr6kdzIgJ8h7GzABfriM0Kt6o7oUSfDU+ua1GNG10+kRPnIZXkRkk6yNZguSWqqvewNbTuS3
8EamPpHhSuMA2QkYAKZmaRtWJ9ZLgoM3UkNwTAW8lcmDAWbrIFZs48J0v+kTCsZpe2g5b8ZHOfpi
nK0aGJk0kSwUN5SyZifiBlSPNQnMa39NDxbZVa5AYye30zymu4ZLor3JvNnc9n5BlLwHfVEnXHRY
P9HChmMYIJpRlcXzkLdaRHTFfGMBexKFuXUVNE0vf+aVuZcYwfmQVOrcjGIpkEu8BihYIHn8F03f
MYvw7dp1XNV6+9N0RvOFNNiPqV3nZwezCuAA26cGvulzASrOoNM+mPAiTa2fx/6jMy4PbP+m5dk1
JcrI0GAOUa5sE2Zyu3z2NLP8km2in3ytekexbSOuqFqYal52srI0ZfeE131a03thK3BvbvLL1Own
yH7RXP/gNxsGOXcUp07jfJ5oMIf1qmXjW86rbTbzGMM0ikzl7LlpntfusRIYj5rrsAcCYZFIKsFZ
kV5p+bkv4Lzv3agjaFSMS4PaNQUiBJjNnMgMQamfLu8lvZyey1Vdg6UoAHIMqgsJvH6N1q/R7Vgr
w/sRGwtigzF8OfaT4jo1Od62W9bbowegyXPrSKPgug8MmQGwnS4Y87isHrMCtKslacVqT1RCx9Xi
DXRzLOKeNea3b3TzhWakIvrnSy6W72Ato8mWEYElQf1Fz4k0zs9JUqYc5Xj+VirttfQLNveHcEHP
TjtDJLz9mVwptv+ZBBTqt8F8WJfmAQIy5gAAacL9IamZ8wwUwGBiQaGDdSxs7YBHrMMSzzEmrILt
bBn8pMrq3ndtrHX2E6zgz8rGH5bhpKG8/QgMN57X5p5jnT7apHI29modnZafB+xi69RbLDma7tqu
rBr/kVqr1ketDJxnu3NYN5FQimv90XxPvCsK9I6jNcgs8Iz++L7UcxC5dKDzv5P6fdYhmySOloaU
2sA5HC5qrPe+W37NjnVrh3wN867WTrUD8UMrKHZvJAHGdFJLOLvZcSD+hCLTw7Gmqj/1yfPlmIdD
LRd7FgwPR1zDwN013sUzKjPWdemDtqkzxDqtXL/rIu0jEOn91sKk8LrOKbgbt2+Cg+waGscDNfv0
oHXWh20SaIVhDmFMGJAZpn+2ESUIV4Ks3sIvbfTz6meOLfdDjdR9iLRxn7DjBtouM6D/dpX2bpeZ
BzDYqy+5RFLckjel69yy+NQ25vBUO0N6FqOrPQeTKX+Wuedc+0YF30R4WqyPai7OiA06Bfo+K4ul
GwtQoEXD19WlFbyvJIkdL7VOksYIi31JYr/KyWl2xqQ8dr9eEXvUoIeVU64sSRZ3t+hO8W27K8Co
xEPF6UxZ75rcwlxYBum8G8mUPNEboHY6H7utQQ/1tQQL80OYj72tDkzTe9CZKo/kh1LZWVnkthBt
C6qu0m3JeqjS232njCen6fIzP632PNSN9akbi/68TsO4HQyriWnT5lpDHjEXWhUmk0njAqHM3bKQ
aHO6xblb/mh8V1gbY6MGC9QuycJlT+58t0LtZ7g9J6X7ETjDO44BkzUqpJ5s7radPdm/W7s5ePpF
D9RloVxkM3hG/pk7C7cI75lmjZdag3dcmeZGOSnkxJZLf2C3jwWre08AF8Hzxh21GaZS/1uLGece
nRgY3lVyDvqpeFp0P/YAlyCSKtw2j0gvF2v9Tba+mCOpNGKDXZaHmLYeqOBJhgupBLYkKVuHzshx
mbhMImWlTrlB6tP0wXSOMnhuhKRDhleXpaVx1syPx0qy88W79W2bMESY/fHHUIac8SKIQM+Vn5nJ
ODtRccQcR3LeBNt78xf0hqxfqzAb8j21GBPqHOVCLA3dA3K9H2N1MLj6U2v4mjbltFn6li+a85ht
gJnJnG2cn/2hs2G4LtIwhv3cNqjcNc2cgsTp41rtRLJM7Z8ThFlcIS27A8f+miqQDZUDTf0htdDC
Jo6up9URyzXmYd0vj/PAIszr0XSrf5o6tU47TMXif3T9NMLH6FhTe4t2LAqvuukWjK3QrrTlqVc8
4WwD6odmTA8Y0XocWu4SEg9ijAQ3AnPFHc36SxRtFZOGm07eLNdta2blrqQZ9gTGO4t9uegf6+p8
81r69Kzg0GWzc0Z94DXfWZr7a8mEf+pLPMcTAs0Fcc9lv1lmZ00J5zJOnXppkKP59QYaSoNtvGmz
2SUR4ux0nsa2+c6hH+8Nz68s5gF34K3cn0C1ctrUWt5cWsurSKgm43c+pMWL447jD2V2ThrZLZwv
mLoCvd6cV1pWRJt4r8oET5ZBgNsjV+WRJ4Z7DfDqRou4cep48A/KWJrDwLF8qr25PweZjdnIcZKH
V75Sl0Kvte9U4tXqi1H8hhCk7zOzndnp6TTe695AWTTxGXWvU7qt5nyFeVRKlVxTuza3lQYqAzZC
udEHyWsMuwiDVnk1Mn7zQ3sxuTzHDNfe+2SIxy3Qg1dRINBUVHHd+rbDweLid7G9znhZDABEzlAN
rKiYb+Cqr+21RjjZg2qicU1Os7Whgv9X2RpoFgaucJDQ7cHJ7fID/10X2kMf8DU731KDseW0XXuh
Lqs/GZqVvtnlOHtAeUECeGN6xZilP+5+C9Bix4M9V4th/u2NdftqYLOETL3MoWgumNb4fRs6ONXV
Kp/hIE0/RdM3f/V2MLDbOVACrc4cLxbmHYQGPZ1+ZBKATehqAXkuI0VSrse/qbOMcIFXPUbEVXHe
Y5gjppTfyVNOG6usMImoKb9NkHFYChQV4JHRYN4Xc5HczJmjSOo82kAojDPPl4xWX/c2xYrmtVD2
ebDGgXLkTJT8xqTy+Q4C8VMbvOVSBx62MDSSTU9D2EFPQXVkg9WHq6Jhhh6H8eTPvcaFMKWKYkr4
vkuZR5QPqVsL4YP296y68ScVJyY797fjUtbAniiz4bL1lfGGSyBHdaxs55r67nPqyQ87H0oqk307
Kl0C3GvjU6ZMau+uo5b1O003iysdwdOlypf1c6hGVr7FWv0MprxgVWgFYBTwUXjGOkSSVrsbqBB9
axV99dQ2jYsU1otw0l30P29ozhVzBYCpSsRZ3iQ45Yr02fJLBwtSm+7XxPQQEcbqliSa2s2iyre5
UbNBWBvvyShldiqdIYjnLiEmSc+E4vUQQtZNz9Lw+VwpUuI5KfMjxYhY94PCFtcua+dP4ShUwaWj
LbuXQ/CbeHnyUoH3foPHUEZN1wVfInOcv0VZTjdlLclVOqqbYzZf5Z6NQgBDVLQB5Sbd4zLk++Wt
50vOIp+q7e8KFNq7xoIuTumUPwVBXzwBwHvPMcSHWlHCWhwV0HYGmjjpO19EiUHOwjI6erbx4Xxz
M2mvi9UUIalc/preuttZ46yn4Nl8XZ2JoqS8z+jkHJVrwCh3cVox07b+JVsbe9+Y1hwJaxr+Amm0
t4vecJo0aHQcgXwJHpyvfVVn2XWclBvVWSXhYZcIpAbGvRLT7ZXhNc32GipUv8Ga6d2FweklK3PY
5kRjkNcWrnIZwJnDlNIvfpzcgfPalnQm8bEZvgd/6ixIPpxorc3Oc0IFP6w0dUeBwJ6nhEZ4BtDp
xqod5+iW7bAdVC8OS7COZ3tKcpyvozOxrBvsWJtb/UfSBkvM1ozVm7xZPREanRFW49MTgSa5df4L
7RHi6hT5CmfGAZGTzmUaDo798OHV1W0pIcwDYDdOOZsGGO648YDErhxKpbZtxCxPxjSnz3UGtCZI
uNhNJMLR0+puX5T0PW0M5YhT5SDNs07WIsxwIoLcPH9kpgIIDqjpsdzD8ZTp9bdF6dFtWbzqS7U4
wUOvfBy1NkKKrPTv3JlNBLsKKCXXXBBddf13mce6A3pHWwDXqaD5MidXi4DWWZHtWnhUnKn8IbOu
fl6csfvN8I9TBjuhaM2Dnn01sxs2Fp4oQFf5X2Noqqih4v2ydG5Hda0bdDcPa+DjMzUXG6Oc3Kc8
eZaZmNFjrfYlEAmWQ7bD+lvOUplfzaAFr2z18Na2ehUvMyYa100cfcP7MvtTWabk7m4460uGYzOk
tlZ9txamBMPL9d9ov+md1Q/C8NrUuKwa7YF4cjZlsqSYS8oJpymNUOxg3ScqAlgHmEv/R59N801U
87gVwMfPCw24rLSb9eTgLtjrUrJBa6gqn3SWOpsZ5rXLGjxDUMmb4kbz2nrEl2FurEIbng0yWHdB
c/l2tJT+sHpNnAN91UamJpxI+NYYlwsMJqNKVDzjWHNZvA18cCdl81rRemag/KbgdmmW3t1JQrkP
12fOt4y1Llqzzgp7G6/4aRY9fSSl1z4njL8bOoMNSX89ZCfoc3O6QQocX8wMTXTT0BN18zUWZ7Jf
xjfNHNw3OxuKHdWS7GcdAv/8DqFRbZZa7XGyy6NNHPJrtLl6ustQMTPKcQe6qOC10AVvPeWM31rC
LTjplp3WpEZc8gdGYlTyxP0Oe78mac50NWQhpoT0rheOFosKQSb1Mn5YwcInufKdH3iXxJlhpLkb
5VohfeaPC6eq1o3mq+Am/EK7NX2WxbOHPU+UTXnXh+7Tl1htl5VrnSe0MubhD4iGNeBIaXU756vh
vTT2Y7XZP4r4S0n/bGjjgWeWguFrlXP+Q0j3aMxNf2FOyc9Oq7k/qcrIo6kYsj8YvCAGtFyVDovy
lpe8p8hq7wyGyeYdBfQ5r/E8YRTQzmWZlAjl0Fv3WTY0Tw29xjTHBGuF2cAVGSxl5DBuzNL8aQ9u
+pUm5M4s4ne/tUUh1w2MUSm9fVvfx2Rk86j1R9tE0kTqncUPq8MR5dR+dfEbvz9kSafzyJEZ2zul
sOSeUO0cKsa9zVwBDiD8l+80/vXollm3XAU7rShpxnY7kuC4WeiPZ2dcqyezNkcS+WWBnWvR7RD4
mY7tLeMNSdTkDQhz+wkg1bl7QdqfXIlhuCoeuSSqMnz4Z1zNlOr8V6NFitIyg5UCf5cwQRCUVwBg
kvV6z6LFR9x+Ldn1KJY4hjcdx5mYPRrbYEVyVkC3FhtTHx0C9c7KKBkJMTWwiMlno3wbhfjpgULr
tgR31U+ss0g/Tc6IvjosacParHz4z4tBQyfdLODQUufMAxG8O1KNz6pqDX5AzKMbramYVfzBQNl2
c//RlDr68WD29nGaXPlGo1J2IjQzEigshx8IzgUOsBEzsoWPM6ofeXxJpuXFygpj4/sYedXYKwQF
L9t1c/Xim8PVdLSE1HBmxYqugxMdcdVHuzoJnRoN/+EhJsqcZqtZMJoy0BZY3er2F7+ZsQmHhV69
TsAy7XVHxobK8m1T4+Aq0IZeS8dOw5FYZ5RAV44U8fWrMRDcrDEWn5aMP3pJF3M7rji2U+kl4Uqo
HfESo2uF9KRRLMBl+9QamrappGW+0cluE7LQqmfhd8l5bIPmhTK36ruZSCzRITtlFwpEWAdLXEax
7deQkiXNXpuUgtZPCxvTteoTUMcGbxVqrZ1bbthjiNqvf+Zyns62XfGiXEb96pN0DXkOqqsVDPVz
16v8wwIfuZUYcM5BXWXXmfvHkRU/yrTZl4ROmep4v7B5F76exYgIfkyZkncNZk9F+WKK147L10fb
onIvlpsAn2yXbd65/neZOflPG1/yn7n2ic/h0gnd1aoZsuxqG5TkkjalqNwna5Hep9uXdKHaoOHC
bsmCHA9Mk+793EvfMlGtGmou2rE24+JdHFmHbCasA6px8lOHlHsTlq92bZ9nP1aXsHHdeOtv0VkN
xgd7OOXa7O1l/TBk2atYkJ8nfTNqiI16xheuOVr+VWFpfXX8kv731uiPCwzUI/XR3BQs3pia0sjh
eIYdkfVQ2OlrWGloHX9miHin2R7zr3kiMauKHqOQ7ThByKUm49yXAcjI1coZykd8e7+r3nL4J0yD
7ECAqtjy3vtllEH2TZfwnUui2svZGTaUKzdfGNflqRjz4pBkniux//Gc8ib2QWVThpP+8rtm2qWP
gyaQfrNFxhuOPpJTyJHLFjshdCCJxoT1gPWxcJV1mEmyfHLdh1iN8/GNhhIr3VH+4Rx1X/ASCzq2
EY/cUoDprxKvIoeLtBkMLdhbnrKjxePfaJH4Znk4qx2DfHNRJoEc1a8zg+3oEr4BAcrI5By0pehN
3mjrEDOseC+w89jzEUcT1mz8knSHvreGO+zVaFihcLP01QC0QtmOdJAywdltuibFldaKiR/oaKvn
hx2cB35aCiwRE8yazHn05fHp3c1qmZkxkiMvA5Ndu5lcMwySfzXCt4goBo3UpjYTRuq6jM+2odZh
gfc0pd+ZU9tg+CZ/a2KXZmcT1HsjF23o8AhxIQ9cdaSyhSV8OlbFoX/MYYgvy9Hpu+krCczkTaQ0
16PkstVTnt999/bqbZ0UF5upYF06+mLc11Khp5gPzbhX/fVfzcQOdunWYDdYVX6dvYnCFvIuK70G
YIa9MS83KfL4Hn3920wNCxwwBxkajMmlE2ZlvUn0LEjjVZuqvZnrGt8h1hU8gl3SHXlJmTfLT/l7
jpHZb243lj+44/hhp/t99C/22kFP74/Yj0nQ76vWGv7mKw4dvM8clFVjY7ZrNewoxjzGpIkxc43J
Go8U64YoL9qOMhJ5kFi5o1aaDfrX+qfHAvDkBjWWzrmaWfmMtcuN0TcofCG5UL6O7ErLuGBjQZKw
ZotcDXbLcpjVkAnvMTfPujOW+wVO/LmfH7N2UczHUiz1Ph+sjHEcOt/G91T2sXrwhTd8CtlqcXW6
cdu4+EM2/jaW2bw7Q1G8ZwOe5bj1WMQrC7djbnXjuaISB+DjqEcThJ9QDiJ7qZT2wy25aA59aR49
+suPTdbLN7WmikBHZd8ESaJj3dtN5OmD2ub5kt7+ZQ0TI7sN01fCDQqtTgu2reP5Wwv62SZrsQDn
xhuvJpb1wyMFMSQZHi+q3xlGtG74EiLJotIoCFNYbQW3gh7ukZeW2X9yMNQxk826bVoAYeNSme3m
XxluG9Xos7t7wOp3tDLh/pBMwv8aZOr6qVWme4UH7zlPMBxr7lLEhp3Pu4zJZTcSJfrvDoH/H1f+
D/oQ/m9x5UtTC6wRlGL8qYcMj8b3f/73/+V/yDJG8O+AYg+iqTo6EY2V/yus7Hv/9mwKkfm7hIQD
3SUm/D9kGQfeIC0EgWdAGkG5pZyEl++Q/ud/2Ma/qVBCRnYsKyBQaHv/L1llTvH/vecEkCE9xo/u
Wself8w3/8+eXLoaGtPQveqS2inUTM9mMR6qnvAUx0Mh54tE2MoeVFjSceM7R7ypmH2KtFEb6fM5
esubYNb/EE/2/atLLmEJR3eZf5tQXL1fRZA0+r7IK9v9VbRyxjXYWRPmByHX9SjrpR2fy9wpCL4E
Nisds+d41oYy2ZHG1JmdlnRABmvb3jCel8IipllYqytDBXvqtZQOBAmH5+pVkiSbn93BrKuzFtjl
fRomVz94Kb0TscBffAP9YL8X4Ds0miUod/hgXf9QEHw1yr3GHc7OoWtXs2R9yTvR2NQYN7OLIXqH
0Zf7wzZRAaDRrlSu4tlVdFu8rNL2uAZjZPa/8aD7ZzNnaRPOpTVagEDG6VQmFF3EyWQAN+9rbgwX
WVZjc0KhaqweRUNfiv06W557qlJKErF1NdXwo8LI7z2JNMjSg9mTdNgLozXldxGgzxwQl5CgtXEu
P8XaohkUmTZfjcbK9NCnWD57Wz1E+4qLYBuSFlq+XBuX+chNfGdUw0N5z037ddYHdh7ojBo5Wpw2
XSpID3FBbDOmQ0URSJgns4YLxUmE9ifL2onLWm3XXH2KgduJqCTpDUJkZsv+LaNngw9F3wXbVebr
E7mshAChpQfW2Z3mfMpCSkAzOlOls5C+KhZ8/wmqv5uj5qz91HPJXpskUpKvlGYFGGVHm93NFBWd
CXgOz2NszY1355OsrdsCuPLwanoKc0W8kAkbX2hOLJbd6HsZ/gF8WE3/7PiodnQgInb+F3tnsh25
kWbpV6lTe+TBYDAAi1q0zwOddOcQHDY4jAgG5tkM09P3B2VWlqSuVnX1Ob3rXSqlkItOwOwf7v0u
D4vqa2yEpMRpYa0CSkra4s7vBnWf+4WVvTaOKF3IimHA7kZI2z/4sSRO5BAK7fs/qTQzcRwC1Kju
zu8zfGI9Cff5zkqtUO8kOWgepoJJDY8FsUx3M2Ml8c4ATTuvTLLACPYlLbu961k5N3LlWBQdW0Lk
bedFDNrMThWIZ8kMinBIlMhlWByjEVLIlT2owwIlQ9AxbGlsXYLRy8gaP4QTo6Sd63HQT0hNzeow
UWh3W3AtIePFXgDgHRj+eIcgTJbp/ygWLQ5pZ3iBTUaBBxZWLHJ6YoCihV7SAl1vfXLjVwgiAtSn
Fj/5tBlp3QN+5XYu0ovptTP9InsUFlQbW1p1fJJmOhhypWrG+yxAXIGVexNhokCdmGe6E8ssCw0Q
C8MKW81r0Jtc2sgBsmT68uKxcr8rTwwwL6uK5ZjFnDNLEdKYTe+qZUxcu9+AR0GEwJke+Bkc1UyG
3iX2Lc/wwWUSFojSB5ejOiXaRmF20oYnCRHV+Vi4T3JO6A6oDlvno3amsT04Qaf8tWd2jnymoGxo
OuBlo9gtgj5/QRhGLReApUtglRMNvmaDFT6GJkJQKnfalwPbF5BdoSOQXAZ2hgk3ntwkO7F98oJr
VLELWQ90uD+jsfO3RLoIA2t1zKpU16kh8NPOGfirUIjngoRq3p4ySctdkpgIyCevS5w36VcTB6NL
473HGmd6b0NA6PIm6016liGspzeZGJrGd0zM5rmpmDsSE+0gpaWTFW8F5eWGRe54BC8ZtOcwK/Rd
N3bpZXK6bL4bkF2t2rSBI4h+LXL3suotReAoGxS0fSyGIM33pDBG0XzvVEnJhL7BIsBE9aEL2Kvw
+mfmgyiSOaLZZbidlMko15TydKd1Xe3mKjHeo9lQ7xlaySOVCzQl3Pqeg2+YDtEssgVzyJ/FZO+n
GxF02G0Hqz8i4OipGUkqpDpGrNAVffQNrmi0ybrckodw6pptMs7ZbbCG4iuj0X/D30OATOGKiTGL
UY3uUc/tGG0ZMfjOQ4cho16LeFHzTGRe++tCt+5FYFT7DjfVfMvGsHDXuiMv3U7GbHqyDV1cpBV1
K4ZdEw4YNsioz6DIT5ewgwCOQCzBpn70UYqXp6wODXkJDVNXD5Ii9IkkGjs/Mvcz+Ve5zuPksJAP
bRw8Os7accvaoCj3U1Us4hkjl1dM3c8Z3hlyZQzv2YwUI56MYA0evzhiqLMIJQa8rUb3EtkGfZVk
Qa1ep2bIvkVu3+otPwMmlADRwjqKRH1pAHa/F+XUHAdAEQ944zgXogE/ZWTFj6PKjVOe6OiuqWzO
H9FXZ8CybfgkRG+cJ7YSFuNDvpCldx/WwLry4xBaeAk7g+ZhlZXufAaPYLybaLzvtBbBFd2lPHW5
8i/DEE+nNsuBbnV5+lBYPJO+8ljmY7Buz35nsilsuu6lnxiYwgQ2Lv68CEsG1z5LoZ460do8ZHbW
Q3fwrc2ENxmDHJfYlkWqybMcEVBmF8lPcM6HJKW0nbsou7Velz5lQ2oeqjpVR+EYeMF0i/6/MkP/
jQFp/m4zIN+avuDZwSZ6ClFZvGPAd9BGLxKzMZ/O4dBjQwU9RzY3F8hABujJ94wFhmEJxrS2mW9M
L9fVZkraATNr7z1KZleLzwUD9+DNkqmjRvzhac6NRVX1KVJf1Giw0eISYm4gnayRBoa5GTyZ1Zw+
mGOdrhoSV8/sb5uDLqd0X6gZqaLR018VodxlHuAxKNQ8ltq2PrFMcBig+HwKA2kunuIseLMjWh3u
dOves5kdNBnVk1AzG46KdV3YxP5nJKcvNl3YdkLl3VQkxF5biT7TNluH2DODW2sG2WOYuPF6Fi56
8R7h3UPvVMV9niyKpjK/NolgX0+puUF/lixK6hBnR1+edOkFhz6LyzOHsUHqIESOvhKoqkE5rzqc
Iqgm3CVHqmh81OHsnUavRwGO13ydmZ28G0XhIWYLi1cIieUp4LHkuGzXfE3ZVZRWva0LF71xJcRr
NKty+UKRYHe6IbbPtp6rar6fRpHz2rAM3lSlX15kQEmq9LxPrTrfOI14x4vAKHgy9xG7lh2WzfTQ
gTZZNa22mPxGP1Sv0me/tfpdwrWKfjXNOW8nhI0oANZR3JxyEkzuavTqOnCK6zQPybHzusUVQQy3
U6hDYzgeG+Cw3nfeUN0JTSYZXyDLbathiXHlmWBO5SZOkO89ZMzOdYmMuhc6jL4g+KcfTqWrR6/w
mm1XqepAVMt0l4YjxkdySlCAa8OHJlMQnfQT0137Da4lSElXBHz55nUJ7uAnHjuGowkZEZw0G4Wh
RKJ2PJghls+syEkYmwdvXZRB8eHMziDZIoV6YGoiUiaTWCdWoxLqhq0ovnNC6Z6rWU87Lutol7Yz
UJomb1ENxDFKzzpugzNt6Hwsg6FiXSNfqHvTK2QKk9tL06CSHEIZ2DViOhe1tre26quLmGbmWATf
00cbkjocMYZzrxTtfT8miNYrD6rEEP/CUq/2s2Nx77B5c59U2uEYRx1jfGphWmfm3vq+dSqvWjdz
rXfcr/Pak1n1A4Mp/nUfF1WOv/WFx9pft3B4qEhx4jIMCDYoWkLaIVZhA5yHe/hA3XaG8r5S+Jcv
lUvt5lIOIboS0Rf+czJPsgDYXWuTf+DQtezjejE4yZ6q0EXfGKGSWrWxjndDnPjnrs6S174bBirs
INxV0imZn1mHdrQJVyuJDDJiI9wF0QTxndiBAoci4IhODSEdCI3FyrCl+xGRNYgJMdPnSXDGjH1v
v/u53R/NruTukGWxiWyv/BUr8z5LxbSTXCyXAvr9Jvba6WwLXex8/FVna24eFJDKxxrmwEHkmXck
NcR/k3H3UsaNv/PRFM4sJ+ERImTAGWzgW6P0OkbOgus0IfhWAcAP4ufFU4zSbR+gAHmyRPOms2IJ
Laay1x2yI6PQHDhjmfI+tuWmQx+/otdqH6MozQ9ug1GyhAy0HvO0u8d95PMlDeG0wbQGCW4kxQh5
l7m1I1ALXV0gAw6L8U0PJKIEcX52s0SiBS4kL3n5rsYkpiqcUebnFVJmnzjEgcwaz9woZ67R8vX+
nRoL6xwnyaPqLaTGdRXKo5XxENup/ZQFfv1cJozBolpkbxy/H6XnNns2j+xRJLWNYfm4pFowy8p3
dlp2nzxg08GkOtwyqq0eJ8gUAIr4rlsnLIE4hNnVCgq2CAQxXoSOxYZioAVPUT8Jz/XZ4AvGigqW
pNku/S9Sz1853Cuc+2O8m9gkrM2pJEi775itYa589Jhc9dTDK9hkTMYAp6bnMieuW6XOfJjmcdp2
U+3ScoCeXaOrCu+HoezztVWk7LtmV6OV6PF9tTNIlhxBs7fSC6bLVdGniQPk4tdDdiw7jMJOHjRP
dPnWOqLMWB7roaA1cipQH9PNSevoBh7DeFJ4zvazEQRnZXaw9EIHL6PBWUr0d/vC4jj4DPRQ3/D1
UQSIgRaZXR3yiMk13kFRZ7s0B3fRmSp+qj10e2OR6yfRTT86EeBYsuuMtX7UVHpVJbLYuBGo3FXd
mhmOF1bC/EPjYz7X3oHDNT3OqERfaHb798lHxQhMwD1nona2pREVD4zNUub9FCG5RsvN6VDsyT3U
995QVmcnHV8FfcFrUCXxh2+TAmGNFoAIxonrnitmy3YvP83OLG5VpZ8rS92sNhOrgQiEM3GUzWcm
+5lY9Am2pFmL90SX4IiSoH6I+mr8VvOyvGLehXoUtFR1caz1meLgG1mGFuHUXY7yhmMXgEX/KWMK
AkiUmwhH8KX3RL+vJhmd5TxWh5Jt0br04+zkeN60nQr3hpFB7FDdZbsRl9IuCnMXO2Ml3+hQxsvY
WxLoUue0e8U5fKoB8lxU3D4T70KwhAsRq4w6c52wZ18HKj6PkqmsCtFs6IxsvqHS/pIQg9UhQqsQ
lNZ9b3XhNvbml9rBOqZKcLYDW06UjOqBA3v4mltUI6Rv1uXCrPCPTs2ouBbwh0hhto7eqK7ov6y9
Z4v+G6yOYovkj0tFBiycQjZRqJKbfViU1TOpGLfUgV4el3Z0tJfFZ9xi/IIHW+yS2g7gaIV4ASxy
PauBvt4wTX1tvcVNl6ZuQos2YVWNrVayTgEbcvQB2e2nwAFm5y6vbM1rbJmfMHWiA2JK8Gr8JjDl
9vKAFqc9zMQzbPJG+AcdY+vkPtfnauym20zW8C30s/bcgAjfj5bTUmjEqF5UWZ4KVKYrFyAAhaf9
7C6UkMDUJyLWPUA7pn5mP5dD6EqM57nrikfTHFkTZ3GIQ6QRH0OGwhDREXkfZWicDUho8ElMmRzQ
FUUPXU4GF9ayn+1sxefQKEHHu7WHpb5zvjI4/Iv0iPTcBVB/yhGGqFVC0bap0AhtGVri5OddPIu5
G6g2tXiz/bn+zGeIYDufSeOGuU1HYKZsri0ZQvccuz0mZS/DQs1pGR08CD/biMHnd7IFIIKNBmw6
t5SUN6rfyGQApNRMKIJMiui1iqt0Y06AV2hdy1NudhpkVFsDlRvktYsba4/ctcUg4YbfuJLDreHI
7DN1IB+F88CKjRUvtXxF/KY/WofehPZgJBBrGt8pK8rkGP5HrWgY4SPexfhhzvAbzD3TLAtC2Wyc
Biu91BPwklLJ8CFgkbWCnlWyn47y+cuVmZmsk5Dvt5vZgDU6emeWgi94TpFYWkzsVrUKimuCjxkP
RKwhOqLy2EjH/WzjGi/TECS7ZiStAJ4QNDkyrfp9glD+bUI8fDHR6h/sFuEiFBV1dccyuUxTyZs6
ljiDyqncYeET1M1u/zGJeApWVuXhr1P+9DB6s/3KYgQCkR1XzyKhTVy1Zt5ecsKsQRIk7kMzOdOe
C8ReWbovfmI5wwOoisLZNN2cvZe+MT52qf8z9Oz5rhjn4Yi7i5hUbDp67xWRjy16qrFCJe5qae8v
EgXbZgpg4hllMWwlcpuWec4AoQSTqL9NHcO4MTNlDobu9YbmMHmKwTGsmDq7exNOxr2KSwmFBuwZ
HCVoGWMXmbehndXZQNLxGOt5vAsyifvJQ5U1NB63c9DDYTUi/BsKP/EuSAdyYOjbd2PNfrCQVbgK
0lR+tGpEi5h67c7OABbpsGGxxqQN/4YsrYz+tA9RHll6n/lqeLGSjNsjchyDDZSPCanVcXgjnGXa
GiqeARkEy5gzg2rLneQY/s/K4PxbZrvMJhjoyCNCBhFvhpCp66QrzDKO6bBeci13K0euLsbwY3Po
SJAa8e0xhvNTMydsm7Z2tgt1jNI4ojmK261d6GTeTV7ffZeFXOpnlqOfBqrZZ3Y56Di5aYYXhMAo
tIBD7eU05ufGMqn83BqdvWhHquhGMvwJR9ekUijqdB010+cQ5TbQF+pNexJUlIh7nnzNMq6AOP1V
Gar/aSaLdHDyrI8oUcby1vQ3IevgrucltmjcF+4Y8o5vUUWnnkLdeTAbr79gl4uOUhqMx7VgYGyZ
HbhGZLj7VMeQhjvMmWXV3fy8Ikudp5M+1R1XDtnMaO3sD0TGybpOKDp6EJ+vXQ8QM+nQYxTN6K9V
M99lwqQ/ceBEqdr5maXpcKC0/fITfWekgEeYGv0AtX2PNDXL2dS31nV2arFKpdWs7GyAQ5ZmizF4
zjZMne1TJud2J3keV9QFeOMmwjJDvoxE+9/EyIE+crlSs9Q3kVQnFo1cFPhI7ZolHsXrcy/LTTmN
36PIeO8qhMEYvN33ApV/FGeEAue+RQWS1jtb2MXDZNXDahB845QRzeLQYSYxOeoJbENI5nvlI7lB
XXYZcMLsDIgnp0Bm9FWYJX4hK8tf5zTBcsqhKR3G4rFmqIP5PkEYlyS0/aXTeqvJtT6nhuOCxtzd
c2w/YfuDzikRDDJMu8yqoQ40OxNXZZfdkh7tXzYpnyfZfGvLaPy2ZHNuWlPKZWAeryVr7FVrzMm1
HeL6LkKOfgG7gPrOEo/M0F+ayLJ2tWG8uHgHcRI2FxdOwIb3KdkEyehfDRARYCvGe8Y2iJcEveio
+0vmdTm4HA5E7dUj/CUmCm5U0gaFMA3qiI7UxhW3It2w36JHKh79NPM/LAtFGGlJVG5V1R3HbOzQ
wCxsjdDG7wrtwTs6XfmE+lie5ynrjmbbDDtBs3cI5wpleIE8h5VJcJWRlZ+lV4SI/zLvoXQh11Fh
dY+sn0GZ1+nwWAleymHGgBSLSH0LUwS3tEL564C9E8ZehjagsCB1Dm6BfiFMMBuvEoOXuLFtKNpT
ka7GOhxIPe+QxesIw1oSiw/fWsDhk8sHqpxhg1Ua35F4xjdsFu1mKHiAdcAYrTLr7hqJYgYSN6UX
P3QHEonwJ2kT+WSH854p2iSdnTE3v53n8SFqgvQ6+JDsClW3h5T2+JlFFJZuBnYn5bCohnozrFig
uUfwWOklrLK7QXbRHtF0s4EMWqwtswjv2nyYT7qnmCz5sb5m3/vF8ga7Vh56uPe9hd9mRcF2NIz0
caxizrVU4+9OhvClmGCnE0Lb8TuIc7W25nZ49mxYDohv3QCil6PoJXrehH5B6nQ18GInFO4FTf2E
fD4cNMKAOQXpOFoLCgb+ykqkKGod32hXNsuaC0swhi5F6d/nmWtjsMWmig2ge/eUU924SCLU4X7O
pp9bZStIjzmZ/ciYG/zc1XTwWuKdobcLowBUY1lfyrZjFmfqe2FnT6GLDtDFRn5mIBF6TM5Ucciy
KrlnrhujONPJs6ongt1yD/O2NBLM6H4D/0wzXUfhnDwnvXrSYV48QMdS9/wg1EedFVJr5+jYsshl
ullMecWtP1V7kBZiFai8uqCAdA+ZXdDBs6e6+H1RXgPli087Nph4MvIAiiKSedUrv8EbN/QHdBne
HVuXggpQO0xmgxhho/4ssyZTODHi9huDKYyjBN/ED0om/ca1u/5U11yFq6CGUYKAD/rrDPGDvinY
zISCbFob3EW+4JVya0hvbdhjYIyohA5+Y9+q2hp+NEU53E99YDA9a98Cm2ZkRWZMw9i9+z7H3nCk
vZsYRlIkeUF+ayR739oFwuNS7c+Z11951HO9plmdoAVAAhluPR/E8KYlHgN+L8nsWBDLwjZIT3PC
ur6xVC4eQfBQ/weZcJ5p7KW4K4tKvk4EkyE0W1A91brj2iRpLhndZG3bs1I/CoXbkQnKwA6GrD+v
381eoNy3sgFHtVIggppDmuRIUCPRWt2W8EH7h1VkAUtaZYf9VfQWdWEc2o9IgAnC1YU3RLuxsoZ6
N7r9uJBvXEB7rDKGdGfnmEBxAjmPnWryatcZqnqpWm54JpVw2MZxKtGeJyXcShmd8ICI6IjYG5Nl
PHYSeW0c+x9aoM9asVvnr0s98MDAtNsvv+hXrSIXMIHhn5iO6RtHJvMFol/kCiJhM66BVTwZUxf/
8NzghpfY+44JscK8DxOnLf1ry4OEJSzxsaOy63hMComFARv/dGdVc80u3OpQkdh22YEyYdlR563Q
d24eVl9VKYabieFc7no6tuFohJ57a7NIvCWwWcyjTmsYeDSwGUOfAbezzP3YJzu06u/F0MfzyWTA
FDxnwidS1I45Gz4dYWSAHnTYdVsRAKWB3slagfOX9jUfHb5EzQQt5uoWWX3fxcQbbpoUnoUHQUzu
Uk+Y/Quxw61xzJWI4h/KEOB1c/BmK7cqJlqUrvpl95FID1Lwvc6O3T/0UwQ0LqQ0OxA4Ub5PXF47
mWUpXbRy871blWmCMEAnFSv3pGdyCvwuIX5mxxdmn5VB7ncWo2CXuf1TDBzoy5HotsGwo+8DXwHA
696lVTiOatDfKXmz9eyAUfPZjmzEkKmNzd1A052BPmG7t18oJIeyEfOlAqcOaUUQj9074E64CJ7Q
bLf2GlmBfIEdLW4ZRfUPk+AIPLGD/2o2YbUNDESDgAHZ5EJuie+0LYtTzb76R+XivZjI4+Dk0s6w
R4RWIWzt3AJSYt5AZQh8pl4Nk98VhM764uHo+tl3TXHoMRs9Q657hcPLYeo0J4yiKAS7omueiceu
V2Nej7+YeprYgZbyCnH/e1WNn1HdVecEPNovI3XVMc78/orplDkP5sbuOye0uc5iik07VYyE20Ge
zLD3903JKzv0VL1wKZkRtX2Fx2K0D7Ehq0sTQWFcGeNkbQpEFhtpIVuwqQwuCW/lsfCs13yM7Y+G
IOPvqeT5yRDLP4/9JO+DVgSHOmCX0pShxOQ9hQdvTrNnL+vnI7uZJ8puGA8T0cJ7NAn8ipPZvwgj
YIul+wn6VeL4B55+70mTXPkiI1aSfqXla1VOXLNJ6VQbbdR5vIp6NAxJU0FCSD3zHtUMwVPsaF99
ojyfMRKMF9Mee+ivfXVBPfbCiWQ/KwK/TrpgP7ueFD2rnTUeO0Ny3Ol0ApulDHkkSFDRAUi3eskC
fTIHz3sygEmup35+RAT4c5wwwK4UUK0V8bjtqTRnTYvmBqwXoa251RRuZkYU8IOjElUIg7iGrduK
iLQzxtGSzDPPP3RYuI5Z7pp03E4D9IvDCzBIUX0jdXLeQab5MUc2RwaHI7zQXkJjUla1loJRzeQ5
4MLGHmk3pc3y0mX5fVMhBpAoqY9mBJCfDoxiPxocbEBtHF9aq7G3DJa+t06EBBx5jIVUGrk3jg6W
u5NgrVO43YHXyz6wqgZmvxTxOQ/ig7Zn/3Hyw2Ab190twkpzyxytv8UIo3+parQQQTp9+zPoR/sC
Iq/6Pjaz84SBb8BeFFjPPerSX+gUxl9NUHmHwsAvwIrvEWxNc67NcLwzbF4zyImPkW1dU0+7L0kQ
brkVTMo/Jz/CufgeVXG09u2mPif8NyT70mgxSvpls4FHw+TNIDUmHGb7ETVhex3z8ceUxZ89RgaT
BGVUqHOePUusMLve6Zorc8t+2GELgQDcWXeRP7P0FbUMz8E46nrViMrZLVNYiKGsWBPuz0Nrlz6Y
Da9jGzyyC8ClgPABJyN6qio+Z1H65mOmsLBvp1ixMRKvTZG5zzwaE/e2yIKVL+Uhizgxmr7hP6mf
vTuNfoyhn2vv8E9i1ipc7JwmcIRVXzgW71OQRVubrvxCrLJzbQrwcaprNxMW9E+eemMzU6E9pVWf
bVWA4iTGBQJ8lEB5t6L8sLQSnyM7g4N0YHaxAMLy5rEyf4qMLH5iVTQ8u8zoj0kXTo8tKsyNbLIU
5YyoUpgGCZbBilXCIc2DNxPQ88kLA3FuK1zrRhbFX0w/mMfG2GIRR8e8/iiNBzf+WaFRBVeRFHN5
5/ci3KusPVYW7yxQC5E9EP88d3eocOQuSipUyF0C/L1EvwmWCrwhTxnrKjK8n3hawnelKoMfTsXO
Q6ulYpxHTBzVooMCVbM8PgSz7R0tmJ6ktwp5MCQomdpJ1Z3EBZl8g+oTn8w5yjee37r7rI66bRfY
7sVRqr2UVu+CQGPdMm2SxiytU+ZlsUgoqAc4u2mGqY6JE/ufTQ8QczzNDcqNHRuS8iAl9J0c0TB8
FmNs+52akay+pybT7Jgza0yGvSoTS/0qfC3lKrRQN62GCSLuDaiCrS6ya9xnQjRmuRHxrC1+SzQ1
5jdoYKF/szyQsXeG5FI8xCx3sW0HBRjCmbFVAIAfsIprPA9O4voXnaE6gv7p4Dd0DIJtt20WF+q7
mmxhPKAly6Mbq9xh2KoG9MWPCWIGZHG0b0bxNhsN9KsVKa5L4jgzztRcmDHlyos/g9q0sl+xMRjh
lqUve9gcLjdAY3nSboPXaaoZa4geE6aEeXZf2qS8mn5KEgDD5SfmMXO/tpAWnnOs6fcm7/wh9rs2
Pk4hdDOwUKhnxqCGitUUHhwZ4IoYNYONNkX4pGz7UMqBmSI6HNfK7lJW5b+YJWFal5Pz6Rpu7jE8
s2W2KQk6+GJCMf2c68E6KTOQn73lKO9EWladX7HXRMGuNPpUnMaq4ZmbOtf+WSexsa6rwNx6KKNY
2YQKMSfWHXNfuMP0S8a0S6MQIcf1hPUAz3pPUsjI+shdjb5r7ZRPT1REuj643CXjtqhal6tQs254
VGZo//JH2R/hhNL+jAHSnjRpp5ARBULMajULxmw3t55HdY6k7Um9ZinhTg9uUldgs4o0te27eBwS
+003Vp4Z69HKxuQnos+YaZotUxTjz0Ymq/yhwLwdIYpzJk8313o2JkLn01zkKLlyv4EarpIR1CVh
PxkE4HpIKLF9X+lHAV7YITajIwMeN13nR4z8Yx2iitt6cVLtp2jMX73W7vyNqnHIbTwvHO4ZaQ+d
QQsF9fcxdlq1lmH0wSKhfy+r2UvxCKFIXyAz0po2WAtYNG+rSRTRK4djnr12Hc0XAWtdfgjGCduu
om0ER9oTMkBZDaMcmUZeRdyZBuAwXBA+WPqHdMjb7BkNkaOAshEkb1z/dQlO+v+ibBTWCJn/9xlS
iLJV99W2n+qPsmz+0N9l2YZcJNbCtT1BMKBpe84/Q6SWv2VT9WCGs2QgHP7nP4XZlvybb5NWiJTb
cgMpyS37hzCbvyM90mKX/9P1Asu0/zvCbOuP+ZyuS0Ib038hGEA4LurwJcLtd4F0PWIyOdrZuNFc
fC9Asef3OBv3mhzFcl0IjobBGJwbEtLqa5xHeU3YL51g5xmnOhr0u4Q7dc4SdAEo1bBWJ3b+KEn3
SP/fyf77r1bp9utfLp919y87Xf78VElV/vYw/8C50CZQ7P7+bP/zL7t/PuubT/X5h79gB4PY/qa/
2unxqwNx+++RXcs/+X/6N/8h2X+e6q9/+9cfFbX58m/jwi5//9j85ZP2P/CyfP9M0s8//5G/P2eu
+TfSc03BCEkwCOBW/3f5vxB/89j80JTxOCG8X4wB/5D/I/InJlUGAaf7bwaA/3jMHP9v6P4diaGS
Dd0Sfvbfecx4xn8XfufxZIE3thyE/xaoVdNegsx+95TNsRkz8I45HNFoHrhAjXdDi+K/yNL+08P8
28cI8Cu+FI5v+473pxjOEq6VNXuutUXC5R0nT9RbWSqWMPY0vE6O+DnYQ33oMR1wdJfTVeK5OoyZ
lX2yNKHAmPsI7EiZyEO/ZE3MOYL3sMXa9Lsj4vr30L9/KXVxRaSqun/71z8Glf72n+lidXAtx/Vx
bLh/igJMBFZPKNH21nXgAzPLpB4t5iA6azV+0ciGl8Tve852tj1//cl/SiH8x0eTMo4TwxWu6/zp
o8vUGpLJz+ztHGf5I6o+9aqKwdwiZW13s2ZgClgBuGO4QBpiU71WaUzrrdPuUsgWom4//RcRjf/J
o+HakEwIsWMYyGH0x0cjpTG1TF1a26klEGo1MlGCMVoUP/76J//PPoa4TYtcPttcnvk/fkzTWaoQ
nRq3yNbaY6oGeMAuA93/i0/hffE4SGEDOIsJ5nfPeSVrBih+M26JaQrWeVwbOxRM3//6Q/54ZP/2
O5RcJeRJ8wjRjP0pVTPEMOkHSNnRdITORUiTMR3Tx0e7k9HGIX4FhbrIt3/9ocv38x/xlXwoJ4iP
f8JmS8898VuS+e9+MtuBHqf60N5C6/4AKUbImG8znQ9KCpiKdgYGTLHrCkAzQV+53/760/+X397y
6Zwggc+3ynX1p9jUGZ3u2MEZ3bJmvLo0yFeJ0+Hxrz/E+S0N9A8/pBC2x7/e4VIkrdP80/kRMWDm
bezSbQO1eEN7NlxSGaWnDEknClxUY9D1MLgJu2wv7eBEe5apgjMGYl+uuy8sS+qjxmeT4WlaJNQC
h+VHpC33kLNMOcfZkJ+0j8ebG7Nn+ctP5IXzyAAdjc2tRBpHGtys5TtSxIEpE9LUvV90GGDIq0i2
vStLtAW26OWKxaV+0e0EpVU59hnqXQ5FpkHBRlzIO5sDRJhp4K1Dkae/vEYYzwTtTrteDz1dsQ0E
C6hsusU63Z9IHy4vkMxZd0yTs3MxNq+cJv+aoq7+0m56AfAWnjTaJqIVTCZ9tmuF9wVpB2wextQ7
m0MenBjSLEE/vTP/nJHUnAr+NDKkIX0BgMmSAL7S1K1rbLeriG+qINawtt41OHKu2fK19xS4loSw
lnU9Cu8uLZJqHUvFBAcI085Agw/ROrJD1rsdqbZzqXZBPvWv0oELkaRFsDHmXNybEQ0T8LB+/oys
yWBBTdW87gvh5Oh+EnxPA/pWzI39W+fkJKKB60Fi47nuJpHjwZeaJGEYqUjT6uZod6lz8ND7Hj0m
xfu2co3m5PArXMtkfIuprrfSaaEq12N0qDnEEcaY1pF0cXlEGsC6ffD7oxa63nNLe49gFz5ifjlX
33N2M2vZTSUNdU2JhGByqeRWmVV/qERmbuwBXn4fPk3aeIw0hsDGNHdZ6zEl0Zgdkq680yxgicKJ
lxBpk812LQ7/k70zWa4cSbPzq8h6LbTBHQ44IDMtdOd7OU9BMjawIBnEPE8OPL0+ZFW3MkutatNO
C1lZbdIik0ES1/H7f875TmuNchtG2YDXkJt57KIRsUU70S9iLmnKxdRqqu6nHvoT+XlBsJYnqA43
RTlcx46jtqAMXnNBEiSzr1AjPoYCZGSk3Psk6x5TL132S5TU56CKgnuv9YtzhSHoXFb5FYht+J2p
u9faGU/Klj/99AS44bN38uvOGn4A0kJPmvsLzLg3t3YIXiA5bXIPUIgo3HGH0xLZGuvalvoPKLyZ
GCk5aN0BvjME3tEAeAblvnHBKVa9STeVkk8V1uOT1eK/Z9OHDqgWtuIxmurcQ7Vzw43C5cqyHO+A
n9KeOUkUZ7DRKeXS0BEzm5oj3Pq3kCrAHAnQjlTnUBcil8fOMvIcN2N4H7bZB8bd7pjMyMnYVTDv
ZBEbDoV6C8MFZOdKoWbLg5425zR6jjacsQ4Qa+VckZk4Ncq8dzapKT8p38qRPUhl3Lt0KR+sEvZG
UFXjPX2Swfs4NAvVivldU/bBfVm48OpwuuyEha4o2/HLbSy0fM1f263Rlc2RddAXYehw01ltSylA
3e1Gy223/RK9VFJdVy6ejTDjhxaInyPhug3i6K+ViLAjDPSx+PVJdAJTFdNKgM8nkf1Tbybk8Aqv
NXcEPlpKFZ+ROx9zR19FTc3qPKjeVs3m1UrMl+X70R4EzbJbnaCKMMItTMNPK3ZCWhExy26c1Jnv
ZoY+GEazs+WpSjezzaPV96GFUbX7CFk50EYYH6cg/snG6q6q2lc/iZsbT+f9wYIgldBCMCL948uN
sm2QmfQ4J26+wSp2zEQIH8mjG8rMD2LJ2XIt7qGyJCaP+Y+PU35vbPbhklU050FNzCXgAKfaqWv7
y9SkH2xFLwOCKgU5a+FZMf9CfaDgAogZZk/Wv/Xw2tIvh2gxvw+BvqXwttw3uK12duuGe+WUChcN
MCPsg+Kc2PFL2aVv80RQ/p+/q8T/NkNSqe1ocoG27/sy+GMU/vP7GHuilhE3/E655TNt7wFBERJh
8wZie36oGiWea7cQ13ixKeQkMLAfsFw2W0mpJm8r8A3nhm30ua2t1dkvy4xMSWcLZ59aRnylRNh2
//zvzHz7j0MEf2nuJgxITC2CaeKv41He5XbWJLpGKaI17AB2r6at17D2PLCZsn5jDo4QR6aWvOY5
8EbU2DorGroBKmiJB9P38WOSFDy/IRzRaJcXVfUxdUNANwZz/wFUPGzasZ+eUS27b9prKrUVlmXZ
J1Smmfqxbph/gvtArU4Wm/gGbpS1GIJGAhqe3PomSPsCTVBYw96UnvuJF26+p1QKazRsAEEiWfvF
t86tDOt/jfYMvg40tkgXOkNtO61glGPmtw4jPKMPPibybpXq7onyoVTJkdwr1StWco91d20RjUjm
jHgAgGEXsisuCShDhJQFFQHejOmKHVJ7dhvhEHq0635hrd3JsT4bmjZ+sWfsNw4EjOXXRPIQ4Id2
k+Uhth3QLXbT1vau8rkT7gKFn42Y38TGKWJ87FDPSq0PLE6rz5CkR30IRktau6klQoGlri/uqHs0
2KdRPF7cjiI5ROw+u/cVVPJj647d2uXmG5+SYxnQugZ9hmuWMe2mVkrQGkN6kWrGfiLsIAN7fMR7
pQsYoCjeOGo0bY3cFSkpLuw4LMgRtgW9FekIUtxrQW/30jH9xbH1FOxbjJlmW9hJmh5q4LJ0lZRp
9mq0JeNdMoxBBiatIjlK+ojdfRgRcTuw4S3mq0CbAGMte8qT9iJXbKWdaTpvQHtAEU+bgMbiYcBZ
TnYOOmlAjJn+Rh1GXzQ+j/Euhxvrbqdxruj7sdzkN6s3Xkkk0zAM1SiPGz/PSwaauFD6KJvCNvsW
6m3BqIG8R/vOGg/g/+PPgQoJ7worP2YFlFEpb70F5/m1dlskz02hyk5ccn8sKcsrbdOGZx6Liv1u
Z+ZxZ0UyOaejHJcfgT9a0y7gFv1qESbDCBTb7FgTnagLJlnS7SYXjtkOaSCY6AKGr31fmOGlLW1e
I5UOzdM0NpjGYt5gqDjuJPsNQTn90MiYlFmURWBIDfWc/bZ2iXhul7kTe+qfoO5KO7LNVuLx4iXU
wDjfAI4lZDXDYnryqqR/i4WwHjyxGBIMOhrQWNMMjPbQ/mrm3PwiCufCLxvaZku03h1OM8HqamdH
KYx6pympHlqKCVfQ0Aa0UntKv0eNJPBNiXQLc3vS2Jo47Emgp/1CjqAYPaoIh8nw6wIk8NklLgcy
eaKe1zke33hfuKLFl2GN7mMS6dbb5LjYKBqHvQeMfeYusHPrKH21LD8PtyRgh4R78DJew+ZN8UKO
HVFxT/LaVcIk8Cybjt6d0OcHMdfCrKbcZvTpKYr7tcmhkhclwIHcaTHILRhC3K/rdeC6zHRN/7iY
QhTPCasnWEeSwexqo/CmDWyi3vXUQ86njN3/iXMSfyuflQ63OArxHXiqqaXlPcjcI+FtGKLgt3Eo
tpkTvC22TvMr4S1yuKQxFg5+jB5O5ACjMiXSg23ODFP+LxfD5svcVtI7CIH5mdmidPoDx4T7o5hT
ezyMVVHT1WulCwfYsLZeElVeC35m/ZXPXoYFq52bK4O/7XaaKT9bglx6F5QlKiMEvzDyEgBD84tR
KUGexUSYq7LEcBDBlaNbgAaOwKVhGSf4vi4VnuJJdh2JZnCmje4Juvb2qKCykSVD6xo1HrG5zVub
Ng+LWpuSX94X56uCulNz1UUWgTBDWUCinhx3jOI98m93v0xiSe7Yr4I+ylyPFh93hdE4VIxi+UKJ
ooytZGYG45eUWEbYxjwHAACf88lB2Rmrxk92sW+yGgxsM915eMg/ggkQJGe810C2nfvlgZtR+hZG
cZ1vYGg5d2gf2HTEIqIPj0fkjKuMC0/jp0CBAoIw2Ggxi5Tbbj2s4FL7EGuFbNsfutJYExrS7FDG
uB9i5bcnm5xhHk8fcUVxH2kDS7k7DZ5hF3gltS+eZYJHpAPHIbDQIIMvgSevp7xuHvxgZcQrq34a
Zy5b2xAWNsVTln0uMso1OU7XzhpTuvSctHxn75aJF7nVcKObnejy+oU++x6MAGDT1YnCX+M815MO
mOQG1z2Krg8/sfyo37QiUCXrQIW87/3K+h24Fj26mXTJaZo0mo4+/YyAHGrH/UloEt5SQ0HFa8HJ
v1YvNGO1b2mcxylDrBpgK/GIn8sQ1Y8ErRLsYS56Bm4kv8FAp4j503Ed4JjXlE++cErjEec3zbSb
zyHn2IR+Ox6VibKXnIvORLGwAWShWejdsejFVQbOkPeAW4EHLAGpZds6+0NMFAM5p4jxhSY6Nea/
nKgzhwgCPZ+AiCSwRZ/MBMk8iV96skqMg162NqL5AVYj2TuiOMe0x3o7apT9mmZ5H9AtmSARYHEL
ln0zx9MzmchIQ+kCoD9xjvFgrfevQPrPMpymxx57DLkTPBH3Uw+0YLfwYqV+S1soO5PHVW+XJHn+
EUOuS7ZVQV/yrgVr/SOjnuzOSVOFq0JTBEwpVQyHMgkmHAHLGOcPssUES+sVwcoN+TYqdPOIZA3/
JJ4/6lHSIlzoJXvtR0oJtwYpibZda1SI++NIwrMMugZPOHATbihp/G4VgvKaKLXGq0IPuXtFyL25
BSYSPNJ6SchcSsztXNNInVEIqPLwUIwawzr22qqhpiH0n3hdqHab+RE8IUuzuDsk6JeGrzt0G23r
EFVL1ukvTAQdNugBpe2Vy1wCS9YHqvyCJ1WWZzfpooueRPg+SrKsW4cXkqFpognnPRvW/qlOXZqJ
hyHtvVffHxQ5v2wplwlXPJyRbrHXdKTRtAQBewzf3F7xpi4gRj5ga6GrUDNAUNVaoK7vZNOPPNIM
cUdoeI0Fc31u3h09JgEOp3kO6MLr4Mf5lrAJvltAb7iYa3kDamQBBwrfCRw+k3Z+cPgHx4XEnUOW
wjRPNG2E3GWSKf6tE0JMjJwBD08VxxBNPeY54hVWS4A76FT+O84aDhAMOpG3Ti/pmkTs6zvVZ92A
PzshwPzH/P7/Rb5/4cH601VmFXb+Ltjc/ioQbJ5WJNJ/+R/fbfL5F/rSH//a3+QX5BLbRifRPtKc
rf8kv6DXcdlhuR1I8Qdg6e/aCx7GfxVSS5QR1/F5uwYsPf+u8eG8+NfA14Gr2fJq5w81599kp7/r
CyhWn+a/Rb+r/0BvoMtQ/uXmRUsQKiN7dJ8XbyAdMrJ/vXmppENMGLGC4IeDURrZE0sUmXcaOoDu
h3dpFBzB0So7zRbIBhYCW8zodZh2u/qW7DOGV68YMC60wOSqraPUqpavsWsawtPBf5gaJ4gCVjN9
FD5mSrUjve123uwduwb3tkA05zWsouiCCCN6CuHKIQ640mPNBJliSzxucwkEZctcvwy7CApG9ysX
Qk9ykxcyIvtqQit6KAdiUTs34Jb4k+O7r0H18V1HxwwQt8vbgM+9gTnpmBrDQKnCcT+1Rda/TLr2
qC2UKjA4tecFB0DFzYbCQF7PTzbUjOyRovq6+MDIi8sgKj37Abup8i9eRXSZMC+R8J0U2Bk4y3Bx
nfKxHf3nAUihy3YCtT3b0ZJT5h9FBJ7m1PvBtKid7MOqODMH4E8aq76VOwdTE/x1IrRuumBb0A6H
hcmXKboFK86KeMu3V83vbh9Yy2UyTV//Bq0XMHXg1+uSX1QjY58nxDrRrKQWETDHgGLt5Cnj9Uah
mYjT9mfsUhN8i23Uh63pkaan48xJ/W9/6HrSoVxBu99zpgUvA8MUBOtxRelbcpfbvsi5YBMfdCgE
bMk2G4D8DMWnlAiG/jY2WzvygIugvLESFb82WrAV0SloqwH1FxManbedIVR7fIMjdHWsnfxlE34Q
CRHO9c+3eXeXA/BzbsegDJY3a6AEDxe9SQYTnsfcE91PZUh4vi0yNs0PrpNVda8bLvkEg49LlzwT
Y1VX2eSAJKkzck0T99c+029q9uqvNXZotry+3iCRUGUWgVNdH9wHEjMViWoDoKmaQDMXDaxwKCWU
L22MMfl9ir3ZeXUiBux3vIn5dOXKlqIRm+AbPtPExlvvDzWopp0mWu2SKaCF9BngIjvFVKUVEPBl
oQ61rw/8UgFmW7FNWklbLo+xsy7EOjfjr2MIg2GTT1LvvQkdkZ6ZQNsA6T2YktU9l7X2/YT/M8LX
7XvENYhdJsRoRK3m4TqZIfgcEwsb0YenRNjT72JIJxDBpwLxLie3LF81r+H3LAcigQpA+LXq58Ih
Qp+PBz5h4Tt/VBIZGZx6w4uvQbuI+N9NkCMkXGwAmfSH2e3YP1pU+tBtjruM1w0l3Bkf3D6rlPWW
jHM3fsxFEExfvuoC/2x7heVSPpZPyQ00m0p+t7adVQc2K0kIdKehWCJeq+G4Hzio7ndtV1f9abGI
nyJk8xbv54b1dNw2f7t/pltFpp/gJX4f0vB6LAjazVb1bo0xYZ40c0CZxANHxy1knOXCpY5S3QXG
uthMPquKXZBl/kmXC6VNAQPVXlW4GrYBJQEBuFmqEGUw5M22Haz0OpvZ5VC222XOVbj0xXLCWqpw
1YbQeTd2Hfk4hqeqeBuLgXXK3AbZleW0I76pgqpGBjHYr26t2Gbljlu+DbJYfoeV8rihYcYfh2T6
qiBz7iOI6o9F7L8toTs/hp2rABfxTYMDodz1wMUoOxaZ5eGRX1jsG+hIkHNiyydzZtNZ0yTiuFQ0
ubAa5W9WWF33bgLjAc4vrOQzgqrGxDRGdz3/zV3mrYgp0pn01/n5sbY959iENCxQ/lmAXi2mh67M
HHkhc/ONEsi6PkyAdxAqrt9RN6qXVE/+vLWZk75HKdh/4N5yNtbsa/L8iZ72hd+L58hZFhLHrBq/
bUJAb5oLYr41tBSu1SsekhVgk8vgtehTwNx+KG8yy3EJyc7FRc5eX0IIuu5phqEijJKUuziwcK7R
OAVd0m6ZksrOMb+HdnzpWw9XuZ7G8k2x33jmBJC485RFQ2qB3fIMjkl9+fkY3CadIm7Ptm/nlHJG
8OrCnxPDlbjOq37aQwppoUDJKb3TTaof+DGbs8c1+2dXrxcEUfnDYfT5pgBY2axZojJaSXO2gzG+
EaI+1dJrXyde9pQ1U8DSHPWo1GMOG55TUcdvpU12MRp962iHQj1DvGjf2RYNB4Hl9QD/I3msldPt
If/Zp1HDD/RpyIid+tnOTHM7qWAK7+bOyk5tChPBqYuJMtnWna96j8MWaOGJ1b2c4FwTQBvm0r44
k+2+tCL5UE1dXgQNxMC5XLHJYf7+EDU0aLZz6kar4Y5Cnfy5XmhpncXIuNwu8c5UVb8dk/C6Z2Gw
dYe+fRhAEF0BG2YUcGpZvEOh1hcpPetx6uYM+0RV3dlhhik+s6J3SlHaI17Fcd/YrvWdL5KlSdCk
3BBrq1IPbOSb7FzPUB5nxU9h25mRQKKdJtf5MnxHSXpHtP1cQpilc1Pe6ynrnlTD3I0vUL02VlJu
nYSWKfwbGLiHcxrDvV7J3/Z3mFHb1rbxFRKgvYWzE/9gFSyJ3nc7jOTqHEQj40LXXRp44Sv8moMF
Ew3LGdMibnPLDJ9NULkH3nxf0gnpSIM0TJ1nMRwD3L9X9VQeSgqOGrZ0uVufay5ZTPC1PQIK7u/K
TpkrhhwQwATlrlkFUFJbRO4PxiDL+9mgHkZfBrxFwC2/bB6z3Gb1WVPaSZiRtgbi/2H/yoIRCkrr
JRhAXb9iJzyy3KprSn1akGq+y7R2grBlikfBVUa/54EYP2K/8OpdBx8cVNVQEv2jbI0yyO86GpL5
wCkHi4p3/i1u29ccgPx70cacz1UDglpDrCESEzVXTj3C7esDsRtt+Gtr/RUHzMBKqdR2c0NMN0Or
S+oDsSZqeKmFuMbc6L/x0bAoxbLo0a0cZ5DcYmiWrpg1fxiCeIRl6vXYpg0EovtKguoPYGLmTxOD
QdsEY1L16yoF+AldQJ9E1CUVYO28XXDA/qS6A2xob3sjYPQR5aO1oAikcJD2gOUJStf1nUxTJCnl
A0VXMdZQq8nxl9MjWVyHPXUEVZT222part1waqJDUZflNfWiZhOw8z9WcqzIeltaHCxBJBSHK2Ft
RuecMG3HgbrxpmgCXCCHfYfID6TIb0kUG1J+LWu6L8oLyyd0ufLdz9zsbeYi/WZA+z0a7t6CFcbS
HEYodK9+2/WncQRMaobqaym0fWpStKYotf0b2luKm8qbuoP2F0pfJukcB6LJJ5wEpBaCoeWkdIq7
drTJs3osA7qoSx7HSbFgii1xCKeieGF5ulxcNPvXWNcvkNoJLDe+DVJoGX9Lt6kB4OjfFU/DcSSc
sgUYa23qNSgzZuMjc0LH2zQhDtQ0gUs4svHvZRnG53TREWtLagk2/sq5W+zwJqu630nuptaWDwA7
c6Wax5bfpnPpOsApHYrZq3IKCyIPgfSxyuMPVkveCdgxn7hOiuylA5twVCgUt9U0QJ+oyvy5g+Zo
NlxFDNRW2OhHkj/Mp7qk5kNNLRtTkWb46HXvZsDHM5f4PaAghjMzTmC15Td7ouFMZhp7fGdsTbdE
IVk9JBrRkUpk3v6YM8BO15N3rjF8EEWj7Ik1u1Tn1inadE93xZo0iNrQukB4onQkNP7AJjaUL0Ua
ZwEPZ93vKj/Ckm9Cqd4s2brfrjfnH5IKxxtimYyLi2p/ztzud0vRsQdGt6bugz6I+pcj/eIiStoj
vSUc2C0vyt4DOql3jQX4+6HINTVMk7dEzHTdfS4ndTsWpj0KOwv2RV70j1pI97a3Bc82BjcXdaYa
V0ZCMm0Gia4McqZMLp5cbBZrdsuT6LSaqnbTp0N2Q5foADCy6LbCQPDb4iVgkRFTAbFTFCTvqABc
rhUlDDa+2CzJCaTLlm9pxgoFPdPhKsgTO90Gg86ewTpwbFkzcvSVIfp4gu3kPDaWPZ+aCrDABXlP
h7jcVPcy1TZ3jykFkDF3aoaLqAUMsC7OhHkduvmGVAmwBUGxUcykTRvyHJeEsulxusfEbx0b4i6f
rpxsZ5Nn1XDvcw6f1Zyl19SKRB+6Y+NyjuxIahpNq3Y/4RnHSTN7HFpr1QKt5qkBvJDmLS0wlUtS
GBrneAj0kL2TKWcKzL32GbomH8WKwZFEsmt/K78v9l4YpmeLU+4VCTH5GFOR7Ks+Hd/aqivvBsX5
RFk0VADHKziq+piIAfvNu6kHHbKtZZX/CB0SBSNvmHndxca3pGCGfYwnZZ+6ceUzPTj2beJk+jao
1Irvd1z6qD2686oKlwyeC0wMeRq2dzmH4hnLorr2lVc+l6QU3rUfMU/XqqcY1dR9/VjXgX1ogDZd
zXZv//QyUh5lCorK7luohrx/wi9V0xdMZc305Dvt9LCUw0oQmLupOVZx6u9silGOmZd8ghyKfmRj
lW5nRPubnlVERdIsTHdz43SPQpXLaURSQe4vdXrdJL5/6btqOtbWTLjeLt1LAxxuhlmvXtGOwjPx
mvlpDq30t9enOR1mznBF7wCKhs3O2Y0oJujdLr71CpM9gkNh68uNcdrgB8geYhnkPGCm+0WDVvCQ
kC09SBN0gHX8s+vZAx2TRXQpAzej0oNvnyVwTnpGQdvq+6a4IS7BjZvk5XVcwG7h4pbNty5PsSVX
G1dJ1Sq41DWyUbjOTzcMiyuyHPV16kSCzXb11OGPIYgvRHUIiJl5B87v2d80QEmOUx4mFxEN0LBo
EmgZadv8x0q+oY5g4QWtyxzeOz3gtADEhXgg79W9lo0mau5RO8cEP0QZmnYYLfwbkxc8RJFX1bxo
ydqSAqflM2V9srIBSI4aID2nnrGpRE91VbDTrRl/NS1kTDIJ00stFhikyriu3EeN8H8IwlUjj5MJ
zj1yeHA1LzA/P5ZKB8EJBUODfiwy56xU1hhQbF7RHZmVv3Bb6V1od9P9WKq147XxvzHbjO9dgsSE
VOQP6V0lXBZKPpO+vemp6V6xux8UuBnznI4ZH1wDA2eTNVP0GoSzd+qM6p7YfIRHEtW0cU8yst2z
4zaZBlYWzafJtC7NyoULZ7CwnQA+cEQpuU+2rbxYJLNQz5pgui6H0k73Cys4pGu0kkMQkstIqsb9
8iIbuFNGhmufx4zjW800tZ10aO0yK4c2vlBalFe23NPaCc4Ml0xGQaJKWR7zjFP/XnsYDnbGl/M1
m52+Rv9riueK12W+RVyxSHPaQm1Gu25eDG3h/gazG2uvgDyeLpLic+iFe+nisUe+96h8GkZ4MJP1
aXdg25bZYRewOOYpThN1zYTq7FhQaQBl0r6lfDl9oEOpPMrJcTZ+W+qbwVLmCcNadst3yk0Mifnd
46hfmz/mdtt2RbEydx0qSX0aQwsobHveqxAFfT+I9os7zzdN31QanZJThV7jJDm4tEA/gruJt7jO
ckKOs4KkxJ0rv19JBFDSw8q1b0issBrMRDFT0EZLpL4MVGjbj20ejCzemn7Or1h3RNT3JDJO4XwN
LiQ2TS7xqSWtG91bITXG7Z4nayKEIwmXeb8BUgzlxxAVtDhlbtv0CH4+3aOb1iNG/CPxOT5OQ4bM
TOl2CJP2rXcHEt48hV5oHWUxxkOwq7m4R0cqczP3ng71RZ1DnRL9TseJmwxaSxBexXLEZUbzDF81
7l197Zra/57oUg1+Gh8c0tpmyeG0rzr07+sRffueq4NKCcJOHsXKc5p0Z1X5qX+I6fj2b0IutuGD
GzphRaEWu4LzMnFUHpY+46vSNON+lVyWG4CdKW42wZsZ3mtZpMTA8EMisAC5joLd7MpQ7EMNMGkz
OqyhHuIirfNTKkasKnzt/kC+LhD7aBh7cFNxnxymgtfMY4NeTqkjfAdQ93yaYF50fr9ctVk2q5Ob
hZRKsSAq9FVeKQhFlFWyktzAqRLho+W7fPGOrmh/h6CooiOrwnk8R0FX9Pez1ZNvdwCFzcfU17Z1
yGK7LE59Jy3rPk3qoDguzC9Unc30dZwCTBfhdW4bdDZEqtl+YZnuceyW6UAbMWwAwDKaa+J9gGgM
E6Jf2NT+106j/dkGvxv63XxtTUvJdKx+BbGoL50dBst2joNoodiqq661CMnUFTFp6YNHZd68tSZh
e/QBFdC9TDFdhwNYf01oeBc3fDy5neSnheSlN2Gw2+Q97MasW4qjowLqOSgWYO4vvI+E3o792Nrh
C3sMJEG71eeB9SF6qhRX3ry05xCvDi2HXOPBDVn7WLafXi+TrT8MbxQ6wuVPZHPDAlY/u4Xf3o05
4wX+H9LuSIT2dGf68qsJzYvxC7Jbrf/WzhA90yW4JHV3kVjlNjB0WN3jsd4zdUHJjSk6p0BBbpZM
pnROsdICnfnaLkwctEKTn2ssGoV7qz2AwSr2YHrjI25qKPcEIdj4MYLhM9zQenLsHI0B1W9wr7jL
dAgLe96IoB/2bMbFvds14ZbiZafYJ2Mdh2e3G/ErJ1hq2KpwgM9KBWCmRfIL24V/cA2nbJZ1AuOV
jkfHviGDm57iXF/Rbwzc1qmKvbLi+dAQGup891fiYUSG4+82lMCF4ohJMjt7E4zSeK7lcw+e63uG
B3XbcSlrNxyEOZXtPu8uSDzYiavhRgxD865s0ZPMBIfNjI+EXvPlfk6ErU6xWzo7AFXqKkoa8+2X
QbUp3Y4Ptocj+xjWwvuIUzp5F5P/yMc+eh1rC4Athc+fTpjqD7tI2Fnyg33THXPH2MXJE5BhoBZG
jLc4KuZ9i0a0ZWFW7gtnZNc0wgrzIakcMB+qg13Hr14VAFpeXQscYs3E5EQj3qM1ePWp8/AYZaUH
lWO+c9goQq7SL6Kk/ktkFkd1g+9FDXg1AxN+K8oOziIu/I/K9Vcmb3XfyOJrrh1quwJV72BEvQ4e
ReVCK7GLJ6Z1elnCq1G39b0uzC9GeiC9ObTndT+zgYcf3Sf+7O8g7dMqrYF8MIN94GuChxai6MOm
BaiCb5MhZTqIJS7fliprIUwqgZ0jqZsnyvQmyhpSkz8uFV7M1ZlqmYH2M0o2z8VAC4TKccdXob1S
thMS0U72lBKO3oRUBLWAnSdmy7irf42Z/bj0wMz7+QVb/QmcGnJHX71Zuq2uUrxVCRnOE1HsU5w6
03tJy9JNMsyXkOz/3nMU7t+4VseQTuCrkWYkkLS+uQiXfc/EXHtuoLyQVIc1S0GCOAZLGd0mU08x
pC9+UxDPOKd9ue6A/XbjQZM5a6f9hC7Jmoct10U3ZGZ8YJhVjlBC1BhCbcO8BUTkyLVRYaOO5t3o
RdOWfMYbZ+j4PlB8rUDCnTF5jFtngAy7Hxq1+tLS7tQH1WXOMeO5eEpYLxYOpJhQgGLv5ejc+Vpn
QFyd3i24Qanyws2tjHeCz8t0zIEGXtHU5N06Ho9tvSTmBCZ63i1j/lrbWOrXXrMXG4ggYh+FCuhL
5UXH2BtJ67q4T8qXNvLeopYnM0t6s8udkuNbi9dCLmrLL2u9saWm20DoYx2W4JXec4N9Fbn4rLy4
2WU4eLcdwJwjs0CxJxnvXqtysL6C0FCCJSvAaxOwnSWuXjBfZyczoHfh0mT2w/svL5gcaD2Ai/8K
WY3Zj9aUQ6JBvpIrp9w59or3EQFx39KkuItGWsvrFLWNi2PqPjh4/Y99sh7kTlSvL4I5+uIiyqwh
CSfgactjzsGa57iK6guGZbDPPkb6LGx+iLYWWx2xuQZ3zYfShz6gRRLxjtCW2duR652GaDhym0m4
Fve92qEQUgJWTsn1UHjDhe0gZ3g84KvJu4cZ6OcVv8PyNw0wIQsGYDo0wMUvahi66ymFtRBXDBsb
Kzcl31oK1mTdDn9bPeN0BbHnRc52shtU5rM0QTvaFZiBtovtDHy/wprUTVvzyJJNcH8alshnK6ix
vLLppNbdaJ1uAgh0DIaDfKJcpNlRZvYRSytYSNy3YQqIjeLC3UB+G3dqCfjhOGnpXEza9q8hq9Qr
aK9YxPy4fkDeLrcZiBdGdFZpWzuZ8ALFifWLBQZDNOkIrjziRjp9/rKE6XxwFnCSfZN84cKPdiyl
HkQZPPRWBheESdHbqiVbdmmzRDsBRWc7ZSqAuhWTuqM9Ft/10MidXfufSQocsECPCPdd4lGIu3C/
X/ETeepsZU1rbjtHbIQ94PEuUhpTbSHvRsRXFkCqw4wLhrs0QPP6yvOQmdt6gm0s15IDGNaHep7n
A85H+Dcg8+hfE/nvYSkvqTY5q3d7vko6Yd1xXnvHGUAPgYnO2mHbtIFlOHgn52m8+ZPD4D/Q7Nek
2P+KIrneGhhe65I00VwlsEz/VbBvimiyHJgu+KiIUhgm3xlEPMO5/k+c5H+NVvlgX2xsAQI7tiKE
TGL+r18onNyJpt0i3baY15tL4SXSXM3uIuz/xP79V8c6PmNsEI4WynWE7eo/Is1/zsaF/jylNFAk
e1Ask95X5H3SDfIKrp2K2XEX8ENdGNMCSvkizx2P//wH+g/m8z++vsQzLx2pXTKt3vqD+JNjfmp8
KqK8INknpaXyDcA1rmUu+MUHFWsHDg1NKvUbBop0vLGHXNCPUbNpUI0LToF3b3wdgXcIbkQ/dO72
/95a81xxLSz+MaaMyePz30PLN8knO6Pqu/+nf+r4u1p9K90//qHV6PPv/63/NxLPco3g/Z/T9c9D
mxW/AWT1f009//Gv/c144xGH9zE1/pvvZs2PTr+7/r//C91m9EQQ5AvILMr/Sd15LUeOpFn6iTAG
LW4jEIFQ1GSSyRsYRaZDSwccjqefL6pnt7tzdrt3925vqsxKZJAIwPGLc77jAdH5u+/Z/g8GFj53
AQZcrM3Xn+K/pDeOhyonQrOH4xAzdeD939ier8/O3x9i/nT0QHQJDgAA/mb95Tf8h1tuTq/Eeo/Z
LDOlca9cdwL+HDHjVMpLVJ9Nl3+4Ov+LQ+Ofn+W/fV6Iwsf3fcsFi3l9BP/h82x/REZReyGhvT3k
VkNCJqbyTO1/c2ZYV7/2n78YeiLC5BwQIrRkf3wQo6DWwIK9o5nTNZOhaSSnws0hZggm6jdFSwYK
uzJBeW3BikfYfs0T26556rb/5of555OSX9q1fA4wLq9LWJ3l/iltYqRiu8h7kROsJaBASzyT9duc
a70y6fjXF/ifz7C/PivkiyQrjxk3B8kfF3gZgqknGynaTQvFzNz05r30cnmULKFeLcmqscmAlxr2
PH7960/+4/j620dzx2LfBySBy/+PS14glsUNPMMYDyx1qQI3e5CMlW9A9kbuxppNXmZYaJcTxJXx
LuM6J1WYFs8js/eatyjQpqJr65d/82PZf94JLmVFaAYBOYGWaf/pC7a6ppgRJUdQvXCRMAoIDvBU
yHbTNmjCdCHjz1miPShkJPmQUBK5Gg1bxd6PNejmf3dn/rcnjh8nNF1qZSeMuBf+eG1ilhMstvmC
2pW0XIhEvU+qCJEh0TUeVB1bwqX+nRfrvz1118/kWY8Q9fMshH98M1eyE2Mbg89kvEI0uCDEsGE5
9a+v9H+79eDcmvjKcXwFaGitP5z7ddSOIU47zJVZNzi3kzXL7KEzy6khFcGovxYGfdFxtpugO7Ql
TLLzv/58pId/fNUcKhEvUG4/YCXkEv7xexYMNm26h3HfLehGos1YAn6kNIb3AMltnD5mmzRxVqLe
e2/N+QseVmu4RDrq+02KuuejIb/uF6LjqoItUBNH15n5BCg5dMlBSXNmxZsUjyzcZ6C29l2DZuRO
FT0GDmbe+pnwZrN/0aH0H2yl3QDLjLB/u020yDtkQ8Sc+v7gipeCiTJaoGXpzZ5xxKS9F3PWA8zR
QLLeOTDQH4cjw4+wjIN+RvfsDqiMty1xYZe8C6jvwG1j6/Q9Mh2v7gf8uUAYucRauLvev6ZyN4A2
FGviMUtJmmh7UKjgqXz/jqK0+0EWTH4J9ML3s8HE1UefsELRjCOaahx8G5juguYeJHk0xK1ZklY5
jpY0486y55l5RWO5v1OipPUT+kIPWRSpFuM9wr71d80kpAXnVmdfeMwXY+9kHmvCMQQAzXA9R400
EwOED8Xl5CRxQNqMPgLSXVjZru/oQ0bsfivArT0HCSC9QXXyJ5V3JDk16mziwpnFT7UaoOdbl3Zl
00O1EVdRCADAayBiePZznHYb1fX0XX3PYYiCzsmjs5k7gzzj4i2uHptID/titYNhuxrmSCucOX2d
4NwnnK7zbGNf1/akb2RAH2PXjGtYOnf4YoHLetN2SJlvAmP3AyzxHpzYjk1rxriuv+YQzxkDKI2+
f9lS1c2/hzbKzMeRYxHNWu21S5AMfZX9GLAlOT/ZrGGy91affMPMM1sTGvBQe4/gcVHUy2zOzM81
GiIDKvbQNk+6yyHxegFu4Js2IG06SPh66AkL7gz1OnH1lkR4spoT01Qj+Tuq5WxgfpL3UXNG8eeM
FgotDqFxB3jE68jMlbPLKVlLks0WJpWM3iS72bAI5LhvPYWyYCrd9CvAFVWeygqpF227kXlI/miP
NtKICo/EyjmsNowkiMNIVw1K2IuQOjCR7mSWrB6Kzc0wVlZ6HhenjrbEXrHOHdwif7bohW5qrVsV
T5ELOaz3HBFguY/8fVWHyHNT6OdWHPqVLHdm65sDa9GlrGLUuv1ti7OGHPQmm44cpQa/ixthJ9N9
5crYQZ7wkTsgZBMCvYneYX5WmXeDRYOLYLYAUOAT5rPxiSb8VfCXDwbPlmKyICz7jdvVlxdWuo11
lo2xEjo4AZbA1xGsVcKBMc7vTMVtbvAZ/O3n0gg1stVfUu+wWq3fJHiUy59QHQiCoApajCQiSLnY
uXXnm8wlu1FthGgXRlAIopaklUIt13NMXWBrz2kihOOssVkrzeo+EMA+WSD7e8+rCkQCQZM5cTHJ
zmcEDeFjw0YumllPF0S2sSgzrF0F6Vtvm7K0kwCin7P155BWua9USdogFpZ2g/ACmZ/I89vKnnBA
dF1OgFqVhdj7cjb+bdzr3vquUuz0Kl+zv4B61qVdM4S86BudhFlnvyaeIxkRtLOoNz6SGXXbiwId
EN5voW4FzANvrwpnvlQl9cEbiPLePKCJTrGOoD3yiy0KbVwNG53XzAz50jA0ogIpnxpyFT7GGiMJ
yYpooYzVmun22xZVgGJBDqm9dfMfobV6RGEAk+IgS8uufSKikf01R2HKRhnbC/ZNyyr0BUearE+4
ntrnFayzd7FXB4GMkAZ5CI2yGG8xMEREeKUsV/uRzeCSILCLpsvseuGSGH6QsyAqcVrsWDxVr+QI
2TomF2CGtSRUkCBmNOBUuChWcG0a3b7LbOc7KimPAS6b/ri3oILSV5rO/Ebx3bPia/Bp7ziGLWyD
uEnTAxEGg8EOAFHhcQ3qDP4+oVUelleb42YDcNstE4WjPtjCTiYqxJ5s5ECMo5t1GwHBzC5OZ8hf
wgTW/Lg6kmyza2zEw+BHHX416RAbgG7Gv+lCFbqbyk0zwoz4y1PYVZMNO683JS6OpvhteB0E86v2
CuFb54XnPI2G8IYxUbAae0SFg9XBgq0kqgoUlyNJbst8VmVHyAz+DwDa46ydL3IuDLIiqinULJTS
BZkDw0HmHSEhRczPkFnraASxUPgovAGzFtGxWU2A8gj47EtLvRHx6mqJUCtAoui7IOg686xBguav
0iD16NK7SF1vwT1mZSKq6IqSRyvE9Iy7fWzsu8pY1Bq7UDslzr0cqvXBlY6KojgbkEes2B4z20b8
7g6kTKWYAJGeRUQJhrHXy8l6401BfosLrcU/t8PQrTWalUoup0Hl2fQGdQqxj1vOjkxy9JZhUrJ6
PNa+i1gHXbzUXySbBs2d5YsKK25n4EN0iStWZE+xEq5Pi0UY0F1XVAhVFLftK3Oh1cCayQbuiJ+2
srfGUqinYViFfpEsD5abuYRedU9cy3iPEZVBqOotJz+1yJ1vGKlVIORxaBkQyOtcPGF0F7/Zw9X9
ZWD4AHR5GaTYr3OHYQdTphi/iOjs010ANHh8YwTS4E2I3Ebd+7073qdBVWc/0celr7lrVMWh6pGg
MCBv4O1mPVTn2CF3Ub/iDfU8wDymyMnYslZKw9x/lJhT180yDWmwN0sLx2BUNuEdcuXQ3o5rJzi+
UOvjDe+lXdxZg67esi4NxNazRs6UNCWwb+v1ouy2GTWRvTH9MDXYSJmoTNs56qetDrroixiY+WUp
58bfjUYU3vPk25+BWWTnHsUV/i8Wcd92N68PEckA0MJTZ3gihKFY6QnX/hbxSdCdxcLO4Jc7t+KR
1IAVhjDW7O6CFgMLpTnzQtoAbDc+NW4AeTeVAZA6hHyl9VMBpi53fl7L4Wn0MhNuTwguWBru2J6t
4ardZ2aP7Azpuh8x1S5TCgozqx+QeIz1pvACevNMBK8m3FJjJ6swBCDvoKVnzBh5PUBIc+iPnubd
vpt14LVkSSJ9YaXHWQCLdci8rUe2xnWCbMJzN8gnCuOZow4bPGKlZmMHs3S3mBzziqBy12SLeXXG
b0wbmi2tipP9AMnBt1vBQn02JofQVgtd2W8rFHCNe12332oO17di8iOoBbzy2g13rYV7uRf8QMIs
WKnmwfDRtiB+CAmyLZYzRdawf1uzT1q1Tt6IlepsRsOqguEBMaLsEtKfywKg7eKDA+uiMfwu3cHr
fpqsMlh4aAairLXSWVCoFouwi7ge3cI7koUTKaSQOJlQmVZIlT4ojdrbpkD4Etezk+HvdysneiLX
wc/ODuBVNnOejkwbbVGTpskazikRpVNF1oixraizsTIjrDZ/eXYXVrBjg5RLLSt0ux72xEs2zerd
WMt82udqml6MnFT224hyFaaDPUz7vnaQaGR6qc2YHUH5gosQ1USEYBzzLxRnsKXUr+3OZ4SR7QKr
Io2r1nK6K9hGA8tNazYOnq98PFC6ZoPaIanAqdoN6S/TKzB+EgMSXTQXEN1uv5jsdb1gQAFHiPZB
e2VRJsg/So5fIo/eZhKRAMEOrvMuhtH4ycvGlbtmSStWQhltCBl5+fweuMUstiaxIJARxjzSWwvi
KqgBgRQP10qTgaarggGdLNv0LG5aGND4ip3lW/RGbRJFwbphH4WG/dBIJuOJJtXQhZ2tEXN7acVb
GZwUEW8sGyUCdbMPvkzuk3FrdDzlSd7L0YHVUBF5UokVkrvN2+zbw/9xcdMgSrfN4DkYfdt1oq7s
cht5cYdPKkAX3B004sZ8owJLvjogMIJ9q3QLHxmFJcr0mrupVTk7OTG11i8Jyx+1XUN48bZdiqg4
2HJY9cbz5WqepGEQZW4GjntIeY5vM5kFv6Ev8xtYfadJcYJscI8+CVlOWObcH6vb+Zcp7Mplv2Zk
GxGePOvf4EA4akaH4OadQICdJ4672K8SKISKQ2lMCrlwznZ6rXNwy60VkgMYlLV1wroMw99XlvJv
MEFXwZGQ9YUvoHRHG4acif5jC8GpnHczwnp6JrnOzRbdhebAM3sEaUCT682amw7aHy8gvWjhwxMr
YNG1t3ulMI7SGJsbYZXZK6MQggqMxaOJveJb+WKHfHbjtB3Fh3NNfMfNb5fIXptp/jnD7XW25HCs
n81SgKLmVgWbrXWBtbQf7RV13rpmTqIB6q6xM+CYO6A47VEQe75ovoghXaqj7w2mhyoTNwnLU5+g
s0pcwyUaz8ncO84nf956/APW3xJ93//DyPv/bJ591/1qnuTw65eE6Pn/w1CbodT/fqZN4Hg+5//s
I+V/+C9arBcwtGZNEVkMrzgFHYZNfxtnG370H1i4GDyG2DmvWxRGcf/DS8q/YgqO1w2vBl0959T/
HGhffaYhr3M/AhroMJXg//vDO/qvvKQUuFe+4N+Hv76LUByBEbupiJb2uqf65+FvqDizFIMwDDN/
5Z3jCqzJb+LsnW/IYbJ5d9n4p05BxQprY2YtBkCUxq7+9LR0CbCiwHiXFmiU3Uh9JLegITW4Scz9
DtGMeuXkBGPePEp6+hzBBP58OooiQuMBghYfIcO9xrrrq1Dy7C7UbBtvQDRyga7l4ryvnQCnPZnN
3o0qIGcd0nnwWmc3lx55erQ/fT/u5Nzr8gdOdOwncIKGek8Zqn6rupPvhRjsYB8SirjJNZKYhiYx
TqP8Fq/P8jwAfYK50oL7Kto7gwXjjqh7whd0/sOfpvbLULYXj/OAklPoTzNHPbwuxgn5cbrNgplU
MFmSq0ZYzob2B11FbZFeWhhn0wq7c1l6yJNEKfcWERBHPUdnjxfBnUPIlU+YrrPlYHwg4CmPywHq
UK6vFUkl59u1dBCo4aKB8ZI9pDUWgbAYbr1pyY4y08PTNHfII2eBPQ8ADS8YT2JCl78a1sKx1Qd3
7N2GYz/D9g3b35ZBxKpXrlvqeWOPBfQFr+aUgC1Y94EuWpSH9mcEcmA7RJUbuykKx67Ohx1aswZR
QPlpiPC9WVpnw33ZJr65fhEHZNyxvibcjzxCBm84ecnluBq+8pkA3OlN8xAgUOZXhQmBrh8200tp
6/I95w445J3f7QyQxVs54OInvpuxSRioaXnOCaw1v9Xalz9svCrkmivQSE+E2+ijH9UpDoR5ls53
CgUl4IZsDWM78mJS9m2Rs77Zd7knZVIYPvnaiB3CHYmzfXbKpjB4MlBmWZXc4OOoyDZzsd2p2Jmt
UE83oWTodB9oifB5F45W44W/GWNdtWoimKDn32fYfRQyAoUyPz+NlFZN7K7B3Ce9VzvZjpSy6ZGq
sdXnsGVoGgtjsJ4UM7KPYA3CrSHX5QBzoX+wWE88zGocMHp5ATJ9BKobgA1Ep+XSf+O2BdZjTLBo
HN/DCWsSCJ6VQ3/Dsr/77QiW1XBDGD5Av/RPhNjqWwTFAeE3bZdWxvhjzFNNYENRpluqedjuQuW3
1uLcC8j7MQ1HvZWhAVkiQufhxvSN3MWhmrr5XHNehCdMgboDqdYby3oAGdNtXaaUZ5p98xBGsB3c
lHR718AdFGU20UZ52o+XkVHicBgBT+KupTYa2k1b6ugzyvr0UHkz6AOwgIj18Y+nhwkbOC3L+JLB
Y3w3FKl+ISpPAiSBVe/11GX3bssoKjCYzESGFe3bsDH3bk8boCKaHgIDKG8oTTdZm7+tHcqnlMHO
0VIee30UCbgvB8Idm5zUumJdT6NbA00Bg4h4727M7fzMeLI5dmLggUXCvKE7UPtQuMMbmT/GGT+h
E6tWhjfhCkJIiKuymciMndArF8PBKI9Omv8E/dRGKbdKQqiuCVNgBgMwHklaw1iemO0QJkxcxyMG
SnhHICQQnxNZU65ReEsR5cRtVJgHk/7rrDJlnFl2ui+5Z+L/EFTf4zhUO70WxzEDMIHVkGjL60eW
UvdPxM+EGzP666eKfoiBE2ujAIv41HU9n5vL4e2vb5Dhonlol9WJCejkTzB89WtYhubAFPqjbI38
vCjXOA1tpo4ia5bnUHNJOHvTOykpMC3S93Dydvj4ZpSqI9Ek55AaaK/MNkq8qVw3NJEYXwdYK4q4
+7seSeQurLh78g5RR7f4P8NUFx9/fT5RCdmrCvwqKQEYkDklIiKmuYZM2ZZnc6nlMRwwb94IWpJX
k0fvW4zEPjRO5nwvhTQfxiooPsYAiNeIJPGjpNd6a5p0/VzquY6v1CrSV9ACb9EwAlMlsOIohRE9
B7gTn4a1MX7k2NewmuCJKK5bkL5qwouyfLg6dqh+58oQN+UYBufIYvVkgVXrwldWzthYj11aLEgm
ucY+4w/BuLOaT87id3A8S8+0GBW6tmUDx6nAL50QM470qgBsjkbTgvHPPQQ6LBcSqfy7tDWfZF8+
aiI2loYZZhuqXeapBLjDsQmmPRP2w+Q4n10YtluzEG4MbYVougCUQNaFd8ohyy8KrftQrK9ATEA7
lAzJwDiV+7W2xmQ1iF5xZ4AsvHP0njZ62ERiLPcuFfgubRm0aQT+AE9ysRN5hJEyzNwzqc9jYmYN
gVozwya/CaxNIDxxGHxu8VH59dXrIz+C3sLWjJOXYBr9g3VzzvVvn0s7fWds8eURhxOTbPBkDaq/
5V0SbSdFcpxlAfEuJsXdzRojRmce7Zg9kYuASvRlgXgZ29k6vulMdrsAL+2ZgtpISMnKds1gLYk/
ZkfGgZqD2w3BGZA3poODac30ggCgNk4O/lOm09kYlgTODPol34k7bZV3GFuDm86DNxYqcqvHIA/P
GpPmtizlDqlwtOm67CVtYGgbxMkzIcJhKovXXq5JhyaZXLLZT0hwXzcIS75yN4fa6FsNtD17+C1N
JoTMLUxa1hQlVG4FuNv0gZUN4DgvqHekBOFsI8DYcFW4F26L02m2Y1341UUQdgdgr14w2Klw11Ro
swP6j9Nsrgyih+nI81ok5Ff5u8nqjjRDnNVttpVCNx+0Q8ifHOk8KCKMEqFmcGhoMu9rT/aPFpHs
W4ehS4zxCnjPENiJYKl3KGu0fqjYCJsV9ZjHYCQDSKCB2xxmlooP6CCOVINhge1B2YQ6uaBtsy7L
b1fQgncRcsQ9ZzU+boC95gPCquF10C59OdbB6cggPYopSEPS5lteI7625YmG9Bvghr5NbUvdmA2s
JVxlbC+67jrU6VEYEo99tHhJ79KawRyvPF/GqTs5CUsh7ld3zm4B0fZ7JMLDM8wzd+BoawnQwlfw
3hDvkgSTB03PG8btSpb4cZ5r/wTSYt7nS2/A8gvLowe27+z4+NsU59U3Js6OW7Iw7grcvdymorxY
JDzvORet4+y72M78ha1VlxkYVlaShYAcR44GEqIh22b5VeJfyE7HgtzQhcSSjK0kTss46Gj4O9JZ
CGhrB4gHJZxPbRubZjGHJzSIJbgNKkY/1AKmVaDfZ9tgB17ZpHmJIRCP151lHHh04c0CZKjA6LZT
zVQkfZ8RXJkhPNhN2iKYsO48kHVXZsaq9H2n7OihS4kNn+mwR78E/NYq8F8kkN5HSlY7CVqCW0yu
L/OiWfG5EkG1UeB2iE4Oy9rYL7X+Jeza/2YAbV4H+9u+E2Wcl3T5eYGpCieVSharQDqsGPtD5kgl
9THvpLBIf0d1ne+Qhwfk6ZVvslTjjTXk7QNaaVb7TfujzwcYbkA2Tg1hPs8kQ7Ldtb386LcAdB2w
yonUk0/Hzx8UBs1v3uiPq01uT8qrbIMkCAjJ9JiaUB6UXWgeImVPh2HgbZJGDApdzXyDqoZTrV+C
1yqSz0BSnROAnG+Sr2mqfWovz3DipsRWXymLl5mwVxZykWiG/WwXn74qyOoRxUcA6mWviD3fWFN/
Bzv2igB3XRJ1J960HQtmSo3xivxgIFWa1daE/7CbZYB+ubEv9CJ10ixkN8FhyX4giLDyDcFy4VmQ
87FtOwEJoLO3EdX35mpS2C8o3eOB3g4Md9Ptc9P+CAvyoCi4mg95vSMo4k+6gxhoZG10SN28e1ia
QGHOrvpznZUNX5ONDx0vzwma4LrNTf2km9A/YMc3WTIExMONCpcoEO7G8z/CanwpGtfem0G57hiw
eVu0QMYeG4HPJryCFx+s3aMRUFOGIrx+qb+cHI9Zjsz6HjDGssMl80uNBoVuP2Cd7IihG525ebIz
dOnQimQLrNi3T6vB/t6D4sPNNqU/xh6obUyBBVSBaonUpbU/lvACkijIBtzO0dc82eW29CeGNi7f
0zjYAGd41R0qx3guW+dI7HZ/Sl1lHtje+HeM/W8M11oTA7H0iUiVqy0M60XoZighSAYllZhRHhT4
NVFcxg2vbbZMqM7EUXgutzMVeCyhzj6mmWO8KkwvOD+WBxI2P6y1q14aHA0u0uTH0XCKZ+HadjK7
7K7pq8Y9Tr7vHuHXKWKBEjtBf2cuxt1qtrd10CQqpNJq2H6xUyyaY+nX+giSB9k4pFvSjy5ga8LX
1IIKQrnO98jmdazyiFDqeWQPNVpb6SFT9yD07og3LhNP2jaholXnXpQrm0eF0xUKCAJsnaIdL+3S
3M/RKg9ltcI9bkR0Ru1GeWa8syydbliPgkuqjflXWoTDD4ftTxzWINJcQ3kHzi/By7JLf6Duam5Z
jKpk9cl6VpbBKwywZqwWIkKdnJon5WL6phL3KnCaGBKpd5e3GQsJn0hm9tFS3cDazEgOdbwbz0F2
lNWTvC04nGHAASRadd3f5rauk4GNb7Ox6OK3iMW+GxcddLFk88OiK4NAYvpQihWfhbH0aLz76dPN
gM2wP9BxZTF2pethmL4YEgAfvlvsMjk6bM9OfNzlF5ACHyzirJ+YZ2rm84V1yr0eywcGaeIUXUDQ
ldj2V6Ox5sx+Ja9pQAaYBs+AuMwHwXrgUkQdw4VFGRTmGJtmoQVLyvJhZo/C4pTwZVAtVyo2mbhu
58XdHAbbSvbzkdUAzOCsZzMu/LzfE9Se3vPb5bt+bG+x/qCYJnvTe1oL9+fgE7S9EJbGYLFzoYw3
zcpA0h4/W79mSVEgaaBCS8kwNalEpqlBw6Ng2rD+qA6eNMxzQ6x5HML1u1Yb0QN4/flpDG1Bz04I
F347KDOAF+DG4uI5tI0HpUUU04UWVe7aQATHObPGeELq/dxGdfuI3JnXgMs5e9OTt3CoKzmcHRwp
t1Mazt+gJTjHa7IXg7IST5hvmZWuYbNbrgQi6cDux2KFjXRoujvAL/1Ps3e7Uz4ZGchI2GB762pg
la6X/WBzDya5vXFp/kVmvsPuGF9CxllgA4Jq30GPhncIfWJdiFnsK29Xerp+w6fUX0gmDDdoF/LX
nmz2C6kI5ZHYmY8BLvOOtGqdTIN3tck3v0wCac4Ck8ElVezLLHdaDk65SKqJKdhkIY9cVIjx4DaW
2HkGrrIuFV/tAgIG8sfn3I9Tgk4FkT8A63Vs74ZgaR6Y//u/Ux8ZiCMEmH8qvgc2j3nCrny97slE
9940XgX2vczjoArdJGDmH5tmNj4EFOP3E83WIcR+c+4YOmyJK8Ib4fWTHxs+D8v1GhHocSXa8QOt
DetBRJGxmUH8Qpag8YEXffGosnHB2d0EiWKaBzWiVknUBAbost54i7rUZZ0BQ6bt0/ppVRVBmhnb
PK5/T3ZU1uzHjhnjprCVpO/xbG5CZ/HQi/YzvlRtz5BDimw3yRSsZDGlt0uE05SCto4bLITvreaH
GonswQ5u9v7B7voas1AIFyCzjBdf0p5kwyLjyQ7KpLlOCUwxsYoueNtChD9GLN0P/FzZMVoYJjFr
qG4Afw6JcGUOqiavPlDTWXtVyuoQtHid577WP8eOw8cU0VCRLCDcL9/uwa+2a/gRem25K7pmOqyI
EA/+2LR7zdjmrTInYCg58cAbSCfWdzSZzQ8ZkoaN7WiKHq0uNO/6tTC/mujK8JqBiUgZuL8mxknw
mDEht0W4bCYydPfRxITGTrkpo2zpfjCCSj+npmhv0wJgc0Mw6kVg3sce3qivPJquGLPyFm4tSCA5
Uth40dK+62VxH20UMGTeF8vPMO8kR4gbfs5IT86dYc6Hkhd3vV2U9h9HzyiewCBzCKPzREt5bbQb
bZyINl1jwKD51u14CbUZXfNG1A0gBpeFyg3MrfzcFVP+6cDXQCRS5YLwErsu7tn4BHE1kx+68Ud8
0fM4BFffUqnPao3YSGW+g8+o9ndX9DhCgoD9lJXlvHQKaz5PRtQfXfi59Gosd+5YhQSPTNvKG6sr
xUdl91iEK+NqeVLrsJ2zcH6tLWHGqeb9j1BwfXbFNcrUn4y40oa9tyOhTm3OxnvCSU+tZxi/JjSz
eD3zewxJ871dByRJpjXzMyJwcJX1nI3lehNZkUhm5o1ELgIxhl6K8q7R0b291Hj2UdBu9VR1Nx00
ghNna30L2cLZIftY7ng8rg4SIb9xanEfiU/Hjj4Nz3xyGa5ewAC9Sit9yp2Vemg2Z8gLyxKDSd6F
mf1d19MEjTt696diV0EX2OA6E2eGi9WztFybKggPTRm8+Gg+tmHI0NDUYm9Z0tngiHRii6dh52g7
9ihkN0YHLjarAEWyi983hdAJASIc8YQfbjrdndjNy6fBCLltxvIGnr3NcVet+7nA65NZtn3qHXuO
K6l/iGZ6a3s21Rn5HWMz7wG50OGl5nxjoQ9FXFAfeMAxPFtGetNJCRKFIfc5MJvgsMAW48IryjUH
nJaIsoDgBlkc0b7Lg15GnWjUCrEZlad2SOUNbRIedmtxP+egKOJM8OZnNf/gtNfsDfLiyeIhlT0n
tAfAg/vLN7vhyS9HY7eWMG6VQyO1sjLdOoPlH1QG2t6QYDP8DDgCvVXE6B5EikKyeUBmUKmrWY4u
sijeJrOs4yBzTWJcpHGT9wbZFsU6uTteKdEdNoRsBwfruc4rC7QyRmZDq3rTy2tYvOdUe3zq2cMs
mR6AbzLi0RlvVkFFP4J0OUzTII7RSPQ0+UDRPhgUfZRDkw3DO5lC09sOvmWcnL9+M26H56XRj1FD
qUxSrAszOqXq6/thc+2s7Ijgkh7bxDb3llM62UuMQqa7VUV7hJ372o3iBsfrdzcXRsw+fd6ZOsjJ
1BkfTI00E9MO+HMzDQ4raVsxWTtUf174GfqwE0TYvDHigeuOPpgmKmQP6wj8eem1bq/tfbsw/12n
eme4tvMwdw43gKoZSTvmFqai3har0W+rK3UGuwDck0WFdxkP99a1O5I/irI+hnVwkSgmMZS/QR/3
rmHZtMHQtUs3fx2LvEWhC4AHQHe4J82cVX7pQzJhLRuznLiBzfiMJJ7328BMtnH8SxOVw8YZ2Bg0
WaZAeATLbq0XfI1hR7w6lPE+I46hTRfkr7DWnwNjJP2DMZ2N/2MrjADopWue07actoUOVQzPbzxD
GX4ZyXVnuNWa8KXMNzAygqOlnA/+FD0jW4QJLZ2FNJkcCjW9aIJHwjl13vQY+B3bEUhZt7C8BWt5
H+9v1C6gGBq9j+z5fc6iJy9lJFK0RcJJP8WltFPO3i48TktpPlM+FkkefcG9cJjfQRMrzeiZOvIV
gvkdjQaCERKZn3ISFDX7nNvSCsz9ZBIF5RrWd5AGDJq6GOrXxhoQiUT92hyUM2XEHy3oK0PILAiY
NjgkCXS/tgFR1ewrt/ueJSTs1n5J+xQJ8dXBixvhRBJCcRlgWojIKmI7aj78MGO+VdP3WDnYbDwL
47F00GnrlNeHQW71ZS3gBKWLOKnA7BLbsL4qq3sWZf4x57l1EsTpHkqclIca3UJMKkB5FqgbE4dS
7WL65YDoIVRk8ETzTvtrRMKA/e0Q3/BUmvZCdFFP1FDWdQ9O2MP+a7I2Fhm8apr34UGstk6aZvqZ
I67PLwC/4jx75khXx6pWqBarSSc21FBM+a1475bOiqcWH8ZqjkRnhO5RKqgOV5JNPGJou6rKKrX+
rCfrMoppD9Zj2eBvxRwz3bUTN2DupeXeqoqfunUfuN5HRAM7D/+v85/UnVlv5Ejanf/KwNdmg/ty
YQNOZjIXZUqptUp1Q0iqKu5bBINB8tf7yR5/45mxx8BcGLCBQWPQVdUlpciIdznnOTx3G2cZzB1T
172siuf5lklQsvobVJtei5zfNKnmTgxkM4OjeWLT9uTMIlF2fkRGuG1sG8UFSjOrmfgKh368I+dj
C4P3qiLrzch41fv5SNpDzq+qnwiQYRkY1qdszKPH2zDxaOy1Ki+9GR4NO3y2fBK1JhcZHfhtz6l2
gQv2I6rs61wClmK/hnSTCeXWN81T3cmIfnLw33JB9lM5Uv62/fswG1evymPXklD98gVRmnUkrOQh
p1u8mTj67+Za3ucEZBjNuOWK2hK68WrmqqBxIaDYd4AT93JnLYt9VHBj7kF0HrqxSGMRFu4tkQlu
xMKuyzYK8nXnzxVzw8kQYXWaDK0oswB+3yoLD+FS6tdq6ytw9r2CiVQv83uTm3o3r+nN10phZpo7
MaScDbxHdRSwwe2iB9K2nCQcglMGovdukOB7CGhqEZONkLtpCwHop6PGu20iD6GO82k1d40PpINR
Q//dFct4nVEAnSC6FBeQvz2TBPKACQ6B0+XgOm3D4kaX95PRxqwPP071b+5Q6k93oGCXM3MXHvIW
Ebbv0a1TVwPPY23gLMbOlKLfzZRyRl/99P3JjZEm5ixkTLWdozVDwSXZ6TYmKVkpo6d8coOdw08G
YRfYs8jh9qY0IR9rG0ix8xST5IxpRjEFz0VoVocpIAPDlerLBSpytFhSMbPYKFUc+QnGVIOg5RcY
hIPuBIeG551sDayQVBRWGgaolOUNL9BpCCogOKZ59dVa7eygr+MGW3adq6ue7FdWodXG79n/Gz7p
EBi9BJJVsaBjD79EBtSf8Ejc2aXfvahuCk6hWz6RMn4M4RYkaiCKypmtZaPc9dHuwd40YupOYlq3
/o1GtLbW+zSGsDKGvow9hvPSNatHj58olnsfU4p3S90L9guLUWATC8rLSMZNDfNjDtP7qsmewDdt
HRlMbPjzEeEg5Ku8NoFop0mnvB8ytH6oaa6Bvq1M8/rC2ohyfMs6BUVr3A5pxCrF99AUZQXPsXPN
le6TriZmDzX9l18VzcHww+amYg33RK8HlA72Dk3gsFXQvABnbTMFwK4LyneDoIWmqm1KxfFeGNrZ
uxhIklUOT7ACaLm9p9EPxEM2B/NWYMdGoeqqbYo0N5kabmWOT+cUtkGMBgjHybjmp3Eq3GS1AF+D
v+yZxQESFilNaOB3TSwyCFIRSWptX3kXEDR3spVqF7TZASjLQ+nyGJq3iyalwRBlRfa33LG5LOAM
OoIJEBtcICYP2gwKIhJQ/JXB0iI9L6pEsbDf5S6FQnUDBbIqL451yNDa9O1ga9AWbNJ6Onu1+zyt
k7+bPf04OChGzMB8k7I0NyQw4ffNuvxYTPaHMzPG6JrLmLUNiri2vpgZSSIE8oHmcmlUgsWhu2nw
6TDFpbHDB6NL5p7O2+RAIST8Nest59dq9+mwTQe291D7oO0dnQ763d08rwDV+0HWzoWdrCViy5sq
ccTEZVnnocezBWgNJu+8F5lhlIknIy22zNHFR9nnNXP6Ua7fckZ186NklERcDcNIDag5195lpP/s
dnXoL/mV+z0VD8Lolt9rNYdix6od8hmUKFiSTeOJKilSqLX2ZmZV0t1CpzBllOgtrTPqDwpCfwny
96HXmXM/em7QP9ksxaimee6r4jwjAVRPk0gh4RBDNJRbhUapPbVZHqkkYt3N8N6LlB/3zjCBlUSn
y665Agti3GXMXpd7IEh8c2naMdIiZkWORFyQ/GoD+pws8lQESfDu93bQqP+ixVoBlpSzC0+Euudm
R0A8wXNMApcPA5CgJ22VxQSWJ4yuqCnCezewPmdihULhQTucJj+u/bbYE4Wgn0IHK+xQ9sNBImcu
eZxU9qMpdX8lTYZce9GOqx3bJndpbLZA4hB6PK0kVbw0WQUJI0h8ZMxNbkFwaNSUZJVzDXXzk5Ct
rYECB/HwItxHFufdKTPCPow5DdX65mItD39PQti3v3/y76JWvuK18jlg8gRX7lfuKmsP1HEflWLf
kxfIsv68eIW1TUsLwErZIaj0ydRLVyi3c2AnLC/qo5z4xZbso6NFTuVWDBGyn2Cc34bVO9zg/Hcp
Yu6kpey9080CUCea7bvGgx0Z3D6kFgYOo2+xF4bTHeUcLXvt9J+tgdLSjhp6pOGke2o8uqOZA24d
Zl5LL98ZGeeoj5c5Jt2HXdkYWK+phOlGSqJ/qSEAbJleLkgZyvRoACf5tsyEaQJs+taP1c+OogOS
jtiXciWOqx/KOAM/EhcAp761ffTTXsLyqDp13wWi2gO1fiErY76bmHw9DkNY7zwky0lZmD9AqIEi
y5GfbhyDeTQQsywpadDaTT6V3UeA/XQbrWviQqTdo6w/pmM+w4tErUwSHIuIYTmxtCPaM+ISjBa7
37mWJt0wq32qhOC7yks65VbOj9ktV9D3miz27ahkfJxmBYqG6BIG4sltw/4Fi3S1KYlbekTTFx3A
yQZblivDV6qJEdWg3nbR4M3sZqR1wL/V3wkh6SVKNrW5ILXH4bvfcM9COBRDe+RtZ+4aYv1ATPNz
YHHAcH/dOS2o+gdAcyALq8iDYIAHRafVe+XTf8qCq62zy2f8TISlhXO4Yw37vM5Nc4luGHyJ9yVR
gbpRWZtyfutcp6GYQSMFbkYrQiZ7PnsCeTq4oRhR1w/kYfZnHRHA8wiUpvxmM9W3krYGdXQNl64k
LsXMzRP+4v5znUiawXrIN3p262btYqN2v1UFLEy2c/0ryjbvDtGjig2HBadaxQnPDSzlUabVxQ0J
AoTrBRwsv5GImLn0ESmWoNmGjSWN9UDNUb6VVZ+jecr1yZYpNhD67K0M0/pmqOQ52LWp0HksFAal
jWx1b54Ig+btc0Y1hz9p+loZTwqzcjin7RlmOwbHQZ/mrHOfDM+XJzho9hYEsX+NmnlJ2EmU9yO+
tKe8b79skdkXXmIoKE1tPGKyfcQh3h+FMFxwldae0fEvT8DGNER59iePo3B13Ufg4TD9Cgum4Eqa
cIoGKF/Hu9DPfjh198rmUW0XcmnVYBpHgM/sfIviaa5Y5Llkv2L/u9nasTkRB2bGHZm+cun2JUTU
eB5WfeSESDwPUU/IS7JrDJLWeciBBFleanEz+9UlC8znKWK3B/lnz+YL2Iur7yCC2kfbAQ+Wkp8B
5lsna1jx2Wsti2tgQjleo5Z9JPrrDfaDbOshEHi1+zG4z/wmkDSGEohyKcwYR+IIiYr8SQn27HUt
qzcy2rm81fCTBmh8QoJ3y6bUzznH7oruap5/QT95YUBUJIp9C5v6Jxy+ZNmCFKb+1i+UoKS7mZwT
A67LhFilb2vURIxna31KpcmPxhrZiWu/vXUXWmhIJ5tljsbynHkeCHxDB69O5bsXcOd1gpCh2CPM
3pXogJaoQRXOKJ+/m/lWiBNFtcrvdg362vEc5APce9syPpUZ+jvmROHRnolkCNWNWoojFSYTOhUt
QqRpDglV4If8g4M6AFfjuIyxtVbWPWnqPypv0BdFyjz0QUlqt8pIrCiEvHdmrIQY93+CpEq3vSqq
u0EgWyWLN/vl5wVKoWGnxzlhon9ebN60aHgGH4icjaXFoRmmc2AEWyua8kPjIOhwxtWiGCdAsHNM
EsyULal/YDAYfpcMLBokyh9W76dIWQfFSs5egCk2UsWTQBEhS+s5ysb7oOnPDaQYJmPdlPSgaFaU
mhhGazdQO/wjwE5L3BoQl/KNh1JpK1piIyrsIVs/R44P4zU9SOH2B8Xgje8X4ReOhjeShLsYiDHj
fD6lShY4fMqy2ai5fDKI1DPGamG/FZFT683pZtTLylXvXbtmqu7q1mOnxca8SBt5Z1Sg1xGDYilD
6pNblOQE6LISqQAJ9VX4Tnp9yQTF+HKs5XntCeIbGb/vKmJptC6NhDDAtdvAiEg5at1ft+HzUa/B
L9DJLjgqfxp3FaXChhC59djyYV1SOKJ0IH+Kv/9vhCpNv8SoxK+/oIKXf0mYynyMRdf+fyCI91CI
/2tBfNyh8vrL0z9lK93+zP/QxIf2HyjebTKULBaqEcr3v2niw+APTibfs3CBWzdYy38o4i3rD/4A
qTlk0QQR5ShieXbtYw4X5g8IxNAhAtsk/zJww39HDn8T3f+dGN6DJARaxvMcmJtgUCDY/qMY3oBN
atZLVCW686lnQ5PnRne1OMHGhIXKoYetl4H6vbDBpRiGT0gl+8qNQ3X3WRF68v53n93/BgHj/0nc
+J/yfL4iMnY9ny8oxJgOM+KfeCh+B0Utx863GyPgqmsIVc+bp+7YLpl1B0flZy5Yxc0C7X5M/2Dt
57mTd4zigp0iiva8eq11RZDSwh93nO92anj7QcwNieNkfaq2ThTosxozcRPh3c9ugqDFpAQznwZv
xM4oSYKuJ3V2qxIAKhO/+05iByDtClGq4zSIk0UhrlLNxlOQd+09WxXvDhkqfkOrvzkBgGD8dkik
IvlEpXcQdBhJ8pOIO1XfdXqUe21SYBQGMQzacb+aW2Tk1JHT4SNGM7x8YQS5UjFTOMS9JBIvQ/zk
0iDPUea+QfgcksIBflhZbp7M+X2Nk4Cqw/kKDGC5pXmv8/5Vo7ZJoABCGGsLuPZ5/T0sqX2BH+aP
GfXkJsCvs4mk5Z2FyYzWpKjcaSkY3g8ethudzgBRPYmyo61iQNzyKKuOyoR01mO0MEQpZhdSbktK
D1tP5yHSnfsV0mPvPASvii3rVzOEJLRC6jUfUmXoRxofol86B5QDW6nlV7veZOXcmrf0yYozrvA4
zYMcEMZHrYeiPnmBdb61x7icIQ9VBB74fkcVasConN56z/zuB/z4eqbsmyaXWDP95tNYxMmR+W/f
9n90Q85RWDMWxAFuHjKseJup78RdaUr/sKiw3c5+/RUBm9lGFiVtBBO1X+YFBa03XtAoj3u46P1m
oqekUdR3Zhnlr3aBPqNy0ZaWaz1up5Wsn875LKMUH7hlHnP8U9tiNNBhOXZNjY0ug2irMwC/nlyh
5SfQP3/Xs7JkS2AIZsPaZBOSc4D3h25pv8Nwtaix0/GAgQS9S1WOh7TynrOZKteth0NgsD1AXt+g
1QoenLUDQEGO+QAFnSlfNfdPqRKs7U2GDk4nzGsP9m5OFOOkJIMvds1SINQLbrhXJCD8SAcjPK+9
adxMWGC+Sai1HsiInK+FM7ZonBDD40WV/rWtW8LRRi1uT7LQLkwfFuCxsnuyg5Thg6COpM6B781w
qhEUb9u2z3Dpq+WjIEbp0Rj8veHdnkGWV4hRZdY5FpEGoJbu/Ag460M3oTUDUU7/zB6pJ8z+pq+N
5s3M0i9EfDnM1qOJTHY9iI6osSTwZr4cV2NM3qiwetDkbROy/r1duyMV/ouJEHs7TvQ+iGJT5Cx1
uqlWxCart5r81rw/Oa72npZyJWR67VpcbjaZpThjsQB09kcN1OajEGt1FV5ek9VA1MVxMoOb1q1a
vB+Nmxq/zJuwKwqV+WJAm7g4ZC4SvJgGw0+jS9eYVKAhMTCEMzpZ2B0AU72MNxTsMINsCLRMWdoQ
i4RtmWa3Rm/r6LpRyLjzAvdBuX5bwDQiMTfl61L40T6MpoNtSX2wdRH8rkYO7a1pafnetdPwnLdy
LGKB6vNOo17Hs9NbpBuUU76foiCi6XN7KntWMpsWsst+HhwscwsPGo5jbW5CH0B9yxPGmcbjem1m
b3yDPkMc/DrlRZso1upHaHlp9bZCkA5fSlJEQ1SQoRjBNuae6H/BfKAWahdcgPcFUXtJFJGzg0S0
pODj2aw5n3A69a0ZxU2DD/otwEPykgbt2V5S9wGDZMuMSAtBMkkJWrNyre+Ljdxn6Fwdi1aoL11b
ihl84BxLusytLokIYfyCAoM2zMF6XGqEUh5+ydtm+wbIPjp9UJCcpyjfBjlTXgJ7OqkU5iMsFGW9
1GlHaTVMEtWUwVZwQXw8z1cU4D8cbMNtLJZw5Zxo0zNA9/o1xAhcEBqibKyNWFm/8Fg/FwISF5qj
cGZqIeYrj8x8DUYUsfSUyHqGNjfETsreeiEA0XoxCn5TFNbeUacsJBGSYArLWDa4jOif81Dog2dG
zXPGHOWZ2dKV910fcz7/i3LJS9qsqSkumRdkuwLGMGZVQ8esl2pWvsTS1GWbfXhsavazmHjAp7V5
Yp4+bZ0Bgy5K2yA8R6Vz7DXlN6Xo1L+IdXDeF9vC2YZKyhqfC2Nw49FiB591LDQ3asC5ztEXAix3
KJkvLJL9b6j1mbqwiSgvEx8xNIkaNXkbePJlGJts2hIbmz7x/4a9FnmDDK6Kzrrrq0enhZUZtCbM
DgaK/mPr5xaSLPjP4E+H9gZL7teH1h8QIE2us7d8w6l3jHrrJ6PNdjYm2lcGowj1vaXjGJjm8aVZ
gvPM/hwxCyfzUoTMadepYeHHXHdrTrqboGwr9bIw1b1m4LYe2wnbV7Q65r7x65VQ3954k/CaY8NG
/XvTB9cspk+WBqSPPGV4r9eBfOi0A9Yzdjom+zw6dCnr4KzK2xeJKYcYcNO/5I3ZX0mqmu5LQ0SJ
n7kKJucc8Zny3mVh6CcL1wbcpsAhMM3la98slrq0KazQZSzK70A5qieVU4l1phb0MyK9W6twJAGy
Yv/vK4RShDAZDktM5Sw7VaqbOCiQjCLQ3L1Hcg4RdA0IYMr+o3AVz+GMFZyXIfyoSE0mAwBmxnWq
KA0RnMshmU08/wtRvK/I/CEyVLCtHh0x4Bpc66X5Vq6zhYWrbryTlxvGdgIYHzOD7Lj7fcjDW1/e
GpVwysXJk2ge2TI48uc4ZxlrX383MDBDWlmmV6QNYYJzDNMN+tPHyER1YtqB/ZN8GsPc/vkO2mvN
w5K3xAhKZGqbhSTyQ8l1dVemqsQfspgHlG517DCe3i75RJR3EfXvfx4Q8GtQuURgO1cU/Qg9ovS+
tzDdU8GZvGkp0bNH2LS5G/NkdeTWQQvblJNrZqeV9bF7MbvafhFjEyLeKuwXJLNuAU/X7ecIOVzo
jM/pUI+I+wlEiX1fc8yE43xdZyWL17wHSEslkgfuYTJ83jUna/ItNHUe+HlM8Wo07LASn0Td65/X
8mAjo0BcNES/SQCIzlEXyp+txPfUIRxyrZeqNPlsmYzDYoiEsLqtE1gTphiiJ9p4lTXSQZa8y5Vh
R7jtQ0t/x9wdxgjt0mvegDDdKL+IznB5+nfc8fKSEsA1xu7gztc//yWVBg9k6RErDl6gJ63b0Lp/
J4hNTFsWQ8R9GqXHN9C5C+cbWCVErHPvf+VeU/0G8uEe57rlj7mIM1FAEFO507M1X03D79/Dii2p
1AbPZxSUKxKT0eeX/Kl/X9bJJJJjQfOCYYE46Doc4lENEcCxknvouZkafSc6Rqw7F7lknC2Kfxu6
KrsylJZ//fizaIoeXG94+T+3KtY/Gok9Kk8P7LgXua6Dmhh64z/2TiuqaegtYbCjzLFechk6R+FL
8DBWr68Y3Yv9dPtcO9uruYIImm/twHwk2Xj961fybzXhsFf53z9303+PTP2v/9KufvuLvv6D0vr/
BlkV8OG/brn/2+8s//hfsar8mb+23IH7B2EfoccPxrq9Iy7N+F9d6L75Bz8zLwossKmhTyLV31pu
J6SxNtnlkyQcYQz/W8NtR384BFPcAohD2IG3X/o3DOgWYMV/6Ll9zOxe4IV07wFmdgCvt+fq6+Op
aDP5X/6T9Z9Vn5noEQ2kDK1GIOeEvxbkXjAP9NlFGB3Xnr75rfJTCiTrhK3ovXJLM6EdiU2bGFRL
wIHv/LkhhDX1vcRoLZj+KgMoEyOK5SZXoYiuylMpFvUJEBC7jkzX16r0JPKpnHfB5L8yoCtFVjVX
nf3lIWYVPz2KFLzevEPf+sjusm99OZIROgYTuUjBZ8Ak+LFuG9MkVkHWTGzzBqW4b1ZUGn50HEDT
TO7IQtnEOv2YE7HsWxuwZW1/0V1GbA21lSBOfsR4do7CIlwPt1w2PEfsncNe4dv22HCI2jpN+Ujd
O+A04jK8Butsbr1UQpsphvvG4Fs3BucOeOGPRfhYnhoUVqjnCnFyp+ZMBBswRjRoCDTnrty2tvD3
6JXoU612l0vnzsqxDdWVOUDXHsbWw0CTAvMwotYC+g5c+Q3BMlWrvcXT2mHULjOAqe7Sb8zVac4W
duV46Jp5J5oI/ShrlwcQG9hRG+u3MpZL2Uj9nA3NvVCLzO57yGwNWvRAvAnBGtcdy4vkP6lYuvqV
dSQYlL93MfMcd57NrtaFMPlLLpPrxTj8wX0T6MipN7OYt7dAridwP9J7M4S4bfyhgpIMbOo1ngG1
t7aNr45zedFvy2LlzypyxjuRa0xGml7dJ/8jscDpJ8p0+zuPj+1qlv2RfDWA9P21a9W4Wyzg5TU3
7zYTfmJNEqMs/gIPKMkeruSGZVIlk7xWgl5Cj3QIpEDaoWc94NpUCM5tkmGxfQL6POnRy69ZyNB3
Y1SOpr3O6+UVOiHon4XwS+kFZDSWp45JbZ4EGTVR3K11DxNXrBjkgYTmBFKWzoZQRH0B03YUqA3l
Jnc73T+CmGK33+cYlrZMzrRIPDpiwbTfQYfsEpVgkpUKmb0mIcBfAR3ZeB730shQmun0B3K07LaN
mxgjK4Rcqwe4yHMwJ7nm+jzXN3gjLDCksrV6sdI1eCjVlIFXCuzuJ9dcwQSJwf1ote4D2jL4j20b
Wz1N15qp7Yg2Omld+I2iWH4UU/O7dYp9b7Ft7cfzugIaqqJPClimLX1AASIiQmCK9A0aS8rAquxB
SGQYDj1yASXvUdEXWzQi6bjvJoRdv+ivx4RneqF/QdUwo86vTr7Xtgmmp/bZXVcU78Gs1AXWRMTq
gqMH0ek0cFWbBHxR7eFD3DgllV1cIObYEIZobnFnyRPVbvPUiiB4zibzzO6UaIi0N5YThte7NNPl
Xee0XNzdENES54pIMyLaJ89hnugGTNidoU5WjC43NzaEGZI583o/l6v4MAdjdPeOG8mGImV2bKQU
s3dStqoe4ZdLTLbofi4ZCXEk6ZlLe7XVQM2DTC039mPgWZ9Thj3xpiid6W2CLiDcEe6Qm1FClkaT
/V5LlgpAwcYtICNEY7ryH2Gg5g7a6Pp3pN3yex0ple6nAiWfypXVbth96eDPHKad0ebFE0EcH0Ak
oxMBF7zpWD3jAWIcHY3jvBDnp08BaTB7UxJtiSwJX6MVaiPuBlqanbGM4oiqIiIUM+p/uLDE0AcM
9l3QLxnrpCobb/p1YEdjn5Ld6YrB0cng1RFH34gH3W7oEtP+hpbS+gOrhB075PgkfLA8ZkW9Y2kg
2ALM3XRn9EKJxKgspJLazwRUkdpaT8g5mvsycPvvZSC1BexC7gGSQLvLCnHwu/DFCaUiKtd7MfwU
V0Ymsz/Rx+IVE9cD7gxswBNugHIIWU/PCHci5zvnqzjJIpjOkadj0g8qeUArcQka3zNxlptm6DGl
weW1oI7AErVthnKEwuEj4Jce2Dwfx1G+BuLOMPQD1HzUXiydgX2SzVUUcWNHrn/oi8J/rIyG4Qxt
w/tUlfkrwmSfODrbfnei4ZEcCNKU815vGtETbQQ7YpqCR9t1ABFY7qMvLMaD2D6oar1f5VL9tAMN
d4+aNtyWeWreY/fx/Q0ex5mDounQrtmNwOynB6c9lKH7xBUVnoq2hrqRufNlMPvmpW1sFItu2Owc
wxzOvRUtPMY1xJU1FUgKSmWvH10vtohJicKw1NbrV3IyRcuVWzTyBPYaOXPByJW5OwqAija8F4IQ
FmKqWvhmxupv63R1dw2VLABiTSHpXMzbWG+01jHREsoeQE/iG7+xWI3cLQEcaCRbP0rg6wHb9KKY
EVZ2qBEg0dMVlvqxsmh6GYvQOBaj3T6sg90ZQGEdtcDiBF8Q4+ao19gXLQOYG+GkziFfbqK2QsNg
WMx8S9Mh0DzNBlmecq6xj2XsmyZuRicXe7cIlme7LJA0FKXfyI1tq68p4MVNXLJXWwb2g/m2qrA4
Oa3f7haCVr/1k+UMp3Es7iN4pVyIMtWbG3GBfb15nous3Dk6P89hYEQbVCBYgkuvBW8cSMC/gQey
zmT9EiYySpurvyg0pymgxctIlssIlEYiU5Vzf44Ge3qHTCPs8yzte0tU5VXWrKJVW23Luv1qoXfQ
tiELTfOKjaDdDuPLWlRg8nwrOvt/joRMSsQKeSE+Eb8ps31VBiX7fCd6cQAJe1hBG/QWNlrikquy
7Sf8i0PuPBUQRxm3L00+7DLZRNfc5IeDtIlyFe2Xrj8za6yIgPPBzW6KtReEjbsyhfbRQ+vBet7w
fVS2K6rtbdXU70eG7AhA4YmzrQVVkL1k4xL8Yjj7mMKoRQnjjMFydHsqK0y9ciRkayHL/g0rSp/F
pOB0Av1TGHzYhTYvvZoDpHkUpel97oQm9Fy/ZIMIz5O5a6jAXSKKj1L/UIqCFbip2E8nMy3PsJ/w
Rf4urQChvCGgSzQdwxAepYMhTTshazhDADu2jGCk1/kPk81LGwJ/zOcyO8NZC0+y7Mek6KZvIs9F
0rOLYojPC6piKxpS8qQJXZt50oDX0ffXJRpHw/VLdSMZ9d8QjKdZvPjmbG1djAyAkRmx2UvSd156
lzaEpBgpeYHbNlTVvGefyjAhYxbTbuYmH+M8LZZ+OzExJhdJsDH1w6446TKHjRimw2FUtk48k1fe
KmCAFy4jgcqx7wtTBJd0mfQQr0sGFBlzsn1vcpV+0j6KnbPW8mKyBaETldsy6MvHfG6YbrC5yk6u
496RTGbDZwCjpIhbuiyOl+8jZTwLZi6EzgSFPBVGN+/YWL/amS9iqtj8a82XA66NdmvOUr4FukVV
Su6Q86nsVB9U2Fm/+cH2h6wu/X2kjUdajjnawMXF86G79NvY4xKoGEX/GAbLnBIS1YpTNuHEfeXk
DtVpzFP7tHhC77pGh6859zRpbWYvfZz7mf5kAVO8Omnd/GAERq54x5oENBGKxQwtyzHqnPojh2QY
j+aCit2WVv/FVN0CamwRKuxQxZDZOpwqAFTssTOBYWqdvQVHohNwUpZDBncrYnj5fZ2n5mftBNNy
mjB/1njh1BodQ6M3dqhSrIGgKFWMm7VT1YvlI+XZLAFwHMgzDQZprS0ImQBK/ewS2quHtNNjQLDr
mPQ4GMizdjdFzqzjBTRye+8ixZ3xQXBcbXI8uuwdQgR//L7JeWZOVo5HV+Bs2hn9QO6cziIWPLg4
oL9unGhEcm+7PlxSqOlxC46B0WKqMQyEs/9ZTs10xQGYuUmuqfiYHfKOMX7HESDW52iSXv9D1FCj
N8B+jpwEuoF5CqHvY21HC9FDkS3VWa6Eo6qGkGpTQUgA9VsNj7VZzD+rIIeJWw8RZSjDc+8FK2RB
YakCzIQ9RlAwG/NyaQbXlS/cIw2jVZNE6J3R1c8WGVPdaczydUImNyN22Cj4gvMuFaP8OeSMnBLm
Puz5+j2eoObVFIv8zna7Yywq8/CbZwONPpH+PWjuCSke+qCr7lhmeJ9oqJ0AedXovk+Ep427HA4X
qUDN0I5JQ1By3AhxFfhqgUDk0UdR0x5Blgwe53WA2skYcdxhOojq7aQIdURzBsWSmVRqU3dGqCEI
kC6xUfddXxgJCly0HZbJz35v6iqLU25VzItjVWaHbk3BH9or8uGE9DqkHIQD+xhhCHBKRrpG/8fM
vM1lazjUOEj60X1LDdTeYHIWWd3ktmiBgOV7jw1hzUOSZ+T3nos8w241jRkkClHc3tSmaX4zJfbh
XESl9UoFIwTZYtOtTMJT3E5Te582Wfc5L0HIdNYozG++oWv6rFsu4tl0q+5aRb1X70FMtFRxTpe0
lulMSQr8orx4dGrRkVWKxcUve9/8HkU1YJ+ecfXl5lQ8TN2U3gvGd6hh86J7RfS6FAluvemxTq3x
U/iWGferk/6W7TAllUVkUwCKnnCDYaaarVGmEcqspz6Z0U1n/DO4GdqhVN4jJh70k6fdOs4QzTub
fvXw94H0GcMdDoa2vKhowcptcEujIc1lN29SFq44xBHLlUmF7mHYsQd000QNi/o29714iggPR6m+
6uLgTBwC37voZjts6ewkdX1IwnBuS1fEjBwvgbG6T0zhTnVmEuAFMrbFOjXb1ynqJyBbKQPBfe5R
FcCXrKv5gi0am90KUAMrW1swuh7n5hRNhVEdpWWaFL05sh24AFl2DiPk4CctQNHfpKzg0gChFvlz
WC/dsp0H26fjA3+DZMjSvkY0agYk1tkdnNp8pUm7ygw66NaISlucFN3WFygN3d2CRtOEOvc2wtb9
+B65aWWACzb8u7kMUXjxtFKq16XxuOS15JYKDZ+bcHnygZiywyVWLXVvsk1cufd2UPpHJjHyKuoK
nBmcJZyjPm62/87emexIjmzb9VcEzVlgZzRyoDdwp/fu4dF3EyIiI5M9aexp/HotL9wr3SfgCbhD
AZpWVWZFuLOxs8/eaztDfOYI4h8C5pWn1nKSzyKGIdj/XbfgMKTzLqUYEoE5uZVh+jXr+7Vvz1MI
Bc8+j8oCel+W0GbtqjuarP2v+LgZ/Of0ridaQsE8GnDE4yCcq4jqb+lkbs9O0sC2VKjC/ZM4c+ac
CEUX5T7IjHxPkFcmCFVYp5m5bhUSgNs9dnzQJUCyF7V3a5roiYoH3wb5OjooOOjnn+OEr6ttuO+u
UlEgsZ9SIwgGsLXDnhztBjgMLjQXLjNId9Pnqw3EjzFE5ttUSO5Jq3mea4WAY7Rs4/irzOJhonyx
9C1+cQrfrlAC+ic4MRMbP3GJVLkXvs8KJ4pf+5z33q3qeyy/ObR+gZJ4CIgptbb1u7Sysz2QScyz
kiKD+ctOyOq4sj/E0fIYZEWAS7T4aspKh6YUb4bD3TiK+r716wffKj9E6z6lpnGdCldAYbjR8EA8
aPIE13Lurig3pyngImuJ6Yu6/sDLYYa+TAWxPCzEM4/qVVKKX42X2z8FQGAedAHIyTb+mu18Q9f9
mWK9mzEFHaWQ81oMNH72QQch2ATa4xu9BqkmCa93RQR/MtuXKn02y7ZBh+HUydX+e3K4SqzRfkyy
+rXtmIgEfWfagx5LiS1oI3qU24OhmHP2gJzpoOdqwrf4ElTgSzaV0gM/gsTZEb/ki9NszKU984K+
i6i7XkEQgjOzzFfRBPtk8R4RdS61VR0mkNx+hu5RCJ5bFjMFez0c5fleNWZ3mIzRobI227JZPRld
dedwhocG7a0W7xbDXCgeL5Lz5BnlpVLEKDQVh+aI5bb3+o9idpZtDgJ7mzdpcLCzmZ9kVlcOXGCF
0QRApk+bcsBBafb9S6DlfWsF9ZWlzblmkmKF4tG3EMzNC83Ef2BzO2cLHtdxGhlzEW0ajH7Ncmd5
8x1nLXtVS7n3W+K1guL2zIt+x/SN4whcvhzP+oC/lmzwXB/q1EjPtz7pcabRcLbvxl67j07h4eYQ
mliUOQRH2Djq0AEahb/Au8lTKFRy8J0Vc4862V2THtxMvweJsVWgLRve/mQwvGPCcZXuDTbDIDN3
9FzctZaYseFmj7XoJEk74Inaa9JzbQiYSawhHzkMQgMux+9o7l3MtwyCOuXTrItFhSXUiJVdzD09
jtDqSdovVEjQMqv0NchH/d25/sGLo9fBocClHo4ldridk+srakIDkNl5xJS+NheV7vWYpbuyYuRT
lthnlmudE8vtqPeEumh2y8B1Ni5XMdtqP0moz3grV7yGuJx4eq8Lelie+N+ojb9we9wG6r1sra+m
4PSLmw7XpoKIXQGcBm9gkedv7UtlT8PVR1FbDSp/br3yEav1x0BpZBjwBue0gTBgRr8LZJg8MC9e
yck0StOezzXlNTQEJFyobK8Tt+I0UiSgiBikOwwtgA9ojRHvrCRZwjXZtU/8TydqTpTJf9YSSCC+
wOB2LhrWBfF9IpzOR2eUhJHT5c6XHRes1Z1jL+8/iT7nG2g/h6Zwj2bf4ILReR9cy7+px8zbEJDT
v2nI3RAXYo/Oj1AKyQhiMuUj0JNxUAGqYZNKTZC1PHV1ba7ojrUf2sR3nr0lW85jFdOGpMy3gDEL
EF8BXiOrjTDWBni/qdMTxImieyOCbK6AVMuNTImYDNC/HjtcXUcIXiW3J8U+g0b8N+1WfgOcHTlj
IawrjkVJRiR4Nc7NUwaLZ9u6NyNfmZzkNOWHuCLjRQC+WvUK8S2jmSCvn/1yeXCk8wxnFHPS0MjT
2JZ6j1N8X3AgtV17x2kOQOJMtoPbKkxS8jUi0N4t/EJJiSOfrRymBDoToWlyCaeGQ8reL4HrmcmJ
Gxd3Fsrcylmat5bI5gF3b7kv+xifWpct4agA11npsnfK/iId1IkyT68DwHrdeHuzU/CakM9OOc6k
38bCKSAe5gUOcDmFwBzPadUR9U7mQxXQPwOFgR776ClWA5DVOAOZKnPnEHtMkJGTd+9K4FsHqHFH
RHtPs3B+cYqJ3k57zM/p2HsfQF1+uf7NxR0AOpJ+/7JYU/LMKsgMk0bh5/RbalBJq4DRfG4lyF+i
GscWhRNae4NOXlZvdkr0m3j3d2zE31Q3hBPNxdtSwBwJiulPzk1S56zYQOPV5TaF1skXi63YeMDS
BiI342+l35NbaejibQE9FOu9dFdMxT/ZBEqJWGjRWjvBc+SQusUPAw4veMPc2Q01637yTvCQqgb9
EpcNE3Q8vHiu8j5iWte3XHv88H5HaU8w5hc63L4XfxI/k1jo/5afUVq9DXygvmXxMzeNvZu1Ori5
d5jz6DJGy2/bHJN1CV7fD2mJlVVoE+chfpSW624IWCUhmrvbtMlx/8w6DUVd1XHIdi06DjymXh1z
eM960W/8xn+VUfbBdPLHWYZrPqfLtrH7O86Fej06AkVncNYW4khYJSg2/J1Pvtcz8ER8ddRvfLku
D6Aha+Q9KdEtzqXL6PiQKImUYC3LaL5bERqfo22MgRLqPW73CiGTiH85yC50W+bblH4DHiw5tCH0
Nnmdkp5vkygul2gizoF0/M3cGzsUGLkh3Fa/F37tXWh/mn+EGXVfliGII3cTYYOWUnruahz9VyoB
DIOFo4jSkN1ecMeJq3L2yxhF9iFysc5iU+QjWEeUTrxS64SGkWUwC6CNYHKDtLf4cnnByov3dYIb
17OQwraHn6FQQcmLj8TvdURVoENPCIwgmLjqus8ex6WhEG6w2iHbMklNyWNp2CzLRc+6RkORObY8
Ov7kSPhUmk7Zb9vr4TP1pNvnF5EXo8kTQVZ7v3G6Y97C6FkN1jSL/MJvJ5NrQqWjOEJEg1+AthWv
krx3dqhmmqswr0IVp2Idpf6nJmSUuzNSq+fyIgXzEShbkwzBRwZ6e2tXOa6U1ER1B2qk7gxfXMqo
Mn6lXGv3VodX1EHfaW09boMpQmrubz0D5rEiHrS1YgP4WX9XLc6mkD1sbT/GFZY0czhCrqRGIoOc
VwSwd8be/hFQQ0JuHTec66Z+b5hsWANN14auL7DCMVwJ6Lk76BOK8zdXWK+2dmCTLaeTRxjoS38S
WNVGdu4ZnW2PYdPB0loD2NiSbCvIAFBk0nEaoC8oH7m5bXMtYNxtB2TReKvcMXpXS55/Z0ZFhoa9
82ytkqoGrugVa9+Nwr+X9/+WfeG/9Cb8qzXhP67/z6H0/68+hs+v8vv/ROn/LxOD4/wlTYA2+BRI
3Zm4GP5pYoCIb5qmY/LPTZdswI2W/0+Svv/X38XL/Hv+g5vVAYPDP4IDhuX/ZUrPZoi1rUASO/D+
PSND8J8bFQWNjkK4gsOaTabIAa/xn40MvdLGYLgDGdQ8IpaXYN9Mj4FN5q2wETuAQyW+oAbHar34
T9da8xuWpJK6zym14skI00lOP7OTabDlfhU3xwBrwQzMb0z932gbLp7ptsQfdcc2PMfw7cm6fk2D
yO8oMYmD+QBfw7M+bRZ0BYxXo2+3VmZhDfdTbT4sUe6AnjEqLvIoAht9AUnqtKHb5MvAqX56d1UF
jgTguPa3flyUSHi6zHmmtzbvZM4s/ex4YawCs+WMUHpuiIG2Y9tYch5qQNR3VR4T0zIMqLaNF/ub
oa4Hby8TlPCdt2DQZrcRf9YLqlxNxwFtHGPyvBjwnxJhdk9zi3PfVen8TtJaHXWAwbEcuuGppd2I
3UD94Sqi7MiYP4UscgJPFrMgH+6KgQAymCGbL2nyEUthLnA+S5yezdTuBK6Hi2kOVyPFDlLY7Hdk
WSoUhATafzK7iE/TcOo6noJ0fHxgLBzXkTL9U1V28t4uTZzIrvld3YASkdkM+2qWYqMT5y2Qy3hy
hDey/jGrPwme4GPUKGdHNAkpCTU05BHJg8pl3kka2b+L0o9WqieWmdX4DiHkuL2izFywI+6vfcHU
Wq2zHjkVu7WfOfnL7KlRb+G680WtWgVG/MHoliX4mBI/7044D/gjq6rKbPTmdmAAY4USlC0rZ7t3
KrYCFLaO12z828sYn1zTsycq8cqmuGN8vKf4FmuM7w1YDLARQtdCOsaWEYjcXgHHhADB7sf2yApS
2dhhIc09T7GfvNUd+YwBs+ECwpXtsslKRMeoZcANMJKsAFTzJ1yem8bmhkAPHlNUVY6hRjDg+DDG
cKYw64GuNsAEeuTN9cS+wybGJwaaUdrId/eOQjw7LqT8MIkQdk9ZL6W5PFuF/E5IrLoHg/B2fqRA
hu3w5LSftGsOTwB5hNzGep5icsA+A1JULmpf+NWDvbTYDxLV/14EUcVceO5r7mJwyQBCI4Y4jD66
2geOpxTQVas8lb7hEypvOXsIVvxNWEypJgpHLdRqceaq+4Xd7W+TcHJjxczRzpow75HJkAuRh0Kz
pdJzjikI7rmy7z1Y3ZxgLHu83QfgBcf40bHVXTPQkOhm/W+nY7c9moyvdt04bwZ/Xf3e+UtTnxTZ
hxsjwcyPhtZR9R03WdLSueQqMAM0InnhnFeiOSHzdG2YSprb4OGLKfvFoA/5yhzkHUq8Qc52GgUj
2jBMgFMr7NVr2lA/dSaSNKy1/JXW4J3HTp15QMGtLpeO7zTxMTatSZikHXAQU7y5KIbU2TVkfvHI
fo8aDBOu/JG1GPcljUY8C5gy2wV4IUU9rY7xVmNHow1qvkF1R/AhG2NxRnY7QQqQgD7NJUymKmm/
xwIfOUNABS17HCNIlOBUcrHyXFoYQ94YUbA3MIZnG3K7DTP2QCEh3SlnCh6sB27eeQPqsb5ITw47
DjjZroqL5UPDaAEo4GFNkCNETNOJfzDEQCN32CEidpNYMQaOSOO0vGizQALhDJY6qtvZubVQSlD8
rpTUJ2yE1PhFhjz5We+c+jJxj9RJGL/8IQVU3MaE/jvBmvdAWFoDp7YA1mxl04ktlOHfeZwHoZXj
hMF19dah22/TUupj0dScwrtAniyWbJowSxjkAhygw4l/NtLLSKUZDo6q2XBpuG/kToAIEDs+emnS
biagQACE6pmKOMdlSKKKesEwRnEQYPPfQVonjzxvI0xn7PebaLZg0GgP5gcAsp1koj+Isu4ZOr3l
M+vjemuYcvl0ATkXYcYB7cx+uDiQ4sofGOeqYzaXV6yHf+amBPoiKWQ40ixXn8u+WY7TPPTbOhL2
Y774w3vj1dOOJ61/SHMMff6oohdnLkBm8hhs0MXd6UBZ1nRNecW0HLYtTYbAFl/5KIIPR1fBJmBD
ez82Wfag3Wbn+hHsYatx9nORVnAOG+OsjJxzHXLqypk8PsTxppYcJ+md55GeyLSQd+RLnqn4MkTo
NEHnbtxF/PGT+VGIyj1kyhx3bRadkYfCIRr5LGpARMr+UmQrLK+7J67mYULSDFuV+QR5eoPC/1DO
zSkm6i1lR3lVoKcTjLplmynAnInTsytmQUJxTryqUIjWJqpMj7MQOxdr3tbVjzYJJHCW9KW4tPEl
pjy4FnZePn/3FfwSf9XUKyrn3WAHXDy+zOB1t7z1eVokRXTEBklex2WAdXFBHpdlsXdC56yWsZ9f
rMK6kS/FugwAABZC/4rHeHrwp+WAjv/cdoShK8O+ChXv2YxPzwNwFVpzaIgA/JMsu8gZ/tRj/YBs
hAeDYqve+exaGk6wZ3bY2yHQ4okg5kRf61vccB4fzGvaWkeJDWLVe/7WSdP4khWOxWI5e0xkQ8Ri
Oib+km3MNrZWzlC/2hNFVl69Fp0B11Y02dGDwZI1gWaYVdAM0w4uhV0vLxnKDbqqLrdCAhqafH6X
ecu2FXuk9njztu2H59waAWecbKLXk2bpD/wi9ZKc55JrPiZ5FDzngA5w6Kf6vTCa+NWnZsZYQzbR
C87A2AbnMGZuF6pZts42UJSIHRYKCChdKBL8EaTAii/bWa4KJX3jJcSOHK+lX2MkttIPNOBB+GiT
Xza43UPTW6yELkQE6QUbBgVn2yko1Cg1ZBeapHhY5+YpWaLyzZ9YsQTmgvGtXVhOLo0sU2/HHaS2
li6dg89chGFtKK9ogQlUOxfXqB3Uy0dLpfVWtJoNYZt2cuvWgfFgVDxdVh0xDWuFWaX0dr7pz1+j
1rdcKUwtDpIL27OGhW+FKkUvn3OJHXuUb0i7TbCxesiQm3Ts4nvT7vvr0tnevo9T5wollxVjE2u2
B5NucjYMUAcPU+Dyj13saIfOsRZs6Nq9o2yDWS/HN7LMOXzBGJ/HPPCl2yWuybjydNiBHd/0zJhX
4OcmTD1gZEWZYdNyx+G15jT9MOn8oVW2cc1jc2FNyrW7cNrfjbbSJzGK9gJ+/TE15g+IUlwYHMFJ
ruUsbKr57A4NxDsnzulgLnpAd4oYUZdxQfcWFpOsfTW9uQ2dIDjb5pLsZjcpwX9jBKwmGV85tZDv
kdXd1JnTlTgU3ITa3FOYzaeP1hJ7Bgk5i7ohOcabRKLktsah87LpS/hZE4ouDzaTufQHhlqNYs+L
czXNU/XM1zpCKRu6M3yWX7O7NDhyFcTlTrwpo2uB42CsnwYKIllpPVkmF6oE+EcWXkHzoiiHuI2h
eqrOF1DoCB9LcvYF75P1KBSNo/Po3LdNsTyhHOVHOlScUNv+hU4KsRPeHB9Gh3eJSLV+LuekerMi
Fe0mT0IMA1uE8gf2e840uNrR4OUa9D/T4Dyk9azeUUqKtSzNT6e3sHhMZvkQRZAOrXKOf7Hzw/zv
L+a7SPpdEtec/TwG+nRZaDusYv9xmasnM63K9z4dfozZhAiFyBq0mf4wu3GbjaxAaY13v2vsV0dh
qOGxRy2BdR+h1/VSfteOGNgPue4LEMjOB+4iM04qkXiqkGkBadf902AuxYnCb/J/LhUBf4Q29FYY
5bjLLbPbGb3knWZ3xs6zG/lJ/me4ssCvVrFnThzjwYFuHLd41uQk1yxf5ycCU4eCoNvOVC5AQ9Mf
17da9Q+3mKvPLm+STa19iwTqkF1HRayvs93yWvja/CB0DU/fK1r8ENXb6MzEt50RDcKvd+g/CGYY
HKBQe+1hcAPa1KSN4hUt0bqW1BgVpqx3C3y6XTOmlAWaA8wS1lokoObIGneqH8qHYOiRXMFa2EWL
c9erzeU+90C1aHdIjwaL3hcsNCNWV0/suFEfE5V3R1CcaE4qekg0VNk66S3whLg/JpmI08xBPiRl
smFNTL5WotTgy31PW9N66Nv62cHic5qd+IL3ixWDR98bYpexd3qSqLXhiI1qMeYa9CZ9iS7hfvOH
D9+dk3uIvt5JLZb9ZHXUMLu8OkgVO3bo4SXd1JF+ATp1BD087clkOY8ZR6RtbJhwp625CD3anFcz
yPBkFQuqZ4gj6udxzBLMC4OFXX6otLu1XAY+zYvmJ6OBZ8PRNoVJ0SSPjOlMl5Rjdnde3vzK8tlG
7ndY6Qk/iU9NbZBUjAzzmDYdMciADGFAVyXPO5qqgesv9+mocZ6KKT0PVvM4sk5cI88x+8QCGcAo
xV2OgHXxsxq0J0MW70eSYhGNdRAG02Df6I5PY2pjcsJQUSHkiMfqdv5JJ6ofMPX/MiXNBiS5qNoI
MO5GJsBkUO7QLibeqTZbwK3Tdq/Z3OBhJEexy3v8Kd6i6r0uXATUKiVdJ2b3dxNX75mZ2C80kg8r
zD4DDlE9f/N9iSNm5NugnL53DP3vXM6HqCYsjBUn2WYlWX5jHGGaBotX4qjLCopy8hKDWqBjaAQG
4fGiDYCWOCYavkjmYkOg1DkCEWDrBkUW0BtUl9H3dxFFAa5tPto2DpcMa8bdkPgv9MeFllkHBxX4
F0fj758bX6+nnJJcToAPQYSdExBPtFma9AudpOStX/Q7T+fuyYKgAkJ7wTW1HMy4+BxLl5ZoGlG7
62gGr1Tb2OvFSuSVnp/iBAlN0c9K3dBU/Eps+HaJ6IeL30ko5IgFn5FcpjUt0HU4l1RG6OCkhlY9
GfgBvyniAW3izJsBHONTF+tz4Ul1jiwjp8tHls8I3M8IR90rIvt0HXgPYAUcnR/mgy9fGXdsdX9V
XVJ9TXPXngud12BPMooqINLhcTAJYxhG3oVwlvwjrd0bqiWNt8Rs0x2UHu8rszzxPk8uOUy7ORdj
QhkN9lfi5Qt82oZm5v3UjxZbUffTqQmPDm7/7rnzD5dIxG3hsL/tbPoSoslkL1OfJV7hTe3UQOx6
DAsurRnPHqIOMb3RX7MpkCvE7na1DARYWHPP+95wfo1U92GLvPUF2Y0pwsoay5d5pPeQfHV7n3UA
yRnZvJAXrwEdBxOvUrYgphz7R9Cby8Zgpw92vui3XikwsdamEQq3QU93UdJVYLG0HZFGaKKj0raa
wD66bnFUuc0EbP5ZZplsA8uMt+RAPRmqzOielF5+ssjGS62pYeoqs72w7ORd6Tflaq7tatMaGM2l
43S72mza0NfjfLKXwNzFfy+q/fOk5RvHIw7lbtnd4acqD33BCqvwHdpuq0Ljzu2pwKxSBuBAJX9m
fat99WVDINKrzn02s1WLAnmG0YherPTGTAQYTLD1Q7tg0Srx9wUDKXgBxoIStGr+KnprvqPI6UY1
BOzTlMv7sDTL1tGDpD4oK/lf2+5vsHOY3krDfSiGm0vPdKLQivvyQse7R2FHJ5HcU/spJc++7Wxq
5EYs3YjxC0GigTVF2ChgCwB+YL0ZPOOxgcuN68uHRqG61y3QRqJg5V5HS3PAsWEcrB7uRJvaf1Cg
fEaI7KmzKXzD2eCuzMYGxJxU88OYt1aIuvnHHrPghNHV24Mguhlh2JM2bROzW2jvPTuTKC3o7RON
G7wDu/J4s9TeBX4PqQEgkb0qPeSOw4TQCPucdlFzYm/J/SPW3VwNDwbk9m1REkAnFsAepyxuhdsA
Hnkosn5aHC3DkZq3tRTFCy9oMk2Gph4nYht1q2JZBx4ULvCNn7zxjI2Na+Dky7g+xPbkbMtMXDWY
X5X42cmKZ7WjFE/fCAacHXk+MNv31GBpd6qoLvbTPRtGQM+mb4Es7iAY28raUHjQbUrAIXU8v2r2
9bfcsv0ZF+035p6rXUZtWC5ieu2xoNyure5gUyOwQwS/zktrhhCvfpu8Zdc9RSmbqfVy2mmIxgwA
bdetNzVHh/0oASiD+ng85BS6FBnSazzuunieDktMdzqWCSREN/maWWQ5R4b2PjrZJO3m2w4nqXe5
V+bj2SZs+kTBucCMOOTDch/FSPHAC6nWCuVoA0bpbEvoa+cs2Tl1TD5aL2LXhdsHTAbCGfiq1wbb
0yqPIqrhNN7Q6n3uco8RGovcvFJe6b9PUACbtULFfSusST2nIxccAABFNx+mXW6eNlaYJrJgZij0
Ewtn76pzOlaYFFuCbh79ie2SLBXPvM4EyxlPOntSZhdbv4H1+MaD9Khlxn5Z2wZvPUg1VKQ4c28/
9KPJxJ01zrCEVhAN6uJMrQ3q3moC5sagtwCaauGMG4EpnvxwTSEILF8PEv4Ua5IeWL44/y+JV87n
0jOpKVmMyL72mdR/Rs9jTTaNZgNJhco5bJZoy/dI/8FedqneezjT4Qxl21Fjb4sgUQ3yhej9su4w
K9LzULSPVYy3yrW+Ixs3bF6AzhzLHPrXLGHhWMsrV8L0goCb7fB4a0qlQAq9sXgrVjlm63VpBHB8
5sV2N3ZeipWCa3jBu2eyPa7Tpbqdy/2mDw28la8zZOH+we6GiuuhneU+wHBiU1E1Vo8pClK2iceq
KJ9w6qmTiSK0zjt0y66Ny7d88HFpQM8eLpNa2Esk1t7GgrzGwjpiP1mMDe/O+nUexzeW5s9lI6Mv
YM3uI2558agsXdGars+zzRnRa7zqo3exaBu9eJpjxVzAU5Ltn2GXu2ZQ1X3ZJ+pA9F2id6KZvxKO
kAeHmOS2ydL23cYI/seJqmYnKaQlxKW8ir7b6L3Ier2Je2zheCitAwoATAkryv4ELfFEKhJmwopS
kEy5+HOLiUzMk/UDB5OKrGVRQn+VwMrsfZmOhb3hLN6IPeH3JN5x0QfZa5p2ASGPHqPUIU1Kq3Xw
fTetc5rBQtJ0JqyoWbtpQ/1ZbbP5YUb2aHwP6dPix8XwklEpwBOB8rexww9ZSyAjNQDH6jl3SaEi
quUpr1W90Xk5zDrsG70szR7PftVxLsLzMp39ZvpiFxRRtMB3g3U3gKq5RMtmGZa3Oanv0aaPWG/0
yk5wH0tdt3trQaotzQxOKjslZvZKISvCd2JJkVI3cINDABWYiIsSrXVidGzB425lTzQJD7F/CUYz
u2PhgdUhkR9x214LKVxYHXO5syeXHWsBV8is6bdqxVCHClVyPYJ1YZGQ8SRZe9bYHCKl/G6lutI+
VRifPpcyke/xGMlzY7npBoPq9Jk0fgKc3ICX3STIsiTRkXlhU27xQWNewaB7HBKnxJWt+lbx/aQ4
8gYyYxTJxTmtIFwy67wFlLmRpE0yAi0mRTlR/ggf83OJI+uJzQBwC5jlOlHDFs7M9GcBrbWD80NJ
zA1NyRkcg7ztReui6zsJe1vba16g6joKbl2W/4a7UkhVWzn2t34+V6eI+Gg+b0sXCLqLDHTcmfPt
h9d0v7sakbloe++sHJWvuZpgYFYcYjJl15d+XvrvkVrPfmLiynD13yzJWJzNeT7SGqWIp5X2A6Sl
Oy9ojV3bg2sd07uG+FmrvOBkeUCPeCFlzTWgKfrish7AthQAiskDECJFrKx1TRPMpuqJRRq8o58N
Gd2x7uCtyDT90EiuShMV8BHw7gUb3HZcBPGvfId9lmveSqqPxqgb1Gf5JRRCNZ4seoCp73i0NL1W
yADJAwWt9SYYMSZ5s418m/BDByCPNbHZb5Jghy4Yv4Ai3d4XSJSO54DSwEHbxw+s9edfPG/Lt7GV
E3djE209U19doxNhLHuATwYSQdiSrhhWjmkR+FCteHK8wMVwFZXZwZ4sZ+9kuHhpI7efkWV/kwh8
KYXJ/ov77ixKPe8lcdsQig3GyzK48yIZ38eK7xA/IoeFQgwtFVelf2hmlk1tx1u7oAJ0FY243+ve
Me4Gi3pJy1LlaTYaaltdns/c0L7xhPGkeRrH/DEtOcVGtTtufZabmHBzKzSUvRxwqOF+kSVgt0G+
VZmDx05Tfg5ZorxgA2EKjNpdYbvdd0zYd2MN8Z28fait1coNE1wWmiW1kynHOVUa761nO/uRRpAV
/xGQIoKEuX/rMbGmrymzlrVvcHSHBpL5K49HyKmizuAS98oLqdH5BZqGLY10zOfK512AL+LiiYRh
yyqXgwP/nF8QPdrL/tbK7ioToyCa7IYuTHxOLnE0xUPrOI9Qv6xhIZlDSjR5Hl3eYqd8Gsf2TsNj
9+OVILN/KpH7o8+2JWm+6Yt5Hk5NVNCEPVou712aE6MJ1j81p87JnGhpxo/CcbdxJ+/okWZKoT8t
SYYbkUl4n+upJuIK9qX5jqTp0e3swfxtBrtTx/9v1ej14ed//HcJGfG/Jk5siv/29FWMXz91C2SC
EeJ//6F/Uh7lX14Ajte0gRe68mau+AdzwgjMvyxbQDSkB/UfAIl/+jUs9y8gFb5L2Qz/BiAF9o9/
2DUs568bu8LC5OFjAoOD+G9QJxz7BiP5V6yicG3odfhlhW2i/vq4Sf4VOiGx7Gpn4ZWWjdHz4Jne
Uz4b9RdghGXfizwqtmaE1W0IFDCZDmazsx5H3zq3VtnesxCjfzb1C1Lu7o0Fw/w8qhXeZf1Rcwo7
sR2HYoOPf77GvsTADuGCZSl96WGVWhWAuSL9jDyneuw8Z0lXcVJbD6LF2YQnNT+pukx4HMXTIRX2
TFfBjEYm26YOSxzT321PhsIW6UKMUY9eRiCpaDe8HDIoirHpvCX4OpgmRa7fKwZvHeY4oC4JW1XM
CEtpPGSEwB9KqxQ/KkX4ga2dwIsYqPI0QfNTbLbKR5tV7+AS2ODtW9R7p4Dgt474PYBIiFQGzDrW
TCtCaWMFsGaATsSVFk5yFoY+LDKfaQ+5E1xFkU9YHNya+1OL4A0uvfvFoVQfScuZIfv46dMedETN
MiXT/H0ucX6GYd356seoCiZk4WjFj6RcwTLDKstNn8T9tbCdll99di5UQLIArvLcPE5qJA/XHwFo
QS7w/D9mLPpnmmoZSPouoPeZ/H8M4cnOsrUJy42dmJFRcVDeu3aR/dQeGcxV1nqoR2ZQw/2R5S0A
LoyCLAyYqSiUgLW/OOihi9pjkOz7Cunb1P07uwwFQ64y9sWtnbGnvZP/5wQpP7M/Srd34pAyG4OU
lnEXCYIiPODG+E/k+GKXG2gcDako3H13ncnKo40GJ+zbwP0c2+Qz58RDq6eRSlBxcXeSRsNwNRbt
WjaTjagCwYEQ4ZGlJmt4uHFYa4yL9oa7uCvoY8/R7NZgxDs+FJnvA98kif4/2TuT3ciZLEu/SqE3
veIPmhnHRW18lMtds4cUig0hRUic55nP1W/QL9YfI//MCrmiJAR6U9XoQqGQBWSITtJow73nfCfV
kvHGK3XrIia8klyEsD5Odhp/x3ESYizo03BrFs3UMIAc52GahILmE8HdKMbjRBrkRs74xkY1JBWl
mYOaFhFDzqG4HtYsUzhko4CTJMadO6yb8ZaDOfkhM3vSIWU4Vdmr1RPPA3C+wwRMPpspan0x1O1T
lRG1o7fN116ONwl1/aUeE6FFVQmbPKDEPAImLYP2Gw1PWpHcNRUn9VxaFX2KwILCLmEV2zUU1BL6
BXR1RzsjIXfc+QqNkghIYc1c5BE94VdDg2QdxxFKa8GGu3RfoIBCeMwJJW/z6rowCazLwWIRY8E4
1YQGv72y84l8QiAJHLdshIF6omlrWgDDGQ678BuUA/1rZUiyomXfgy4bi4xDNs40I5E3uR7ny4I6
MIIIoOpyoI3UIKSglmHdjxOCas4S6lmiYDMXHcXwrxASTQaQV6H5Hh0yC8ssQomfjYgxUimu8ejz
NcWawVgd6emYOZ4XlJmrRiXwN0qzo1Ywdks2qPLcrxyKYB5VwqhojSV6ePfWnreKdpmLdUVAJDxW
6imj4de07gUBr31saR66x9q9l8NMIaWSxQSkT9168CiGrVRSekfDnRvq1GQd/1LvnXpj0CjZYvFR
ZIOO9q1RTNnKKWyvuR7m5Ei3LOuH0Vfe3TDS1L4m2alZz3t+wl7DZ0Q53bLXx/jc7fvhOsG+e5dz
T9FK9cZwHYMHIlVHjOJsqusc/bjrHRskN2cGToAt1EUicAw7Pncw6q4iZo2NZRPhxW5PuwUIi0Qg
pqJL1ZBDJyoL0S0zistbbLXDVQeS65Cj2R2Xs10CfK7ItiZFWnJALJojYFG8cySHw/WI6g5cINyt
FxPN6GoaakBymcGaQbS798rppIgppDho6dMBJUxkFdZdVkJ8OSCApV/0y1r8G2jwLHg8WdxQoRu2
LSzwTbrlzpTjX4hKFjIlml6GuWmRMW3dMjjvx5oCSf7kDMijIckcLTe/TihRLQoZbqMEEZUZDQsQ
5oha4y0nr/TMIu/x4x8205PfLrr8LlBPEm+PZdouYsxffxeOANdtUAxt7KTgDFRkVEFTDDomVWkf
QLlqurOPryjer/OKzYZuuyZMMghTbCh+vaTMspAIDmQ1BKxdFn5By8RqcS/F52koz/GC0PTI4jOb
8boObckZNG4zPFDHLC8f4qwMV5Yz1dcf/yo57y5OH4QtDI79FhgtQ5z8KjyB7E5HtB+tFqi5XfIA
oud++okICku168R0FBOMzRavCt8lTtu8xqBPlnVoXQpFLc3LkfWBNaUwnruURtN0gYXjqIgygx/T
vqY5LSaScs7n7+jnz/8jgfL/DV/tjYZ5+5JfPsFuOkW1/ReEsAnnw03xJczz6slvn37dEv/8N//c
E8u/GIA2ShSBUlm6FiS0f3DYNMjnlsOmSJ+/WCqB6j9AbML8iw/GYeNLoRVOjM2/+ueeWEcTbUNU
M5FFC90y/gjF9u5TQcEM8Q1JA9eXln3CPrcTHcYMc8KmytAs1qVp3rFNbjYUqOLDxx/Au4mAvb9u
GnwBBigoUz9BvuWWAqMTutUGVSNtheYmKuJt4MijQeu6sbVPZoH3l+ORC2xPqALBqfOY3kwCMULe
sQ/NamO16jh7Y1GioGoSEaicMbmYosTffHyD758lV+QNI6SFg2ydshC7qkZ603LFgD0rBZdyPXQl
GBb0aB9fSJ6Izsm9sHXpEPshGAn835OphIpLFWXOWG1K36vPVBXH61Cw1UQK6Y/nORkeexMyzBGO
cbHJsm4XjP0df+lbBwIpHa0tRoaaKkEPCmu0qiudrgjuZg+nXBnfmi2d/I9/sXj3iy3L4vxm8zps
myd0QrSPpE4OjusnmNfJec3Lw4hT2/bd8UAcL8ZrPPOdOfccOuB0IKn79Sc/4N3yOP8Al/XA0g0+
Qv1keRyIhJR54sQbRO1EwmIcjfe54cmNi9MrtOkWBC5CeQHrpNWWU2ofpOcSK2M+6Xq/p4ujLRt9
+i5z0X/yNt+iEHmX6DDhIdqzVcHmsz75BEMnYL+MMn2DIIiU3ckjiJJYT86OTUuHB9nXxK65qDy0
WoAGVmlhqE/WJss5fTxMRAA8mVNMRyk+mpPHE012DsHVDTdp3/qv5M+Y3+DkmChx4DUTFclpEKID
4G+gV+mj5lVH8AU4QOEN02eRfYevceK5Qb+75Z8V58SG6xtsHcZG2d2xnXnjAOPw1fOFEDGVH3Og
5ONMJ8fwJTGCHQ28k9rat3pqvwO0mn7LIc2GAzAi+FujZJsIns/ZJq49o9OfLcQ/pM2oRDw7WcJp
ziM1YSFGzX2syrB5qPmfB4jj+jNK2h7A3oQWeZUBVskXwwj4LUIXJ1lJvXFTFxEbwBY/Jdev6xVa
vWzP6pqhFx3RzwR53b2EE8GplPBbqvp2XcVPtdZ491WcEZcojVitAZhPW3LYabllpbbVQzsfHup2
FNGWNFTyKzEMuIjKoniHBZxip02n4pL+Z77uYq14SbkYqoHZh5k5TnIg6m/emujNqxw5aiPUIKKQ
AnTO3hnVAD1w3VgYxUi3PBlLvmdcwV2+Tdo8OajKbl4D2dN50nL3AeIDimobVN7XzLY8bFhufyHw
YS07kchd0oQwEzRcT6usUJG5bMD1ohTHDHAObAopZWfk41kGLkNuavBQ5FGkrTksE7hE9HYtt98G
cujabd07hkT5UqCHEghv3amOOW8gsnkuwkC78luzGHdzxwGJk892aU1HVTfWQNGmaemRJd1seJY9
VQ8K2M15WurVzvXDgps0nRg9Z0sveNyVlSniHbI0DtoIM81ljjAWvyRUM5RzJX2GMk6dKyhqo38G
MFT3Vh3Qrv1EPNC0zEB+UCFXzRfDx8S78tRMLCCLs10QPdBB5MHibq27qRn9i6n2CX/VIwxqQxxH
N15sFGjGx1Q74kMbcP6Uc4mn5Ci6buOOnZc5wXFYkqhgkchpU9PfwEMzb+DAecHOId2RNI0wecV/
aLw4jdeD+Ss5Ucbgxs4mjIcXpek0Fzy46LVCcYOY3bn2Rrr3KvG/uI57EQep/YNcp7tCWeYX4g3j
vQbF7yxUToyHsppTN5FoX3kFPh2SCkZYWkAI+w5ERd561s1Iw3bHZlOuzdj1qd4HmB2puS+RC0X7
wKbVl7SGuXVUV63IuMsXkUTvE0xu/gXSZ/7kRdmDBrp6KdWYnCUAIDlgefaq7exnEqUpEgzhsEqs
EQa2wK1XVw0AJhpVKIUdcneB+fOsR+MGfuO5owp73xulONOCoF0lYVXtotwylrlZwQtQ4jIH3bHW
ZHsFBvwgYIucpy4JDlE60BapBLXwZjqbhHOHN8PBCor+qNPSOa1cu9LBMsHsJDiIzixdHliAuyan
N5oM4PsVVYSYukH7VVrAOHC8XMs+guOly52gO4eAXoMKqItiF01uCJokfi79qb/QMzW9DpEIv6TM
m1+xFwfoqesU2l124wcAKBSVfX+RVlhVRehkSACHcAXeklyOlH4nUZQVvfqOBDgYZ7wnEgdvBkgQ
BQQPS5B0myYPhqmT1+eHV5Jy4ApPkQv/zQocdH+U9yGiNvmqKsQtAZtmvICE7x6lTXGPvBLKYYKi
ien7CaMqrS7x7ge3tCeWthE+GlDU2Brl2d4yYzvDMj6ZD2Us4ksvauN9aKXdmqic8ieEdgV/El9S
n9N3HfsD1bxhk+VJeJml4Q1GNqpn1sQOkkpIVfFFF/1ll4zta6A56nxoQtiQ4FgJihqKh7ZShFBK
n2RrqxDU9lBHpw3BjfTgkfUV9Q8SGWz4K1V5JeKqyFYGoqBtmQfta+PzrBfJjFBB0V0lxEWwrVgU
A9S+3LgfgIOv0TZjrRks9yZL3fFcWE25yhAkn9ugg+4DJout7+cSh3AhD6IZyEYts+8xFr+rXjjp
liPUdGnUQEs03z9zwNNWbU6/VKphUsvJNUDZZexUfFsZ3zAXoR4nGuQ8yQb32aqa4RtJNNPahfZD
b1jLFUnnGYlX5IPX1ECSkU6NMq/LnF0h4JrmmI+4TkXr9VdOkgDURUWx7gCSgdT3x10fuOYylLRS
lxIU8pnPoXfTQK1bi2hCBKiCx+qn4K9uJ/KCgVFdsiQb34G9I8GLK7ITUMesnRDznTV4/P0ARX8Y
pjQ1VfncZdN5l09PQKawwnpRsiy4hRwUzHPN9LR20uzWRfWxRWxxrQjgotlfPWEbjJBKIeEBM1Pv
ispfiy6srtFGXBFtekfkotyXhfzuA59ddRL0SZBF5kr34mHjC7GstVGjW0xVxIxor6Za+TwmfXVF
hK278yDuT253DkjxeyhGb5vFbb+2QtZt4B/Zksf5LR2D4Hoas35ZFI32Avzn1kcz57sElxROkKwL
wdqmkYH3YpWF2DU4HdDZB+5NS3LSwgidAdgENZqVnzeozN0cJKVeMFElhtWS0QmUGAL88yjL9imQ
AaW50ayHyykmsDpAoIM0WFbGV3Yb1iVaZiLRaQ+n3Rl63+RLqDVlsqL3eixm7lbl1OrYJU5bkiDU
XnsNnrt1EBv0EnPLvarAXCxafvRdQoP4Gy3d8CpDg0KiG9zXcI8PSCBIC9zHCZSLgb7ZIL6nAUt7
z5dAhG6gKhKmtax8iU2HIeSiZPw6jUQcCa0ftmHhEWaZoxkAHNuSr46hiKjmZYieSgMD1UDEh95O
jp2Ba2VahQU5MZRZHVusOKHiDJSxX6bLYqwwiQQwezTw2BQh0yq/9yw026sCFkl5Ng1uVi7GMgyP
eRhNhLvWPd2JurCie1ALEEwCp6pf67YdUA5oQ26Sr+GAcasgbx+TcppT/aqEtKIMVOiUMAsV5Num
qjQuw3LKjXO8rLZHoi/Yxq2VVuaF44TRD4sQYX/tu4FCbN+oQ1oFzlnhG80tpEmSlkPW54eIOQDu
WJPdAXtYgxkc9gWacbTReoOOC3zP4xgPxhYkRb+vI7TG9ByLi3BsjGcK4eww6Vpm7rex6J1XXLLD
llE+3eAL8M4yX0ViVdSl2tK5gcvPdy82ndeNiNPixAYwl4FiWbYAtdbOGI/XERjD7jZ0nTFYtaGe
sgRaPxvbij9bR91yaG23AOWb+muQMPzHVjLJAAyID7HtRAO682z4Knryu3CmEnBN6HOjK7KoAza1
gULY8QWd1fAd0UP3UrTOeCcw9bkr+LkVvAhIpCtz8ONiJStdfw7hg5Jyzzxzh0I4IfiC7leyzN12
RKyB8QH1Z+7yLr0xvy0TBsR2RBl92QCNyJZlitQ3kujhpAjqr1og3a81fztYU79IV1aTdDeCM8I5
FrTmNgsnbUtad3Owe+rAYGPYLNn1VFL717vhvsCYMrGpwoBFVvE0QP+mKZPvDJX7+FPTSU1kimPt
uU9C9MDIKc0LiRMckXxDno7zM1qHVwtP4WfgDnyBcVYozkE8zPBzKk+o5ogeVRiOc9QRYCX3dFmi
3fgz0AcjLeE+CZ7ee2BWJP78DP+x5xygUla9vkCZ2pxBxkVyNScGjWU18kNh104R3PfFEEqyhciy
uuyqOXBIJa6597M5hoijeHk3zdlEUdPgFxJzYhFqiJ7+dXtW6iOnkDnXaJgTjsAsTg8NjMgz+TMA
yZqzkLAMBKvOd/OdNSclFXNmUqBN+P7aKbiI50Qlb85WArFWbrw5b8mdk5fkP0KY5jwmZPc6fRy7
vfl5wv7/BcLjWLz8+//4juyqqcbbF5/AxjfFPsGB/j/vmi//9/9qXv7tx//cdXlYvbz7h39XCSW5
CyhsXZeKjlDAo/mb/6wS/mXp1MzgH9AdFxAPOLr/TToQlAINnX47hUXqiNacE/h3ldD4SyH2sHX+
KXVHUhT/KCLRdE+qaSATTFNSRNMpUMA6ME8qTnj36PeU47JNPb85Dp7vMpzbiY3RsW5sHTTgWFga
vju4r+G3lv2FvAVVibYQLX4p0mbVE0saOT+GUkMjugmKwsx/9Kly23a2M2ZfYUbjBYCBXWgo0ofq
rmwquzjLyJm67oBqPvt1lzzrmRc8OKQ9kRZoUF7YtWGPANKMoOYjEq0gioN1Gl7dBpMwSGFUrYva
gNe4MmIHCnFspD2KddIijnwxHKrTUlCQmPp0MBaE98U3OhDnXYGd82Xy9W4Evy+A/vBQRHw16kWk
jjlgv/irFDDTLv18li6ZRvrNDNLSwhXQ4MFfBuSevgaZkDcqmTg9YYENvhklLJEFITrdwdF6j7B5
t+H3enGMRRAXpWWSazqRKL2iuBhDn69Dc7rByByatJR9ogHpG7XiXrZhiDubg3qOmKuQinkW7aCz
seRARpWR+P0DSQFGvB/jwChofCgSE0vbSlY5sHi1rIp8orfnmwU64TTug51pG9TllKOVzXMq6sj+
qlQ4Vx9KMu7nlT/ASJm3Aa1/a17VLEGs8VqpzJw4nVQxUUUFMDOURiZ98zHVSRTslCh/IKhqw02r
EuJoTa8PaVMI/9JF320wMTI1LjWhkJ/1EoA22gyI00Wj59OlBrftaBtIZVfeMOjGd1uC5F+qoGOT
5ibC9/eBG1TW0kzlFK/aKgpLZOsANrdROx/pwAsgBrWblnO7YQr+sN4E7RUvHeN5HpMXtIyHqSd3
jo4zNWEjE9Y6Em32WKHxyHC9FA4c0FqSL1zrsXufoUwLgRV53g7g7aQh6rNZkNqeNEEg47yzRZU0
RryVgkGxNAPCFQB0a86PPnEZdKRwV/YyzIIW3ZrRoiNPAjwEe8OIM3+Dl96lXdhPT8XQ1xDgdfaf
YIqDusF/Fs4RaoUxfKOPO9yKSref6mKAe0sCNcFLXSw9f9O3+pwEpVRMWYduHi4Rl5UBJ5Z7zx4I
rDpQywz3hc/fKIuu/kpCQHbT2QkSPDev45eolEnJVrEPn8G5GncjLOQeWXM1nCUdvtxFVbt0DB2T
0DHA9/50xtMpXvuoguQQ0rP4ogVRes9/075mF1kFa7trm7s4CNmVEbzeM0BUIJcyymRD0SMBnjUY
BgkRFOC6x0hZCO0nURUESPQoNxeEeMpXAaH9NlN83MuqNvAI6PFU0rqN++YBAzvEBbNuzGiTiDjh
fYwALrShwrfWRk39PZ5s/YooBdwhY2lI6kPJZF32QLcJFCljXd/VIEyMJRD9htxqpMopOeXauuJ4
Pi5KHLN7KdIEVd6AP3UxVhBbFpOuu95S+tF4btnZ+Kj3dfOsBqTeCyVa43IyGjIJMtANwNgIEO0X
Xaan8MmiAkeKmSXOzkcrcYg1TX8GSdkpvLA2Anhdz9MbLmoAlKhAJy+wgthXUh/CB+k57NcBpJf7
urCt53wsQcSRB2Hb4A6DcfYaBfhHvOKudInZZMtmZ1/8Tm/o8huokqmPQhQHZbDJ7ZBMRioW7dcQ
svW0yHysv+cFdpYaEnFtPqKdtqOdV2qkzvual960capxBvUJw4U16JTQTEq9vLBdq8gRBCTaZals
dPO+m7Z3qQrRXUpWxLs2KyoofWaT7rnvHDSFFkzOkku5cKWot0cYb8sqvaAEHj+2lZPdl7D/xDKt
O2COJCrq/brzcWMizI/CA8oUzq5WzFw0WzsVvqlch4ipK+mDSk1wARp1YNsr29Oq73GVRuPBbm2t
X+ApTV4gnWP9sSbPA/FVMpdOIfKIEBjGtcJ6FS6A14TVQiLUxjkQBNi37SHqFn3cQSoLyDpsl1Zb
CgTTxP3IFUHXtr1WmedsJerQZjH2Eb6+tJLxqyys9lFF5P6hRKkJBPV93YUmapk0pGb93AJxQmtT
d+3kRc0xB/E8tnaJ/0GZX5rYU7eMFOq2ukfYuevlJN1JPQu+UtFRxxT1yICLMK/ZB4/xDlIMPWMZ
DxBJorj0ntO+RN8FlT99BBw62ltBDZdgULNgWA2h1d5XvKZuQe3fShdQ84l787XY+d5gTNu2bpzk
bKbJvN/jNTJRmYEQ99dRgTpp/s+mQ0F2ZujXUUUcXlan/XnOeTjYRloor03HCkv4vDMxHz+Xd0Xi
CwammvqDtqq4Wwwrmt4jpIoVmXHwrom3SXWMBZrKZvNlwTo4mFWLAor5k4Afx4FP5zmK0HuryXF3
Tc4w87soySzrNCNNtxkwxyJEyi0kw11ifaVMX50nrWe+CqIdApREiRedFeBp4JQbNAzWjmj6cpPq
wDOw3DTTsOWo14ht49hGfdHmBvkzGfmZX0RUai91NkXHnjA3fNbuHKfbyCHt2WDg3Zn/IPUI2nCZ
2ovEt7OFQXs32GZZrR3TtOMzGEB48qiyJFGrvghGpjlN977hdKDgmiFofPJinAeLtOEPrKgM4XIr
EEAvQV8kVIlNR97gGxWvGXjIW9GE9gsFMhpYKUqm1yDvqWJEIDURCCQTB1zRVq92odrvjj5RGe45
iV93gysF65LAwkjyDhEpbdp09Sqo6+ng4+v67hiT5i87VZsojiVfG2xkYhpBc45AhQCyXzbEdEMM
Fw4DpyMv5bthQylet7DpemRNYH8XDmqrp7ruh2DVq8b93pttfKAsopB/MLXsGflEXPjpBCXaL5pi
m+SmmxJA6BAGSVNluEH9Pv1wEeEfOxB64Qr7v3WF1Iy9Up4hPF76VV1SzDRr46VwKwNOlgqGK2EU
mLBM5j0KjkgI0wV0+TRAdj3CgWiJhr5rWrxi2AZE4W5zrQENoqMYxOOQYGSoKgKuMHVYBBfGvrjE
WiMvinBC7dOmc4Bkaolp7rU4VB7HoIflRIRL8yjJtthXedR9CQu7d5aancGdSae+XWaMGLahnV1c
VyC7phUTXmYt+f8pNRD280hsjVMyX/qQQ9hT2OyyYEIvrN51yN0KWS63Poqfh7Qf+TRashEO0SBJ
xjbGMX+qkGTr51VGiXqIdfVEhbmiHMapnVq0AWe51mvnrkTcHdLJknUFMUIjY43wYgI8MLgZtOQ1
09zzrvsvojLcV3fMZiBxSG99jvmI261h0L6D02d338yoxYMwkUnGIuA18twWTv/oj2OlsZkqsmPJ
PHNnNs0UrpzMcJa9SoZxDaUUEoGmr2m2UhIZiTUmplkmL6rwo2Mb47E+i1WjPQxIgh+8Urp7q+5I
624SoaGxbGooazr9QYpfydSf+60BJidv/XRPAdpmJ+k72ktU4ChibaLrvoqdypxP/hQtseWG1Taw
YgqPkJsQhbm9oGJu5nZ7m/oBSKeM0ObDbMMGUzHBOVkFUYdwz20niFcJETPppk7LaqNIZrc2JuQT
PFaRjK8r2SI9FH2GSdYEHZCTVhCikgV0Y2nANx3WjD8/a/+34wCaH56T757S/I2IRs7//b+Px+QD
/sUhjTMw8gHTdgTt6b+Px8KWfzm6oSN8MxwDoc2/TsccHBCWI61xUUg4FoMGRdbfx2MN0blOzxs7
iDkLz3Xzj1Q0xnz8/UXbBYBQ2Urops0pHpHPrOT5VXHml62Wps4kjuTME+xcZew1lrY3FWitvWAd
NCaGbpK6sOv2BTxhh9k3W46hjO1dhmuwJ/alyBgsYAjWPvYPZFz0ga8Nk7llmekKZiwJ29JeRXLM
76JJ+1Z1tY7TRPb5s64mzl6kSyCb8Cal3bq2g4KaDNUOW1jSjcWao0HwI7UwzS36LCNiiErr5GxS
yoFEm5OFVzZ9Vy572Q3tugjLUnvUAtO9wgvIvidtvG4Ha5Qti59hxi/HYfpEgnCijuMJou93FApG
jtOm81NA8ot8seLNzj1KcSTDw6NV1lbLNKUf/Uvt5fofb+TfoChfA4NpSJI8kTn8vAoqSd3WZ0eB
VCcyh4QDWlsWoTjO5eh1FhD+M6i63WgyCNaqS7XNx9f7zcDgVixujA2dQ0Hm5IIsnxBPK3M8WjqA
Gj/Lu8eBYzbZcJ47z1NtTAoQBml3W/oEp+8yYfcpntcCQs6QG2tVNHDl0Zcb39NMb1488AhUol3M
gsvG7qEF+mNu3NHQYMDJwhi/tPZoestBqTFfh0VGX3Hsq3rdwnWlNkCDPMdONUdc0FWhWxIUdmYt
jNSIrmpRu+XKUAVbUJ0NsuZOrVhZRgFJnSLirRV4w7fAB55K1EmrnkwCPl4x90SQg2jZkZuE9yhd
fPwE370xXCRsfJC6SUPNT/Htl4X0VjTtYA3Hxs9evSnf+xrPZpIQ4GIv/Mfr+qMa5v+jFNZZbvef
VymvgzAJIbVnL/WvJUrUs/+cg4W0/sKd4+DfYRgroKv/nIJJqPwLV92sHbLYD1Ap/NcULAWuHyEE
H7dpoi+S/KN/FSgtAaDMdQgp5LP/0wn4zfyLU5MhgsvPsGfAsy70Ew1VbMp6rDhiH6oARb+k6rCG
BVPtfnkmv5k93s5R81UMdvIIeJHfoZc8lViLCOkViorp4KJVW5PqMlue037751cxEMpRBzZsxWr3
dsSPHcEkpDWPhwyY3pJtFr69Gq3Nx1dhMf1lxfp5L/xpVlMTLanOx/X2Ko4Lbsiyi+GA1oa9juYF
EjU/FU+aoQDHn/LQAqlqIWBnY2wlIuLgHsvyk6/7N08UwZmD8EyxBpMW9PZXzFYjWod4wTOdI4jO
bvp89Egc//heT1Kqf96sxbIMgclBe4gc9O1lLBpUGqeM/oA/Jqa7HIctUUMopqk5BhNuWJ/8Kg8e
f5bMzEAnvZ+mtgWmARcdxYwm+09Wu/m+/mO/MP8gU3f5iOYcMQvl3yyX/GW1y5yyophYd2A98mc7
M+KNqPIfnQb46+Nbfzt9/rwQHQVLIYZH3ovW+O2FgkKRISDL7kDkZ/7d97twTfkrXZe+Gi5zJ3c/
ud5vHrXJ9w4UUrdwIbxrFPhEwUehzp11dlegykoystL64ZHMlvpByzz6qGC37FfPGusf+GaD14Ti
JqHDIyiIj+/93eAymGEEay/zDvd/avcjaSkbSUq19xGzxiolGHBJgrPxyYf0/ip8qTorFApKB4Hp
yRCmoueGMSqNvUarZksN6RX1oPWJmPk3F0G9ikeSRhDiVXd+zb+MF0eRaYA1rjiUZs6BCO7lF9SF
4uHjBzbPkm9G5dxGYpTgL1I0e05nnqptC2jrHupBgSZhA2YgwhpiV50DcCnqH7HrU+CcsFUZn7yq
eQP/7tIMTxvUqMsmWj8Zp1S4aNtAQTjYNCeotfoRVOaqdKCrdhjyF+Zk17fEIVfyzAxogC8si4oC
J36slFBSx+BGcxqtuf3jB+IgsEdCjj4X3frJVJx01PG6zK4OkUMXZ6nKYlSYnEE+E5haOhuZTsYr
ma6188mM9e6zBW8msMuyrnKsQSj59n0HiHXLPgmTg+sFxja0zWyV0mZY1breHMoYwsLHN/p+fM3X
A2aO18CZldJvrwdvh8Q/mSWH1Me1RtpOj4IpV6uPrzI/rrfjS/EYOb6BZJ+h7icv2XAbjGdZmRzy
OlLyMgYvC0CaWvmwSTy0lPvOLYejRev+pbabzP9kkP3mJtmFsHJjd5j/92QVQAwIJQ6LzCGvXNbU
mJpwB/v5k/lA/O4ynDjn8yaidsby22dJM5Y4Ow79B0AoGHR6vLBssKdM+0aCgjVddRb4RhKG8/JL
59rpg0vTq136o13fzwc0sslrspcWJUkTPYCdlHiEj1/D734hp5LZO+JIvnTj5G0Le3BCUlKyQ1u6
+fe+GYOtBDW6svsAvhjdiHvCtqcvhZZEqyAwX1Q0xTvX1MMHtDLeGdFCfHNYPTjP/2vLef3+cHZi
EmCxsqXCiwJQ33XwM82N9V9nubHvot6la7eHPxBeyD7Ml5T1gZO4hQiBk1jTHpIJ2gsrss6MqbfW
+KniHx//inev7+ePoN/OQDHZM5z8iLLye1io7rCnKNQebdNLz/Uo+XSUzM/4zbfAZUxuct6Bze6b
k1EyBA7eVsqje5qivrVIOoXoBCdRRmPWQMUZBUny2CIyvSvikbiJYgptlFhAWzZ5PCFUJmiXkvDH
9/5uW2Iz7eMhpPaC4Ei3TqadBvDRKIeBFLGBqKmgBk01EsWxUSV5An98KZdtv+BlC8vCr/f2XePN
Lvq2Kdt9ZM65eUD99yEZ3vvOCa3Xjy/1mzfqKpv1GT2AwlR1cimTMVX4kJspLk8KbFaF970Oi09u
aH42b18oYRM6h1QMFBSkTscNeUl6qoyh2bdxQyRTR0XRIiV+0/ZGcVNWyvsHhgKfnP+S/+Zr+e31
lELmgRSZa6q3D1DPgBJNoK32utSa1TAUBDKPDYnAeEBXrZjiT44l7zYH+INQOXAiAdHgWqe7qaa3
yC3wbUjXgz6tlFPctJO4b5RzN2j9tZdJ648fKGIYhohFG4mXNlvgfp0NUEBmbsJ2hy+kMzaximrS
LGrvMSWYaBNCu7/9eJj8fENv3+A8AbE1Z4HSqRjO4+iXTZYPo97zzGza0wnuZpEoqgoqIzm4lr4q
oZ3l/YiFrHPpQ+5sgCUguErh4AYhsCFd5JRTjnJswMsHbQS4tc5l0qI6yLJgg4WankpsesJcFeh8
EVybmQVaAjpXtSzq0nKWbFAnLMXdAKSfjM9pXMElzFOYDiPgQmCzIxrsTCCVxtpsPH589+8/Em4e
asfslcNcZp3MRzjBhroG47GPZF2cpT6RBHVOotWfX4Vjj8U3Tw2BasHbR2wEDtVH3xB7Ny+HF4Bo
xjIwaXZ+fJX30xgbegHpg49Dt9Xp7skY8wwvyyT2dZX2F4nnDiu/Rc/uJc1nx+jfPTZlMEJnqong
IPD2hibfSnIvHfW9NQ7BEs55RYeMvsjHN/SblZE74hQ3F1E4LZ9OYSmnNaCvmr4PFbrmMstJxmos
oFwY2ANzjXEoeeSntJeNFpFsWnjEJMB2u/z4Z/zuZvFvmhyk+Uiohby9WQGEkJ1ALvZ2POe3Yqta
xLnTf/Ldvz8LUMXhj+sO50d64ZTm33yHMkBQneSZ2JMOVux6pNrdMnLq8cqzKgiiZYOZcNF7RvbF
cU0Y+LQrQXoZEX7ppZU2tYXoKmo/Wxt/e/PY4yTnAeFgmj35VVhtrL7xBLLhiTi23sWlhXfskzf9
u6sw7RlzrZPWhDPPwr/MQaNZKbLmyeZz6G4ST2p7V/2k1Cd2zN9chRmVyovLY5YUzN5exWtdmmeD
0+xtK8bHQ5UAhkr22bfxboXC9D+bUyUyWuy+6uReLC11aJKN4x4Ae/Ckk+bwzaSqBpPKtW+bvs3/
dIVyWC4MycZR4i3jk3x7VxHIxY5aS48XKtTYoXp2dQynJPsatqo65AovEj6A8pOP4v1wdQRXY9mn
gyGYBU4uq9vkrHV+I/ZpOPX7rCBYZ+VWtX5TYYHZEMlJ87IgCeFGuv5A+qBq74XsGrVQflqc6ZNK
dx9/pu9nC3bPbEA4xzFO5x3+2wcBt422FxqDvdsbcHqyjhSDlLzzG/QQ9nmJJvvCIlv+AvWhvkOi
lBLhrmv2J3P9u9Pe/CuwelMLYqSxlX77K+o0AvXn5GoPe5eUVDRI7v/h7LyW49aVNfxEqGIOt+QE
aahgWw7LvmE5MufMpz8fdW40nKlhaV/u5V3CAAQaje4/uHOJibaPuy9yH8rsIISg/5KEn7y3XLIM
/Sr1pMHF57OcD63aKAH5Qa969DaSH+AHw1+ZiD7dXuaLQ4SIA+d04XqbnNjFZeztUR1tDLZyo1U8
lM6Qywt8SXJRUNZ/vXsYCmkWoZC7WaV+eT5MwRthpkymeBjhpN+hiIh7LiOxf/coNFbZL0sbk3r9
6qyOZtOEOC0qtNzj9GtcV9lB4oVVvDe8LbUMiXSOEj2ltvXOVERS5inMIC+GRYmuqgohuMNe5v2T
AYG6lDOox8GrPl8yuHZy0yBn6lWWj1KtpER73DvnjXvqyvcHFg2GB2FtFYz18u9vQnWCao7SmhWj
xLgd81psd7RUpY3DvCz8WVLKilnchcu9S1Ymrz6MAbony7JO9brYLz/F+Ln+yBSktqWY8oXSZ8Fj
GmrRx9sLeBm5iR/olLCC2kKXX/79zdRqc5wjRaQAK8Ko8rouMb4SrARgrWY6BqbAHub2gFeCqEpd
0zRMKrZLt34VRIGshkGfhrlnNvGAK3RVPKYaYLBU7hWEq0pYnWhV6qd21jTPtqrmOatFjzlyUt1n
YA7brR90ue78IOqgFAFsZRFZOF+CESDhZOVV5gF4zlIHzmrxyQC181B0EGosZTCerS7DARY+OCxR
NTBaC8SH1PysBZKWOxGNVbRvLDUsj4ndlZm7pG4vQwNl1BFYnyVbv3gJBOc7hTvIpmVnEP0skojz
X1z7PhJSvpF56Vg1x0iP/Ael7oMX+jbwT3C8TfZNMw7/LMREXT/rhbxwqREUu/0pl7C++hm8sl+L
1IviyUJXeLt3EgXZimJx39YHH8idlFnmobXL/N43UIBFBmlRpkInq36EnQJmO4S40m1Es4sHAGES
UAeLQT3ToJhx/hu6QJa6ih7dqcIB7N6PBhCGpAZggyV/43xeRoElnnFaCDYAVNYRbcRrh8umVE4i
9dHw9lPZKUiJ/odRaF7ZFGYMco2L/maTibApQ/XEfjePVbio58Yg7W9/umvLttwAYC0oxOnrKvAQ
SlERY/1ximrzCT2b36LHEAIV4/Hw7oGQ6V8qJeAML2EYikpCKNeZf9LyoDsNeQvBwRLZKUIZ7/ZI
Vz4Pppwoz7AbFrmcVVyxIYDYGAbYJ0uA/5K7Ed5jaAUbC3d9FNg5PDcp+a7hP0gBRLgwcguEvVHf
6Y0dOG1G7+T2XK58HrIaXVkKZkSldT5d6NjXq7pqnaJGVpyqisq7KLeFiyyEtTGh60PRmlwiIDfp
atnoa9Q1lhfWqfDV8jeo8F9AqQB7Rtpo7t4/KzJ27k+T70TWdn5W24L2CawB69TRtf+tVZp5UA0t
fgDMr26EpsuY/opPWGRWlsq3tYSuN9eaNhdBMyDCgCOJDktzzJKnQhVlthNNK+7Tru52cLMDeWOG
CzRiFRIZF4KWxQ1uL7M8HxcSeGLpYeGfhiqCD0z8LRIXoXb7Z9Lib3QvZ5H208YnHXYpiDan7RLx
tyjs8j6KLSl2I3LArxXlmf+sDLqRoHHtezIIH/gUTVL9MmolGl2NCQ1HKQuCFmWFvH5okXGA1Rwr
qCa29Mn4z6gS/qljTe7R+6bR5zQW58Lhr9pfwNXPOlrJFk3porMslxsiPCKvbIbOqJML7koc86BA
SlrpItIdPPH/D4EUWQSJfdWW0qd2LJVpX5aJ/pNfq36LQ1Q40M5Z+IlTVULIur11rq0rz0rSVkrW
vOxWW6eCeA4B37dOamF/SdGUsaMJjfhcfMC64IPAcer2eFeOOTgXOHpUYpZNtPqO6kijV0pxZDFK
8sp+soYTPg7RRmH32ig8JKm/41BM4rf8+5tdqkvSZKbLMR8SxJphFuhuXKNHdHsuV044T2UTWBUv
c5uCy/koyqjnQdszFx9FonuhqcMHQGaQW5X/6dgR7ikavS7dazvqzYTKui6NoR+sU7aoihramD9R
45DQ/zCa6I6aqH4omvJ/WkYyZxgoCybIXG0OKw5qH1EUJphgrIVqZOPU0B02PtZltrMAS5Z7eREX
RtXhfBnneA7VuZOsE9YvIR4JdneYwGjfl0PdfwjmAlp4pQ4nJbCUO6ho00acvvLUpx3KE592m8lT
ZP0IqXMMhOsxt09tnze7ntLyEWM0xZVhn7vGPJWnwtaAYMB5K7smerZVuJYbx/DahoUZyu/gruC5
shzTN9+37QoFwFRin0j7YCQCMB9+JPoQvj9pgNG5tMzoVNOEWJ2+tC38rkek9FTMFXqsPRY6TmLC
LDOFZm8UyK59Vl1GxI2nCMp80uqz6qniQ1NX7ZNSCP87VhzDx56m8d9uxPlIRfr2sey6X0jxK89Q
1I3ft8/mlQWlC0qxl6fH0gZdnc0yxq5WG4RASr2BslWUrbIPxljf6rBcHcciCyOg8fhfF8zUQKl0
NTHFqS7r6UnqJHNHDqV/ev9sFpby0uhc0AyrWxdPM/68bfsnJQZJihhAtxs7/f0lH8CHgFdIwghq
NMXONyGmhdib9pZ/6qD27zo8HXZ5P+r723NZ9tj544YnMXAikDhINtIqOR9Fm+CN6p2Bw1JEMj6b
ufw3qi37QwWl4HOjlptdxSthmqYlFQDmxuTWKoaQBs0uSFoyy3HpyFDZOg1dif6tIbZa0ld2A3Js
HDCFuhbneDW3XvbDMFYq69SrLQbc3Lr3PGe3irRXJoQGMkWmpct8ebLCADGubNKtE9RhbBWq0niq
2tD2oqJIvrz7Y9kS7xie8GyIi44l/nFB10GZPlkz9DUlTMsXiUzhONV02R3sw6u72wOqVydnAamU
kTrkJaCcb48UDbyIaqd5sictP425Ih4X9NK/okHCBfsxc7jvsZp8MTvZFK6eNL2NgrU/ehIdHcQ7
RsX4j+4+MEsxgUhy4E/N38e2QLOY3qwvu22XSl+hDkoYsZddG6D9jO7HjkKO3Dplq2MAXRuBjsAj
+M4He5JbDJH7LjIcOcmN7+qYlx8svLq+CtWAwk4IxcCrD7KjrmFJCgAykKbd7UVZts3qyHA90lal
88477FWs983tEOKM5tfqZJ1avLWPqPIX2FoqGdYzeJcoiS2fEsTN0buH5r4hPXxlRzM0eRp8BxAW
r5/rzdAFsiQV0tbWacpnVOqQBjuN6dC+/14CJcIW02lyUN1cfsWbURKTKzWpmKCqZ6WroL7nxGMU
gDUcth4w1/bXEt5owMGF0dR1kEM1qkywID/l3TjfBXLS7eUyUl0debmN/PDa2qkoUvBC58lpa6uo
3WUFHH5Mqk5W6pvPfaXozliZ5fszaqbBmi2ACfLd1TtTE0UeJzxyIHON9V1dx/Zes5oft3fgtVUD
ZM4GoNMl8ZxdfaDGjswBscFTAcV178uxfq9XmEvh9Cl/vD3UJfwVgDxgd5t9TlvgAiJOaCYdHEci
QBtObt6wBQC1PURGULrhiEYjdI3AqbX8LlM6iBiTN5bF1//hRxgw0CmuABTkKXE+4TJDVr8cSLgB
xfOCwDIdi+DO30mGn+5Mo+1wu1MxMBp76Y4vK+51P0iOvgWjaCM1vLb0gIDpKFAm5wCuAqKlgWUS
c8TjHt78Ue/79K4TA5JCqjHvbs/6ytVM+kv1hWYjMNyLScu+PZeggU8qG9aluRq8hMgj3UmkAp6W
GtH97fGuHZAlzsNeIE9j0PNFzts+M6KcrTubenuwzbjc2TJ4xv9lFBhRGsBF8o1l1m+Ciy6h4xkH
unni5Wnelb0unyAL1xsh7NpclhhJlsFhp2l7PgrKDX1Y0Ow6YbQlubRmIh4QOCPensuV5zozIKOl
Lby8V1YJhoC6FkSS0E6mVclHRfEXQS4rdpECnNxaH3BoRKTs+faglzsQLA8PaY4ivSDuoPOpgRKW
owJLqpPZyCiqmTXOcourHmdnKzq/ZkjnVx1jEcpkGnawYdZkL9FCo7UQ8T2FGJ6hcWgFtnJA18bs
YeFRPHCQb0w+10lvJNg+dcCaM9VvHvTOh7auBCl1eUUKs2OgDUh5GRisQVBPcg0xSxx5Z1QnRK9z
8VfyxnPn8uyYJEqU65dG7SJOf75IAkZaCGhfO+lKQL80m8rHQctmPC0M3UlqHSGT21/lcsMxIJUM
WmdLadZc9Spwzi7B5lfaaVoggG2nBvdILVsb2/rK6xjtWB6LaCMhsH4huY8o0GDlxLpTawUAx4MK
vy1ocDhLTzWPYiUJ70dD2HvdysxTGiTDPzuq041fcW2uVFApfoCohA21WlwbqVTfjlUN1U9LOo6V
/hvjq60s69ogC5GKpBNGlb2ORr0kVXbHE/HUp6aFbqo171ptDne3P9u1fUIyxWVN9knXexXzECco
BFaKxikYkH4FaaMfiJClm5F/H3hLbrWLrx1eCw0rZLuX98+67RHKrdwgq6CfZrvFkQmvndOQCesZ
2EO6kbtfWUCa0tRoqeuBgFuHQK0yujEoSRLoLHW901ZD5bXQveT373zGWR72BBgedKu7GVviKpx6
3zhl9GAeGw1ICGqmn25/p8tIyx+HPkAfkKIUwl3n5xl9+5yN3xontcQMp8g7mhK+ZDy0qY+9kK6E
p2mutY1c7rJmwobgwcV55rxB4jgf1CyFPUhGhWj6CKcKg0Gp+zrXFWWSEatLR+Gfn1HkRPFQq0P7
RzopSv3h9ryvfcSFIENPianTMDv/CQb2lbWNIMgJm1jtpQpl+1nvNu+xK7tyCSrkxCTHdFyX1X9z
J8eYvthyZ1OIGrQXBJnUZwkbSmS2pmLjvF2Zj8Y1YjEb7hTIGecj0YbRm0zL/VNFXulCzJR3QW6K
jQ93fRSWbWGIcYOttiT61G1WxaF/inmPfsjgiDl0mLKN1PjaKMD6QGRKFGPl9YMijbSZpwTbAxca
/0mdsJFs0rjYeLYsX3h1BVPCoG9FEg6+ZA2rR1yur4bJsE7JPBmHzNLTI9E28Qx0q+7UvhofDDSh
HbkbCvfde4/gAU4HnhbUt9cm0JtdMczWTMEwocxVWvJTp5Z15NRDVG9dnVfONgEYDb6FLcWjc4nR
b8bBhNPO0nQuPSuKCk8NfU1x7KRCqUICHIxpV9LsK78zgvfvRXaipAJFopMKS+h8XD0xcl8L/MJL
kbXbh0IClAlNdSMMr4QGyUGXXs6iWAgJiZ1irPM1rZ1EP/qxl84TOqF1jq0dttsSXajUkstjmw0q
2rOBqvyrhaV9wl0aeaZuGGav1KG0uhO+xdEuFBM6cTS3FGRcJCj/aDfh/XQXYC2HA2Y8zT8EflGB
G1UlCtt9lyKmlCSG9RmMhCrtZZglsOjRyoycVvVb+YDnaBnjXC8p4R7/MuUrJruj5PghIlQOaq3a
P8yxIJdSPESmK4vMCDdPESYDWs9JqO7wGymSe55K0o5eGdW7WAhU+NJCakunqtMu+NaMmnQnxZL6
jFuY/QHPWEFFVmRSdyeJMinuW1wukV3kigKBb4S4ZoHpzsx92UI9cNWx6qa9iUxZ7qBrFf0I9A6B
7cJqqxY/02D8MbWl2TNNrZddcxyKF7/Xsc20cMx81nFngYcyNupdhAhR7kRGQ8Bupd5G9EGOvzVR
PaRuTGmainiGrMSem9kYnjUz1/+LzazXHgMf4XMH6qsUPWhpg9SgyLPyXyhbH02wZVauwqLDyVme
uMyjNL0rjFcVJYR4kKPhoWYfLKmXj7h92vRJA/CcWPWm6T81y4Q3o+Yy7kCN4M5ozpH/7fYBfk3E
VrFjwXKBe8AaEviTcr7DrSHIujA2Oq/v6/xTUYbhU5kb4iXuGgmdhbBr7w3UA+9MIfqDMYrmoHbC
eFLb2sIPIQ18rKdj+0WW0m4jabj60xAXIWeGZ8+9swrRcle0rH4+ek2mJx+muVM8qeox3BAFlE2w
z53f/KtBCEz3UsL/cJosaYtnP+0S9rKZ5r8KJOX/+JmMcJZqo+X37ui3kCaWe5/HHcCOJfq/iUrq
wB1WQCD1kgz/AbejwP+k41Oz9R6+vHsZB40QFXQfjNh1kVrqysAeYrXzuio375tcyB/lUlEOVJGM
r7f3wyt2/3w/MJZBlQ3xAp2CwSrbRUe8KTiNjWdi2avuZCPqP9tI0WEDV6Rlurcnu472PdYDDzw+
aYUPTa8/YJdtf1EsRIcx0rOb0K1Rvfs75ojIO02OeYgz8grOMR2eqs9pr9vjfmowuZ6DRR8R2Hb0
rMqlrNGVz2xogDJSJe7IN0tcTMvGH0NnIAZAoy2oT1Yz97abpn2tb+y4y1uGBsCCfjOX/insm/Pv
aaDwHRtj2nkIcGB5mSX5vzJqo+OA6PphgK7imvkw7m+v+LWPywWwAHYWfvyaoKkqdRSTPHToluao
SulZ9ACiZzzEUSA2XryX2QhVIkh+PAzpfvHkPZ+flkdES8SqPbZ07TYz3keo8PXvrhExCniqxe7q
VT/3fJQZih7EdrmG7iIXu6GUSxTx4i1a7ZVlg6S8aNss+QCJ7/konSYjty5HtVcGBOUJeLeLRTwW
31G49cy8OhQEWqaD/xQ75Hyo1AxS/BTy2hOFEaDDKWHcKcFLrHJRb0SUK6VUXrKLQAjpFBW2dVsZ
yYoqMpZEB/Ig8phpbO1RLFfdUvThpxF7zo/0NJoH+JqIbANIQYSwBHO+DzCXOdzemJdPG7qk8DXJ
ekBHQ8E5nzbXrWhju6qBVorqpMe69STgpYbUb1I4YgES4Icyw2kmJV7s0ZMVG3fTtR8AAX2p5RLz
LoqbSo+oX2DLlVcP8nDIG9TId02iTPnOz/LupxAmk5cb+5Bzrg4hgP8NnMPleVmKQ0sbhQSQBtPq
AhKlMc641s+eVeIfmmfdvB+Emm2s85VRliYnOi4qLDEwYefrHKO72tQKwG38WGQwG3p9lxtS++5T
uSB66T7SbCKwrzETGOj0ysTz0yukTuwNqt6uZG9G0CtzAadGF+BV1gr04flcYF4kYTwZqhdrbbFg
ULs998iWy93VUYhktFJpSvOEOx+FXJqyN14SXojn1f0cycOnmMxu69q9NswiSUOHhqNvrku3aYuF
Z237qDHkSfNc9yG2SGjubdRqr41C/54dzsdHvHyVgJlFaSZdIFRvSgXtJj3Nnzsxyi+3D/Pr3XV+
r6OvvsCQmc0VMG1a2RUvwUjzSimPu70mDeKjslgoRGYrucJo7A/TmHU7C1HwfTP15R9NDNipZFVU
7IMkzbBYzeS9Gpf4seAuvIuS2NzXeZ7vSS+Fq/VDscf8OjwMNb561OEGyOzV4JQLHkiWqvCYtVmw
y8A/bwTNy/hMs5sXPBLypInm+vnbmypZupkoHr2ECe4qqohNZDXOQLVod3sZrwyFqgpSSJTWQXat
iQkdXiWEIRnGEyqVP+zY8N2SMP5FCSKxMdRlMsJUqExTvacYeEEInAFqNiNvH3ZfmO9JeeXnEr4a
ps1j6Bi5Zfyds2reiBLX5gcYAtI44Q7uxRKS32S0PgbSUxFZDFricDX3lf6oQ2HLnKmXpY2qxStK
/GxL0vwEq7YQfF41gVY7Xy0VkaW1MXhZWBp/mNE836OIqTSsaY4JYNtWqoHsaWW3e98YiCWJJcw9
rihatOtx4vMAh6k/lFY2Yq+xEfKw61lOnMamto8/t215UqLBtgFO4v9rw6RavF2syrMTVHgdtPhx
qxwkrJadMldghcUTzzqnQ9kSU2gGR2K2xh/czYemRmlT71Xl0NfD9On2prqIADxxKA2BFGBnUWxY
FbxaVLVjMxGjhwFu9AFIyEx2u1mRv/i08BKgH0OoNeCYXmQxCI3GDZqsqadXmnxA1it4rCAtHLAc
2+TiLYnk6stSuaMmCq6GOL0u4YWm1Nq20CJPyyVkQCQFd8FUjo4RWuQRUtLl8EGqh/4+zmIczvQO
H0oUcNwC5YSNK/ySY8MVDnSc1u6iKnbRmw4jbIuwIIu9SjKbjzzv0QE2gf56Gd4GsYNZV5Afi7zR
f9eWPH6xCgRbnFTpIZzHlaV9ELiGN+8NWPymV/QE2SsNkvU7A0V+MLWWmXi1PAX7tO2VQzrm8T6h
yPHelH8ZagmOsLXoXrxWnt4c6KifOhPhdYbCJtGJuylCtlCNNmLVlR0MnAEiPSu9vIeXf38zCvw2
k4xMT5BJSE3qjNhbNWY272+fk8vkmBIZclNcZOAuJV7D58MAbOHVWk2xx8UcYyXfq91j27QxpShs
LmLHt1OEQ4GxBd/tYdZjN0Ec9zfWQ4jDR+WkvTdx4+eAh6PDCsRdNfT1rLOBa10IHCcqIBwlupTH
sa22OgzX1nb5cAueiFRYWz3apCxrhOWXiefPVb/njT3cV0PRbQTjZelWJ5YnByY5YODspeB5vrSU
p3xtVPzKA1QfoUwe1HvA+809Ci25m+uFsrv9La9EI8jKAL2B1JHjrwvHU6RK9WwgrCGFk3zvIz2x
r8c5f9KEUm5UV68s4FJhpTH0SmRfV2mGWXTWMEtQ+hQT2y3fLk4pqhUbQfza5oQUuyA+NTx7CXrn
K6gMI08gJPY8IoYN5avRsi9BYkyATyY7+KPYRXrUg7qD2aA09lNbU5ByOntE61kbEqTUby/wRfpA
VY+NSf8XWAi32uomL4rWSKt0zLwWBM6+h5JnuVNStMdKRlfc6RgT4IOqbb1gr43LDbOoJYCvhY92
vgyW1QKKxkvKk5rSvLfUINkJPDrcspthgUTyXD3IgrfIxn56PQarDQyvn8iwyIctPbnzcf05aSql
S3MvwNsLP1CzX3xifFl+YVeHGQacTfuhp6opvgZVmP5GLQI97yHUjN8iq/J0ryd57sm5MUP4qYEZ
umoSpj+UFMdTnd7D16Sby6OvhHgnos0aA2NAs9JE6SqSv4Puj37WjYI2BA2+dCcKjCrvUGBcPAbw
ncF7RRkxZgGVPsw7kqzkd5NZ1NQgDOePcCsRpJIb6dRXQv/S47ki8XthzTgWtmDPYI38e6kc5H7j
HrpyMnja0nkAmEoBal16wk9mwttryNEqQD3XpMK6L7DJ3NiJy8qffxkkQrh/gHbTPcSw6fzLpGjv
d6OSx16UwHVa3CG/ABmJXpoi0ypsHaU0dESVzH+SDDl7yJnV19tHYXl0rn8AW2OhI/HIxtv9/Acg
S1DLubBiVF4CrnzFqIIQmfch/0OnDLddhAxPOM5MgTMbYiv6XJ4Hwg6JHZLdXFkXHHNZLeA8zWm8
aFukmGvEd5rSyIcZVqYT9pCZMlTo3v1d2f+MRZ0QMRhwsOcTTuWK2xcbdC9JWuMDjknQnbIQD6nb
63oJ/eEBhIwVHX0ENYivy/56c+0XhjGj5RzWXtVG9t6KaztHxLDv/uDUMs67ajS67KBj9lC6Vr8c
LKmZ1MyN594KjqKYfJIfhARxcEeQ9LeFG0Z34LLIO/ixBuoCPZfEz14DJbURLS5vH4T/4FyDGQEp
gFrH+Q/3bZ62i1GJF7ElDr7d/LEj9RN5kbKRIlwdiDTB4pDRuFxXKdV2pPph1xR34eJ3Ti7hyYWu
Je4ipWW9t5BAJsKHQDCBvUaSs7rC9bLUQiw1Wi/sLckb0lDCy1dCLPv2V1/+zPlpgv5PXg8IAAAg
2eX52g115Ntqg2tFGGMTm8rQ5BxfjPG+zABaRrFQtzD6VxZx6f6Ab4GIAVpvFUBQle/KetQzL4lR
OOltvacLMSr7WZfGjcldRkQm92aoVbI1zL1eTgV0ckmv6t2slcKZuvcLT4I5fDuKcr6EU9himx2a
mZfxEHVxKel2pthUPLz6oYh5BloK7L91WQRNHan1J5ZNHhr1gMuxtouCXHWhuf5rik1t5atLRz0e
aWWwh1BfzicFmpZkT2M4RVKrexM7oz2kSWvj5F7GcpbuzSirD4QBW9pRQc88szOlQ2wXxqEoq2BX
UWP4mCh2vANagjsv7icfb+/7K/ODf7XgqZkg2eRq30cxlK+stwsPtwJ9n8qpsVOm8PvtQa5sdT4X
irSk4stDfTW9MKsTlQIT0+ttCV/yOr5rpiTbFZIS728PdWU+SBWRpqEmiRyStdqEmV6LsQSw4Q1K
0PxKyfi9waII8f5RTL44pW32BLyE810xVAUGUdj5eHhIcQsB41iSrML8/P5hiEac3EWkD0Db+TAm
Zj556AegKnFAcAbdHHaIHab3t0e58nUAdFPaRlEbBu5ayC3TQ6u0NPqDad2FX+Xenve4bU8vSEq/
/0WNlBFZ9MJFpza0frerlS4aXfCaKHxLOXatVe99BD82TtNlcsK1xNenPkA1HYrX+bKVpEMh7PrS
G4pc/9ZZXYkRWpvsZiUr6LMO2aOZde0GM+HKxuOFSVqC2ReaOMpq42EJVUqTbZReH3Tag5Epk4tn
fLzxoL06Cpvu/1seaOKcTy3MRdymylR6QlXKQ9gA07SkofsfFpBrifC6oBQAYJ2PkhoW0XQkA7Ia
TOGTYabFjdWhG6dm+9ywtsdebCrSXXlqLqxbYGXE04Vavxp10oOxMGYbNBQb6GQouK85flYGO7nT
++fACIJ7GUz7o9xL1TGgH/S4mA5/jit/CwFx5Y4hCyC91xeuP7HkfP7m5KPP1/il1/gyDC+cw45V
3EU/sk6rD+AuMKK+fQSv1PP4lqBVGBPZM+rH5yPCeltS37HwpLT0TNHqe8XEIm0ajXKfiNSqHTTe
xHPYWfY+S9TRUXFgOkrWqHTuiJXbxs9ZMsU32RCFKJQ0LFIufhWt9XUNyJArvCnrQPcqBHSd0dT8
xlEKkE/YQQYP1YwzuYnU2EscjNqLMajZLqlQ9gvxYv8M8MxwwtkW70sEX38TdzDN6mVfUic7X6JY
0Qc+f697ssRDJ4kgfzVKt+XysgqGr6OgsoZgMOA1UDqrUcpMiY3alA0vpci4qDdYhxSdRCy5VXkj
7lKsvbLMC0SOihHlXBpY51MKUTazQKvNXtP3zQ9BLfIP3Mf4BUdLYfNW9hukS21/3BvIzWVOWlhY
oGVCz/Ojn2ND50hYhgZ7PzTLmSd7o/aHRNAQ40USgmRLA6oWOL73mARK1SzRJxCaj2WiVs342qrm
iJFgnQ7xTtJH8GyTOX+duwzJy15p0zszGYePOI4CTaoTlG9dHcT4c4nXYkKxB2N5N0EctHNNDCIT
dwjtKNzXQ+w/AdPAe6FWm+Y5rMP5h1GPAR7qWhzR+28qdIygQwiow/PcxbupCyoUMItKvEwzf9bB
+ZPS+aBW1l8fJ0l9X9cBnfmmka3fhT0gMJP5mfKxZtqY6iAEUDg0Z/0YTXe7HHb1UsDfSXIdf0Py
Xf8vGwMg+lJh4J9TjCXGcQbAjf8sq+oWxI/ZChJ9q3nMJFBCdMINXsylbnefRU7txSFzaQ8ZPdsS
Q2ORq/uoq9PGjfwse1EHMxx2mVyzwFWr1VjqteGAb19d9MWuQMujc62o5SWsS0jx26ktPzXK6P+U
i+Lv0CjKlzCM6NNgDRs+SerQHOZJwsJwpFrpRPhovGixmT9VSd1/9umXfauM1lKPiCPK9/Qta3aH
4Ud3tdF0/7D+UIuDoc8t5sd2Gs6A89r6OQg6tN/zWEXbNrUsMi9NJI18ssa4QCZFVxZjO1zVnGHA
CeoY6kr/25q0unbHaq6+Sf1s34VmU/8xgnlUnBpaLNi4Nq9/6tZUshv9Ln9J67699xW1+RPWcdK6
hp1awJ30Wfqdz7J4rEGzKG4x1tNjSyvie4sD45EWC1A8KniFvlvQp6EbSlXxi44czxMRVaZHWWpo
jyAJpQ+pKhBKy3S7/S4VVfyrCqb5Oe7K+ecAAfnThBkCNluxBjpyZoEdfQoxlAuyqN9HkZHfl1oi
f64i/CRRG/CNLxbnAJPJRsIu2PAV/PImDHLdYejTxwwv0he7VbXExQe6j51K08vSbce5fB6SGKeu
ptPMlxSiRLcXOOcJ7mD87O/aVA+/2nI+fK4yCe9ZEVov2QBE/9DbZoJVoKWIb23bSRh8lXWBFaTo
1cJlIyvDx4kS8adMN8zALfwoKd2ZKSVHq1G78TEIAT7t8mLoHrOk1r7NhQJUcMTrlkhI//vvaOAj
j1WerjZ3QVLL2UuqZXL7OCiF8gtZ8v6zDsYl2slTBSPZlAMJl7ssDOsP2ApKLyjEtkuTXNj/NVTh
dZeqvyW7Sj/WaMRHiyH3ZBZ2/pRkjVw6mjWkOUbd41Q9TqHWfsApmN/X9RlRakzwhNzBghaPUyrh
lydBYI5cMUQZLql6CTZdokHqQjIY9pIe2zOiaulcIWMz11/Q2aCsUCf6y2Iq+BtB0kSicqman7Hg
K/4klcY+iMYO2X05LTu6XgNlmlOLr/KfpPeH4FPQlPJnabS0aI+Btc4JluGMn+RmNLi82yp7ROAE
vy62KmaAU2sloUunAg/0Af2HXwr4x8kh9Ck/wUXNwcdIl7Nk7/dFazuT0BqwH1GWPowy2KQPixKp
dJTx7Ozcumkwgi7jIPmHT6jtO2Gmj+E+KWLrL9pmQ8Wu7Ke7piM1dSUjn303IJD9k/uhGw9m3wmA
CJAuit+jryNyisf29wRT3WjXYSSOEyETIyNS/PJnC18VqBsMoh3kXvtv0iSUUbHqxZbVx3R6cPxW
b3TMC0Nw0S1qv5ljTo1t7ESZh1iKjgX3gBoJlEVUiMh3mlnhDcemZD9mnaTeqXpdtiBhc+u/cG5w
CwYvXruDFIhTauX9fxAAzS+NNMxf6WwL62lSbPFdktIkPoyj0oYHet1564q4snFJVfB+hRVXEeiD
MfG/zTNwSmfoMMHctX4CHnKC2ffF55HyI67a+TENZu6UZoi5IEKkxMg9x9YvPxvTlKV3VTjI+WMe
0c3eKXEyPnX1CKi8K0T8H2h5/2sEttXTAr0BPx+gsu2AUJS/K1Fmn8pacA2Jeo4+4Rohgj2mwTLF
hEpSgbq2o7ZDtwv5V7ev8jLyujAshzsBy7F+5Hxjb9HL4ag/JE2HdzpEwBgPF3j6toMNg/V9Tntr
dAttrsJdN/vWXR5Zwcc2V+v6eUYBvNgbCe1w+MNl0PNFMyN0WxEYilMC/+cEB3Vu7WhI5uzsJDPs
o9XFiyZ8xPW0F03eRE/YsdJLD+y8i/ctc1L4kGUyutYUz58CHdC1U5sNrtNhLCnIKEft9JCGKuav
CRC8eLfIhMROFsvxv04ZJ5zeRR7BRqlmeXArqzVszqZffpvNpK6O0+CL/ABejZs+q1GNdzE2mO9s
n87QUw45JHUKK5bVFyxzRUW2kVbRvV1W0h1ucuJQWUYY7vivOMSmLR2/YzOalQR4oen/FHIVPwZt
52PeGYCBdzuAFS0JbsB+7ZNh8aIvdDSwMADTB1fUmvKt1sbKpnJQzo8agL2cy8iejSMSicUTPtN1
8SlseMwiSKogry37tQidns/UOP7cg7Cgnpg8h/biwWv2qvg89X30owqD+BlOoWq4ElITqLtnoZG6
fajVL7mm1tKOem1o8yvlWQD26WULTL3S3yERrFUunTH1H5y3Vtt3JqLvx7GYsJoPTK24a/SCJS7J
UB5yHOm/2VTf0IHPtZnzFpjGo51oMX+5JKHeYR0b/lKFof3TcFbtiO0AHD71fKqR9YjEtFfJxEi2
/o+z89qNHOfa9RUJUA6nUgVXlVO33cknQqdRlqgs6ur/R8Y+6JJru+APGPQczKBZpMjFxbXeMGPn
EwiZhZEfEpg8vxqWVazCyjMCiADD3zIphv9Cy0R6WiwdPh+YEXaEqe1Om0Rt2k8TxhyZX3hz/iJM
JZq2RZI6UEQrb5I3Bc5dX+XUz1Mw4rkcv4R2W453jqQv5E9ezmlDc0Pw+Go0y4/czHyewySElz46
auwjoyuarenhsLahCh5/GjMv+yVBD4CpjofbCqDWTxx5xR5ZwqbxsZdNP4ezJeKgTEaD0ms44b0a
DsL6HpsZfdrQ6hQcz/Fzvu2TPmp8pUWcadN2ySIgnsn+wLOqGVBHSipjN8eLclpNytL6Zjlktd+p
GrbANrZDX/PWy7qDLEv5m9woS7cDzmDHMo003BmXxi4eJV36AFO77/xJ5Ebmw/MbNcgQlfw7Q3xO
MLb2zGqT9DInUaNY2WFebUdPuMrF6SZNI2Xf25hDbilEWCerbLlSUbCZRDCl3XTI1QYLAtXOcAfo
67jZDtiglAGkhabaYNc43mMtLLMtf9v4dYSQVn/y0oLErupQkAnGVGE7m12BQKVbTSHJWz5E6C4q
VgWY1Q1/xKan42IdItLlh0lkfmp7b7jFHjhpfdg+vOa4UlsTC2Eto5c3FOlfiL1Fs0kbXTvGPbiH
TZgbIcdFdiQMiiLQmYN3OLzQ/u5MpDHU8lE3B/5+yrACRY4y46CVCU4vT0ZBQyRAoH9UfDrLDUoJ
0TQWNyJ3Y3yevMR9sY3Ecnw0lyVM8VEmPzVbqVr6iTUO4LGJn4pvNuhaBw5Onu3Jwj70MZtklEJh
7mceZlHjPeX1PDe7HHpys0UOrPxTTrTLNsaYeNUB5ZTmm9TSSmzyGIuSX7KbK3NvtDGXaFS7uQia
GAUj35vcAgNsxcacBkY7DaxyAmTuc+VaOuG3Lf8WRtl/QlZFhts8FvGzRf4j9kU+KNNTp2Xez7Lz
or/4KWY/NKvgxMlJopUdRc6XOB3D33YzePvUg3mwjWMXP4pi4oPcTUMm8b2J0ZfdtLVtSj+PE+Ic
gIlQDaasnaEnlCzyZjaG0dpGcD3oZVImqLcCSnm0GXJpi4depwaCxeow3FEuWYTmelt+MfHTEYcQ
zeHxdh6H4WEYnQUpUBscYZub7tFyW2fEyFzRIlqVTRz+Nd2MmafqPN1jH193vOrQ1fKNFEEDhM+t
+AsRnI4XpwEnjUHLjc63J83+04dasSfrD8dNJKXy1RkNN71F5AGh9rxu+wc9HAmDSjfLz3rcOt6+
BZka499e6V/wkjLvjcaz2r8OkBB9kykt+lVlmpRfSqVld8VQjIztGIdpSIoUir9KWVETGZsKQkUF
opGfBPDP3iqopzQHiNN2tekaVFYfc6ewf8AAlkMgyIZDn+eP+03iI41xE1WQr07VOs9WGqWq75Wu
/BZHmP8GcUZZcvSmrGdTzOT8Sh02BVR/tf5JK169Fa7aJZtZaupPpy3r3wLDdgRWdWndW40NVc3T
5UL0JJ8Lg9qxy18uT4d7oAIkiVAABhwZyzqMbmbA3zdtp7ttUOlz99+0eCdhP1GE6UHpQiPaGgjf
qxsLUn8H9azsjCvlnlVR8bXmQa2DCjNQasyXVz0APQt79i9izFpStPu8I9v3mlp7fL+odHEUoPcA
ZKiSgr0/L3a05hQDZfDMU5oX8U4rsChm/2cfaxK/zgVCOw15dJNR9lqNgsh1WWXLKGOMvnWsCRyP
m/T/mXb/fw17Ls0F4iQFO5qTtFxXFWY3cjtHVJZ5arWp3ua5UNFftqsrBaILo6CzRucJcgtlyDV/
0uIYZMasOacEbMXGzrIiGHIvv7Ji67rrsmT08in9015dyn2raqdZuJNHzcU5DaWlfzaaAlsbMXvs
bbPaWy5qjvEMZqocTX3r5Ym7x/Ay3MsUcMiVHXKh+AZbYNmC0N2BcKx+SZGqGgEiZItETfww9qUO
eIGeMMWq2kyek64FQoJxiftrMFoUEWqzMbiz7YGLglwl2Y1uF/PUVCZ3JAcu6t9VqZaxDyi4zX1T
iZ1HOeiY9JRh55GgY9t5VKwm/yt1RX2OSGXyQFLBkZtMllYUQE6Xzq51qgLYLr0g0mOhewfXmXBB
GA19orqGld/Mg9grxsBEn1XzRV+AKC9bQ8sCEMnVSzG7DdasFByOYz6X4ybL8LOxhrj5pJt9a2+7
zgBRnsCYugaZWKtmAJOkCQLwDStzKOHchOeHDiPz1JQFIv1mOVXQiovcu2tynXuUtvq4HZwyOthC
1gHvAJi2yKRXuzn3rvHvlghyVk/mZ0C+g6QB6nsBR5//DOB/EaVCTzuVjU7RR5gJFq2jVgllh0sZ
VbKIp04HpNaG3WuZrfYL0Uvjg7Tn18Ug8ICXo8kFA2c5b/8AO9DtjKsETtCJbM58zIy4fuyRM72C
zX1zapkr2Av4aOByEPdaFXWhLXVdqqhQUiZX7BwdabRJrdL9+2dl3TF4nQzfk13HHzgYL2fpn8mU
8KoHo9D1kzLKKdl76ahZ+2E02t8QrZpvrttqXyQ/tfFD2cQ/kQBroBvLMflGJ6F8AitSp1e6GKsu
9vKT8EyD1gpWdkEGraAaCr4aYd8I4zTz/x1LMYilgSNZhbGYs2nrmXmNZz2XTUICkshrio5vwgdt
bLoLiJfSS9EAwp8vCfNG0LECQG/bjQhS5K6DIlK7P+Ms8g/KmSxzZemBr74C3JFpOR8rajGDJ+Kr
J7WxjM/odljo/Vj2DbnZNbHUVTdqGQrpfWYF5hwP0Tcg1qW6n4O1P3XCeGz0qbylBp5swRJrL71X
XmmzXBwNWu4CF7E4mKujasIEaEVkaadQ6A/5tFiiSeKSoIa/b4T8dmUbvx0OjSrQuSpRn/bz2oeq
qzu7nrpkOmHrrGcbqy8iZTfVQ7aDwa+mG6WLIsAQSpvzKHXsvgkUcvdvcW4a3zXKIaPfh3au3jVu
HAEKrefxu2bjF+bHZRReI6+83WBc98seW6ynwS6v1qZw5YQ53jDz0dFrkBT/gimcCPmDon+s0ctH
R7afPhNtITAuNLxW+8tVjHjpiJ7QmNS2kzJVG8vtjcf3l3/JU87jso5QCFJGNHvhM6yVo+PQSSup
NPJkw4I+yto1HgazqnxL0Ztn7MC0TdeO16S+3wbIZdAFTwOyAQuEVeSC1qK1hRDy1EpVC0Jt6AOP
8vnm/aldGgVwJs01i3Yy/MDzBXTD0p2J8PI0OG5FKcIzb4p4/vH+IBc2BFEA1akl6gEEWk2lX8QD
zaSVJx4V6gnNkHg7QOT5ht1Jv/sfhkILB04lxD16sufzqaXapgW39Anh2vjGqubx2bVxe+oN2tNX
AvmlaS0yV+xBUCcI7Z2PNfe1kyBzNZ86KpcbPClplYi53DJUemVarxt5vQXp9EDNgp+1aPGcj9W4
iWMUca+dxiHcqX16OzXVj84Vd1GubJow206hQrHeHjbKHO96R7+1u+JxoOBoDfonYSSP0ko/0fQj
zWvRBHOa8UltvCsf+tJBAcIEkYAjyRdfrUjD2690SsTaeLJJHLYmREjBmof3Qk1pz86klyHaSFdG
vbSH/x11dcmobupQ6y0w6UPu7LnU62evjepfH99Y5ELs3sXz8A1wheQ07Kgh4ePoyvFGt+piH7ZK
+CKnuf/v/aEuzmfRG/OwcnlrGSXbxCgp6WsnXdEG6jSWFYThMF8JnReuFED6C1petcHNr78VvISs
lA4mtM2gFtu5s6JDSus1CRbfl8GvdYlbwv8wMWKApZFqk1+uovVYpE3XIll50mwcz+tu+Ko7bfg/
RDRUMcGbLcqLkB/OT0oWFlUdYY94qhH8D+iDKH7sYK3+/lQunX1AU4Q1bjqTVTwfRZZVTv9T005K
rVI6o6O4IU2ItnZiVVfO/qUPhe0WGwJ7YuLnaqgMJ2LdmDlUg+LkT2poyGMGie6BSbqxHyUOnpjv
T25ZonWw4TW0YC2YIgnH+eT0itPWjtjCuplmo6PWjHs6Ih5llSYPe98ak/xrqc+lHpQa6eyV0S8E
EZC+XEqegRA8IPPz0TETjJMQOuhJi9L2JUIn2tzpUx/tVF6YSdA0hZoHwrTrK+O+3g2raWMswDuf
o6fD6lptT9Fo2DZo7XDCjzN/TpoYBb5EhEmynTSjVvdl39Y/CiRPJrLmOIO44PXVJ9Mq0WBS5MKW
Te0INl/slcUN8oQWjxvDFAj6WJ78jl4LAmCDq3XxpjXN9ikHwPqSJrr9C6EF+ueylFXqN+kQhXd1
FSNvFblACjZmr+bI/9RSftWVOj/2KaXNzQwHVgZGEZq/1Gi0xjsejgKNb6zZpG8MavONto2SbHJ1
GH8AvOcxQU9INzdNJCmFz1GMQl2YgWQN1EZ2t0U1yQk4shP/QBuJcrDlxugsl4OBkp5Z0z7IeUtM
m9jsoh+Olnf5LsQyB3VJnO2/xEPV09ViurY/jCOCj4bZvrSDGd+4xcK1QV6tRCdsCp3NDPDlLmfj
KCfp9np2Vw+K93tSQuNOIDLjBG2oDF8QumjsXTKT8cCAs8SR5AUfMYmWbnInemF+9+qE+q/eZ9o3
Qy+K7qDTmA+DsdTEpyJzi9RXMWD5lbWGU+y1yqRw7aq4mfhCaOMXymvuZ9xUuvTOlaXQaKEV48Mo
M6FtewWa/BZUjGH4HbCAax4WFwI814jF6wEOKF5Dq8s86XKgEQZE65QtsUvasXkeZcsWeP8YXzpI
rKW3WBEQP9YgLTdSEEXrC3kS00BJHu7AHpGp/LGohuZOLR0ATAi2X7lWtAvhiv3sQEADHQZee3V8
jVwDUREP0ymH2nuQo5fvRNrUv41RF9u2b7MAOo66dRtD3lFocXdoKEY3nlFan8q2GBHkEqgMuKom
EMaeq41pD8qf9xfmVbVzddKJLqC5oefQ/V/fEY4aidzM6ulE5Ur8UBWp30sZRb8UvWuCeUh+p8ak
BCGNzhNbL9pOo9nfe0XoHXrci2jtujZ9dbUMoqjS9+//uEvrR5D3+FmAZEEBnoe/NnGoNCY8NgCM
aQ/ZKPTPkaovUgpq9z02PPH9w+Mt1R4sfqjSoneyinrjRFVPETrZk8ixK9VLzwCrNYa3oGaGitpc
FF2BhV+4Oyl8kEshNrUIUqxGJKJYLQ8b7WSG3Z8sc0tKe3m9KZwy/fArnWIejJhX8tdCtz5fS1Uv
Wj6zZp70XnNhF2Whb1bTdCzmqvMdkHFXxnvlDq02FgrZHDUe6SzpOqmy+ogHCC3Dk6UDbRLoxfwU
QqXbo/BCJ/NWtJ3QItOh9Zs6txja5UcVvYNfcT013ygoVnQjlauM/Dc4VfoVFETQWTAg7kCDO1+G
UQUmZg2OSQahs9hxl21tnKT+89J2+uH1rvFZGbR610aje8A0q0PXv7WAiFVGeXBHo7mvwznNPp5B
8fUpuy6Gk8CRVnlaNdQN9m6xdcoGXglNSevM0ZLJBzZyjTt+YcMtKsHIN0EgwyV9icf/FAGZudFz
x5mnOjR+q1Zu3/Se9c1sp/bw4bOESuVSkmBqGCSv5uRNkZtm6Jee5mTWv6dClne6nm0ToLjbOdfC
K0f3wrxeEfxLmYU6qrual0Dn2xjg3J3ciRpLXNBxR2ZlptSvflC1YCm0MCEQuMRMldRslYRGoVlA
SS3HUy/B2RTtZNGnHuJtq4XX3rrLrz4/QwaJLq8EhHfMhShw/rWSflm3CIsQBCKtU0MLcpPUfXMl
zC5/y3oUR6X9RUkCcuradnwarBQlq0SegGR5jypP0+cIgu5XqLfmjxiZzmfhDkAs3t8gF0el7G0v
O4SkftVo0OYyNiLVGU85dgB41M1q+7VHsfjFasriJXVEeTPLFPLy+8NeWFIUYuGBc9peXSHOlxTj
8dhqx6GnfNi6W60TiOQUzbWS/tubi94Fd/6iVLCQ7vXVKO6IXVfYoR4I13xbA3oBRgE85JloYn4e
w/Cazvjb/W+gCUsMoSTCmVsrWEeDJrlIpuHkgJrcV93k3UAraXfeVFRXagyXhuKQUWTE8eRttOoS
gHuM152KGRlYM0Oy08LGJgjBc1/pjFxYRnpQjEW74tXM+3wZpwqIdFNm82mOW+2zZU7eDkmSZJ+a
+NfOs6CX9/7uuDC3V/mkhcNBg3OtFiArOCxp5coTvspx49O0VfeFUcgfIgYF9f5YF3YiBsvUNKls
LP+sDgB6U5qSIFV7EsUYPWvpII9DItwrcfhCQ2+ZEaNAy+C4rZlnU2X1gD4MSTNg1MFW1ekntYd9
5sWlFkzU63nQqtZusdI9RjpcsVYNP2heukSVpX9GtYO+Bybjq8tgQEvSzpVpPg2Eg4N0HHUjC6Ss
Y/p6H19V3gsefnj0D+mpraKz4UWaM4JEP4VdpXwuh+GJxLS5ctu8GoqtQiZ0l0VJjCAC82iVTXlj
EvFUs+UpaodqL1WRPOUApo6t62aPVgNQd57QE3DcSYHhEFqbqRI6iix5fzOBOBn8GK3PowBNj6au
4X3XRTbejIbafAoF6B2Z5oi2LL7XeaVHV3hnFzIzdDmgIJLrIrMMK/b8VBUimdECzkZ4MROIHfzr
0cOGKJD+gXgOLx3CEQisKg3V8WFowJ3u4ZBp/2lNFLkHqj1hexJjClxMd0d7eHr/VFw48hauexpZ
MQ8b5ObOf9xg4x6SzqaEPmujbmUn9d4YADomDjKLaejoVzLwCw+gpTi+iAGyORlyNSCqxLAZjZwy
eVcJVK9sG+BpCtzghp5zXwR97+KjNTeZVz9Kas8RzKWx2hthNla3bRxqvxTwZX/B3QCiltPofe+c
kWLAx5eFfAoKPdEQhdRVsABAaXJreRLl38Tz9SFKfG2Sz7LPmq0ea9f0zC98haWM7OJkRP0JEbTz
r4BXkWrH4B1P+mzWSN0jxl1HYXJneKn6WSv1MXh/ehfiLiVE9BNQUV/E0Jb//k9aGo1NDygylSdt
mopAdya5KaOkggUzXLPuuTDUwlKEcUm9l3R3NTUnVcypjaV5wllRkIo6NTSJZjgo5RhfmdWFCE8D
ltAO7AOe7JoVOaqhLppQN09unf1sZzQW6JN5+q/31+7iKK9caZoiyFutNjAIFzuMTR5amtD7G4Ni
xl3XNMbz+6O8XTb+andp+y3Id/P1GP3zhSACFSngd+OEi1AGSC0CobIwFIwwd6/UTd5OCLchkAFQ
3F6lDFcTUkVn9Xio6aeySuAu0TJD0byp79+f0NIKOQ/h9I6Wo78oYCzcvfMtZ0t1MPvJ1U5FKr65
cXwHAfcer5uW6iDqYLl0hN/p14jtF+ZGWkF5kPt+yUBX15NVzsqUo/B8KvOw2jRTKzfjYKub9+e2
/PbV3Gw0t3l+LzAe7sHzuZlgMJNSo8EYTmZKNUEcE9sYkebSc2o62jZ13Y82NIDnET2BAXApErrX
8IYxJW3Qs8w7iMQb76j7YqeNIOGVE7X+aMsoHl1uIAB0uflw5xOLIKakmo53ZDFlMyhrO21+6sC2
Hkpdb6kuK7P9UOlpeTABXVO27K5RMN9cnvwCtj/K4DAwlztq9Qvw8DbLUsnDg1PZaQ8i04DGGsnC
PCDhDt69jaa9C1vyruvH8lnDuDOjiKrZX0H4j9DFeuehgeV35YOTFK8++evvIr9bdGBtai6rjKSy
lQTNSi08hKJXnixYnp0/8OoL/VSbeyNwkGBpjk5hot6UY7oHm6vNsFt3+76GKFpqAODyNsJVEsC/
GW+6zkwQyZp6kXHPd1YXRIpe2JsS4ZOfmRd7T0o6Tt5+Rsv3qOUW4MweVojw05jeAIxET7mLF6xC
YAGyrn04XSqMrN7+mVuanSNwnrh2gKBwH96QUagH6Gimt1MjJ9VB7NFmvgkNR7mb2igEVO+QQIGh
l9UXfAg83e/TOQT6r8ZQ2wYkrTbqpGgxkOZ0zoMsdJ2NZqRttTEUz4KNqkqhHYrUym+S2og/N3Wv
fRKm6O/13IYROJmZG7SVyP4KjZoVdfu5Sf0kRzBoGwolNze5h1QIVavGglaV9B7NXJFkT8IMATTP
dVd5fqEnREf4cv1S5e3Go4OGcYYDiYYkP9QvR322izQZbt05QYxTb83xS5zUVhYUwtSln0Qi+aG0
SZ/4Tq5rP12rLe+MCH4bxB4da7bBLRqN12ptT/Ds5fzXinLjrowzgd4Mbir/1dCFYIpU1nBX67OW
B5UtylObK2UGuB77laBLO4y9cClzA6+U6XcA0+LLbMnwRYR9DGE3UvKdDs0q3OWCF0kQtkYZ4xER
uYafudBdhRlpPaLX9H83qEHLH85sWH9wm5KEy3CYzMDORzgJiaNPO28ow8GHVgVDiHZK/imPgTxn
neE9thlm6tvJ0pVflRp6gw+7zYD+NcT5l7aDG+4bfSfbYKoirfVdAEzZRoPy+NB0Iv0z0YP+bno9
DF0jHBtrU00qHt+dp/ThrptN1BfdvquHQOvV+QXdHJQ3YXU0vzQI0Yj5imT6UgDbQSBt6YFtwsmZ
XySadqnv5W1ekGGRPOO25lGrrONBH3e8No2cMoUSPZItzjQ5NRwst01V5HHQG1l117tZ9TyZkwXD
OZQz2M9QSYZAicv2Z9RPUH7bbMgfa9nMcLUbLf5jVb1mbeGEGGFgNGPzJ0dyRds4o2n8hV1STXtN
U8pTjHteuU28tvmbFUX0Xxtli4cAjsOVr6WK9i01w+rFEl7xVHI7x0Fb5vr9VJTjd/ih3XM30P6B
s5xmC0kXxAiRIUsFKb41QXdtOBOcnKlo/KQax6fOdPXbFPhV41uyBfQnpKPMW4cvMQRuEaXGTmtr
ZfaNqQImp8AN+momSf7fmJlTv4XQod7XXiHLoHXN6nsU1mXtUyJzmwNe1O4vt3bce9PMwyf6gFDt
KHwZsL2nqW83hlFngDvFNKZYX9dZRNMDUM4tZovYVkTwD+5VdZyUjSo8/QGHF8JcEjfODydU5LAt
FC176BstnLfVYAwZHlixmDZ8TRj5ilfadyFdoh/zYPwe4Y0Ilqz058xaJPDYVz+pOk1pIPUyav0W
j4DHRC2iLzzQB4glaqUrPt4IVbRTIM2Ut1YdJY/wjCJ4Rn1Y1D4UBerWNRqu35tc1f8Og5c22yas
oieZLAy/zij6CEajjL5BSeJFI6tYg/dpKorp973Hdik0N31QYgUlxMTuoi+WSCwBqTxBfrXKm+hb
ZMbto5axaTZl4mGhWHh9/r0PE+/QEYC77VAQ1HzNFtDX7cmBfqYkovJzK6+/vJ9nrJ8Jy6VDzRqp
XjoLlK6XbOefpDCOEepbBCEOdmPJ/ajE/UuXFOXvmrLrfRNn6X/vj7fOa5bxFoFg/g2Pl57J+Xhj
YfaQ1jUA1bCFfxVO1+4hl1R3FmQow5ddg2jfCMbvSqq4TtqWYSn6gt+ksAAueVXN8/RxRjux8w5W
yg4wlHR6iTOZXMnj1xn26yjAmTh/ZKOEl/PJFSG8uUlNkTjEiQhKjeP58QALVk3Ta8+7ixP6Z6jV
OtLkK4qMEuXBrma5yReghmbk1/xf3/AElhmhULJIVfBwpbF2PqNIZFqR4Eh0sHNACr4KKeFuYuF6
n/29aPFReEqCSlKG8HOzIRTI1mqhE2kdbHMAnKK4kj9emLgDDlNHv4pMEvjO+S8ikKuV60XeIYGc
f3Clq33Kq1K58lh/3Yf/5t9MnO4hld/FVhOg2vKp/zkX1IY0oTidc/DmDthCiOVAsstlgnWQ2WTq
piwb83PTlXCOrMJGfZtUwXiALqDCm3ay6FcFjisMVNPCRxgHYwOqQI3QBHgTiE4HLTenj2/xxZyV
zPq1qvWaXv7zi+GPGzHmNu5BqQtzo43S2cgOcuf75/ft8tN5JHcHUc+zhH1+vi4JVS8irLAOc5WM
AWZmSZAIPbzykd9GJWoXlN9fKxg0hFbbroFyXuA8jmSFO99KL7e/tnZc7WJD7w+lFjs370/qbVBi
IGN5EyOvDVBt9SKY+lE3ohCFDA3U+ANW9uFt3pjhc0blcIOStek7vGOvlVTfLiWjokviLUwNguJq
i6WaHKkUGtrRmbXuWEM33/WF9fEPRueWLcGDdXlbrNuFU11Vrark2lERIVInacktpWX5lQf/28jH
KOCNlsIfCuWvzIV/Nl+amy6sm4kPBkT+FHv6HJDlgcHtIBC9/7HelMOJq5xJ/kRDUYO6tPpaqI+E
lttk+jFHq+HeUJXkBJHf/JIJh7dxEkXHyLPgW5J83+jRUG8GFHOv9MYvzJe+OGgUyBggu9ZqmBmi
oM1SAT32JYSH1JPhnzYpomC0lOJKpfrCexUwA7uS1/LSbVirH2ZqiparlOrRylQCLHa08h63ZdMf
nRAAVTeEN4pI0p2uOcUxQzn8drL1MoANUj54dVbdO0bl/n3/I1w4oDQ0PY01ANX95q1aYlECs6pR
j3rdTwe1zsEZOY238UJBOVqHlv7+eBfWG3Y1RT8uVkKztYr6NpKFvYKAA+q2BQr8XmH6nZzTLbfg
tTrthdBPaWDpZ1Irs9jTq6u17MdM0XBhOQpLFb+8ukZ0LdS9vT6x02AAJoGUabFFwF3e2VCW7kLc
2lGbacfnCK+JTTNbPKrHKH2u+tZEDMgzeFmO19TUL9zN1CV50FCyoWdIZfk8FHdprORg+Lsjr054
6pO5HUT+pPTafwpaQS5GL1Yzfali+M5Kp90pmAxeOYoXIhj3o0F/m+7XIs97/gvKGLhgF1vjUeTw
5xwHtu8Ugqx8/9tf2GuvFUskYSmNvsFhA3ed0tmop+Nshv2jacziEzmyFjRTlewyOU9XYtmlWS31
IWzFzCXPWH1/AHYReEdjOlZppjzrsI5h2WcflTZb4hfXJ/xL2iEUoZYd/0/EnLVUCGsyqTHYc3/o
rHrYNaLtn95fuwtzQZ51IS0BuEUfePWFetTD9Mmbp6PlldYGXrUTVOgOfHwfMMqCcoCEu5QPz+ei
Gng/piFfqKjsPrCzTuxarfooxgZpb+p19AOd5WACaz0fpUJFMsW5qD/WKGtt0N9S905ilkFP5eRK
uHm7bECMFm7H0l3jj9WyFXmVLpIx+jHso/IoYZ77RW/FVzba26AGWxCELs0MquXmGjqGctSYZE5v
HAUvljtAS9F+Mut+X2PXtf/oPmAorMWpvdIDgOJ+vnaYv7Ye0kTGUR9iezPoVRkgHn4NmfH2pC70
R51y/AJjQFHvfBTDnEJ3kIySN5o9IRw2JQ+Jo5UBRnC13zdVcvf+tN4wItkTHFVku9EIXNqNq51n
6rVsQ8mHcqjFPdRjm5/crq8fMW2c7pB2UnDVyJKHGpHyv0MhKRmi9fGijn12ssY8/fz+z3lDbFl+
Dtc+LTDA9G9LuKkkGErZ6se2jK3Hktbebaw2HW4JS33MEa69bep62nAd4PWmdQ4FmNo6YAAkArPU
03iTGwbicGqnjfdCacT3aIj1+6Q0sifDmBwfxd5206j5NRrlkrafP3f44WD8rKUlznKu0npHybxp
QuzxmFlRtOk7o/nBvec+Qoyz93pq2UGrLEB1pbqGn7y0ZwAm0IcHt0T2vdqZrWmNVYey6ZFXlOP6
5H3pMc31xkeSx7zL66H69P5Hujzg4i5OY5SO8WrLCHcGgZ64+nGMRvWQK4riq3rYf8soou0MKLZf
3h/vUiyhV8S7gkwJg4LVBGuJ431vDPpRQjV/GEJP25lecu0kXIglhCoyUR5lXMjr0kNjluil2YVx
TGPuq6Jr4h3AKKrKo/fhK2WJV+AOln8B9lil3za2GAU6v/oREbL8mCvU0It0uAY+vbBqC52HYWDA
whRZbUhLFKILVYRprNoudnFSpUcPqbmb97/Nhb1ArQngAN1kosgbdoZXxWFJO+3IG888UenIER0S
9k2J/CTSiXV3BQ114Sudjbe6wsa6nCOr411bFV23TSNTBpqCkEnfY7Xx/tQuLeBChcIWg0IJWs/n
sRiN9BS/u1g7UmucgtjVhwBmwDVPiEsTIlFW4b3DUsSW6nyUifopeWWhHaeiSACVDwMJWjfsy1R8
tO9KbMUTBQYu1R8SjXVanqLNIxMITMex65qNinKRn1ZIDb6/bK84hVUk5Awt7NulIkDB8HxGDeTk
zG1V9ajis21vVOTsf/K6btuAkF/v7A6v76BB2+hHUYvM4jFtK0jvYSGqB9S51Xue2VASlXaMpK9r
uYSMDz1gCtDgdA99lNf1pkvc4rc5F8rvhSOF3lAoFrzwaPAX4U6qbHja0BjApHvuP57ZLKkTqRTa
H7zgVtFoFH0Mt9Vyj5nZu5tODpCucCW/MsqFc8WJWbbd8jyhfni+iKYpjFnNDO+oKBJZV1pShHev
DqSwEFYVYXolD7iwDdEy4SlORKCrsYaM2ZViCpDgznEiqOzUVhn2ox2rwdjaxpWQcWmoBThG8g6C
mJT6fGoJrf7RMhP3GDd4EYx0NnyTht8utIr/3t+KF0biO5kL9ZyLg2rH+UgQCKZh7DzjiBAfPKIe
9RLuZOV21tz+8PGh0PxeOuLUyHljrYaKUik82oBHdSy7l7JVPT+EJfWSVolzZWtcmtWioACnYCGh
rxkata0rjRXnzrFBNWEbt2V6mEraL3IyPmiuSnUCFDm5BZkvSSmvx/NZYYU0i9qu1SPkzy7oW5RD
LSCMVyLGhQkt0gDOku/Stl+LJ3TtaM+miuVRBsTraGpKts0TYe4jMXfbD38mXNOpxS81EBdM5vmE
vByGHGpL6rHLi+zGo8e4HbzC25mh/PH+SMtFdB4FXZ5yiwEGIYJTtcrkO73QlcppK2oL5bADfpAd
Rl2NtpWi0gcmSE/o8lETeX/Ut0sJiwZEDYgr4DWQeM7nly2eESmtxmNp2tU2VM36awl295uDVuGV
od5ej4tzCW8vZkkzdP3I90a9pUMoimPHy5WEV9AXbVHafn9Cb0YhgYFSv8jfcDuyCc8nZOmz1fbS
no8inHu4YXl3strmWnHs7SikfJR3ET1gTu769E5ZXdLprMNj6MB6hGZdIoMozSubb4kBZ1tikSEB
O0ZyiecBkzqfi6GnmN6mjXesK/iEiSebxHdT29pAvM63DSK/uW+oZXFnJ4Z95aX85j5hbBB4PJaB
k/FKWeXs4SJZalVFeJQJgo1F5DW+rTXfdN16njrt8/sf7c0ufB0IFo9j4G0Jcfh8onJq614ak3t0
kJF7UFEWfESWKv0/zs5jOW5dCcNPxCrmsJ08lGRJDpKPNyzb14dgzvHp7wetPJwpsXQ23shVGIBA
o9H9hwMSqvXKvXXjyyFRSZKB4AK1XV2/HArbWFxEIbL5ATDqTR0p7daEH7fy5W5NiESQqjx9eCnu
cDkKyu+E4sDy/CQJxnNNpL9HU7feDVberyS4bzf7YpdAdTGBBckPdtVKGebYHnrUunxtEuOpClEC
7iYtvW91O/wXZSr7hNZcih6cbt+jTSh1nj3vsyMwE3T1JHtEpMs651aCOKc014ApXIV/AhTuBViH
vD58+FPT8qbSI6vKNKUX+wr4UI7js+P4iqtMJ0urSt/g93x362H+D0PRGrHYwbZs0C2u2LGpkeus
Kz4CdP5dmA3OCfwOvomuWKMlYKXJF738CtI/S9YhqGAb7nJf4UkigEuYgd+qg1M8JUjkICOrSgBC
aybxLxx0LePM3QmveCjr2kGzs9B/j0k9vNpjnxqb0p7y+BgHgci3LY6H3mZWIutzEDcZDU4I3cNG
ATv0KhCIvIddb+Qkk1MQ+JpQEnDlgQjaHaL71ry1Wq5oZKWF822EGPdsjzh6Sepi8UhAm5D2H6vs
i9661M/zQkSbERj9J0WEGkAmtbSBTelZTZ6KiNS/gPHK70FZR/WO0o8F0GsM9U+a6PNHc1baezPz
kn/aTtOSjYbWBILpeWWFOyUK+xd74O2Pomk7vNJCKp9txcl/lG5tZoSz0Pk3CrMq3g+0dvSvpacV
+Q6GsVps03hqT3TWmj+557YeuGZPwSQMcEtK7jKZrS9bIY9DYTXOLkXMIdxkuGeU26YqOwY0+1zd
wBwQ4WkEGwNTCv25f53IUCAQpPEIQLaIqI9NUB82xdC7/cFWp/pk2kmjI4zeGMY2ikbledZB7W90
U7F2YFuj4WBUnfVqqGn3VdCpAisaGq8GGlgRKKe6zQ52HGnVLqwtNNrdWG8nCOye+pABfgE0kHut
vvGQhms2XlvM7i6MLYSG7TxMPiP6HDR7s+MkIoNpNBgWqA0G0l2FT8wWO5pgvncqI/nHbmewgEoy
F1/t2Iy+xWRlfwYTRhaosVz/n4MwU7UTCp6CkKFt5+AYVfupwElQYhYr2/Vbo6wAAvaGV+3D3C69
PchdQ31WrFTKXQxC/T3qChvOswKMBhKSA+NY5cjhb53chNpppQbUDENoeb8SOXnEXp0kyd9Digsy
MbfB8jIAUwEye0JDvHYTy951dOOmXRe49q/Cs5Ni646qcqd0KSyYKbGV4EzR01HvzRDpUBT/NaPf
6Fmfj3taZDwLnSZFx0PleokPhhvpP6MRF2DUEnLxs8ZipT7qwu1ewFR2v5J0MOBtT0Ui9npUp7+q
vo0RJQ2b8AklXRSA8IxI3M95gQFAM6Pjzg0ya5nfg6x8rXhqBXdpGKgxbwer+pOZXgVoE2SKcozU
woj3KOeqyb4fXMAbSZ0htVApSeH6RpzETw7efv2GMpp9zPqmiXdpEHq/VSo94aabneJ7ZWtZB622
0rpdYjnVU6Tl1Y9UTJAADWjwR3WK+p+6PQ1AAGOdheDCTb39bKCyvJnStEk2Rq4qwdF2ExZriL16
POHZYcIbrtDM3Whu5t5PFg5VG72zwJygvAzMSxRBjKZtQqq9Ja9q4zPq1flL2Y2YNZOGoHHciTQy
NjlWyQ6g16YrtrhNILJO5VN5qrXMDnelOxTjrpgKV2CPHZm/eypoIf4KI8IMzELJT+FIfN00Vlp7
myqIq+KBlxg211mtgL60Y29Mjh6KGk+jNIHajpqbQ0g2KuXbOGL7uPNaxX1t+Z4/cPcQYhva0dzw
8eP6azg5RDCeCZ1P5bCrHsKw7mnjhmG174Wh/kq8fph8LwrC9pi7edlJllGbn3tNmQGEJtRlVx62
Vyk/1UNe6uRYSGdh/rDI79oIC4nBKoq7pg1NsKNh80LCYp5qoK18wISHO//kH86QGRV3XRcPKNoG
ywbV2DZln3hWgaRh1B9yNshnBLXLlXN84xQzinzHcBs6YFcuMyAK8UaQW00BZ1xqZvCWVh/HyOkO
4If6+w6w0sq0rlMuSrFoaVGMAK3gLHtVFqrmsG61/A6rC9Ttbe7LdJOULhadnIRpZbTrVjBgOuoE
fA4EOHgdyvn/1UwcwSDTAszqu7kt9a8Gr450T2W1QzEcBvw/7BmKjPpM3rxzZ0L1JuZKjfdWnyi8
FYoMLZePJlag+/DUgGiGwJS19DdP826sbFVUd4hZTXfAgrO70Ji9xybp1JV9e2OpdfSX2ENUMPjE
+uXcDXVERwLzAcTELIcSHC4hc6zSjm6xKf0Ps6Jd63myqGVZi6HqrETjxZ6rO3h96MdaxXZWCwx4
JzAB7490ncBxgEFAMQotA0g0l5OaDfi56RiVd5Vl9efMnh10ZG3lo2Ufto1sSsh3PvfvEsWCkvfo
wJzjWMRoXtdULzcadky7BNruytLdmpBsiqFYYNhA/xfpr6arddAHbnk3dZrij5HpPhSq/f39VXv7
1pd5L7xIid0gG6OZtFRPVlMdwaGkEXfqnOjPOUwEa4uozPzFFtikAPinjLMZZyu+q5ImQLrbqMXX
xGi1ko5dPqin0fNyVFoKs1f3OLDBqNDxxgLcN5SpX+Gujeg/srrkx07tnmHAFndpYA8/KpD22Qqv
8UbQskBcys4ETc4r7ZQakYtGHyZxh0dV+9tQhbFx5jT7bIBtPk8RmMP3V+/GJ0LLTGrlIixK+Xux
u8fZa2a7twR6D3G7aYdO+05xyfv58VFQZvSoi/CO5yl0ubNdVJ0lNyS6y2NF7KchRXxYRZ3+/VFu
XGbo9sCzJOwjuLwsQGttq/aJaBkF2yB/1siKdDsx0daf+vKg05R+oZewpqN2YwUlc0pCqm0ZihYF
R6xaI2WkCninObmLYZoxw7CIKOWtRIe3x+LlPqcB51G3kgURNvsiPGgJhsFKP4R3RlcaP7W+DeeT
GVTdsA01S4Q7K4li88tg6+H3YGhCY+Oib4bs/1x3L4WV9q8hDnC47HTD/ICPRO1uoyEczU2OstR0
8rSUTDGv3PJrm06Bh7sP/bhN19tHrcY5YdOpmUSmz+P4G9WJTmzdYXb/Qcvf+B7zvOq3ujCHL1xA
8YMNE/BPoTnUpDoEkb7iL4qbt0YDdty0idICiPWwvt1oSTmU96Fo5naXt2H8Yw57u9lZPPd6UrDR
yz6FpRUNu6LqMDwyc9cOt3ZAvXA7OmGb7uIi6X8VXTbbu6L19E+1XrlfJlE17k6duunrqCbQAUeS
Obw+Ri3MtiZUb7ybggTzOwPCTLuvQMnnu4y6u/fQOVUakfp62nMRKtHrYGXakwqB1z5gGxKfVDOP
7pMyLL2ThzmSs2nbyIo2vdqlxj738rndGl7BbDpTS3+rTZ/nsElcq76LJkSwN6Sy+YBEeBc+8tQs
fnVToUCE8CJd2+CSgsP6ZKa2sdHzaBYbu6i7TqILpyd7TMNP1tian/hJDc52pQfbX7WH6k9bheiC
dQO34YvgQ0xbuy3V1/eP1vUmp00gm/VSp8JAd+ryAM9idue4DOM71Fa7Q9xX8z0pyRrx9vpWpzCG
BL7EeiPBuaycRhadAa2odN8rvXDfBPh4tYE5kN879kqsuI6zZCpo6XBlQLW81rmJwxB5tsbwGxGa
vzNnUj+1FrsOGm6G27k9vLy/gG8d/8XppfWGWBfPSkABy9ZsXOD5oiC36xtkpSfq3VQpYJqe1ZLr
xcq84qA3WnWscKr5pET29Nmz8mCX4Sf0qAUmz6YkK77GXbGKfJQp/uUPkx1P4N1kHYC5lllbwENa
Mv3iuxH2/MscBLZGhCYd36SGaaTbbkCLbx/NMfr6sd2Ze8fp3WIzakr3tLJG8hpY/BRyZ5BepAqg
ip3FLsuoqc9OlRPh0shmxiKYXugPu/9a7Zj9zjJTfwVhnz8gdG72UKgGrMMcFV+ajaN2xq/GGDga
HmSPU9A78+80RhFvl3ixbWyLNjW5xlWtdZHNmnvn9/u//fqAAFhQqfFJJBAqq4vgjG3nTFFqDvwk
j9lFql3tAGAbK3fAjVFYHpm0SdD61cMJffCM9CMPfDfI0MPLgt9qaH/QFJcKLiBFulu098lEvOUp
dOE7RHgQub4r8MIsjeCRLlq0mSPvNc2LlXznGswFFIPOIMNQiqX8vsgRE36OGjeQTaasSHmbB3W8
Leose4zDLv4XZ4p0Q68v2BeUMM4tHPNd01nqo+5NRbhJMYFKDh/8kvTaiHIkhfDLWeJF4RxqcjB6
U2edRTrCEzRn564e8mAl/lx9SeZL95CcSDJN0D25DKidIgLb64ByB3qqHmehQ0HolTXLj1ujgKCW
UqBShGL5RByqMpxbVtM3AndCrC0It8GgdSuNmqu8i9ghMa28elH+vzJJKY02VDu3DP0savXjkLq6
9FdCNMHJ8D9MvfZzmMbOylF424YXwUKOSuIvy3TEcHWxgqOgPGjpdehHYLX1dvwmRm9rDuUTFFe/
9cwjddP7Ih6O6Vj+r0eA3AlxBjeaT6KbP9WWuZ2N5Nx21gEFt3ONcty+SPAjLZ2VDPvqUpO/0wFR
jOsO7cBl7xv7eHng2Ly8mr1DOUfJ3lSouNaFHjy/v3WvLjWG8oicOv0NnRf4Igg1FtStuQtCvxeo
cjq4vMEPiDNQpmb0Epl4Xa7M7daXRxELTQTedySmi4AdBDqNpYC+TYfyH5AX09uok3qASpxsMGnw
syr4qDz6W1f/ryEXn90uUPEdkK71oyj7Xmeavp8SqEiJG66lCNeHB8VRNDbJunkagQ2/PKKT1xlq
lY+s5qzN5zQIfvRN2a1wSq6rOKjtgQ+Uai1Edm69y1G6qh5U16oSPx6Ic5vKFDQfBuFWhDit+xNo
Xjrs9ZF36dZ1AqeG+t4b54HX/YuagrnZvb+FbuxWtMElNJmzzA28WN5W4zkdxn3sk9eGJJiO98Dr
gg5Pa6d/3h/qxvryHJR3JfgcCei9nPlkQuJJjTn28zxDFgzy976t4rWi3M1RbFgrtP3Jupa1Rjpi
xjimTuxbTTLtzGHMcZhvtY/y8JBMREGFIodJ3YaX4OVchtLWgszKY5/HAV7VToPCWjhYKzHvxvmm
zQozl4uJHGDproO0A+atiZv4YWRyI6tjqJwms6koWBR1eR6kw/f73+jWiDITdwH6M/CS4kXfD4qX
mmQ+YCvkiXvVIkIizQgOugM3G/eH98e78bWoZdKaJRWAvLbsvDQIj3pRoQu/aKN4G82ot01xYn58
HYFMSGYEx0Q2ei6/Vlk0VTZF8sIatOigNPo5MXWxD4rquY9pYb4/pzf04OKmsiR+Aiy+TShZMiVE
r/S2gVqzL0o9FaewHqpHjCeDl1DMvT93kqsPzkb7bdVKSsOjbob/YRGFroOXh4XYKl6a6wf57s3u
8nlC9wPv4UY7MVLzLO0MoaY3thptaflW+E31VbUNkrKjfWdJ8liB+wf47qkdj506quldZ0aqtaV9
Oto7ODbVzsB71d43k+Z0GxEH2Y8ePdbPlp6m08qNcWNDyeoWuBUbdwVeRJdLX7Gv48EeY18xvfgY
CaPcDLlO3Mun4Nina+Tsa94gtNU3QDGkKV1SvC7HE0VVqA0K6L4bk8iZpVe/AtjvfwcVMhaZkep7
oy4S7C8DRUk2POrDn2CgshWEhExiFzuAXwGIlTSFdGVJLPYyzAqtmqiK2Gkk6ID11o9ytNNfhCbt
wDWT/mipGODgis39CtzkesVlyQgMCKh3JK2XAZB+ddTGTqD5Q9I5W8VpQJ3mIEB5/SKijjz7yhG+
7p7yVWk88H6gygoCZRHX50i0mOV6sx8VSmlu297OfkRVUBXbMjSGcaM7Q2ltGqXotV1kmKWJh3ii
G4eu7bwQwK1wZIdVr570MjaCQ6JirOzoMe3uRFCBev9wXgccfqx8tgFfoYxsLyqTUdKVPMP5sTWS
ivedGz80eTCufP6bg5AnUf6U4Lrl41DX2xZBGGX2KeHFO9vIeLx2zrgS1a6vbgntlSQ2Thd3xOJo
BXqBZE1l6X4Sd+YOY+PyhJxv/ygBOB+19pEkCu4fUn7KKLwvFplmpBVoi0yd6Q8YyGwiy852OoJB
H58RgRNVd0T3NZgqizjddXFG3bhs/Nob7H0SJumGvo+Frk28Jmt7TbiFaUu5HU4eXDOwqovVEzAA
TXASqOZl4qlqYlzi84jyQjjiJ9IH942DDI9Z3MV2+oKgvraNjSzaIxcZbgu0kD68K2FXytuCh6hs
PF1GLV4piTZ1eg033XZfa/LO7RjGHyapMGVCAhchbUvwaPrlKIi0T3ad2LUfT6N6sjMkpnhqZf9h
LpAEPI9HkI3Q2CIc0CcVtaEElZ/B89yMMTXypmnWLEZuBHp08Ok0gcUFVMdZvpyMp4vWypS89tvQ
Cs44IRQPuNPbRwGg5JOSNdFRGzs73iC3Ex5mCgAPyjCufbcbR9ChSgqEgnuMlH6xiZy+nio8Kyof
lwhra+siOysIU95reh+vtPFuPBws0nPo/bz52LbO4marDL3QXeFUfmhNyGjl2Y7OtLk1gvgTLswK
lPEYhKai0Y2ozBT69FiChB7ab+9v1RtTRgOAeAPbFNaktwygqdshW6PWfjMC5gb+E1lbtx2CPRfd
qlrd9T3KsZC2B5LxRE6/GGw23N4yAdT6ahT0TwAkNLx+EPq3iyrzrb41vpZBBf7Lq1376f153ojh
wNe5u6WEnX1FOgxyB3khUXW8rXsDC/Uie85y2zq+P8qt1ZSqDUB7OfzE8ctdPHB5RkVqd77Xeu1D
OZrzznQn6BSOWa29Jt7YxpdZiUUiZnJP022ULpaXg1FZSU2rz3rQiaW+S/EMuesSGuCo16rOg5SH
P1MqdRFa6kHjoNGGbBcgcOVbiBzHnzzBFXWwEs5US70uP5jIfn/8AngDlOLyy+3Jq/TyF0IPYLGS
vvfrdgRRYCbZsbeBO2MclH5+f+VvfF9YU5SxADmTByxLGWbRFaM+qp2PUGG+L2e33DggQvfvj3Kd
jL21PxGFx/ZWchQuJ9RhsDvroVH7CGk+B1h6x3kTbObaOKQZal7vD3ZrStRwSbOJEETExWBm6XYu
Ciq1j8Gv+dgqgXssRVb/l1EwCwC8L++TpThMWmHfBMao9t15mj7PdoHhl9m1K1nljYMBbJ9T7yAz
SOVDRoa/wC6ROc8tYB5GqbxxmzjjK0p68a52pi/vL9r1QDaxzKCOCdWCVGoxEIQ3bO+R+PIBJqfn
eJr7I8K+6mEMqzVWzPVmYEuT1iBiDHca3c/LOSk02yQQuPbDMcwPaPiNG9tIQIhpc7r3OrEGu7o1
tb/HW9z3qKXV44wWoo/hY/1iInew6ao4+Nrb9hqM4S13uIwtGAQgMCa9Pi0a44ubMJ4nddLHuIEb
U6j1j4TW7yfbSCvvjMqbl4OsxXceBGrDrZSIdP5fDvXURMhuDpJjwgtWbEcQ5TCCTUWdKToEoqWV
qiXxvVOgZrxv0YyTgn1m/WSBTzy2Q+6JrWjN6SWklCGt6zvvWUN4CRRzZk3f9SoXfgrJL93Mtj38
E0S5Gu3yrsxfcWPVR+kOJbQPHw7efRIbL5s1zpV5L6yCKismznvtGuExrbtqp2jK2hG8vhbftE0l
5AwEDLHyciM5VZThLUCBwapDhda4jSUROrkPrSueuqGbtmrf9edwbqKVU3kdYcjLpZsAXWGGXRKQ
jWhQ1LAfQJ+KiLVEOm439qaze/9I3hiF1wwuK1I1CW6k/PtfZx/0GO0oRcn8LkuDrTuXKIO2IIvf
H+XG6dBZGZkPS4HYZWVCw5su01I990HQ5Y/RHOn72Ma6WIxofL0/1K0JgSzWIYhTFUJ14nJClWjS
meZm5hMW3GOeimEnuNZWlu26OA/TjroTVU9aTFcMoWrQwzQXZe5n2mR8mSiCPkkz5nAT9LZ67Fw1
/V2C+n55f243ghrcYzzsoTHSi1hq/WHD0BhzpOQ+/XV14/WIQ85At3vS1U1TeGvtQxkjF3GGIAML
1CaQynbd5VKGqV56VWHnPHrD9J6XJB6zoHGeLE9Jj13aF3BNUARVYmhzbSs6P9H0ieZEkeYrR/3m
xHnjIILt8AhZMjfJHvKWd35Ob7ZCBi8xI+NzAgJk36WicAAwK+rKNpLHejl3eevSRZSYweX9rvR4
bFiBkVBoYXGjJP8nbcfnOrdASHf/NIh/bHTPPAzG/PECqkRycVRku17SBS9XPVBxE7Fmkfo27vbH
fMa0DvmkfNeh6LhHIDZcOZs3Apy025R5scRPLH1ZeK3RWsJdAcUPLY+3Ne0mZCsn+0dAVb/Yanki
UB/GtujzqE3pyo6+cVplZYiuGgZU8rK+nOw4xgE0SCP1DcRaXkMIAPdaln5Yso13hUX9gWc4736e
wpej5IozC7OOM1/p9WhX10X5UJvDtNKqvTUX4o6JzQZkoSuETekWqTvA9fEbcPz7NtCM+0iY1enj
MQDeBORY3kqgChcrFtq9O/ZNnPhga5yjao7ZWauFdoipz568NvFWIt2N0M3GkEhySlI6ygeXa9ca
zSxwYaOo/CY5Y/dpuckcQGBTENpfPz43sNY0c6WEE6NdjjUUAckOVCC/qhRwVyVQmUOYBflIdLOm
M1puiLi+P+SNjyZ5iVxO1CdJNhfL6VHQaGfYuT5wWm/nGo23E+jjfnwUHiQUamhRy624qDn1kYBp
AvrBN7tceeoNYflmmf58fyo37qS3/J1aPPOA/Hi5eqEzq0Nc8yRRjSZ7FIamnDu1nR5mzKM+6ZUa
3atIf5zfH/TG9mBvyKaDyQajTHE5aJQO3IJ9UflATfoTTzsqiGNZ7/LAXLvZbw0FsRPsCBsScYLF
6yFv6NOGiVX4iVfTUDHz33Y5NLsoKtfg/zdHYlrS6IO7bxmVYlrCaLqHpY82ebbv0Q04ptDNjlnc
rhGibg6FaCXpPM1N3A8u1w89UXdwW6Pk7qyCHw5KVbCQkiIJN33ZqisR6tYOgUmKcRSryP2yGEzz
Qh0eXVv48qDvlDoNt5FTP7VDrJxGT50OqlZ8mBeO4BvXC/NjZKRv5QL8lWAWI8rOajIVfqEnzymi
wlvRTe5KkLqRH3CDAe+n5ir9HRaBw5pa9PISs/SVoc7OdTTRh3MV9R7nr/RPErVipSV9oyJKk026
HFHMRst36Q8Hn5tEl76wbw95CqmWUP1sRL36CMUpTHdKOSnRKalhauVEMf3cu9FYbJLOW4Ns3Ihf
bzgyqMh0v65QSHDjrDEa7NLvKkO7R/7duUd3/sOEeClEKo0YpVqCJDZcfkS9iCelx6ODU954p8ro
8pNdt8X+/Vhya3v+PYqc619bZSowovdKvfSdKbSnDZDiZm+rMYWxPDXPYoLSPEB7Xnvh3TqCJFpQ
/WH4yjB2OWwP+iLQQZD6oXxPIPUEkjrvQRmU5ijWemK3dqpDcVkaxlBsXaYiKhrPaqTSfYhiiPcj
zCKe6EO5ERU+oBXZ/ErmfGN/cBzoj4GPIm4un0M1vElMJ4vBz0fPZG5TtXOVaK0Nf2NWFHB5mrCK
iJ8bi1tAN2qnFn3Z+2RH9SkWwFkjO0v3cRMhZj2vwihvfDJpJUhth+I8ALzFfWq1Zt7GZd0DMiA7
77EQODVmlB3c1rYO72/KqwWU1xtGghT50AmhunG5O1y3j1sjU8xziuRfykk3rINQ4VV/NEVYjLPY
/Cnt8WaqXfZ5VSV3dgYwI4jbYOWIyQh/8axhFMnY42lMv/xKJDM3cpxVyRzPqpNn1n2Z2Opza48N
5tda3tz3ZmuAmA7r+ttkNfHKXrw1uFTUliI/SAQsa+KQN7J+7hPz7IZq/t3qRrwZq9pOtV0X9553
6mNdO4396HWnrM668svHvyQ7BsUrqafAc+DyS6qIi/doKBln0QnkLtVJ2VhG+F++I2QpGlU8Nmg1
LLZm5UJfJ4waZx55YmtGibVHrNRY2S1XoZJzBhdQ4gLhUAMeWs7FChyvdIKzVariOIWx82i4I6Tv
rH7zrxHbPo27z+8v4NWpk4NCNZLWcPAQl0gLPdSNgO5AcPYsMX5RCiXbUsESZ8jaa72aa0g/4ZhE
hcoKqHkS5sUEm9pIa2PMnXNvQ8jBXLA/gpVKvmm5paBDGWafgjoRD5Ami2Na1soxFrZ9TL2sPCSe
qrz0vRZ1xyGym5UTdB0P+GHsIH4flUvEpC5XPuimyOkjdOxLfOcPqYjLp3my14Qvbyw1iCYJAJAw
Zqrml6MMutl0bh85Z0EZ6B8xa+19R0/oz5x0+kouc61t8XbzofGFnrVkTyx2rNE7rmS5MpbAUpzn
JVSZAWZQux1KjHY3g5Lr7UYFcfKjCNX60cLvfNwimhVYWzosusP/iMMHDGCqfodptXhhmOwRhnIJ
E3zyot+YjDTVttUd1OVmpUaJzcv1EbWbIhDd8zw53l5pKWZNIWWkw2gZSbxhJ5vBNufysBBo0INX
Kj3wrkSWdfUGgxBqQTHsik0L2mOteXCd3rEkEj8JromnIaCFxfJbHhsnMezzrHSoPTvUR7517VTG
m84y2oPrJdmJS8580MQw/po1vZp3g66Hu/cP3K29xqsAgLNkJJB4Xf6M2OggwGUYiAlMgqTORgz7
bRAro1zTBJitrDOjFQXxF3T+5TBW1XRUSEzv7AzetC9qlAIoSxndpsiqGvOVKD+ItBm/BvDxgRyV
3iP60clEobgf/kxIVb9+fNpSEQm1YBlGl3XHNI1VbUixfdUjUPvAL/V9PXy8Y8OsXalIzJWNfMwS
496nqYg8a8K+EyDy1pgrdPUqt93GnbeWPt/cT1x6aMfQEKa3u6jpTdYMzyjHKrRO4aBusgLi5DRM
lt/2KjZfTWhttX7KYSi53qZLXJQjnM5pTu+v642gIiX0yT4hhVDpW/wKpVbssgpy2kROZX7HdaL/
7Ewe0g/gxKKVb3iVEUrCk5R7ZkSMLZZjTWmAYRidQNKmukXvzNX2aCabyUa0hrU157QfV67EW7OT
bgmwwJByA3RzuYsNfQgbD5FIv3RRwwmtqju1SfAdC6MPKxYyN3iwgIgQtQSNshgJRY3Qxd5MOQ9j
ixk30hgKnPXeUDAfmrX/8NFk4ZseDQ92jufltMiLnGlOdeWMupvx2Ab5sM+N3nxOkHBZudpuraC8
a7jioRxgbH45lJnZQqlML/RHfCDvHMWMjgPP2X2Aa/dKzLkxFGkgoZU6BJf8stLXSkBElqWhH0vx
hlFBsklHJXRXF1318X0hK6U4HYBFpEIlf8pfr0pjGKAoe7Pw1UkrT5M7m/eumL0HFzDvSoIrF+gy
u5aFZpkcQVkmoC42RuRapR7bYeR3PcbObi2cI7Irlb4pVWX40qpF8ROgqOi3wdj134Tw1oot1xk2
PwDGk/XWsCGsXc61k2YKc2BH/jS3wcGRxF5hIhiGKNduUhiOXGNLamOv7Bx5QywnTkYtCZjsVXQ4
Lsfl1RDCZ4MYrjXu7O1Mo/Wq0+x5GQo6qaF/Lbx67rANmZN/3g9pbzfx1ciA0hBik6nL0ulV1K0T
DOR6/mgn+m4A472ftQ7hvKIPdmms/0674Jkoh7bS9Ihwwd5xlT1Ci4CbNJEfZivKMawM+0Ooo1rs
5V60kl7d2hOUEDXJ4uKDvF0Nf20/nluFaQwGYcmrNT8NhfkzH4z01e569Rj2XrVx0cm5g9MVPJcR
AkDvL9CNOAxujB4OIB/ZLVgkkhmbxVCrIjg3jVpu2TvpZ+zqmnv0bpLXwsrEy4fHc2gScAoojKGz
uoghmYsbGY+j4JypmGfliGfv4cknj7E75Mf3h5KRb/Hp/x5qCQhsMFRNEF4I4GZgIuWWE9pbqOB9
PFIxCs9WXiJUnpfgGK8YCVMxozhaGz6PmeruZkUpnqYR09j3J3QNGqOGiXUFVCW+Gde0PGZ/7ZW8
caK81fPgHM9KiTcn2K8N+bR35velPLNy709kUfBQo7o6FZk7HzFyb7EC7RxxjhJdvwvKxNzEqD+9
OGHtPb//+25EF2AnqCdScJEXxGIvqcIealUZg3PaxQezAAcyFMWzMw6+iiEQ/dDgsWjFCr77xk0B
EJpbiSQY2d5lItGxTGFl8NKdBO6dnZHbnyPAJPdOXJv/ZShKEwCDSbb5EpfL31BR8uDdKGd6kt9s
K8E+DyjkodWDtTh9KyEkWkmUGpKYlMcXt/o8qH2LyVtwRvR13kdDNj9oOZDO3MlgL5ph+6i6RXsK
RDUe3CGeTs0A4fD9z3nr/Eh5Ekl5wpRjSWAdvbAsK5TCzpWDChz3VrCDob9mgnwjAEFAg8IlSXig
FxZXklqk8DMS1zunzgRciG5weWpoAu4LgyO0QzGzWPmMN0dkVXHMeLsWFpeRlVNd6hRCXpk28c84
rM17rQ+Hb9MslGPgJvXX99fx1g6FngbmBNsecGWLGXZa3ylB2yl8S+OHHlUR9tmtoDQSK/8h4qEy
DgpCZoMMdrlBu6CPAZZX0F1BQ+/wB8MaSihrlONb64cqrHz+Is8BUexyFNhT+TSD9z4PAQRw+s3J
ver0yXnMquhLbPdrqtK31g+IE3cuNxRVs8X6oWs5xiWQwTPKhsP3MKHUU+Sz/jwgGrSygLeGgqpN
6QEJLY11vJxaVBW1q9iOcq7Mqbi3yyT/7uAvssNEYm2oW6eLKxCiJ9chr8vFrBqES1EDTUJECyLb
70TU+Faar+GQbo5CbkFiC9uOh+zlhPAgKo0c/Qt/wMgHsoQhfkKxSVZ2uLx3FjctHE+GUEnaETJa
5LVqjjwhXhH22cyd+b5RPG/vICKIuH5hDs+oP+hbkpxsLXRcfS0eqly68Hfl2FfsqqBqRWJmIwIv
gBB3YxUap1gp3X0OnWJlY1yto3wTsy8IP9AoiMqX68gLJQ4KodR3bjo6D4aHpk1VDsNK//UqF5QO
CLQseBUDgAXXdzmKPaBHnPRhfRekmkaRDUmecjsJvYpwksrSkU5GaXwqtVhND6SysQbRVanXKtRX
X5NfQS4qmVlcQFe145bSvIeTMr/CtoZuR1Y/YmKlJc5jPNViPBqx44E1jGwUFt+PlDfmj6Qe7z6+
KlnOkmLgFaU+BrPa3IH7QwszilUdwUtn0PbupOunxm2Cg6Vm9r9m0ijOoclccwXTdv2daV56YEW5
iMjFl0WfMurqoDaL/E7LS+83EETzSwKjY+XNfp3IUU6TpStqtyhdIABz+aEjMpYyrMb8zija+skr
AmNfq0P1Cs7G2NiZiD0yt6knZ6KG/3OyXZ6EnoaR1NQ57cHuCpCSiVLfQw7IzlGVOivLcE1w4QdC
bJF5OhEKkZDLH2gMqdaoVljcCdioyDfgIr+Dip98KQW/IjEm664vTWXX08v8NCqOfT/pYjgC4fpw
Fu9wUUvwg9SZIz+Qt9FfOW/iYivvirK4a5t2frSSzvW7OrJWTt6N784ob253byzB5Z2GpHoxtS0U
M8WpdnWjZA+1MNYY3beWlazDokdO2JcqJ5eTiTo03gYxFHeJpU2fXRH/n7MzbY5aydb1X+nY39VH
83DidEdcqao8FGBs2ExfFMaA5ikHTb/+PqL79sVlQ51NdAQdbGOllFKuzLXWO+TJMhbGdd9N4cFZ
u/GiHmV240UQZAfXnd42mZ4uR1LnvxzPNrUnUnG2cKhh/kmkUb1lN8voVUcq+D6Kyeg5frK8Xr3/
9YJ+ZlqRWADZARINeNNTYhhpE5Iu9TGoFaV9f4hQ5jlrXvt0H+D8+B2JCSqSDvLJ9lNyZuvDoq2P
VYsdbwwT07qp58WDfd3W86dfP9JzgyF+yVe5eTASJR6/wroylbesaPG0ix38CaLVeMlpLLqc+nU8
swqfmz3CA90Qzsbw108WYQqKf+qnqDtGSHA7ixoSIxTnLC6enOY2bRTaB7BIthLJKbxzDNsq6Pym
P0oKww9u5lsHNbfzt3Jds53p8kmemb+nQR6FKepfcD1Z0Iz8eAKXLAxwjsnrY4oRmQHLI7JmKOic
UpJqcao2RrwOXUy3aIMXfWpHeLrXK25AzTRJdLvyXAYYKzXWMXNRGYzXhUYgrDdEwBMxVd6XpRw1
eAk1RB8Giu3Xg5i8y1FMqthZ1iBccCNpUMXuMKfXNFAGM87lVN7oUNMfrXOXiu3Src592Y3wkPD5
SqkK1uaA+AcdRrQyqiiIQcQX2U6gIlnG1eiV7i5TursapkENYLyLHuafWvWy66ZhfuNLx84unGmU
n5xNJS7OgZWJ2NRTWGGrnZvTFRpywFprRFx7ZLfFpONwNHsrnoe8gBSWTkNGAG7az800ptDf8Lre
B43d7yuX5tnhzDviFTw6zwWsWErXsDo3y99TYUpXIPGeF2iH9sRM1OLRMQiCqqGt1pzDVz6znL5L
5gBZhyEJhOjx12CQZuQTpPSjqctgH/UQUzxlwiF1z/ElvucJT56KLgvK4py7n+ADByTOplUylEfq
vZPQYi/Hufb3qdA41jh9eD0Ya/YQ6ty686JU7O3Ode8y1Ao+9aG0kqYbbYksRJldIhVb3SBn1iRt
2QSxRuGMY+6av4DWoq9X5HD3blA5X1CecF//+t08ExTo59OQwhKcRrO//fyH/TDtitDN06g/hoWf
JllmVTuwr+dY88+9FpD9vBFa6wGfweNRRG1YEJRNopyNztvs1GPcDaF5MNLuHJ39aYk2AJmGkhws
VkIQRPDHYzmkrasnhEQhggNAHGbBUu2kaqO7bF0tuQ+7XnVXIYFQx300hxdmlC9TTHpq7uyhy6l3
1WkVJCrQ6V2E/tGDRGW8v7JXS+y1Vw569+tX8EzIRCoY/v2mBMN+frIFdGkTAL4U4lh24fyNhp3j
x/aIcCGhy1xfZm1w9uDwPSqefLzEZqgNcEXpiJwmcigxirb1a/OY5zXWDIMqQBgRAe31RVbnzrDr
fdxaLypm5SJo85SXloVeilSyg3lbMyh2+RUoMx+wnCcvHkF5RVAxvOILQnTVVdMOyxy7fp6+Mvxy
Li/M1l/erzaWaHE6U0obfAwlqCmgNBAvZtPeEt/Wu6xq9B3a6ho6m4Qk73hFTz8BUzWmZAqMkbAd
yreu1yzgsObt1mt7Gm/9MRq/9E62WkkNjemNl1NYjIe1mz7Udl1+Cso0X+8m3ygrQnBavWmBZ39Y
Jjd/hThP+HaQtvrsZ25fJn01lS9bKyuNvdBp9Hmter9InDHL0B1v5/GryAI5xQ06LndL1QBM8d30
Dax4iTuAt7qfM4hJ7DemZRzNskjvc1O3Oh7zBeCmlWYNcv7lNDbxXFOSimkBe3/2UdE3u15k41sn
14jog1moY13kTA7gfHAAooD4E1sDU4Vuq8D3YbUCifZ3E4VZHNJStpNCiPVGNYH+StYXDHErWnUT
mEaW7n2vm/RFNaW5POh2DnUiqkby2joZTfEIsU/tgjy1Lthk0OVo5gBNy7J06BgPclqTkhua0PCZ
cBpI5Th9MZqRrg6RvBEvvayp5hsMCTpxkWp8ARJtljU7UeqGa0KmadpscDpqL/IRkGXsYwnDV4Wi
dJNALaw/hRO63LFTWcGruprQugGNxfNbsy9R7F/DYl96lfWJvbpZdq1b+iphS1Ndooe+6BMr7Ctr
34xhOexmZ/SaBAJh80LWjt/tUvwaUKq1lfFNlSMPK4vU8CHWdXaR5OnsPkCgbJrYSG0zfZGvkxEm
I/+n41b68vPGh8njXpe23oMFqu04LcrWjylQGS+DuVqKA+JlY3ooDSv77NnKVxtBaTETXh5Ku6aT
cnFkU1R5sYTLUGCm547vSmTCpkRz9OODtUYsJYoOHf047Ze0vAIJou6QV64/VWFQfRnXyRtjThm6
3v868jwT/MmNqQwg2QgF4rR/N2ywH9PS5lFA9EqGKC9fpN3ZaPNM8IeJgNE8R04KfaeyaGhsgvMY
3fVIJaTbkwmuuxrly10fWL9x0tiYauBqOcDTKz/Z/jvHWRe5NuYxJI6/bDoEoKJKLpdZhC/Cr+du
O1eeRFCKGiQiNNvQ9jiVlEO7NJccZ9ejbTfDdU2nYJeG5rhP23r8HFQhVKbFG+5/PegzUwmGhLol
nS5/wwo93tv6jjL+SnA7lqbZ37YGINiYgk73Plvo3fx6rGcO1sAXOa3xkLTOT0mUK2cPuQytecxm
Ye2RB8RJZhqX8as1g4zaNbBlXtSQTK6KJZiuLT+Vw5lz43NTTIOb1Ii9nB7zycaYot0wNppNylPB
znGkeQhz+bp0q29eW1cHwGLnalXf8cknb5VyEaoUVAjYGk9FGwL2RdVIczni+ZPivsAuSVjHgSSI
17URSwJezbhZLa9ANDtcszUuIGJ9M3zbWuKR+XqjCHvf3Fq2xpnZeLpYwUNu0CHgiZtWwskZahww
hIUDvR4bUGqfScLSS/xjiAy/fu1PTyNwebaHZxVtYMiTWtISBnWWZaE+ShzhE9elv951TYtgfhXu
+pyN69fjPfNYjMfxGX2pret58pLNCv6voDB3NFO21SF38j1yPOeAyFT2n6xXngstOqpkqI3wRZ0s
HaQtFzrF4tjTHV8S256Ma2rxOGpZRll3+4WDDH38KSrly8rOs2sVIHADvzz19M4TadEkQIXrfhd5
ap4P3mzZR9ebx/IAPDV427qN/adEnzXYmXUv19gryxQ4glS23GVgREXsjH5+h2K6YPH0Bc2pubJm
c5eZQ9onReR2D3429GY8Tjqs9kNn5J/TdKRWJ52wf2sHS2onhtlHy2EIAsOKe6XnPvEx+5RJNRvh
vFcYY3/SVWbmHJ8am25u4QNfnNsR8wRleeIuqK3priXHJc9ctOMcWjHLkqesnFcNx4sZbyDg2Tsb
S6T7MCvkp9rOZbXXKxYo8Vi6IQ5JblTVO0WnZkkUJ7M29ubQvxtwuKoS1YDkPGaLQZkvrYuwikfu
rIDRiT/pTRWtwn7DpEN3MCpffZnzyDYuZJ4PD0ujivusF7qLfZEJgApzozh3pgNaQ+AuELEOtsQd
Cnk27arB6boEgnp7O/WgexJ6IrpOKmxi4JXr3jjmlrv8aYCC+TxZ3nTp9kuWxezA+uPMGdE+5Bp3
QN0qoz5EhccryMWKgpoxmaZGyjtCldFaVWTucz6o4KKYRoUOUGZY63Guqi15UEhT7yZQiw9pbRcS
5eq1nKi31vLSdLQWOzCb3ZfWE8UY174iGdGFW99xltBib47d8rYvfOeer2qwdyi4GHYCtbhqE99Z
yZEttMP5sxojFHiMkVPgr1feFjAexzroBdROoFBs9UP3ZLPU7mwpK8qno8iLeZdTN7kimyqHOBuz
bpfX6fp6SkWB9+VvVGEB6YExteDB8GJOFbpEUE8WfkzTcWoHKwbpmiXmoM4RAJ4JZcg9kN9soexp
wWusmjWq7FAdWyctXkBQELfOVgQpm6XegXZWZ44Ez4QySnhAKTjlgJY/LRxq31hWl7PrcZ0mA9WK
SlmXo9GfUwF8ZhgKhbgXk75ula+TjcCosnHsnZJh8MU9rs6GyHDRt/711/Fdye7k89gacLTDtjMO
2OTHAXMIA4G2V66P6Bdh5NikynqHvxgeXagbBiKGbDwfQ0OLT2bXCk7as82hhxXQZLER1P5HWQfp
B9rjro5dYxBwBJbcfWc1HOOT1UNzKF7JwtrENbuggFS/lg92KnJ55WKz+Km1h7LYY8Sx1rtJGWTD
Ml3IwRrDRCRVt0s5J6kE4019TAu9r4MJRwlVDojFG2N2k7lNeDOZlXrQ9Zp+c/VQHfgQBxlDLC6W
Qz5iCRNnRRHVu9BEqze29YoZEFucjnCVoByQcGzWmGrARTvH0H16tNnQPUAxvjOYOMmdTC4GZLLO
TXXMhwjN+1AbEteaorySuW3vEc5ovrWuCN/8+p0+PT4yKuBuzjcbNOxUvFDgqDyMwmFBuFX6Nl8C
+QJPee8lfMr5zGnl2QfcuMd0U2kJnPbe8Dqq/Gid1ZHU2i8PNqe2WxdNcUqNXkSNM+q2TO5cUe65
B4RVB96YeQUjcVLiLitnqtLUUMeeMs0cp2afvlxtp/7TyDz74teT+dyJgsMxlT+4z+T07uk6zERN
H5fdLnR6b07mMHXjkUJ/ov3GSLDyWPrYcLSMSzMbDmwf5mu1zNVLTdaQ2KUZHdJhHC4rXZifKGcZ
1F/q5mbK2vo+jWrgxFk0vBowLLwN/Lx5wdqwrofebc68qWfmjOP9JpmJuA06AicHMMcfi1Cvajy6
uMkcycWrS9LQGX/vLL/89ZQ981FsCNwNWMwBm3rg46/eFJhETrYej9K2aMh6ZtGEMTkwJRGTgp1f
pcaucS3E3f/6uGCM+R7A40Io2jaKH4qcMA4cO40Y17KIy2rpgoMnKIKEqWyOfmeOf3ZGW535Pr4j
wE8CaBRF/wrSYOxO63qKJkQR1u54zDppfrZLbyXiGZ1fJlY3uS8EyP/7wlXyru7XFYnK8mJcqvBh
K7VQ3ukQGIsrKgpf8smRF6KYi+Wl8Mf+FT7vWFAPAH/fNXmq+/2c+sP1tFrdjSoM461QMn2lrFy9
a5yqfij8QNixJYx3fkF5hDTfarrD0kKrTH49zU83JoLi1joDr06mcqokGgZzXrtrNR07IwqwZG1z
2sz2OZOmp7v6BuUG97RBxkHWnLzMzNfKdJqwOtbNeKDF38NqmOS7THn2VUf74cxDPf1m0SijxQSi
G9AQwg2Pvx1WY+8Bti+POs1n9pf5UJppD+C3ruMytf4EP3AOiPKUIRNwjkD8fyvOQjY6bZhkFU5X
nR/Uxx6V7jpBVb792s7riqd6a476ctJjYeIRntHBchGA/gCjCql5u51gUWH+aeg9/RH9lz3goAaB
nYf7TRt+02J+PBVhBY6Q4rnC63GkhgMtayux/vXF+niUk6a2VWO6ZC6EVTbw8EI3xlKSf2XV0SZX
APSmx8MU6ebMan0m82eXopEOLID3TZh4/HDNujT9oEt1lKPzvhosgamUBmLuu3mLwW85XTkqsC6H
sFjem9ryk3E01YU0tXesoyp6vdR4D/96PT2NzNstkYmDgfpOAHl8SxFPOQdBro4V0CTg9baH1rCp
91EtzhkkPDsUkCdAMiT+2Bo9Hip3Qr9s604dix6aZcd5iGJ3r2BwC/PMgnrm6+axaA1/B/Vuy+rx
WG3r2DJrOZa75Js7Cq/p+5YOJ6Ypc4dARIlAbhqpPc0Qmz7aWO4NOc1/CulXaNr6w5kX/9yT25vg
GXey1Qe2n/+wN8jMQCqltchZ89U4Qj4bX+OpKA4zYtVndtqn8ZHOOHBmsKKYuHA0ejyUECT92VKz
fqSjYv6VTIJuPvfVPA1Y0CKAwNKW3I55p3U7OyxFk1rs5/lo1hdqEPvJH914VaTRcsjHwyBXeSaV
fBqTH495smY3IaKyGthgkcZQn+HXaIQjmxuM28qX1VxYZ/bzZ4AvfD6wDCjpsBfQ+n88kyOWyrIP
In2EhYNiCpZ5XRzkdnPZyz5/l7ZypuqRz8GFnPz2hZ6D9ogsuUhMpfU5tt0zHxBAceqkwLw2oYWT
DygQAjrK6unjLDBAN+r1BRq77d5f8uXcYz/zAW2YdA/5TEp0aD89fmwlorFTYaqOqTEEbyvo9EUi
pcCvPRDKpzyr5+mN9Ge3TAy9NO+MIBzfIU+CHGnlUFBK5t7omv1CtoMpH62Ncw5kT2vGvBfCFUU2
Sv6wCh7fYNsEs6NXiod+5gG3KFzzepJFcNNPaJk3zjCSO1riwrIikXijtb75dcB8bn62YYlglBLR
M3w8PMeCFiOmfiQB98ZdljbOxdJD9P31KM+98I1aCZ2Tbi1kw5NRVvBlYxONR3/FhqGv+gk7w9qK
NZSNM+vqmaFARFOE30CSUGdOXjhOCnWbku4fvRoZVicrP7qLCHYeHa8zUfmZqWMkshhUo+DJnQoz
pkFmTS59w+O0Yq7QTv24U7h4nxnlaZwIqVyQgPIHgLXTYDtgeoNlPJts3q79vm2MdC9m16JLp4pr
pzXEmVf1NBbyRJtoB/Jl8AFO60yKAn3Zl2ShBuCng9RLDty063fFvEzXztT4d6IyzDOEgKcvDSYS
mhcAQwhNTyQ8wdgNJfQsvJON+Y3qUWgb7O4DDh3FmYGerDbiH4Ogo8nTIap/EgW7flmWurE97CDE
+DFVvYNuFFCe2K6l8baoh7Q69E0dvCqRS3mRS2M4M71PnhRa71ZGAIEIbOFJr2AwKJ/CGh+OcqjC
WFTOuhO2dJKS0/SZL+fJ98lQ9gaScAASMebJs6amEcEaz4ajiqY6yebAStYJ5/q/uLRpUdIPxWOD
P5DjOhllokU7RUZbHANT+QfocncBPvN7lWdvfz3QU5QKI/HOqB1s/VfULh8HkbHBmil1y+xoV0CF
MFzNgx4fsRnpg25eujbBabSmeL4uVXYIRVHdiqXz3laZ676Jssn1N/xAGYA7a4IGBw6dffG6cdnI
l13gwmJHJOOvZu/bZ02PFlgNyxde1uNbrjC6LNwsNK4XMBj36FBJA19Tvzjmrppu8PMr/KQ3h/GM
6cnTj4zyNGha1i9D06V+PKwfTUiTdFlxrB2vRSlJ6KQvWhxTu7w+A4Zil+BiP+bsW6sTlhRFHcIu
XJST1zKn2ZxP7uog8lvW9wVMi9u1ncnE7czD1T6qrbq8XNYlu04hTI0J8Nq1+SDHdbizpLCNWwdd
Hfe1LrLiqiqMpo9Ne/Hbnec23oQKjjE4FEojI0pKhD4VeqpmoOK0MuVXJC/Tm8krwT+YDWTDuDSW
BYRig6gY4AiJFbZhBhlWv1VTmru1H3v/hYo6a0NqCHIxBJT76lp5WXWbiSBok2rsUvxX/NIRB4nc
MnrF3Tru5mwavGO0yOVdxKHa2hmDn36To73cuRKUcmIpUh6pFpztotSakT3COvFT24+GeZU3SKCw
IEpXJEGReXU8WrrQSW77tZdgD99dTqmZYmCUDTvWjfO5cctm0/aoxAsMEjM7yeqmTxMYQd6M5iIe
ZYcRahYuNmsBaqWZx/Aan9LsM42YyDtk/tQXJLUQ15JaLl56Wa0G6JSCOtGrNihotXHmGORu8Fb/
xkuHVV1G7qrWxHPBUOz9Qpfvww7rkUtg2L55WKy6xwtTatXeubrs5d5Al+edYWogiQL1ZR6pMrW5
Mx06Ycy5kAWLLfc+p9GUssBgW6GXULulFYey6wb2ZTt/qGET4P2ElwqaXsaKqWnaqOlj3TQy342R
xKFnmT3jvdNU4cFepfVhQE9kOiyYBN+YwmiMQ1009RsM6uRhKbzwUC2Nme8mFGhfM9PuJ6uQ9vWg
h+DKjqZoP2pL3EbT1P5JnuweIlk2t62aAdYHAeSzvuX2UI55t/j2KBPE9/h0YNUg+b+4XxE8ItCY
q/oYID32qQ9AIAtsi6oDBuqUIju71R9b28/Xg4Fi4ERZvMjfN7kqHyibz1FslwS4XdsHAuK17uvE
R14dWFQeOnOy2CJ3cW9tAGgPCFR0O7uVYYN9o+PLuJps8XXY6lNwhNW3ngWud9SNuo9rmOfvacB2
/HIF12jvdGlaxAb29q9lJMb9LNfhIx1V+97Fq/AjE5ZVNOZX741TFmG7r+xuAg5bN06zA5VU+kk+
WO5xXMssSorUti+sJbM6tE3E3PKypiWNXRnR1MauQZW3/QRrLx4q11RxH0LXGuTSX/pBb9b7Bs+C
+ybqt9feddUMi0HoMPZLY+BddyDwkzoM2+UqhSQHykmb4t7wh/q9WCPV7cj7SFIWg2rnhQP38jVH
nlrEwwJmKBlEKmnormUzJ6U1b/M9K11etUAt7CRsw+yhqApL7Vfsm7OE8874p0UwabCnTcdXmeG2
Hz09iPYALSp7UxRrGyYZWMXoVQ84+FWUDcvRbhxrinMQWja2VdHsx22Ex3ocepjG7L28cY5klAhl
yDSrXk6cjFYYzhNd8dHtQDEN7li9y2eUKZMGTbfqmmRWFmUMLBpRBW9x3H3PItSJsmp9VdnSLyFQ
zfadCJGmT1RtqwecGD2NqlmOjE8mOBMdJI8UXUSGGuY9eVOtdlYf5G9YiNq8XGlUv5J+0RATM6QM
YgzC9Wt3SZdp1/BQUSzlIt1kWNIQP5p8Gg89GVIee0MZDvu59FBq7yGexF019fM+UM46xIpsFRXn
NMzsOASn7e8XoiM62kqGbjx7uTUC9ip7loEm+sZhJIA+QsDO3k59WdlxqQEEJetMgE3MtQm7fdY4
QI3zEkG1Jq8sN4kM3/ucuWX4ZmAXSF+OYzk+THxCt+5qrKgfe3RAk9QpxauqX6yWplcxvzJF0PFO
leO/qfpRDTukPyrq1L5RLxe2ADO7C5Yg1S/7GrmZl6pcwJQbqcXOCwa+fxW1VvthsnpM1Mui7z8q
wwaFTjkAOQQBVlDGCpMQyDUQvuFPpBLf9dRamsRpyl7RzRcYq1VOmu8V8XmX2WuWJ9qOgMQHuN59
GEML/K4xexo249Y/8xv46hdNXZh3PmH16GBR1u4UpdJXwOvdBgMESi7X3WKbFfHGHT746dpdFax2
2usYeNSxkXcLviM1SlsJMDnWu7az9MYNc9uMTaoWF+bCsSPJp8ViocnJue3ajteS132udtjG1n4M
ulDdDX3l6APnbFticS+8r2zf/WsKuKt7aRF7RMzUTF8AWJXioFOKpTeujno39qNSZbuoTlnPIgzW
bidMKb/Revf5oTGH/eY2CyCg0Gs9sd2CeHoR6oBeueepytiBxe/Ci7IM8H0Lltn4FqQL/9ku+d+B
mog17NpVaE3TtC7y13mJhuZhSvESulhaay03lxv9FUk8szwMOuq8BO1D5V3CH2M7ysbBDPb4DrZi
LzjbfxKeWd0V2p2+WYakmbGCy1gSpzDAIwQKtYAhm/t7bdfdA7yLErPvFg2BWA12dWhstjvmLnP8
veXlS7u3m64sdqXVk+5Fg2s4sYkCF1jffp5vXDMrlj21iNS6dEiuST7rQVzg3LEQIulRDPFI/cON
+65HTNtaqxvDd3S985wmeJBrGX0oEdj61E3r4O8smlDtQcFKeDsUEZCppkcaI6ejCxMS1fd9hK3F
oXdGShqVkYGPrcsFA1q9NqmR4BzhqB2N2+Y17MzSTtYCZLEth8VNNM5UMpnASOaJ3zuoaNWecDxk
j/rgg2O37isQOmV5K0DHVLuBUyDqnq6xzrvGG1LgAH7Zg0dG0OAVjBC2NmyfCIV9bw0gPXIaucma
DmgQFANx3ZvCsYXoMUSvTUREPygVGX96tfSGuDekNYMJcu0yNiy//6bRQXpvyrB2AAH704vCs5jc
WSrj1aBN9NXraDHurco2byynsaadM+slTRwboIkv1uqNvdjIdkjtgACOVL/aOxqS2bdqFNbbVZvV
Z8MswmjvCKz8YhWK7ptPZdWJOxLCOhZBRfceQDNWCzl+s18LIDqYr43FUsRtqocswW+3xwxNLc0e
Y5nQ2bUemUkyaYcP3Oms7ZBXE4p3sinSGb2AmiLauNjVh3a0ujfGInSWBPWmV5l1lvG5yWqgOPWY
+pcyDeTnpvSDjwubDN+/1HRJ3UK2Q6KFZ6WsiEX0MWpVPiRFql8URkM9fc1H0TWXE62zbzBHaj7e
VI32pSgiLES8JVIitgD1vjGaadljfcA1VrNo+yRoMnAA0dR28FsbBwF2q+9cDju1KG4iCAf0zibs
57p9OY/rNewXJFkQ/GtejLljfQiNxc44UozelbkMKki8WhlvW3Me8DxQU/3QpBPe0p0ZNd2FIBO6
85Q0naSvWzbBVAWAhKYSc4vLGp2zW1fb2km0rPIPnuomFeOy0Iu4QkLwmj5p+dDqNQ92BXIlH8s8
HI/CKytqYyulvTiAkOq9bscJg4M57b0qzhBz/RRKp7mdgS4b8TzTQEyknQ1GIgOO5+WyGLiHYRZo
XVJ8NZLSs2d354aytC98rMU+dwHKJXsNS+JTpWuORWy/6bEZO7+6HVKXGJDLVcnEhCb4aab+8HbJ
Gx1+qv1CfuvaVhWJlSLMCHwXeE2y1GiMxQFfZ4HsUOG9E2MUfLRVUA+XeTqRisIY8Na9W1fylSzD
JURjl50TJNUqP0OIQIAiUFEOWwts2etgCQ2AXmPvdZiJVvlbOytKA1x0Wd7VGj/Z2B3LfuRdm9Zb
au3OF424SX8Y7CDz9kG+wAqnLh6dk2V5IhC5JYZI2libthhNzlMt68qgUm+yv1wX+ZRfmGmm3lEJ
tV66QtSvpwYfm3hygwGnqSJbNyua+ZKiVn8fuOW4uT17t4KWKS3D1lvOwI6+YylOk1bADuB0yZGp
c50krV0zjmvhj841pYQsyUZPYys7s8OnquIs71mZdxBpiF165Q4Xg4IWUPdWdqjWJUrMubRutR71
3RCo6bp0C3GRmWiJhiZpbrwOYj4MVAX23wsg//Uw/3f2tXv9r9uT//wf/v5AIUoUWa5O/vrPl8WD
6GT3Tf3P9mv/+WePf+mfN/3X9o0SX7+ql/f96b989Itc/9/j7+7V/aO/7Pku1XKrv4rl7qvUtfo+
CHe6/cv/7Q//9vX7Vd4u/dd//PHQUdzarpYVXfvHv3909eUff2zNiv/68fL//tmr+4Zf+z8i267S
3p/+ytd7qf7xB3vv37ea2iZSRlcKSD5Vlunr9x8Fzt9RdtqklagGA03eoLltJ1TOr9nW38G50Q2B
ZE7rGAWhP/4mO/39Z573d8AW38XPwPVSGvf++H+39+g9/f/39rdWN687xH/kP/54XIhjILQbGftU
2ckdNMWENK/3BPf3a7R8TvW7Hybi3yP9b658UnSrvcxUrubKNA1BrAKSEOGZOvrPbvqkY12si4KY
6VSgewN2auN1bWFs+Fu3fdoy7XWAdFKVVnsTV5aXHXE2SUnmz1Qkf3Lnp+CilJ6A3OCze2s8mJwH
s0L8awU+WoD/i+k+BYF1pVnOS2hV+xVc8DUwf72rqyV683uzchKLACmtUxt09b6fRJAUbrnufMN9
/3sX30qFP/RqgyUPqHzOwJGbyr/MWnUPwC/8zXnZ3sQPF19DWbhAjeu9A6oizdYXhcjOVFB/9jK3
quMPl4aBNMMoVvUer5tI3tfF760cl4Dw43V5bX0PxrDay0zar6TX6gfqIOY5796f3fbJwkzDMQjL
AtaRXpwrYuHbygv+Uln/P9HkFCobwGye/LpFsp38+9iV2nqZhsYZLbyf3PcpuRG2iKvFwrTk9sPA
jkgz8vfW/Kl9RooB7ByUNi+yRMcP5U+QrWd1aH5221sz64evpBhlBaMoqPZFP9yk9phdev1sHn5r
6ZyeEWA5dr20emxk6Rk9rKLJrjgSRle/d/WThenWbjV3o6z33ocV2b9zaNmfzcj233+YkRQNrKUo
uewk+zYW1lAi5XpOBu9nFz9ZlC2QlyFo+UoykkiRgblrxvl37/xkZY6VpfqhEPV+DDIJD79IkynU
w29O98nCzFuw+Rlk/30Y1QSUsEjotZ7r5f9sXk72zLVpIB9IbCuDrGh2yLm08RIo9Xu3fqoE48N9
aDBOZX8oX0j9tuvP9ER/ctenzSmUzVtUDJd6X9jjyyatocy2/RmTtp9d+2RhwsbIzWh1yz2w1quu
apr7vPOcM0IgP7v4yYY5+KGEQe2U+9L3q0/CNyVempJK7m+tzFM/HLiQKMS5WLmlOEauaJxdLpYx
X/zexbdn+mF91t2iLVxMyr1d1xAAwPRfjj458+9d/WSBlhAsFHoIeCeQ3JvulNjjl9+78snq9AO4
BTn1/r3UKGN72v3iAEf+vWufrM1WrRB3czjLYW/umrn/lFuQgn7v2idL00q9YFgdcIabPQ9uiPKS
5m+/+62LnyL21RioRQhuvELUunG8ktpbdft71z5pHY9h3oJT4MZLLms67Z+yac70bn+yfr432n/4
BtsZ2EfYcmkR4JKgnABrtTn4vdVzqllZ1TBWhOTiaGhR6t2Jvya/8Z/zzylSaZauFPDtyv1ST/RO
/y91Z7YkKY6121f5X0BtYoZbcMfdY8zIMTJvsBwlJAQIBEg8/fm8/tPdFVRlhzVm5+JcV6UCB41b
e6+FyTtOcLG0721vhuWIQnxHY45uoklYjJyGxzhzH/Y1vhmVTUX6Vk5KHGPASJpT5WUu+px0S9fv
2739kT76pw+aJIhbctOII19NkZJPCOzu/JqboYmr2clWAVruiLsxDJVgalzf73stm6HZR1xMM7yP
R6GWb6Ad3FVRr/dNhNsMCBjc4a65FsbOgY3fCmo/hBHz/ytk2b964jVw8Oc5vEJSR43Afn1kHr9v
icG5hy7jvlV5W0OWIUJLIUriOA2Cm3FJ230Hqm0NwBhwFDIxtFsttIDC8WAnua/7bYWXrWlwpPQk
Py7tcRENotE7N1ZbGKAPvIpwuuFHhOvtIWjbzzjQ8n1jnm6GJe4t8Ngm4kdczLbH9KrK7tSwbwO0
TVxuCeJUNS6Ljn39OeP9kXO6bzu4FQuhnFkIFoQcvc/i7q33MoQLvG5n394MSipo1C/gGx0r1t9h
AD35pvN3vXAQ7V6OGzMsjEwEg9Kyr1iUwe6YAEjYM5kgQeJl201aewsE2egpjd8dU8SaR5alu8YO
colfNr7MtYI6Bo3jqiIX0cnv9m19/pLTNkU+zg4O3WQRILRkFGWasXytqPfv1/m/6NeRqxcaDpXp
UaVgrAnVIZEoI8uufoiszZcvRQhL4Bz0+dF3SAahCwMIyIIMvO97bgZnNM8wNKRovaPLFXHzU6/k
tQqO370Xf/Pk1VDNPsdUOBAkLwDNf5TrWO1aef6SZ49r9wX+tpgfY+2LA7I6TeEpzXcNT3SIl4+O
m/uJUYdHx51PsfZv4v551/veloEOQNUbxhJ+xJW4yMWSzU/zkqY7W9+MTrIAyCR5h1kF6ZYok89Z
umub/BfNJ+uWdpFAkB2FFgc3nJv1NT7eb3pJujllDg65azpDy4qgxpkH3yxcT/tmq63xJEnAcCLX
dU0ug3fgDjSjyapXskB/9+CbgQlifNB03YihM2W40EX64oxa2Z1PvhmXfGwAxyUajZu72p3UvGvb
E6WbMZn4uJmZ1wlZNJ2765vmfn3N4/u717HZwtIhXW2aGTwx+FgsH3ct8H9h5rXhMo18HLB7SC3M
P+YWKUCHXWNxa+jIcN2IrL4ZY3GN4c+8D1z9yv3nb97F9kq2cQFdbIjlRnPcDvNg/NBOrdw3NyWb
VdIqVBwmFp8QidTvhvQeJqt908eW4WTDIDFDiIUsdO/ZdGxfM1j87nVsYrBeE5JhAFTgCLT6d+et
SGJAxtO+j3j9m386k5kshipPodvZvppOlXS6ACmH7Wx9MwyRLiJHaq+duiPDcfW76gAgwr4lbFtL
iywkwKZ1i8ZZi+v4tPfueLSS1yrgfvfWNwOyyeJhFqh0Pk56TZHgY0+Gkf/OqvvPsxk4oi9fe88M
TeHz4cdIDvrTWnVTXAbJFNl9I2hLBGYA0EKl2GPv0IgnwIhy5Gecd/WYbdl0NydINhoxfpTyzrxx
INwpuS+6DqXey/fS6XhOwLTFN1WnJHSPzvb7lpstKcABeViDiILZqk3Psl31CVngYlf8AXfoLx9b
IiF5jAPMss74vSsTBlhdnojJ7uyMW5jrQJXDKQ1/YCDA7clm+iHA+Hu774tuRunUrz2kdxTzlvc+
SsYrnvGwr+XNcjmBnrTAXoDNN88KHlRjEWeK7ptctq6wRHc1sRaNN0t35vX9Sup9u/p4Mzqb1DcI
ZWLagknuTZMSr4yBVNn3TqLN8RISPs+v2ik5zpmZ7yZK2zuNu6Tjrje+LXaPaQ/SqlnjshYDuNNz
2F4cikJ2tr4ZnrL1BJaiPwqoenXKBrNeKsPcvte+LdFJkt4AXFVjJoSJrQgS5o4ciNmdz74doyRd
UQI2xND6jtN5AFG2tDjm71uMth4mWimSXSsgSxDK1EMWIVWsceI1Bvtv1qItLxHks9pVFYtLLmdA
+IOxORHuvdbdr0eFf2eb/Wsx2iYAtVjokKIt4lKJTnxPVru+EcCGAuSsRemBZLZvCt5WNcaSW9NT
6KeSavBusXpTMFchi9rX8zeDtgMt0y6uw6/I4vZJhzq4SPAb9k0225wg1Cgk2q59XALNNz1FRNtz
wxP7Ztezb3OCkOQLGQT47CUAgXEhZpM+q3Ca9r33bV7QoFZukREalzARiDORPHgza2P2HW3DzQE0
USoDhBe9p0ONDqpWpLpf/Ijs28hs64pJSwKkyOPNKDGlXd7Her1H/jzZ+fDXAfen7S8dq5A4guaB
1O5KTVLvoFK2L0kNTL6XrSeeA7KoRqdZNH/SxKq7fk6XfSe7v6QIBYgcIrEe81mtUGI9RshLpSjC
2tcjN7vfiHoqaxnmsyi0+n3Utf4v3tWv+bF/M59tk4TqmdXaMrwY1EKpQ0WT7gzjCd/XZ7ZZQhkd
g6S7zpYqdaa0SwfudLzG+1apbaaQCsAG5wuU7Wya+MmCA3WcUyr3hSu3+LgQ+Xoo+cQKa1COVIJY
Y44jcDn7vuo2V6hGwS2fOMGzR9oeDF3U7RRH+5LWwBx72d1jqfUoEoU+EyGhH9uxtFh9J/ftsbfE
BIsqkzGdKAYTSg0eecQYSneAnd7V37foGhUGKRKdULszLO1bTaLwZmrDeN+RKfBfvphJyrYHzD4u
qel+yLHPQBwS3c7GNyOVKViq6ZpG5dRE8YEFcjpxQvblwkIo8fLRUX+Liq7YxsCKUf5Fh01wEkn/
mtv2N/PANmdIhmIIUNIZl1BkkBPqMJMb4gJUA+76qNvUIVRroqgzHLE06ckVVXqtOkqs2jdUt9zh
CmU1jdeikNkXihaqdXGRrqLaN834m2V1rnr4xlHRVYZSkXcVEk1R7pJm/x2k+V97vm32UJoAEjuD
W1wOuNq+FW1tC4oC7X27YX+zrPpNZpSVGE269q9F77JGsTEPX+nx1/nkb/arW65hKvy6U5BolhMf
R9Rb6RGaLDtf5LWKcl/P2YxYm3C1Vj2mMgCf3HPvATCbqQx1Vf+5+d/9gs2Yra+YgmzCLxiyrn0Y
KpQBIYiFzq+T3r7yN343tjYjl/dQrFkbR2XQQ7iYccKesYwv3//zL/hN69uconauWxC1vKiM06k+
914NIhPIhPte/xaEqxJR+2QOo3JdU3GCVUSV2RxX+1aSbWIRCo9aD8teVAKDneAQWCUn5AU0++LL
28yiBuY5HDDRdXhI4mM4+vURydz+vpG1TS+CIYBoE65R6WK+HNvWLUUgdbaz9evX/tN2OKIpjwFr
iEsyMnXuaqDy1qhf9222/wD1/al1HgP+mNRNUroIcyWyFdNzAtT+vv6+zS5C6eVSM4FdHzWq/2H7
Mb4FcdW939ffNyPWRLKavR67PgOd9dEnS3YeTP2aTvF3o2kzVmeqMfEB1lEKM4NgTYD1+dmzzt+X
ARht84xsEg9L5ND+6Jwf5umaJKdqDsnOuWabaoSKNNm2KGkskY5hPqV0rO/Wpptfme+v0aW/me+3
uUbIop3r+Norx0DOrGhwA1dkWZc9qqAGdEWOQHfgqpLtGwTbFKQZNxTCT2RSBrgOPozh0D90KOnf
d9TfZiHh0LambYUAHWvAOgE9GYJnYGv2bWO3mUixXWIUM2KT7JCQ8AGr+pAjcyN8t2sQbFORInQY
F1rsp0a6APU7cFOug9mXHvgXiCLUxIO0LIqhLVWNV4A8PuoCc1BQ7bu83aYkebh0bximnlIrf/04
ger8a8jSnTEcuhnDIVK0epB2cD5JZXZM/f65jprXQIF/P0GAGPdyYpYtOARzlKDx2dp3cxt6j+HI
mlcG2O9aT1+2rvzOlwlJ8V19z7yZQTJBsXXT7Vpu4UV+2TqA3oSTdkzKzCyQqVcpKssNRgHZ1edh
H3jZPkHpWE99lYH8DL47ytKbkjhspvb0eYgHX7YudDilYd9l5TgKmDQaRe+yUSbP+1q/fpE/LYmh
jNKW8zQrU/BmD2RKsg9s6Jddgb8wC162PlLUW3pTkJVJqMWlR7l3zno775rJYJp62XpbdesECTpg
5yv4SsBaqu+gQnU/972ZzYLrUNCQzQCUlCPkCx+RbWYgPUFm6Nt9zW9Ga5xwmdWJy0oifW0O0drE
VyZW5nZF58JtolJEQSrlaVeVDvc99500WU7pEOzr8ulmwEbBtBi/bauyiTx70nSp4HYU5rDr3aSb
AdvVUdaBX52VgTQknxQl59402b43v01YqsegblAKXV1j3c3tYnhwg8wXs2+4blOWVIN6ODAjqpL3
2HhDghE8mHYK9yU0gBP6ss/XEGqqlMMKpztKjyQg4qtqlfm278Vvxis4J45NPvxSUNKAMzVfETMz
Ljf3tb4Zr4mFPhzREFLyTHkfYnDOD/3Cxx/7Wt+M1xUEBYqdNykrBebUlHrVaTHE2/lZN8NVASAq
RmB8SjY2TUEGJ98kgQy+73r2bSaTs4B+XW/wyiZo/HvuEf0e5/+m2Nf6ZrCulCsTT46Us57ts2+Z
vKkgFNoVhQq36UwhqNq+nPqqbNfVL0GxeqgrAEz2Pfpmaa3U4umxW6oyiUh/9JwF3mblfN8slmyW
1mqOW2h8Z1KGM4hwKCgQJwDk9mU2gW3wcqj6VTCxaI1IadqGrRfd9PpdUIEgtPPpN4OVKYNrWBaQ
0kuAYD7RZem9wofyY9+A2qY3iatYTYd4fgVi6QHx6epTENavkWavb+GvZypQPl6+HRlBFjpyTDWT
G/Qtd05cQmZfO7H9rvXNcMU67YP3EmEWdlNz8VGM91HGi3rtuHntfn/z8Nvspr7HMdB1C4E1cIpY
UU2WnlBCN5VSc/ClgC5N1n2Dd5vthPy4tFGhJaUbkyWHHtFH9VI37mx9s9LWXUwbUGUwJQc2uKEh
C/MBAYB9279tylONRK2MKMbASo+W8IYGUfwBFKd02Lex32Y98axzxsKwdDKTV5W4D1rOgG7unB22
KU8A3IFNmHTjqZOsOUxuhvF97er1166pLd4M33CKeO2hcv6UZHYAzzQaD+D7vYbs/80A2LoWBYfk
ufYVOcFOBbBZ1ywnLaJ9ZWOgRL8cvBUH7YpAEH+KXAu8qi9I/DOcB7br/hSsmpfNU1Q0wAxo2BmM
IQqba4s791hCJ7iv128zoOZRd12VgsGR9CGkiP483ZkeMORdH3abAbUGWQI6vT+cwYENyaFvWA9S
CVf76q5BVX/5duTUgmw1pfq8yGgoevh+C/iu1n2ryjYHSl99bZVk0bkXQIogOaF/koFZdsWmw2iz
4nZyWtAvLTnXuv/klqj9Cbna+Hnfi7+OhT+dZYd0hiGuVv1lDsLmS+SJ/kdv2tcyQ+ONvu6fV1Zw
Wr1sX04ALof+1F+4A5fwNkIoCl5rgD9Bjwb4kk8kQ/XQKOgtxK1JeC/h6ktPvhe46ucCq8D19q+F
75rndOwgfs45WYm5JzBNzi2klS5IyiQmXHzT7eJUDkWYBWyPOBX7N7ybZA+a5lpltBT1HADOZ4Me
RWcrLMje5+T6Tyw2kLVe38bWDc1NW2W1uk94ItqbiKU9+wxduAZrsu9gsXhHtZ6avpDwaoQix4+o
2DfiLx6rckn9TvwgCzEwdNtssuxD5fgCGm0YEo5O17mheuy8UNg7ZewaD8XozSkAq6GS1dt+BgHj
HgzgdCUHgYRU8TbRkwRjc7GM2uTgehcNHxsAzvgJBQ1tfwGZL41ydmWIAjNMG8CNod2YVn1ZIQVF
RQIlXD/7PcDGD2nnZbouliGMzV2Xzb5WxbLYNP2hQkAVHxIeafqsTDP79DB7qsbpqwMnJxmKFvpV
hh9rUjhKLzPa1PowaugYvq0NjbjOFxBlYf52ga2oypEQ7SddnvnYKg4I7VRzf2TVUnUPwrUG5DUW
jWghjQiBQgfk1CxyR+jsg+hRjK0UD5m/zs05w9mkxw+qws6VZvRw7lzTtG6ehFX94sNMZrv1xCMX
jffg3TW6yWuCJIZ3awZNV1MYiBUYiKB2Zf2ZUy8in1VgHCztNVIWEw5hvQLQFzEQGy0LSI39Mk4H
JEsGwwLYonJBcOtEMyOsRj1n1ryyLTCVJyCrGjYWeh0JMLQg+1bQflzlgv3XORiX5cNU+yn/oKsI
cj9gBwDTqQvA+i1IDCRgAb/EUxfFX4CPbsQvAwj5Kkpkqa9+CzM5wT8rYj4LexYWv8o7OQUuLAHl
FNxYmnttgr97bDPk4GFMLN2U/qIjAyc8r4WuUPio06klz2Q1E5iaA1+D9Tv8u478CMHSVgeUaBhd
cNFn6hj0i7btbevkdYAl0BrpI4rVuwz+0babM3sb1l3gDXBsJbFpjyTjJqBFNAW8ag9JWqvlp494
w/Q2VczV48F0pooLObHPsR265ChGk+qcDhTdfNBJbb57I97RDy1GvwfNrlWeu2kpRCV3qJAf/bep
xmWql+Pc2DypOK5vFk/SN5mfNeGPDlRXWYAftn4HsFtAaeMSMIU8tr4PpbewHwymi/DEkowna84C
y3V1Dyy/kXeLkS5cpsKGVSbZ88TRqeR9CNaiX98AlWNraL1kNvBPI2YHENUHYZOaH/wqXroboFDd
rA/Is2Rw2oeNi5dPMaHj+pOAvDh8GOekB3DQAMa+QiobhGZ94l6F5fjQYGXw2qJZEinWHLMHsRq0
Stxh9uWMJIHBPyewl8j4hDrKeKxyBaSR/oXKs94tMBBGsemRnw7qS5qb0KU+4I6TEPozaHFIjSiB
fbVNVgBPBPgxHFHZxDJY7UJN8dod+FnPYPm77O0AGVn8OXDEALIMwPYQ4tmWeQl/NWYIuqeaj6l+
tp3qPJWHNuynh4oK335d2CwacOAc7etTU0XzALyV7oGhyunEVe2VC4sT5CBINwTSv5OzR2cvb8JW
B/NhSKsASQqNDwrrs50WR49JKOPw1wSaLGkuYwcVfFMmErcIJXRg4/CgZwFnQi5r4EBLCNHD5B0H
9oF+w2edlipPbRrVKsfSsGRvwASEluc4d0h4wb9JWrt8E0E3MPRmYak35IS11p9OUveGwJ+NZFD2
GPMA7g0fHEx6oSB2Yr1IoE+GJ1Uv1Q8nm5k/SThxp8eu0hBV4t2wEET5UHkoX4SrjH3AQj8JmTep
VGwGeVa1yyXV4aotkuXThTKwjQUu2AsDc7m/FADhTuxDmHmdOVNIOZbnEcK2Fl5KqMvlcmyM1WYp
+sXS+QlM+Ujcj4I3V+oPrT0QxpGsdmDNmqWwS3Sd95TA8jDlsD7UANv2IbDgn0g1xWv3hL29wBXG
gIJg0d+6pF+T4+KNvb3FNSKJaO6D/j6d5l7ByJxXiI01aa5o59S3qLFhHYFDzhcEJ7keQliOJw7c
kAT6gfFHkYASmzcVaKdfQTZrWnVYZ2HAMUdhz9ADYe6jjU8jdETjo5JSdO2JU8Flemq9eUjp0WPw
KN/6XUtH9whsr/TbIhsBeV3vgxVuBz/XngEbFsFLRyt66HyihDq0MT5uW+j+erjOzRqQ/qk36ZiI
HGWfztfHdUGQr83NEEFm9tjohX2uSBdhS2AH49ufHn77WoF17ov5R7gsGTLe7Oi1S94Q25ozDF5L
UDBCq0XnABUCJUsnD3mxLBvrOctxLYQj/a+6Wmenyx7XUtkHzIDUr8FjrzNSwko6TfFpiPtZirxt
ue++Ob32w23lS0dvhE7W5X3brON8H1LXGVoYLevoSmpdMQnIvMd4XPkHu4zoIIU/msQbiiAKTN0V
zvrKfsSsLsiXCdBxUHGFr5AEwUQW8J8ia9rhPajVUHOcwi7gqVfoJtbZXUQ1gMLFNHUS3oEa9N36
7ADlptkhmz1YJHJNMDu9XUgyY0oOQx22b4J4iadLlVkTP61U0pkBiFJHqyh8Y1gLfwHeSQqgMguu
Ui+Q7pZCwvqFmiWY84LmXdZ2WMrzLuKR+ULsMrOfPQQrY49cY7VMLp9x1S8+Z7IHhiYnSyOCT96c
iQC4/6HDASavYEEFJNvCCw7G2Li2vcR4c9gQRsAfh07cRvE8xG9x8xtk7+o10o3Bl/A9jSBsrOsW
4a80RnvxymR/k4ZVJD426xS13xO/7n2Xh21gPQ3e8+DF32tQ6QGY9uu4qT8xx6qBoZCYYO+T2x4a
iwu8EVcYehggZf3jCGcxCOr1TDnBC4yNQdeqXJ2wU1RjH+sXNZigAvPgHBEPRSMAzEzYQQ04FufQ
SvTVhfNpxBuUznp32HOE6cegwdxY9qt3ZZS1K/hzz64LpCyt9oH/hxlBBdVnUH678QmPEmGSq6ZG
jbfQQI7+m1iFKckzpP15QBW3U1eQDMrrphAA+1Vvuyq0w8Wz0A2Ua4jvgw333GUfTMLtgHrKkbnP
1ZoMcsodJwF8FB6nXXhPVoyJJ+ogbgryXmdAxec1i6MGQGTRmAw/33VMRFg15la12JKEdSiPQTay
5OcogV7rQSKOMvz/SuD29hxdrWCfIMtOkhsr0i56Zh7mk+9rhxf2JAcTzY+8U8H8YJE1w2+QZ5Wg
lg/H5yW9Me04mF8g6rfzEVzhBPYCiDd4d67gBJ2eZQ+mx7sAGY/87bzA9gvTAKqg3UdZj1KfcR/L
F/gi4MLqPg4Ud6Y/oAvwWg+07tnGS+7jknB5LzMN5H0+s6WPLk6LpU7OiokGVa01J6D5elU/AWc/
SRFhfZVMfVwwieD9ICJXw4pDLanwFTCetb61q2rWrxSZgU8OR63oLpnIgNppM9E3tptQ0RLU4Gh/
qOtazKrACWmI7onMpPzsA10lHiWCEH45CIzDr1CMYkwWMqoy2CetlwUo0PTCn3MFyeuTExBp4PC0
EBqdWwoK0AWX0Kl530H2wL85YO3x8zHVS/eYLG2jMNoaZ9p7BqvnBKkOX9rnwGIbCdI6nKgX0bNe
3w2U2+A0T7WU76Oo5wq4cemg92v6sNOYBcbg44RUr/4RGOtZnkYBQThA9LRNyXvea+b/lI1ZphNW
Pm0BP/edl2NZTNArPeGPB2pmQe+GcKqyj23fNrA+DGnUH7x6SvsPtg0Rj8RbXjEIxjUxqFiYYmzJ
nmCiNAg9T7JqxXGOoEM/zOlskreEjbBVDjMLk7NYl6ZBnYPNmoegWSUQ72rF7PPeZjDAFJClQ5LT
G1aN+RqLcYJ1Y+HxW0AC1SyLqk1gCjnCZz+FbxGGi8YSoHKJmXAJgYkrwzWJ6KkfVZocaT/ODOYb
2HiWIygQvL3D5jOZb5KUefFRjRNjpQgwQm/U2sbVMQpXgcNuUnv6roLl5ko6nbpa3tYqXBokmkDv
YAA+N1MKZcvcNg8zMrvGCzj/uGONedNB7j7hCeNz0rI6frDQLQd3iuJK5BDFRPR4WNSWJXnA0pXe
VkMsu+8sVun4DD2e9h69BrtoHOBQ/xQ/sn6UUBqMZpjv4sWP+0tYaYM535tmeqnDwbN3KE8F3gKa
FRNmX2CN6G2Z1uvcQoWFUfEmFqunT0OAQ81jPI9hj61VKhL4DWffz9R9I1t/fZhjvOi2KSZioey+
RI4B/Q/mf1W3dVERl2RAevox1Af7ghybS7RIaY90ImQXixURaBjVaaTY4N74y772N6E97VcYV/PA
L42l+hbX6/RBtt2+6gKoDV6GUHxlpgT7pPUSdXzMl9HT7+EZqZ52Pfu2RiqJVnjog2656Lj2bnze
iE/XHfMrF11/pCb/TdR/WyTFFm9gztXy0nQN78UxjFfAIL1wqC4REp1QFwdSJDuY2Cfo9k4hSZIC
2P2zziTOWqJj0QNY6qNBwBRbr9UWYZ8NLifh4AIsRClqGw/hpFL8D2Mfsurk6y7rcyF7KG2aBgm0
97Bft+MNm2uPo1uPuBMDSh266P/8/n5zrfGXOq0Ee0Um7HLJIABaynnIjIVnwVt+ddR48iBBaHnt
Lvg3Aept1ZbVMiAzDDuXGVA9ctPUXUaiQ1B7tDtk3YowDFRKaxgdEE0gEKpzZJe4HPl3HokQElth
nsCKsYxHLzIETt2mGodzBitDdBfPFZFF36IcbzqGkKhk8ALpARaJh9pvYmzIjOmnFHI0No798Ihs
xGV6AH+A4/Aw8lTfXJPXOnJIKolT9RGagElGx8bCigcpDHcLZkzMO/5Jxsy3p5kN3vJegUfvkbyJ
Z8VtXjUVaF84zeL87k46iDwEYvTKRl7QymloqxYgjY6KETvON2Fqs/lBpTEDbEwu49LWhz8+6f8L
KP78czDT8PN/wMQf/6ec2h9fsSlv/3/A41+TLX7Px3/zdfjKpq/uBR7/+k/+yccP/wG7PDyAkDR6
kIheE6f/Lx8/9oHOpzF8D9BLQ2HqY9b9Jx/fy/4Bod9VVol7kD/+47/5+H7yj5jGQYpGQdbPYkwZ
/wUf/xoc//e8EyPgHIZ+hkBs6EVxGm1vHZ3sUn+JGTakrHmHnceUx4GCH6Rir5WG//1fimE19QIa
wxX/cpqGjSv2SCjkUSbOPfQTjd4sqwyPnR27V+aav/tTSMzwr9J3/MLtXY8fhhOqN/GjKPfe8Gas
C+JFb2EteyUP6uWc9r8vD6bHq8kCsH+8w5c/KcsiJBLITByl9cemGC22+TgReTg6AFYWCSY//alz
vfnf7/JnCP71HW2/VnA9liUxSGjYrLz8g7NgODyIWh6jdmgesy79IhYx3JM0CEtMK5BnoHjklQst
D4rW7Z+Fzpfim8HRDRNstu0klRo1yUAxBEshTN4QXOb+RPytOtay5ecAqX7vgKJeHrBtTo6BGftz
jWj0je3n5KEC/+MAtRH2W71UnzJYAUvBhuVmTmj8ZuUwZYVqiO5wpz5cMkr6s4d42TsxgyWF43IN
Y9rYVMWqshr8y643tzDUpjcxsls+N36kjgkoDE0B2yfurwfZmwOdh0rlrrHeM2IRpkDYLfk8IxPm
hLCWgSgeS9xjOofpd4gfwy8hPh2Oaiugveqaqpubybi7BDbEr/AC/EBtuiigk32YEUu5rf1sRpBF
Zh7K9ADkDb0kyS0USYVWgb1NcflwTj0IvqSpyScv5OkDGLjL0VOzKeMYdWeFHRP7EYHy8VRDQ/Io
F+Chmj6uYVTLzDmi6ivttH+u9NKyXEPY+ZHGnfd1wFXHO+zCIZqhFhHlXDn3HYJ4gJXokjblGuH8
QEJI4vIGgpUDiXEXnGd1jxfc+GJ6jATV8Plo23wz0MtDthLrO95EnShGWJkOKMganudmlG+9sFne
J7z3LqkT0cEnKwpwh9b/FiOsVCCs1SKQypCkvlY1ubM+Sw+kplE+ABmOzbOD/4ZX3nsS9BOBe7CK
6sIZJe5iuIzOM1xDl6FGpMtfNTtUQzbeIMFSPopmYG8MJMAXLzHrDFxUIM/XND2vgJ+oOQydi1AV
LKCSrVJbFXXjzzc9dj7vHJRYMTLCW5zdRq6SGyMi/pl5AY6YawqlKG5LYniDpC2DlQY3EFe3X302
IoLRGeF/nysPqjOJ4wdcoKmBqc0Mcd74Q3r2cOaEMXAcHBREzDuEqptPtKsf6zFZr3cc0w+DKeBG
4T5L5xS7px6XXoP31lAoYiZKx1uBmt1LTPFyV9RSlxCAwllE5YItf6uXseh9AatdY/QzMDHsgvy4
IAcUHISeDEnAh2CaAV2YW9x9qHo9BG5ezpn1oo8G0f43PkrHj5y1OId1ffUpBc258HwRP5NQ0ZsU
d/8fIzojOqB188URnME0hEonsaY/jddCbdbWybPXxR5OQ8a9rzPF3rZzFGO7E2YfKiV9BNnj9DQy
ym7A8WrvKUYfjJm4avlw5Yw/TkFfPXhenSK+j/DkO15F9CCRXfWjhmPn0UatKFaXyNustvKJROP4
nAZ9Yp5CEOebI8FjjN8JD0H18V2mxNm0jnbl0s6GHpI1W82MeMtQdVBfj8hIYrOv9Tm1sVVPMw5H
/KAnoumPFurHpgyALqxO4OCk7amK0prlQRZ03T1HTfxZBmMmPkgZBF7OXEN/jHM2oW4H+ETcr2GT
2Bc6RQDqHksK3vfKrEzhSDHhl1WT2BysjwqTspVqMgdSyXC5QRk8yDKQHr5BkuA5EbhEOzV+yEw+
wNO3HOCdIeLcRnjYr2nipvf13OFiIUKQKMHhFkpEVAqNCmG7UC03PMId4E2buflTq2g4n7w4sF/V
7EdxrkPI2grtj/b7RAVZT1OLoMKCgEByIxNufql+dO+gRuTBeyErWL1aFZMJGe/+yi/D/2HvTJYj
V7Iz/SptvS5cwwz4QhsAMTEiOCeZyQ2MzAHzDIc78PT6QnZl1ao2LbTXruxWJplkAO7n/KNhVG5y
C9/W57x0rDlhIqifRzpWI6NIvxVpNR7M3q0iHy42TqcZWHQUyZp1XTROQZrIGfXpsqRZPIqgT4ZO
3WVhvh9SyQPXrumbsxQ0HVNZ98fN1y1e+ryO1kHQtMrjRCVT2oe0PxvdfMg86ophBaHBhHk2pM95
we/jZCzG79ILlgudfv3j3APrm/WNo6Or5tgZFKXy8L9UPF43aFhlVnU0+X4HSwNyz7l4neT0MPr+
MW0baiZdIzT3zTAd+sy/swMNoUreGhVyuAxsd32Tt9/Rlh+4gXbhMJ5pkzr7uXFq+uBc6/pNqQFr
4VAcdLr+9Abr01loLp7dg8X2T1Het9DMl2/cQ4dh9Y+mn9Unf7yB/0MhI5TMTZTaCow0kyf6Hw8b
6RHQl9tbRWUrESEYvftgo1tlvHRVdeWWPMxi/MO4f+gc98F1+wQY9KUb6qfWoV1ZmO5B+c4B/ZP8
kJwNdNemU+IG/imgTiuq6HG+X9r0T+6q12KcHwKLh0S0T70t7/vAHnddLt5Hw+4RhK80u85ps2dV
eQp7nqNlg2ZDMVcPBxaJJaaE8ac2RdyDRGfit+xXGdGMm+Rb/db1/QwrvXBk1uUMEVVDkjixNbQX
z9M/Cj84UptI1bSOnY5zt7KoH4E0m+fPceFfvJFoBr7WuOPdSCUhe5fFvNlv/IlhP41qF5TBwzyp
JvJM/x6/GPe+I6+eG9ovbjDuyJ89oDl9bTK6PX1v7K5DmB5pCOY5AnPzpLVfewGuUgPYovCMS7++
U2reuQUFKLbFMwwYaMdqEV3CRuYeJG15SabJOF1hAWNLjYeyY1cMAm+NaBONuxCC2Q7sQzeQgFyu
4yOCiuHdCpcw7h13fJBF8OgsruwhwZ3uAozOPg7KugcUvHOhR5JyoLo2qOrXwmM0NKv26o9Gdqjq
di+34oSs4exN+WfdVb9axxyeczfbrRTERa5t35VUBC5ARUBYxQs0znkdMuehNEp615UhjnwDfviy
3dHjmfSjY+6p1Rz3NIG+0z37G6cHA4rny1h2gOIrnbrxNqkl8mcreKLWr78vTEgkWhH0TdB/3/fA
21oY8smc8fVT8Pl9wj4Wq2k9i6BM935tngbKGg444+ZnOs7TPc3Sat8Y6VFstvq0DZ1fIXSCO7mq
R3CrI2yVjN3R3q6V4Z2G0OiOhdpOI0hkogPjw+GuP1pSLxGI83XZ/CfIyuo42pkmJrYsf1QmpapG
f1/nYvqesyEh1qihk1mZ11Q9tw108iyL76gbp/2o8++rz3dUfINYh/ppWoq3zlLPTeiehZoy9BdE
i2YiPSCWsO+pJ76qQMD8+zOSyDl/0at5bznLyWn6J2CCO1lMl8UaNQCtP+pE5C3yty68Wlu97UKz
+aiH7Oy747HT6qEbKA5dpX1xPf1KYe6fqlDHwBmehzx9q2v/GdrqHkn/Jajzx0rIZU8AJ1pk+PHa
pIKxWPVP3ywS+hF3bhWeKJA8Tqo8bIN7MXhdIxpU991UXbs8u6f4oNwj/bjvFuvL0XCOsjgscxlG
xcoRBCr7YbnDc7ZawOdu8EA7+S6AHLcr64EIxio2gyax8s24gGO8zpv51Vq+CXm6JLmhi6SrO4NH
VuV3kwNfOPKDZyE44ar1GlGLNEa5klW88nvhXtouA5TNVvKuT+PIWdgRalvA4z0joLi3+D+j0JXW
EQxljsGxBVi6s0SgJwEdrvY3qPBT24WgUOMWQLwu60ko10Yfb/8yQz7Eqi8iYbg6tirjZ1+75t7L
pH9XOsrkUJy+1Z370iKcovB9oeJctVDCtifyaHTG4skbB7rW7UBEmU1He0WZbCTD5eeSdWncLv1V
+sq4K5SxI0Du9qgIqOj2Q48IOqZye9k0dHBPeyl0OpfTNG+wnUpY+3mp3z2crnxJ9WNtrGtTc99Q
usjvtm+82LAn6+huU5fMeip/2UvwhQznsE7GeR27z7QN1522aRIuQlBAfr11Vs/73q9ENPjWti9z
P9uPYe9FQ7a8oB7hcun9Ez8/P4rf3qMw+l3r6RyaCF8W1FqxOThFXEwp9edZlZ+1cJnfShFEXjNB
ElPNe07BoPfdrI3TVssJstjq2qNfVu2hA+w3k5bEc2bWbEiswYGh69bfzSb75KYBiFoH3dcKIUGh
yoBgNoU8TGw66iOLgMy3rV713ZQZ3s9MZBWs0XiP3WyN6e1oXjbZONHWG22i8tS+NNXMIgKBLN/M
NrBi0mgWIhYm9dWOdpjFdpNbu8bpwpfCNpkAMna+27vIU5dlVGYJv/tt6Xy7GD2lnkvmiT9Bli+H
WTn4gX3qohNA1j4Oc0xLu3ASG8WTkGB5aPuflVnrIxmn140c2b0yw+q+Xu3idykhUxKYOv8DR5gR
S9fwuB4Yq2PokGqOpkGciIuFlM8ncz0V0qJ2tdR2eNjalqUpsxr7kqe6vJvNm8gJuitpi3l7TEN/
2fvK0/dj1c0v8zx5D04AmT5W4ke3OcRPzqb7O60tKmfTYma98SGps4pntKOe/YLIDSHl3FWXfqz8
l3GF4DEd6eELoti7s2u9T4dxSHpjWOPUhDJsqdV5W5dpS2Piclii1n66+moJzlNhQb6W4ZQ+9SJr
QGQ7I3bSgtdpGeR7AaF7bg3LegIcQO8gcqe62ltTvBowJ1OUwgcNN8at2vPEBj9duATqkrrwXfMU
/gmQROwQUdpfWjj1xaxo3JL+2p/zZiyqiAJZZgtR5hNcW6YahAS8+3fIHLODnS3BcXDT+eqltza6
wvwtpyHYZ6aYExdk9bUkKvFhENbwojbbSNZJMZ411onIVASHS/iL0uF0l3GQ3E2b4IPW9pjkJlLD
M2F28nn0mhuqgRZmgJWzhzbRt0/qDnWfoTJeMHKzhf1Ymzy368VsbHjoP+20Uk+2Cz0eh8cAGcMq
r1SFE4KfDP5WlUnQzKYJ2776SCZ2w1qVIwqn1G92ug5o8u20YV0nStrdR5/yhvfZbVYXIR4sNwx9
lz037nqxPNQnfqOmk5lnSw+831WH2R7C93b1HJatIovdVN0kjX6382+FucOaO/s2He29ZdXDpb9F
uPtFOCWhXsxdtw5y54X1ukMCkB4Ic/D2lvDVcZEm4wmZz6NDUC5fI+lU3+6rpg2AYEo3hjObE3DC
8OJYbhhBQz4OSG7hV2loZ2vTh46Lf4vL0qazPODjog3+wI+q72jJ7elbT1/WRavbBxyekAH4sLvD
rpxVdi0n/cMNt98IeMtoNW7dzc5s7FBROnd5nx7ccXsOK5YcBE13Wd+oWHTZctHZOif1RlSH1gSI
Lr2Ud3NVQNTPoTpI6p+xf7j1HZo/iwnTcb6nwv+peZ9pi/VuldQIILral7sileuua93X1GYIRiy5
l0V5U6vZ2Rz3WuRxgGbvPNttGHuesVzHJuj3ad+OpxmZYg5PRvF7u2njXjY7X4UkMM43nL9fKzp4
ti9Uczx5riZNhy7c/WoNvFirLZu4yf0nz3UpUV79XehsF/49HgS3sBOKtCmz7kTXJX1onraiCy68
ypoLM3CQ9Vr84qvcfRj7/l5Dc5xy35z3mavF3SAUTeWAWOX7RNeuA++TqZMc6y8kun7i13O180Nr
2U1h1R30OrjkeWRUdlJunBRq+izWrd3nYdvhUw9xcaRZccq3cHgYOvlcZpmfBGP2tpiIuALaznfj
sH7oeaBT3VzSHb5rceR9D46Z9tedPQhu68Xcdw0wxNJazve1aYd9uiD5JZsqRRzr3AN1rvcDSG3C
VtkkrBjy7FV6i52pMhiJPG/dU0B7U9yucYPGk2rpKo3GAcVJkBnpmUXt07SrP6PfnvOQo1mhKri/
NYdeC5E+hF7NOjHayw9HGOVJrLmuo25x/liunQ5IqmT7zSP/F+wsQzdlFhekLRxq6O73C/qsIzEQ
5g+Lg/lEcwnOinYIrhzxZewN4XRkjal3XAQyAmKpY03Qy24dAzq5J0/C1Fr6+wa8upv8cL2AgzcP
EGIri07Zfhlpqp5coHmkc8Irf3hzW+16nIanlB9+hy5t2w327CqYQP6jbPLmzjbXYG+Os/kseq+s
43VEu5c1hvktHOg2tw3H3xVIXF5akgbP7OI9stVgeM+MTMUYAYdrqVpxMlKBYA+OHWCz7FEs2qXo
86hvwvTe8LUVI0N+W2W1nda0cuKFOMfYc8Y+sW0b07WqP+0C/QzXBc9bM7xtrnNPcbv5kHUTOudA
MJUFQ1tqxKaqLpKKWts3fB11Umx2dtCCVnFH+DWCzLoBhOi+VagqnC2x6O7NgzgtO5dh0TBilbp2
smonjCxv+87jUB6ncXN3sypvQq9OWJG9MIIi1WG6WXhSkGldJuujcbvu6MwWoDOaxoj36dHXyxTl
YRPub/qUqLRyPNJh7xMfWTf37ujcj0gsEDsEq5mIwvRPRld8m2vrmxUWE9BnziLfoRMkVtyL0hbl
uuaRCEdhRg6KCGf23wbDQaLk0gPXbPuNLVFV7UnIdufq/kdQhscydR6dNfxo9PLFKOUx4pbLYVDh
/JC7+pfbb+4eW2uzIz2MtWOavvJMJXPVr6ehMFjyBnM+WeSfPPLOjdcNL/Zl5Io/NqU1JX1Rr8d8
yPQOZ2C1z4rAMB8JsqzuVlVcvWJ9d4b10ygHycam1pd2M6dnVwFwDBRRrHE9Nv7Onu2HXjaMma5W
kJgKFaNbqDMV8Wrfeq14T6dVv3tOzx7lhMa1kwzPdeFGxD3NiMOQfdeufkE5+hYI/9yRRrSvG3S1
lccNN2YEGOrhR+uvaE1TdegXfRcEOZV8OgHQvayBG34MK/dolZsJ+9RxCeSLGosd/qykqXAk9FgN
QOD3XgkUUpjdNdwWm9m3TeiDmwnbKIonNU4JAHgy8pewkxMaTq8lXOgp0N59UIjvYjTPpfLi3rUP
W1beZYN7DLfmVbtmuK+LJjYLeZQd56UoniZDvi55/21sZTx24RFMdZ/rZieBQwSFDNlUJHVOokVq
/Z5vjX0WxgR/emyNzfuwbScZlZXUFpctEpvEHgxy3sfd1K3bexk0R4QiUDheXC/rrmdQr2vjPA68
va04O4G1b9JFxaAOe23A9AfTIxmre+E1b32zJXkx/lgzFU2gMeq22mzZXdbmceP1+8oy9/hu5h8L
GU5jZb/4wxT1oz1HjmmLu1X439Bs0YJj72pX8hRtiaiG/Vr1DLT5TRZqxL7N/RYENIPimM2aX43T
D/e6EdNR2V3CrXGnbNV/V45z13jjIV/Uyc251YtUn7LMwTDmRrZbMSK0y2VG+cpiyrOaOpd2VicA
g1jnU7zwL62y7kdfjklWljH3R9K0/SNs6PfA4BgMaSHgrbw0XvvcTgBIwpyBVloO73TeB50FK2Dx
Yci4DPyLDqZD7i8xmMej4/QoWMs8rnN4ozncIwBsL/wqr8JLX+d5ZMr46Sj7MhXFXhfVo6vc81DK
Kpnq6dVP68c1zEGXNV8E9JllR9jLHtHSBZU2RFPRvKTmcK1X0C9udGe2k21olkQTYB21ynnKcjnE
m/hYGyOuefkyLg/wUeOo7XLnOJsd+76+VCOGjRD7igyvhuzP9TQktce7bHSnNmXtl7xjQkP8Rb2S
I3rn5glD2MVZyg8sGo9r1hZQCPOdXW5xbnnhM8D6yhhQJ10q553v+VcpXR0Zxg3AHIcIL4N+Qp0O
rO2ho0RE+8iF/1T783VkpEThCoBgA63x01eLZtgX83lp8+eh6GU0Bsu5r6ddLgFia2Ueilzse9c6
60a28aTELQcuf2y95uI6TU2/sXpevPWFLpqEduJzIc0lbrE97KQz1tEsOE1vtX1R3jlyPxfmkYQC
dk+eK3ZbivzcD3zDIYiE/NG58m10OTqNWm9JNQVn1ybUPKvHX6aS3C7yj871aVQ4gTuR6Lb4seTB
E4zRN9vDM1Cv8qN2lvNWheIEF/Hqcmr1cIM3w+os0AQu612+EAdS+o+kmB6zMOW4hOyxCpEnY0oM
iTU+Kw9QwVYCo0uhz4NrnbyqOaBB/IZb6SGwmZM7hKLRlLkvskAfnI5z7Gb1VS3N77JzIiSsh14b
D8LPP8W0GDG4yyklMjW6rXIdP7oyugd2k8Qxq7NX52fEx8+VPzxLEzIPo+dd20/33H8fXSHc2LfC
b3VGvUNjz8xPQbjLYAVjZHUPSFgvoy2rQ2ps7zDYERbmcyPkQ523G3tFal7QwhUvVsYebshS328b
rJwKu4xJY7Hly1Y0r1WpdJynwCSVaWRrtLJpnXI3tU74EATWqmq9KKwOyIe3+34s5mM48V7wfuBq
wHhxyLQb3hOT2R/nIbC+rTde0MxyEHornNcosGeBXMwdcJ+3AD7h2OYHxTj7neYrrCJjILZzYTrW
1fa8Oa5mJMckYhr0iYzjbQQi+Aci+Zb3XVfHaq7zF8IPy68KfftjjWgVyFyg7HMUInpZFPbzshbe
oxPkiIDWQmTHJq3M38siQGIM+s04iNKijLN06/eDmX/VuU7HY0rqoRNhfJE/DDVgSXFVpx6tQfYK
jxspgrvZruwjX/tL1qkdp007Pg2wh0eCpYMXpxAbVhkvfOibJbw3xGB1MbjRuMO/tCXT4pq7fKw1
uRCDg14/Nz8USPKxUzX1Ql6d9nt/MNO4hIajSzgTAyzP3OzToFDPA5/MbmW82aX9xFBlc4e1U1Z8
iiFwQCw2mfh61jGsusM8vnL6lLM+e1I7e+gEm8EuFc9eWqMFMyf2xprhoojwMDt7C5SEg31RV3ex
i2u4ej6fEU6Ot7pNdZyyud8tngo/80ZwP9ugoFklCWkL5ZIot9bfTDmXkXKy3xl9BEmHBm6IZpI7
YkuY/XGyW3mHcn27EIz7q8zzD+rf5ocC9GCH6HN4lY1rysjtpuUidNWd1k1WL6MHsNqrAlAGXDXZ
RgtzWkfBUwWVYjYgPykHJaQkAKoXbF/o+jqFclqokzaIn++nmfPH3LBMhkN/Hrqx5QXiaBsyM3E7
674Dc9/fMp6fhbmhx5u9A8KEJ6gh55lwDeZgJGHTzkTVk+iwbXcoy4Z3PentVDsUHeJZaKeEGXbZ
eVkNoF6sy24GQk1sB6hpcQAbhiINr2kXGPdrl5PyHCy666ObGJAbdKkf7FVBmbVudnZHrbg7VHq7
TVBcRKrP5H0xOU4scaqe09wtn8wu+BjQFe/Bf6Z9Vvn1gdlJxEbgNQVaZy52SVvOvbkEHcXcBJK0
vBledSe9SryIuULBPslu+rVZqTnGmRyb/YC27YHC4IZ1zW/zRG5YiBYlNoZ+xjdW/MA9bHTGzowF
JWT6mJPNHDnAJ1cU2O4dhqH5zq16RO/dsPkAHTnxB/tG6/IoIUDHRGRlyuxvj+6r1WdkBnr42mIY
QxCAOdvEQ9NIo4n61VhvJc7rPWHwsFpWNn+3Jqs5Vgv2NOGpHERn9q4FRB1f0/Dv+3QKEooBQCkx
v2xRWGJ3/Qc2xdnrUcrjRbDXnGc5M+2U8zpllejq1PqOW8jPvztBYGSYLmC2koBUOuf0jzlHKDxA
Re6yBYEV9AZqZrixeTDvqWyf5sM//lml0pcCPisv+F7xyjOu45IEq7csddiJ/1edlyEa/K9SO6TE
/70670WORfvZ/P7//sp/qvOcv0Root7xQ2GbobglH/2tzvPCv8zAsjzh+HaAf/Kmefpbnef/ZVqm
a/GnPY8OQe+mZJtwFOf/9n+tv0LH4s+jzDO9wKYM4n8gzXP+ozDpn3Ivz7d8z/JtpHKeIywz+NfM
KgiK0S8tPwQoR1EV9Tb4FaH+FCazGfjw72iN+ge/MxG5NFKr98ZvOcAxE9vRVJVlenRLK3vDXtYi
/y0m7vfKrStOdm01+6ZB34FcxB9aiq7nYl8ueePB5dTGvh0HAOvGU+UHaoMBbVQdSOcQBviaIjdo
TJ2kymuwz4X2p6tlu0SeWBumtA2COqps+IlkSlPbjomW75ZYlGluR20h+wexhiaGLaJA3V3Z6fHQ
SkONUQfNAAZib/OA3DlgWtmMhnWjDkf3K1wWPcPWbrm1l75f9adsCpAXLZT5DfHctlv15KbFJiIk
UmuzC8OpFtAVpWBhcEBlI+TVwU9aFfO31lBqu8EnDRRSrsUTGTHpH5opMKR7avo2Oh0/jggz532U
Wf5saxvOaiDUnwEVtXm8hAb6HANXxUPZhuMaT+MyNlE4N3kd25rz+9Rngf4cRVm+d0g8P4qi5YVf
ylz7uI78fkgAVguZ9CwQXVI5G/z5aoxXsSkbmWCWPitbB+9dJusqyuHrXuG3AcbIIJWvWAPTMeEw
DYHMshGsfg7F96I2l6d6tofb2bk0h74HyD6iAsn2mS77Hh7Ollg+2GjhtMHzyRgdpN5taFaHK9ao
cIsLZ0QfMAnsBhHFb+NLaE0DuLyxtJ9pGdrTxca6Qh478RM9AJBw/5QlnqEEl3TooApx3XBXBiwQ
yTABV8KYGb0bSez2mnzcrH1yrLQ7LnyYpA74JmK2Eg8QfuY2CLBQOn3x28y64juO4qw8MBM0NG36
GUShXeekzfkUbUt00C334jQtfRVvjguug9OS7DXeoxuFNVoyTdrJRN+1zZsXnPMRF3ikM6vMPwlJ
Noo7zhn9ByYY3qs3gmyE/cBr/ZTVfU+ilV+Lp3UYZ+xujm0l0D7jd13PdXaHNM4sTz4lpi/zIrub
AEPDKXwLXe63r0l0fnlecee/WL1aQOpdz9FJUPjw9xZSBH0cRiN9kU0FtiyN1mGwcmuyAArc+f2z
4W+EREfKaMMhNv1iU8fcs7P7BZeJigKXyw2TWx2wheGIKy+s2+pqdXYgE2WaOeafbG5AFSRQy070
2TY/pigq/aTH8D9HpclisWG11wEXbpe7FeQgEOR+Hkqaw9q1tOQd1JnTHU2j88FdmpYtkSZlGLal
AnWfyPPtMaAMrLFt3pXlzrP73uMjwrXOP9A3n6wuH15KYdJIPVSuN58MXKSvPjRgEFHJJ36hsHCd
pBSV8VmrtnoAYUNF0t3iiPhlls4nbMzyofqcSzjTmboP7AWeVac5RPpG+AS0ZteUkZkGmxH1WbkY
Sc6ExP+2h/7H6FgbO0M4+T/STufgB2DHn7Vdp99Nm2lzsNzuT619iYWr9DY3xsazFjRqdiyug187
OppEkF+8uh/Hc+ik1S/vVptFvsCmHtDWIRXUOIT8+8EtLDvq2s3yY+w84ZfX1o4VO1kQrnFLolt5
ykJHPg3Cr7aDKC3y9KlrG9q4KXLsGN0MsxkbYN2vYLw1yLnrnKtZWTh9lqDaIs3Y7B1IrqaMYy6y
AK41D6aT2EQt0fHRyOTZXT9+1UMzttGa5ba7E1kYzFEeoF/dDS68iarkSAoAk6Ox43CLC45AmJtt
HD+UA1cDFz8ORrxiySPS21PXyvcbNypR/B01OVSAA2GaZzFV9P0Hk/ryIbtWm7hGR6Qa9cBikyKj
k4lZeqwkLCZkJOiwwaknWtvpo7Uc1uGAMhY6ZOxQzdj4s3+D0W2/2tUwH1Cb384cpsQ1WRHP8eRr
xCaRzOq0iuRSkIYv1kAzlTIItlFdTNYfT4FFxLJRnpcggcufZrF6H0WdQjiEzl0dQNaIgcREDs9m
3atV+0yxy7q8unNB4L2cfPcF+UO/HE3tgVbOZie/CunbOdSzIb4KNQNApG5ul7Eotg1HTejxbm5+
kxrsh0N4stGNwtdtfvWGpc6TxKhAG6LqCoNr2uTEO6mxkS+A8ThtyCjM5MF10uY7AQaTcZqEJ44V
uRk5pVdL4cWTcRP8zsECJm35S/5qrIv5TuAFb0cD02DFxebn4ZNbSjMymrV/zlAJervUs3I3yhYf
5Kbrmn4FYNrQDPzvMPmvw+Qt6uu/nyWTrsFd9/Oz/T/Pv3v5VRc//9+p8vZ3/x4q/fAvDEEWA6IJ
WQEryoj691AZ2H9ha7YYG207YKYzMRT8PVTi+GBmxPHhhCROWMwk/xwqg7/cAHZLMHFyyNvW/2iq
tP9Fze8xVtoh7hF2ScT8AR6J/2oi6A3g8NWp1Q4lWhicSzmagIqzr7d9haTv1a6CUu1Cd4KC39Kp
XPYTFbADL81QnyfL7OzEMYBo7yY8//xBYS4HaUF6xoXMi89N2oC9JKU7v/om7dETuJLFsO9d+a0t
fd+OA5Vi/cagwWsOcTe2J1evLFR1MIbfqDHo6thcW+aqZSaQJioIYeduC8qhidtgpQu1ojSnuuLP
RcY1sneCvcsgLWPU4Wt2mLBUGXGzVs59Zc/emwWsAU8gQ/Zdq9FGHo/bFPQ7duzlt5BeEPWe0erX
0SyA4CvYbp30ru8ujFeNRKO+TP3A2JabX0AF6a+yzWugh3y23WSx1fxCZnXtX1tr6kVccZBcafAW
8q6cKQqKkFngCmtG3TT4ojY72JOBU0IbZ9PaxFzp9rifYZaae57XWSUTESUvTakM72ihfz1YhIcw
ybZyfFy8DRJIIfL+tHRLchyhM/YYjy6phzvcKqj8HD+9SRtht1XS0UOVf+Rzaz5gtwaCLrYQkwQ2
+Ga5V6t01WEq1Pg+NVCfiOzaGVKYfqNBHIe+r15tgBU3XhCFX5wix/yfFvRkp8FifipMqw9B5QVf
VZu5aEC8tTKhc6XSCPdLWLtVruVD7Yr5rcdSGsYONHYRtdqx/SQn5+1rC+DwIywz27eMPV0hHEi5
Vyx/lMV+GPLOitg8DLwD3WQv8djb/bbPnMELnspAIEiblm3xDmQgDM6d6+a5nahKpUtMTqLfoFa1
pmeDaJZhL2wvvfbeAhzv9mPwO6z7rb4nA81+nhfHDC8lGJZ/7Bnuq2RzYbpjodOqScJG19m+xojf
nJE/+OpEYus4xIu92ioxeDfmZJoxEJPeT7wPVOIwgwAvg3D3JmIMI5GNV1cJKbJ1ejBIhLq6SJHm
OJunjc+NK8U5aIuYb4wNawdY303yebLyQELiBOqn1SguWd/wQ054M88XmBIx/CjtGc4s50rWMaJ8
RnH0vSEKs2rZTtKdgO6kr8wgGX1nsRJg7bTgAm8HAUtZdS+p2pCIDa2RibghlIJLug7s8If0jDTc
Wf5K17qnK+N9Jg2/jiZPG29jsSiVFE3gvYVKme9iUU0aAWLCxVtZ47m8Wum4ozIFM3Woh5+CFmOo
w9IEpmvLAqi1GZevAP7g0dAaYw/IOukT1tQ0f0ZsFSJeKxtUNvOF9YJ8+veaoh48aH/7d/bObDdy
Jbuiv2L4nQ2SwdGAX0hmppSa5+GFkEoS53nm13ux2m1IVEGJ6mejDbuv770VyWAw4sQ5Z69N18Mc
JWSDehvfFCVSNI9NtM7cNB31ZOFqNL/aHoSSO6SzdVoG9mSTkq34bMwwGm9DhJbnHL1kZ6ecDCtN
03q2NbNMIE0IJrOi/lYGx1nK03pKi9kt3RMjFm5FmcDByWKpRFqp15TaJKWliSxjowaGo9U2dRgN
3Qrbz9zQRUJ7zxnYBKVcsmuNwTKyKT1hK0PTKJHDIE7UgP71KpPlX5nqdy85uLGZuAwJE4FYqmn0
DM2dshsjM76j6ZVKgZrryg2ZXrM8N4YwyjdyoHcPMloc+staMhdurU40l6SKgAhAJzDFuUELY5U/
cOBmg16MqgEhfPAKEUvDZzDRB9hEqpDYOxM7c+nTgIZkFVIRbDXSX8WWxGsS7z6dln+Qrn3VkC2n
jlAEPHV0hoRgtAp8PXUMEbTzrLfDhgS6svFVuhJp1Zq9n0dRFrH3p5TJ72HIy5i6YSqcbd9MmmAx
dIDohs1osyK4DNaSQV8hH0PXzfFZGJPDNNTYfx6SUD9RyPt1Hjyq8p/Jt1/jfwXvxR+ednmarz9D
p5pr6KpBW7pqrRWIIVKVoTJEtTGKTCGRHfdPehk3d3BXNAKL/wtD/jAUiajVUJZsIAkkfaXLtq6v
5O8A022lSaNyk1IYzNxeG/VmA++Lt2y3NJKc1lVq07qfqVzlO5n/EG0Xkbz5/TP+Xwz8H+/o6dvp
+O2//5MY7NO78V7al//9m+ckGf/7P+/f8/e5e09fPkeGv/+df+Ub7X/wrgxBe5VMXd1c7P7+FRqK
fwiiO74QdJ26pdv8rX+Fhvo/jN/xn2lrMn3tCyPgf/ONMhJiy+DfsWX+JVa7av5NxvHbN6qTriPh
qKo6yU9jTRmlv3GU5mSCu1/cK/JrHV59mo4/LNVFnvrlq/j65xvL+J9gmu2gUeyZQGdJxlFlPETy
c5BcRtT8aP6G+nb/82i/7brWwxmmZRBqa4qw1g6FeiJ3aZDEvjeX1Vk0nHaNOMqsgR7Lj8rMNoNI
nufxJZLEJu+vtf5B0zL+3l6aX6bkbqBi1d0GIjo/8Ku+7VBMAu1cpI1VQmN57TAxh3VF92/oe41M
E7b+YJKNSSiWTzeWTTjbkruyTpT2gFT524aEZtiSAaiRn8atZG3dMElqF0hdNXtFBYLFVKK5dqxs
CLwJ46EDO9J6LNOk93URRLM0Vc1SVq+ZiByQU4ssNJzN/qwZJvHSa4N6XcdRdvnzbP5xKENBR8/3
xI1q2Rw/ragiEoC6+tjy0qqdb4iPwbEA8UuRJczZ3c9jrb+O5bEw8GEibctS+Ua/jmUWkE612jQ5
Lwr9wm50f2MZQHP+fhSDJQsiVvA9r+2I+hrpiqAYQPGqm3f+gKkVfCfb+3mUb+fk8jCEjSbZZxK8
ULK/PkypR8iiJxX2RDMurm5CPAwYCQk3101/HwFeLJ3Cb2OvSiw0wBRQfsWLn/YBpf6f5hRduWah
MKdJfw2sNruQLFVBxwaxPhcDm/atoZnbAxL2b6Ngx4NunV1V5U6OI9vXh230sDZzvxNe19TRLrFm
8nZkGP8ywjEtDa0Fhz3RJ1QABZ7D57UY0ME3hIaJnKmSZXSSObKA0A4OvLlvK55RQMSRRTIU0yZT
8HUUo6HVW6fI6iF3tvdhpdhu1woC1wBE6c+LZCFQfNmvlyf6PNbq67Lt1M4Ui7GmGr5tmCCeMt2q
aY+6zj+OzWaTStlDQZhV9aYbzOUR62yzOL4pY3ek0FpOC/gGwOyLMDTPlFWaMLlGor+9Gw85j/1x
WoQMFkE3dCSAq58qK76IQTKNnsjjYtta4lFYNGpGMbqdn2fl+2JiUjReteDTsTm0v76ApLWyVBTk
CHyRUe3VNflU0oV5YMmS7vk29SxWDmKeBZDE8is+b2w+zexjpY1eZPUmPU/RsIVHqp4bE9r40qJj
9OenWo8HSITIQhbULTGrV7XVftCHi4nyUrIJ4A1abX5UB9pW1Yd9geDi56HWE4hUVQg4IDYlVJm6
5upVSbFeym1DqkPp0Wwq1lzf1EEuPx4Y5Q/D0JTN8hS8I/a41QwGpfAVJLaTp4UZ7NFy8KZeebRo
tXPwNHPymu6mBI3BnVCG3dhSprLvzAwBYOmrZHtnx0SSaVeP87DtdDJH4UlaD0eZBlJfOlNRtioy
3QMIL0X8YiPUnJrXdnhSlKdRR/tbHivTtJvlN3WgViE9mNR6EqPdmLRNJdFb0ZbPnB1bnV7MA1/t
H57bUGRDMzjpLawmVxsEHC87xeZ18LJitl/HJNCeiyzdHJjd1fLkHRJNaEJnJyLDuI4UY8WAsEIn
iqdNmQzUqb9C2DL+lS8OX/HvQTipwJcQjBqrDRX5QN1IpCE9euInhywS2f/W+js3g3+OwnwpSxCt
EJ6v0qGGPei+qcYDmrZGnOqmNrna1FkHvq9lV/gciy7PohBSU8VXBbXZ5fv79D2jTTSUsOoHb0wg
SLb0b93YIm7PxmrudgU0DQDBo3rAI2Mdb/8e1ESTw5fNN7C+c/tBVqSoyAevb6xib9b1S0VNJnLn
VEJVgXotoRIU0pHtd8rfr0JLMYk3bY4qUAard4dvmpRnCVnIRBfocil7evQtqUd/vwzZS0ib85BL
NL2aVWuK5LmWeuglgbmN9bTbK5w3BywjlPXmuMyjRtRsE7KjM1/b5Um4fuLbmA1erKkCXSwlzwok
72U/TNY+8Sfom8mYbRsjV/lHBDjWoWie7DE90nqgudo0QIhOs9tyMDeRphzwPfgdWKzXlkHinIsl
X6NirtZWoHY0P3FOeIpoAnoM2zp/1UelvKijYtmLoOcbRp8fzVySAvorg+aqGWnRpsacqom7kNX/
8gbAhJF50ulzI67jV622eDpyDTIPVAVpFEOTgAmBwxEZbtNuOPT5rg/+ZSjcabniQdPiTr1aaKFi
D0v/WueBzG4QeBbFeEUZYCliU5/vD+x7yw//OtXsQya4J5v1QMS62iz00gpKRes7rwet56i+OjoU
FMHaGGXuIgrDIlbIR+GoXpeyPB6ICb49qkL1CCkU6STLXD6rr6sdBAcAYxnsn53lc+CaWsopVJt9
qu6GMK2VA8/6bdXzVakUxWU6MRQGXR2gMhwjAVAY5WxcXaRS+1gK0vu+OT3TkS4f2C++bVWKYpIZ
lO0lPwiObBVVSRJeA7VlJp4fm+1GnhDa5d3cHRtt0183KLk5zoZ058eBtf15D/m2M/8eeYl/mF4+
9NXIKSS/vm7sxDNggTuqVJ7WHSn9uQyfobgc5UX+dx68nDiMSKhqKqrNDgkK7et7jEQzksgx2Bar
WnbLKaDpdMa47ufnWr0+Y7mpLqU+PkHBf9TVUs0AYaStOZdLq5EO9BRriOaaxoVRuBjSAtEowjEp
D5w4qyXKoFQoWTHLmBatdasPP9cp0VttnSF/LJtfEVrDXcYJB5BWD8XLzw+4CnSWsfDuXpJlnGyU
W1dj9YTf+Dkgr2/bSLny49K/jWYahv5+FKhmGoUpAh6u/l9flg++EqTskHkCkNhuVsL4pRYi/Nt5
Yz3YZG9Nag8Ke+bq047GKjCKmXmjMRRlWiaa/AGVX5luu7pqDqQYfr/6T7sY132ZWzDHJqtM5pFW
C3CiXTfFRwC5p2kJ69gsNXIAeSDQL1i1nmpXMr3wVFXzapqNi3Ko86e5pOmNqhplvU2q5MhdVEo9
4XNWp/UrQvA8freojp3RZpcPmxCV+xAiF1O12BtRuzcn/aw2FoqexL76yxfEw1hkK3lH5C6VdZBT
obqQ5pKHEXNsu0UKniyLC/9ApPHtaxJsTdz2VMIoPtxvUeJkVz0deqlnA79Gjq+1I+gCLjCW28qV
9Kxw+uh/F//ympYGVHtBJtL/+e3JWglW86zjIUAyqtoMsT0tbeDFgQWuiK9n2u9hqM4Qo/F83G1X
3xGlArDUi/C/GpHoImMNzgcrhgrSV/NeGazypkqRJgVhFGybbgw3+ApQ5oXksTPBoh9BuVIe/vad
LrEyQT++L2zJ1iquA1erRVlMw6MNiukoivVhG0u1OPDk3zYQ5pfEFbGjWA5VdZmYTzE5WuIoy6jx
e3GtRzdWGIaXQ0w34d8/C9vHco3XZNCTq+mVGqTEotbwJY1UJCud1O2Qzeb/xlohIlBVGoYNlWj1
67MkYaFLaWmnRNk9MJgRAyDdRI/wbzwLT0KKhYH031nFTzM2g36siCJTvmkl/SjwGNnABqHz8Odh
Vkfy7xVpMVe8GTIfXC+/PgznZgMYjmHSppCuJGDFdA7PMEjasN2RkUqOzQhVzc+Dfju6WA0cW6QL
CO94tNUMzlFL5ylnpmdZfucpySgfaQna4zmus9ufh/q+8NhAiCGJd3hKVvnX50t0vdHprgg98ohc
jJQcdlY8p0np/TzO90diLYBsUwiuKYquc4XgmjS5KUhB5ug+HsuBS0BF32ykGhtbb1Xx/vNw31+b
SuKanlgKn1z71o+VKrXRcFwzXIH8p2aX0LfTMCEoKcGu7RJgAUcyr3b3t8Mu37GG1Q3pP4uk2dfZ
xDQLbfeUIlCVISpuDIXW4x2we/RyXY0bhsKeFXtBltUHig/Ll/v1GF2WDKsRiCCZJl39OvBYK307
4nDBTjn4J2FhZseJSd/yPE6TG+S0PUppIp1Xiog9GTzlgef+fiSR4ZFpM7NJkdA6thqeMmKNW4Xk
u6Yc0ZWv2nO4NPUrMcTETJAKLVWL9o+fJ1tdrSmyq19rhKvZlvO0y6SCGuH9xexkzttz5FxGzkXg
nIfO+eX77m7/8fi2v/l5VG3Z8D9N9bdRl6X3eePJfF/PmGXvuXLurwrnFjaq88hfvL6fosdZ/vp9
t3l6eDk/uT8/fbn7uLk7ebsanAO/w17N+bffsdrM1VFrVdyrqZA6j/dXmVM4z/eP9yev7wiZnEf+
5zlzZuf29eL6+OL59jhwjq+dy+Pr6+PT8+vrU/d8c7q7Pt5dX++X/7bZ7zcnzzfnp+7+Zu8+3Zy7
NzcnF1fu/uPk5nx/5Z2cfByIlX4vyR/mcd2XwM0SYRk2Ud7Z89nj1f7o7Pni+eTxcbe7PTl7DJzN
6fXpZrc/3VxfX1xfbC+Wn7i/urk6udmc7w/st7/j859+y+qCUgC0KRv0l8zl6/JamcvX19v3y8C5
xZaEabx+v42YS8TM/Fea5J3r3fvtO9N7Oy6r7YF/8qF0Lp9C5+Pl6fzj7enlKnT2L1e8/afLD97+
1c3H/cdb4QDyYdV83NOD5DxenZ4+vbydfNyEztXbgfkVqy1wvT7WKUstaVXOTp7J2555R2fe8n+3
jrM53m53ruM6G5e/cI68owOfpVgm66fJXMUyiGnGFKG97/GELMOrt4+T14uM5329fg+c63PmKndO
n/b3L5cv5wfe5B/3hM8l7dWbTNI5l004XrzJ29eCL/M6cl5fL19OL1+eLs/fbmTn/u3QUv5WnFpX
LFZPHGGtTbG7njw6XC71i+4+P6sf7TcNHo7TPtQn8f10OZ+HL/NHdGnv/U3tDYeeez3p65+wOseH
sUqldOAnFPfiRr42L7Tz4sPYBXtxRdZ/uLQAwtzJlzGy0OPmSFyIW+3AVW4Z4dNrJ1LiDABeZ3BR
IDGprPZFq5dRThi+70K7lTZYCiDnjuPxwOpa7fn/HIX/ja0ouWtO+K+7rx23cUPhxIc+1M/DKaI7
yiVtyDngwbaCYfDzbv9tOC7BqmwuvRFLmPlbFvdpsw+6UdM7hPOuNswyoCp8qWidPlLprjwQaH6b
Po5tQYRJfYjKPp2WXx9MarqurkPfokMsRE2H2TwEvGQ4MH2rTQEdE6MsbH1ucVT118WSICgq3IeE
5aJ1yq9VVOHPFXe7JwXx+IKgnHKH1h7j9i9nkVG5cPzOFBKgrGeR1ghb1B0SkwRjzn1ugC1seiUB
iFIfciW21quQySPuYv2RRINmsEzzpxeGKbStzVphuqFq1sBe1LG/MrpUiiaMRoQcnJFgRBHcxm0A
4E30gKL/Nn9CDmhJzlPn40/CxPbrL0gbraaQnequGLj5SKXIaWhG8X1fVJb28vPE/mHRmCxQnZQz
/1HXbsYTTISssCA6hnFX7rtEKs5ULTqUvvv2EfBEfM+U2RTuddwTvj5RPOEWJlHWQZ4vJ9VG0iQM
SQOKbLJbLWiGA1/C9+FIash0fSFdoFtCXm3ho1bTPMNlBZSA0Z/EiQqjIh+VCzPTss3P8/fHoZbc
OW1IVFPM1W4SJIIGerDabga4e/J6vdKepkqCUlN1qnRgj/7+sniuT4OtlqYSlQkYjUlzg6EftiU2
nw7wrmz3949EHZTrIx1CfHbLI3/6ANiEJ3rCew1JkgkALG5r8zoITYB59GW3/8b8mWz7JvdHEq2/
Y9RPg6EHo02mY/5C4etbrU3lDS6d0qlK7/CB51qFu+xcJHO5WxmYC1MIWIczsz/BFYwZSjG75gqv
XMubrUSGhbs4aBZ5duAz/sPbInksUwZQIVfr8moeMUmrRVQ0GuS51rztMzk4ss2s8H5+W38cBT0E
GxYB77d6WaPYZTHEaBsimqMv8jhVjzNMY6/+jVEovtITRImSbOvXNTGiDylsM2WZm2CVkwZ+iTLM
04HF8Ic3pAkcOxQ2XwGucfXd8kfPjZbLMAHbwHzjDZabxfvNSaqGOAgn0/7A5C2v4EvEgbSJNU6h
nMIbpdDVgBjD1BK1XRrFpLzJXRkpjUbPViW/U+Uk4Pl5Er8fnYpGx5aM9zLASwoKXycx6lNTrwJG
A/9gQ6cIgYbkKH7O8B6E6WXYFz1msgeCKrKsy1N8eUrUfOR5OVNU7vUYn3wdt+3jWZ0TdCdWUbW3
pYIdx1ErovaUvkKBxLbUIb3maiM9ibxIz2Sa+ym8TqW1ybCrNreJnUOiM4s2ug5iDIadRsMcDsKu
BsSi1q3B7USQ3SSlXwnM4vDAcVsDl5QtGQPESn2lhTdYAxe4yLRtcWIh2oK9AZQCM1TDQDeNNZx6
p1Z685S18YzqJCjL3u3aQt0G5uzT0tdq2i+g68VZUqJpQWRuxgWGvOB5PC0oE9pROrPtwTsW0y1s
IOW4DpdWrwKjz72MofW7LdmQmPHUbLEH9uNTuHEB5Rzh24EbNjoCoBycjRtUQ3pUS0MSbEBeGK+F
Rm3Bweq1bZy2SYrTpqyrCuZFJWG2UJsqGP04Dp4qXy47hAkNz9TIsTiZDMT8+8FHqIWOobdKt5zi
4iEJsR1gjvzultxj8tT1rZ86Gcdj4gRgaa+7oown4IIc9w5BXvSIAKGZoY0YGKMr89i84albxA7y
1+TWtlIxHed5az3U0pxf0VqJuCyLJO22F0UEqyVto5OuNMzCjXuzr52qEcVRGiyaSlWBs+aqfosq
Ry4r6VJv5hh7TiI4tw0LC1muAdrENeNFUypZoMGRakrD2dwYWbUzoQaXdKaKYV5M6xPcUudyOILJ
j9+lFWpi2ARGGD1NihE+gSsEsVrj06gfS4vw1uto+3pvaEI9Jc5n0qYG9r2sVyMm8vIcnAJ3bPEs
j03rJUZWrjpJEJiZ25LqFC4mSGbitFravprlgDVMFiXaQ19P9cswNfoZ7DTjuaKtyTwpAEYOKG/N
CmZgB0oiQ8WiOMgpmuvAh4vrqvgeYnvYTCX8AMNEmlOU1Qz4duoza4NcTmBeN6N/arkd0Eglixq+
aMJgrkgscdxgp/iaqGN6aeNi8taFqf2Api5G6EO97SQo6+xZKbXmgTYK6S5Cs/0ryOmExSgCE1TX
WHxDNyZCtOMw0gjEjKjXpo3W5Rq9VqITo5uHvXzRglMw3EYXyq3VTr2OWNtuLwHBl6ZLgAchCtwS
fvdlaKQnggX0EcKF8b0xkBoUzrhx8LYSEdz07PC3/WRPj5Ild8h9mg5oMXjrocTJ28KYOjQrdaNi
l5NtSVQG8bagNQYdUR+Cq6TyN2ynWWp2Nj7zS/95YuZEql2JZEnT5vss7auTgMRltME1R3ubzB4a
tomzRXJk2H0FmXfUfYQ+7M0Lsn4CaR3U9rUU2nO3l6lcPFC4wBow74V0VsG1fZbAbrbHNK7lJ7If
lZDkDdFeRZaVatvGb4PjZK7i2KMPBN3UCHM+2Uo0NfbHg0pEsZ2bOT1rzF5/hzMyXoMImQ1QOX2t
OrhUd42jZW0texDU01uEbeG91GvahTo0Kh/llOGHDA2jNdw2jaznWRmr8yzme0RolgX2hoaVQt9m
tZLtezGOpls20mRvIqGyUQnzt6EHkAXES0Wfxx5y6Jyua+IQ5k7v9dceHSTQ+Xge7zmEDHPXNRMA
xlFBxrlVJFWfHQilY74drSS+hOdjyd7Q6fptpwDA9ko8ihtnbOvuvJmzDK9ZDTNmt1TNQHOTRGoW
L2GBmnIoZxpmBuwxZc+qWkxCYDG/QX2yAB0BpHjqmqa5nEUZXBV5Lj2r5Hw/4KbjnonPUkexR8lS
j4WTYEWGvGxyI83P36OoAhpWF3MaXlQybfmU/6fpJl54LEgh4uAXDKvsA7S9NXkjQXl/pEwhTJIx
NGyeu+3v1bbDslGX1BSp/hjfalVjvBDAV9FWIIs/p/VL+fDHLL+QoMqOG2uaipeh4qPGDbYRrzbQ
r/Go40ZdOsmQpM9YfwwynY32QmYjpeBFAszCvo2i7pfwsW3DhFsaX8l4jPLWZr7PdLCrmABrGavW
QGGxhRugyBt/rPkzlUCC6W9J9pDs1CzqrzCHlq5okpFeJnkezpf79vNQIK2FCiGU+7y3so6+lqij
sGzMQAfHCHtjJ9RHitLaXNH6kQI83os8634RTLW3w9ix2Awr729khL+/wlBwIozDsOjxUqV6CYx+
YmuMfU4SHRI7R3MOcAroZJi7vQwiy+V+7N9Xs2zn8smcR5zDO7zcsyshY48CMbsRuVeOaRm7CcSK
y1pr2rde5P7xOLbNr7BOfExac14c643F+5uoecvBZrxCScd7uW6U8T7AevmpTI2y3gpOotw1Az37
kMbaeLZTQPpAucq6d0SnlRFtUlL/rCQRsKtRko0N3xXiadrP0lNk2SDJQ3NQQItj28zsmENjcedI
krtktthv7FaKIKDQ9e87csXO56ohhERYdeaApx+/1IGMnoRbPYWdz8+dg2o/hAvIVh7LfPYmgln8
r40Apqtlzlrv4N/CqHaEX+9WM0rwW+zv+r1vzfp0ZEjdQjigh3kTSGGBq5iqwe+VjAJwhD/4gXBE
BTNCWLiFsHOExWKXk5mNq/WjXbDpatZD0/gWyyAI7doDJMQDaDTrQwOPemA7GvEIfO3K7u7GZDbf
Gtp0ak8KLEUwLY2NBDYerF+wRNSHqhoBQPZT/EwRpL6QmmD+NQ5FicGUEtQuOZe+cJDe+MqOcz8+
QwKLRUgZo/N06ikMz30NUBi7WhdNWx+EmL3F8BwbhHnRQyc0zMheX0tYMKhA6PBl1wrptWtT9bVs
laLzsAeOGyZ+tNh0Uu1BRt4Ad6KFS7Ezkn5gHUIUo5M7TcbQoUlX8S0vIuDDZIy6bRv9Uu1EM4F7
Vom0TfqiKJ5s7l+RJ3G+FB4Yev0GJ43AdmbszfmXQgUFrIiY+12bYyI/WDL493i2pHkrdVn2SNhJ
rYYLQjrvmjbhi1FmuigwuCsi/2gEX8Fnh1a5gQ/UhThQCK3E60a16l9xr8vdlpaPdHY5luBDh1mM
dVAUZVK87yn2aR5kYBsgGuCazCQx0aT6nppVw0OnsRyfdOAGUd3n8DfDzo2gmdrXFm40mJoMbW4+
jlUW3JoJek2XSl2dBGhuayM4ppwuzfeWVFfGRUt7x3xc5tWc7s08pf09iTqiCzeyLTU9kVKjkDZd
h2XLDsz9lFyFIgTEG0O79QIhS/K+J9ZW93qmJ+2bBt8xxV2ulpIUkrgup5uuyDqILfAIp93QWRHt
3/Rj2P5GkiM58MK+7DHxSVCuPQXzXPrjETV9FPLOoim29/ReZs0pJuoEfmwnWneTEt90J2MPgf5K
tJyTshPRaVlv+LOxxMYOfrDv4JPTaTzovWUfDWwR2rUg5PHdgXaQ+AZBcp3dWYOaTBhsmXISPJid
hT6+NSNLfoxR/Mcy3wm8ZQ5PnSsD/6RuHTdaBcU5z0IssjBSpO8ywcsHPjPnqILwNal1hNdZBr2a
w0DfRibH5a7O2KdvlYoXdwqrIQTbHcG0wgWphY45VZHZ3ylKMs+XWkgGEPhWOpZ0Yw+IgyJY7DkG
1u+W78PgxYVkyLeVkDLMQ4Y2lO5N/BXTiwpNBdDdOuj02TNK3Zf3XIYXvHoHM/m5LWlHggk1cG2B
2ahBWwOEH9T3xYA5wibo6AW7hciFpRmASSHtwhqjwTPkzqVWAeTp8cLGwaV4bCBRYH+ih0qyFf5c
E+kZ+nIha9oFU12OAQPz+qLjEntCwinb9CsFw+W4bc5LOe/ZXFGaARPtgefPJ61PDuHDlu0p3Qjw
ROqLkee1dVYYWdtfl1aKhL+tIc8QNTZVf4+oy1yO/yFLp4dJaXvQQabZ+fUF7FWqw8C0wLe5eRrW
XPlskA9vcgKw/hiHNT0lI6GHUCZp23bzQqTHRR+h6VdjSVc5sxDLT1jyVHm6jcIwiU/tJoyABQ+x
2V8q8ggXrjW07gk77GK6EDVFAUfUtdy9oSjT842l9/3DGKts0ZY5aJWnWXWGjDyd7Wv6EZR8IzBn
KNxwQg2yqWQo8buuChUVIX9rcqOwNb2Wt/NYj5CDQN1a4Sau/aokpMNAwvwAqaH45/BtCO/6aRZ3
/thHg5sT1U/bDoMGvC3UzBReq2KYcELCHa2XnAlo8Tj6AOduqrhXb1teYr7Fli+DUoavlfyq2KmG
iTsGEgJzvbY1cVSrxiK9mhpLqR1sG9rsLIktPzoDVksz54QbAGhNaZjLG+oUgMY7Seigc/sybu8G
rQBFAlic+5sDsahWdjY9w9ExXsnsc5EYhLRth7r88MFXPSrmPBeOL9WdeWzAMcscOVBh0PfBEFzb
doiFXwBGv3YrWQzpSSBVCTCUcqHZduS893T/iNa1s45rFJk0SblscnoEHEUdubOWVjSy5eQ4hHid
QXTE/4dHPE7bgq81nQLIqKEdA7WgXBJH2JGNU/86TkluXya0fPuv0azkIS5hqbBOoBxZycOYkNSA
6g9H5TQUjarjKT/p87mkqTDDsJXWuX3aaQ2SnphWS/GEoWX/qJRH1n8zgD+5DDOAR7UzxqMwie3m
ILsHuiSVz3Ncje/ROOgg2XOfca7NoJ18zLEjBfdpOFd706pnNi5iIGu666BlVh8T/hJJcBS1dqNc
GnKa3Ss9y2UzdrJ/qZU5d/Woy/1NV8YIyJiw+AP8V2ODCIwtsQ3zsazhOeDw5fHo1gkgNqs9Ad7O
9T0VtrbHZie2nWTUu1NDr3U+hSa38k2lh3ie0RWofrQDaBmPBAMnQ5OU1S+9DywuYo05XsYmjc18
PRBtnMJIfJ2MHdTqLX8eTc+qFOiPXHGLeTd3Y3qnCDWcN9lkaZlrVVXjO5reaqdTHBRiU/SF2uya
RXjpcAGB4dJIfDz0J+JVu4G5YH7MdbwDuFuUu84o+9OiW+itpY21H2dzNjizMvjNBgOTChBfEicn
Zh7VEZxiOxk2kVpWG6Xq5VfRRDneiPHynddyVROzwUaJtjTDTF6EdvSWOgVZBMIG/7rFXiOHFD2A
jIHJ1f8yBsV4G80gT12pH+frss0mcmyyUp2ZNThaFyc3/aGtY0xJTJ1e7GrMlNltIzV6wXijaLZV
1I/WjjtlXp7XklwagRPJoxxA6IumNxNYJJu5iHx8MiT4VC/6nOmnqg1/BDQGLNeNLsf9DRmSStlA
qqxvUlxQMKpU52h0B6Xs7mdJpCguBpQd3kA/81Nt2SZ+T4NWqy6OTg0gblHKHwAIJ20zKtQs3GmQ
2/kolhTSrlIdl++8uNR0sFKDQ4nmNXjGDgQqBDUjPPAQ3cePSpQBIYM5zeEZ2GX+XDRKIrZlL02+
oxq99DTkcww5KCkSBesyvVOVzSQCopCYSyJEhSZXAJSMvcIUj41GBjsvyldTxEUGzNwPN3Y3Zu+N
GjXcYYvuURnCznQj7uv8YCERmIdcGe4QFA+JYzUkQ70Gxi8WvqMR3cpRDbGlbTUoL+rUf4Q5CR4Q
mslcQpYLtLdaLKT/lLVzIfyRhnKDyJjspdUmCTjfvDuZNF15k/S4G53BNrtbZaDPd0wmIChKRbrv
KO1kXLH0LiuVvZoOIXT7ISje8jYBUFgXdfQIJwFKY5cT9HtSLM85Ubw2FRCq7f7JtxKlSrgpEG9o
EaITLJadLlXNk1nUcOBGP1joLkIhd8bG0nIBzuziaVSVusDICE6kS1Uh4H4mWuyOkiwzZq8eJDZb
ZSSqxRchsFT22UEnmVlPQ+2ixIwMsGiT/zZ2Fft572t2xq4OscWxdUtcEgwRzaaWP4LT6+XmvYpG
RtaKLMjcyOLcpke5pkGubZUgOcbTVbIwXYpiY1OXfvQhZZ2K54kV649jYkeN52ddxceedANwn0Ih
QVxVfR2eY42KK7fPljacRVaasvtkVjq4Cdwi4q6kLE+JFXH+DeF842gsN/ODJioqseZUdz3kqoqP
BF/nqvMCtKwLmX4034POHzBwYE9VjzCHScSJVtdobKOgaF6muRnJNfYlpNZWa/HTyVvRgG2kuIbN
izzgnxOSaSEjo2vpTSmnU3YuSaGVbNTQjp5ZjOnkWhy5imdwKdqJsIy7474yMGCySPTj88zpriMX
UALVMyEOBrvBLsp54/uWX2+7RsMQhaJirnsBHKTGiUUFaZa0Ou5wVm6TsujGugiJYIFn23WmynhA
tbWGPzZce6+jlJZvJAk8vGfarQFJPdHC+kjyc80+xjhQf+8ieOMbbP1GmoGtILgeWnXEAzPDC6Cr
Su9/ODuv3ciVrEu/SmOuhw0GyaAB/pkLppMtmVKpSnlDSGXog94+/XzUacyvTAnKqblqHHRJoQiG
2Xvttdfi10MxRzO7oV/dqzOBPZWcjDUqPHm9KfHrnhZBzDpYG5XVB2s3nW1908sp/pP3lYsf9zib
0XlGXzHGRmQr/fi1DtIGtVZY18BGDd7fgUsGs4KBrv928yAjzydcvCxRwW125ozvne+QfaG0ZBr9
fds55jeOBwr/NVVi7BwKIf1cy7ov9NeDY2h5ikpVrGHJJZMyXIsh5viAen1LjALB3Dhx9aeAZtV4
4xWIIvmRCQMWWdYky3axGPnpMVHYQMk5AQkXhSNHFLZjXVu7WQC0C1qifa2TPA553Av9pwhiNIQ1
kJnofB7abNzFVD9c3+hVeTMqUIBrir7owoiwm+BKGb13meBxMF/mAwH5iuRXV2dlK/MQk8eCuyp0
G/ebW3oazx/xVLyeIYe34T2FjSi/rck2vsQO0f/awXQE97ap+InOqhWu8rbK/nhVNT9IqlSzv9gY
C7C1OLuK015A8R2tRX5DRj9A9FBYQL5SnTmBK2MeNBYZTGlqbkbEfDBNUBMBkj5G6WWNc7i3yV2b
sFeOzgU35/yjkjQy4+NcotlAjDf0OyBV7awdTexZC+yHAK5QHo7+oWL/lRLOTflbfcXi+3d7/Vz+
1/KjP4sSP/cwal8Vof/7v2763zU81N//4h82/0IC7tdzi8r18c8c/Irmf7/+30gRLRo0B/+xeRWr
uet+19M9xYDsn+H+8y//X//P/6jaPEwlqjY/0bVol992rJeISOGbYt47NZwvv4d/7X8/Z8/q11s9
nNef+o8eDqXXf/OSodFC4wFqTQuV4h89HMjl/6aq6S78fERyYSX8XzkczfD+baCduLDdIZsgl8hP
/UcPhzTo3wvdBj8hWoNQOYEM/BcK3K8U2jdlQJek1IS7gggcbXcUjI7pnqRU8DCS9ilzRheb0XD6
PgiAp1KVWHSgvvfDRtGf6zPL+usgiJ17eiKj5wGEGCjPS7unNyt4+8/I/1JdfltAoWr+1/84Kr7y
90D00l2IzrSPwf1diDhvSv+gHoEYiKqeBM/I5QCQfDGbLY5jqSFP1HmPyM2uZdCER+/FokDAMh4T
QmIPH/bcGZM9Jnxufj7nru/a0ne7Ct/XDdfuKouzE8Qv56js6toQuZHn4PIxGBNR9sP5ZTDLgxob
wZeu5olcoa5tnIdJjRm2rWC67xy95sJ08h7dU1GiRVzZRRGuexASb4W2GlQ0e9TCeVWaRQfgaKgy
WPWyxqZPOaWJJm2j42QWGkNubINmQDs8iSjL+ZGWpjhwYp7oz0PhvlDTWZ6/chwltuMiV2v8FsGj
61IiLJz39tns6Jg1taOHczVW2TZainOP8QKfvsKJyEDzl5uqw09pdMTPssBElucR/LgpYhs6CnXk
GqHcBJFbMr8EDWD6VVfdwLuP1qXlPowTSIvfDQS2ZwoBPEICw85L3xxk7O1AkjBxyMugTP2EnjFv
FRYdJUrXa/BBFq1KmkuzEiUGTzDCrxqvxRWl1azOXUOrqKi0qRAcM0dlGqptMxnX9BcxZWwY8+Jy
xtSwWdEDS8NT2LX5/WRbIjnxtRcCxNvDxcdezrYFf57D/E6CBpsYL5Z5Pb9EYm53tcA5uO+mU90B
x0eGFki0WGkhQt4CWQvriG1E6zGSfXqgv5ROiTpaROGUKLZYefTVnSArIMR6PCPG4nQuTgIwZo7b
nnMnSuq4ycSLPnB6Gaw0O5/SuiLsafQs27R2lX+Nxyh+sFsv+E1hgYJa57npHv1SYW3+7rZg6sga
wJpYNMW4Fo9urwaiH5fJxNRVaG+l0IZtINryrJ6c+UT70eFtwUHlOkKCiWSJNl66Wo5WOXJpzMWo
J3/iss9Qs2xwFUlc3HmnV5tStFkde1xELAvvqgn0U9JMhx95GX4ZGDERWl3odD0mpczE0I0QufkU
Jsg2D56LncDYY3dKILH9fFEPd+3rUDZE2EXC0IF3u7yBb69gl5b/KEFj66mKO/N2SDHqc/uqO3E2
Dmk9/4yybFkuXlI+RLQOR2lCExurtrSfcJxH19ax62toB9B85xgL9tLSvn8+K/eV0fLfp5ER+W4Q
iGCxefAA7eM2NZQCsxxbQ6S64iR9IdF3w50mqbH6cVv36srCOSADA7M7egRVF6ab2U0UbYFuXHr4
n0ZmtcvtanF0EU5eb/vBKV6MSluAWbdNIoJdrIjOO6Od2+2YBOplhP+YruHxUCOhsGD+klk92X5L
sB1ekxFG50Nj8eyEghsTVd8u+UW5ioINWtrgt8rRTFzmJimmzdS37R57JjM8cyUvwwZiJb7PMw3r
j2WQJdUOty5n8G10KL7UdhGkO2yUUnc7W07mQX9xrGujyqzCl2mIE/GsbAhi/mhqQ7mxvE78SsxZ
lTyEudOfK7MvlhLc2N4MBcUj/B8GWe4GfZJLbXQSHgJrlvk4WqX7DYN2/nHSGVmBtLge9qsQ38Kz
3gPaWOsoxo9n0glxlprcwLOu0SwYPT/GZVWcRUj7E5q7wZycmRgsGLdROYfpGWm+bm+DGFdntmKf
rQJbYHJVWYSyYx5jwgvDJIl2OAHlkjPQYJPoiihDf77UyYRGHQbIrgwXZ3DPCCnQFEamxK2HPQcB
dlIF9c5pSpRqNBM8EJFUKyV057tM69zCmXkTOW74p3EK8n2aV3l1rUrgWRXpKMo6VAh4VvW8GjAl
cfUB9MxocQLC0DXDNIIbAEpm+EiR0b1PyfNnwD08vn3ZhWZC9mF7D1S3hkeIr1OG4nMt71RI8ggS
6OXYtgIGobpAkfN7j5u6XJtkRmgU0D2ND0SHPIIzQsFYx3ZkxP6A9H90iXL8BGPNDtDPxzk76dez
k0EFdU1A2R3QavTYVV71vZ7n8Gc6eaF5UZlJdTmMVkoOQhsitBZy/l89ZVPlV+aMmZOO7+63uTai
PyO9qskGKhfL5I0Nle9cKyPe1cSMHss2Qg9Zjl0IISw30lsSobZbQU0ZtmKonXnTxRVNA2YzP9oW
hC1ftF2BubMYQVhK3YhBzgHRVpOFXaVfUIFpqA02cDUy/tQ7kELjAoQELKJ0iiFeacigkS5Og7gt
lV7PG4Rhg1Vj17a1NQtoHw84VHpiTyzlxr9SQh/3C+YW0U0ItPNNNo3g0aKQNlwpw0iSK1r2xvYy
RqN5BJmaksxXk6eDctcKGgTmKOkWk68BS8s2oFKummR4CG3w2Y3XjtZ1PujuNy9ovKcSmAuFBWGn
P4raY5umZkU90ZgD7b5K3ILopdWzm3gSgtqIUu5dIgb5G4ag9wetHIFSdUCNgL630DiHvcUPyLG0
MeUbXOy+Us1L7uc0k5lfUwG/E/zKHOtBNW46VYzDyswqqB388WO1kZA9Ct8brPJGhhguWmO4UECc
qiM8zLLql5PHg9wkQIUPmo4nlW82PeV4aA130OqDp8oNcmeF5rFxB8gdP/ZV3j1Q8gB0rJywv6dG
mCC+PUimEmEd52PTHX3t+ViRH2euzpHUAfylTMWMWjZCia5WYDmlaYO2iCOnLBXVcEgwIfSUn/0w
FhRJ3F63fX0R3i7TSQF5VJOGCQFsncyfgqb5A/SCDXm7iHjm2OpeV7bWfo2t3opWJdj2bSCU1fhc
GrhYplKp26iLjMJPE4cvoTLR3JkFlfCVY6bx6LOWleUrrQ9/TTKDPziayvFWUY1+ACrW8E1WHXfY
bSW52Nb4kuk/MGYm90m90doBdNgducmCVUJByKcvTojV8plIqBL5Ive8hAUMjTM5EPhdefnYEKMa
YtFiSh1vuODOwjIVqKOgdmpy7Ffwzspy02dYUyAmXtjf7VG20h/gpd1URAHxJjfzDv1lepJKf4hV
9pSmhvUNweBoxmOhztJtlYlpBjJS3lMbIIqxoYpmjYjighUh02O50JR0SLQrLElm7kZUlG4q2GwL
yoshCeafAfXTGCAr88cMptm6x6RhXHA7CgtxDhbso7uBe6LVJfiHU+vXh7UBpn8BFbRUm6E0km/U
CvJio0xH+5UJ6qyLAQR0B7ujQAZmMYDTVoWLk45ltAL/+MiOqQAWdtesohn6jk9HKdS33u46cxOX
mX5llm31NOI0O/kuHkjnQzfVkx9QADS2mB+V7rlJSZNb04NGC2wCbdFXZK+YypROhJM6ahHlOgjd
3PbHDvMiBNhtL4BuN9n3For/P9FoIecJyqi9NJIyvlfpGD+kUo/KVRgH9RX5ONJIU9ctQdicg24m
xEajb9WURlcoTaHXb2hJcEfpubkx06yIOVbC+UOePesrzQqcvQH/qtj0bT0/9yHKzNshn8aviQz7
b9jYg+bCCphwTjKq8MbB0+6XIo5ofJg1kNPrKhd3VPXsnw1Mwj+5GU5bVwu4AzO7Ai20WtdGTiFs
SeXCyB0fdCRQxa4LK7Iu2Xjw1pArLZuNYdTZcB5WuMvNRu/upyIhGbP0dHjI4grxZGYh9RW3CGlq
DSR4a1E0+xlK2w78KlAke1M2NC9JB1rVYleU+1ofZ9FmKPoAFtU4sWQSociV5ah+rSCOtbjx1OEv
SkXtrzbn3/okUOkfQlgYkVmCB0xxp/AfylZFBSC5bchBvjeDVvPAzjBOd63hjNlq7nGHxxLbdq4x
+IuiDQ3ZEZRbbqarznUBabUZKVjuCJc5m6mEsUvxTfix2zlnaWPjh154VsPeiMdwn1oq/jZEA77N
uTM19w1c7QqgXS/weALQ3reRSp8S6GfsyNTOn4mWkp95TyOQT0Y6GoDSXXJLLR8b48rR3XRbzIqs
J4x677tI9PbWxPYPOy3HSmDkj+Z4Dto7XM1G/Ig7aXGD/k78SCmPWv1QtHO9dfAyn31AcmtfZejJ
r6qw8KKt0ofufsL5Ecs/ws7Ax+phUPw7l5sAfxQwPyHG0duOFdXVlZkk8bXRSQoG8NYG7HLGtAq5
1LimYkHNyodhlH2h9tNUF1ZTGdOGGuiI98oI4rkYO4/tWaTpBvJWCdwWuvCuZySGIlzUy/arUSni
SDlKbsEY3iLa60CRQib7vug7HmmcKKw1rp/ItbeZPVINqGuoPEZVQN0auYGNZEquzMzTv6ZzK5BO
sRG4XJUyi9HbxDtBX9tjC30rqcNsG9TNLFZVm+XBDT7f+XOpF7buc2IoJaAuT+VEnwOWIBqCanzJ
sG0AeIC0PhYK9fpYdbtAmHkPNdNJTCIGzKr8rO/g5aqquKULpb1OBRjvynL7JkOMT+uNfRgi6YJv
m21fKUs5qy7Tq2gbjNSYH9J6Lg3sjQo0Y4VbZzeaRXyBe6iVUJtD+5CYuMQHQ+K8pNB1ytKHpK8W
SCVFPXjXYWQWbvVhtpsVVkxyWAUR7RNbXZucFzVN2W3bmVDFEp72c0wrem4SbPvubPje44Ve9+43
WsbhuU5V3pQ4VGKOfmkMGPDAJoHxFSTr0umq5q7VVQoForSscKtpBUBOSnk89MVQBj/jFLewFZm5
CX2D5t6VUXdJc2a0TnOTId3Ynlu4w8GAsXSwE1WVylsJCwewDVoxUYQAsj0qnE6m5hZsqte3ToB9
b91M4kde5N5PveQ6AHYv9ByOr8Abu9OJQVZhg73tasAeV2wdWD4l7n1pfx1GkmchoOrLL7Xn+Kby
IHVrwayGLfYOOEvMdV1Oa9slH/ZlXmg3LXam47aicw8HU/QAfrkJWmEEAGRgQEat1p3ZbTL4gZfZ
ZDZlQwepJx2+QzlZai/qLnoOQr08B0tPIEz3VXKPAzfE9nSOuS5bEhjKbD3KMTGGDvHKwazpt9cG
FtRopZLvpH7BDWFMGvmTUdY4EiqLigzyoog5wpXxQ0haL14RTmdTWaf3FUdtI3HF4ACSG9+zKdwX
O3WuZgw9dXVvjewy/Nps9xtpLAWsYEBw+pLHuHs2FMJGvpyC/satae707SDSMGQvs+LR4EoLrqcW
YVUIpb2WW34QDWG4NvQ2fAwbEddXfbnUTEw4N2gK2FkTXeRdZ9xggOUUl5OUPWSrGCl/mHWeBxmd
fgyWQUYXGIuyybiAILPXOZd/Wcay4sof4sIvQZB7gDWI25RpZP89Ash4MZIRuXGHJFb6XhDiMt1U
zSPESfZeasamteuNQj0oAXy0jqIEs8IoMVnVMG2Cu9yrige7rMoADo/nXOLZl1F2R3nrbo717Ctp
ab7XLUxA/MDOtO9KV5zDFg7+I9k5dO2CIresrO5l0LPhsQ9aEzdx0uOrEhmS4rbHp5cqsrSh4AGv
Gt2NKez5wer7/GXi4FDEnmz51E9O1269ILLhaiOGQd0XEfPmJRwb9XMKHC+4QLsv0C91TIMxbkWr
ZFgVXpL+4I+ov+dab39NxnK8l+HERYQmWn+VmholS4x+PKgxkQ3e7FA/ussbc+Sr5JFbr41axPZ5
5MTRLi9CjdymxV3MLQbc2+hEnX5Cm3rBJ6PFvAciySVUA5vYQLnzuku4TRA5iklmJsqlOG40s/xW
lx1walyE3rZFfBtjXN4RD7tqw4EBHOUl+7SAueyrdAhJ8uHU/GjAaGbq//hYXttxZIsd/MqovbLc
EHchWBtAX8Pojd8Tx+y0b8hf5ep6YvWydUPtNr+M8J6zoVmF0tm4Xd3fO2MNrbDL7aE573OzN77D
MBBIL1NYwgjYHZS9Eanq/8QQ/a1tohcq3kYaBoMrGJxzsipdC5caGcAjtALQVR8YvfgGjbxXtyGL
doYHY1mfQ/XS+ZHS9V6GGVLTpRYPnaCOX6sLWZSdONNVAQ+Bl7dPt1FlQ+ybCxzgiJRcmidImnn8
cNIe5LYwEhnTZmON7UWIR2+yGSoT2rTCJU5dhJXlobKvqQrSSW5NEm5wWMfnsVuN3Tkk9by6xBo0
SL+CQCjrMZ4ksDgL4sxnfBcHriwFa/zgcXLkfUuM6LZtzbTBXLvSxGrU8/6BCrv5g/yIPphKztlj
ZBoWQZ7eEusjyahuvYTAZ9XnQISYUVnWNRx2K+B3NjSCOtGYCSwzJ6oGcDQp7mJRWXxN6TT73rOt
Erx0HFi9dipTjkIJ7+UstlLy7KAeCKxE1VnVjrdx+oZTCwj8CC5zl1DzUuj+ltV3kVlduAoyNsUl
oshLfmmmubzEkrA0sWlV8odr1WpYDb0sHqANYuoGoK8lq/8J6G7IMu/Mp862i9+lF0+Q0/TYpOL2
mYXIO0xzkU+jz9OmG9dltY663YI8xS5ntt0nyLriqkhG8d0kHPpb5HQZxTYl4Ki+oMUL5vmmeDXP
YzW18+Q9xZk9bOC1uZsiEyem8g44fR0EONhFgZ179AieTTMbHAjg9mnsnGbdY+B4VkjaqxyjICqm
xegExn7Y+v4Km4Jn8RkQfjcMFvBwUqMTt607xMHT7NFzVpAF+O0Q69cgrQpTdeMxcuGSayM8w8+/
2fuJGoumPcUyXkEkcBdI/M1q1gMsG7tN1d6De7CLcUu61IhkVnjqBGuZdu3d5+O92yO8qLQA05ZL
dY4e/6NigqyEgAgOpuEN0bwbU5TgdehXJ5bzHZB/MIp53O+JWfswhaYJcgJp89IoeFXtqK2hJ2rl
CVXf9xOiaxZRP4MOe5PtcrTptb4ltIf9tm8LnKJyaoE3k1Tdw+fL9n5CyBEgK4rpH6OIY81WUKYW
8lGm9rrGhRCRipKERi8daO+JksFH83k70tHxGscKS0ldqT3+4+25CTS4Nr3yz+fTebfrlqI8UpWU
elCGfScqQY8QNm79oPbZEKbbunDVTRgaFf37jYlq4Kydfz7eq1fIQVnCXfwaFnUTA4VP/VgXlo6K
rG7nqtlPQ6E9hVqp8lWdavJrDnlr3doJCq1j+BBk7XirN+G4RSawAqEsavtutlvbl8FQ/UC2ST9R
8frgw6IagrIAPAQelNda4JvzJyCn9yUHbi+5m3cNvBW/a6R2Ppfdz8/X4IMP65gIfKEMiki4vlhN
Hpx0aiM8ymO1h5Ccr5xicanTzODEffLRfKDCc8LFwnU41vDIWlGWcO3bfZJ5BhBT/guV8BwCGTn0
5/M5YlVwZ7oOpZ3lsaF3DYuY4zuTxNAZwqbZZ1qP7W1XGGdA+OqGlEacaVUwnCE4GV03+Nk9ZnUN
vaIdyutZNMZvGLvhiXvAeFe75NEDQ+ZLUgPjZjMO13ekPbpz1TTsI2tpksDgkNTIixJ7lxGCWAir
OamBY1nlnMUVxY613TSlhyClG97Svmrh6NpWxqqwAvjHAwZs3cYDWAgojXi0GhuJVa9SWwkbSKgL
z8rKzK81R4W/MjPXblwJgXQ9myr7ptFL7vpeDSALJ3S27nqu/xt8xmHdfv4J3r1ay5R5H2F4CM7x
sTp76bUdLFyHmlkZxbSFEFt1RI7bljBgHbmwr3j/22cqZfP285E/2GZ8fUQ9oZuilHEs1OKgxyLt
SHR7E2BhT3RbXfc2ZvQWrezrvx6KZjXUTBAuQnnn9bu/OaFIaOSw/YJ2n8nc9GnmsZFiUN+TqlYn
JrU8FYeXlEtE48D8QUQUGaGjDV1qMpRCqnlPOWczY9e4Ie4dFxO23zh3JGeos584Q++WEe0P9CPR
leD4IEl+FObE3WDRCm22e5j33wuZia9E1bpfZ1Hz9S9XkZE4HO4yOWgUr5SdN6vYuwZdk1XY7116
E7AATbHDmKB1u4YTnPhg7y8GxloCRIcAkZv1WJfYmcAKg9Lt9lYQzTdaWwS3opHjKoMRvirmPtrQ
dL/kGu3TSFr7A05ld6bFkVzr8Wg/fj7x11Dx4Kvy1zgSxgip7SLfuryFb2ZOq3Kpa3HZ7xMSS7/3
HPts7L0eP1EqRyAU7n2QQA/3RG3fw8LVN6T58rGmuQq8xdslRqM/ff4nffTVF6LM4p5C3KcvL8Wb
v0hzmoEqgdnvu06Pr6w81TdRJ6sLAO1TG+xIXo1LGitBw+DT4/Cx/NfCdXkzlrJLBHNo1N5rjg0p
lMo+HdbgW2YKXciZbnArJuFyO2N8dLGszXzUl7xdLQsYAFlLC7Lm1LCuG2OikIBGPRQs3WnUHyt6
BTDBEC7A8khuaxbqhS4I9SgGTXvMkkh/+HzZlmU5+pDsKwcpGx1LMqKJw6mgRhXMWWyO+2FWajcl
fbau3UCdeEfEB19nIf3o8JlIs9/dAhmVWTHlatorEdUbrXLsL3OJs2Rllvl9hCngqspbhybKSnxx
6OO5nTuLFZvGdkMXE0zwNu8uFz3XM3K+8ezzNVg26/EamM6SJxiUcRAIPlwDYdRpG8/JtB8FfcnE
LvkmqhYRDs5Y1A+nRKU/WnKkzjCatmyMObAlPNg9UOXrhUeAVYBOIQNhwmRThuMpl80PJgU/ZtG9
43paeFeHo9Qm7YkxvsB7jbYpINe42RVTDItcn7HoacT/x6yIW5BCQibY4/04uhGMToNhAid7P9i6
dqEZBbV610g3n3+qD9YO4a/Fr5BTJxDcO5xVXsJC18J62qO+zsfJeu0lLwrjRAhw5I64HGnsSREX
NyFkMNaxT9AojcGtvETscVyoL7pKjg8ujU9AuhZlJOxp9R0KCfm5qGxYB40V7AtQUxpLTLjaUlWg
XUQME2DZteniX6O5MWG4Jy4RJxno/UzUiS38fl0ITxGPI2RB9wzK4OG62LlERhjBl32ZhvG2rHLD
x5AvOnGM359iRmFxLNTeJWJ9R4pDmDKbHYKKYp8oL9glvZ7jfhbgudEO5okJvd++sOa4Za3lmeFI
Ln/Kmys20c3WS5ASoh8JhH9C337VO7V97VnVeEE93lx/vrHehSnsWYbS7UUoktd8WeA3400Ch6+h
1L0986YDPpV9RrHKpmurnrFFXrredyWo1I/Ph/3gIXU4MMwSNWruoGNaJN20QNl1q+3hYxln3Aqt
9qWs7DG4LNjdX7Q+Da9pdCi7O3rDm4bqdSR/BEaOxsxsa96+saiGr0Tggb9+/qe931LLX7ZAKJI8
DlL54YpEg+0ViFAG+xbCyleOdvQtR1r8xCgfrLvFIwrAhrYez8/RgQ6M0gi0NtH26SAWIRCjWtuh
qCgK4gX6JbbjeGcOJ11GPhiVrcWX5PmGp3hMfBWVSQdPRfmG3EI7D4WwfqdpYjwlGZ3yolNykyI/
ccKL6P2WhhWJFxF6hSbaYMfC/Q3y8JgGzvlzTfB77iUYXzdZDULfFNGObtTu8a8/oKcjgL1IhfI/
ztEHrNCe6GlHVc/sMUJE3rXrGE7fiTvh/TbxeGAWFMLBoQOvhMNtQrmxMurWLp9tOf/yEizg9CY/
9ZgdXzxk3mhXLk6aQJcemkyHg1C1Mkp4VPK5DJxrLib70kFwz49kIXd/t2gmKqS0CtNbIQiyMX04
HEmZALxILOXPeetWlxJSLy1eYXDCcfZVFfZtyLEMw+4j0eOaAzs8ut5QFoCUhpzA8xwPOZTMwTOG
89Lok/iqcjR5Ndlhck1twuth6ZnIuZUu1Jm1J3tZ+xoVAKj4LWIkSmBVToqj6PiBvLcbPZGUOxXr
9LrFA9z5tVaI/s6bXe+x1jVBoJnXS7N6ratTbjDH+/t1TuxrTotANu74KstprO/IrVm6QWy0ISs2
Uz5UF+1s3cBNCE9cHMf77mg062h3w8n0AuUxWtfiS2C2rVwXTpCeiATebbzlOy3PEDHHYmp1tPGI
NVqRW07+XCWptsoys1sFXlUvfpO/P99470ci8lwI4kt7Doj50UUYNR0CGlMVPYcZ327QbBK6krR8
pttg/ddDIbxI55AgODT4XId7PFcVlNhsjJ+VPhqXWTFQwapaibBFap/4Su/SVgJBmhhoXeEl5+o7
vh6GhKy7V1b6rFqNVtnSatcFpH7YxW2pr6UVa6Q+bolex6SC3+gH4VJam8NVNEVFj2KGlZ4ILN7v
m8M/6GjyWNHYaYNoyDPMHsqBItfOwswgtPt8jT8axlruKuBgIXlGD9e4Fm7e16WZPsd1qK9rL9dv
XXMoXj4f5RieY3VxyFge6CV4IPc9GmVplUJJpHjWexzVJFJlV6Ai4yWceO874lHkmKYXbeaJvtQu
iE7JeB4/o8vwLiAAF6XuIsR7FHU6VpdjS4x6FrU35wrhFRephrLbmbSQrkMJAyqNiKA+n/MHK3sw
6LImbyK1wIgqqH9u8dwiLrOzw6HadYgXndgm7wIz5gbiSb8c8+JOs4+WVtoj1HpU7p6jtIx+FFpA
l+zi/yon0W3KDCpWJCyK+uzTbhfa9MwnOH8g8O6BSM7c+6Bq0tt8Pvf3VywmIiYv1D/NfceuGkkD
4QsdnfrZgvl9lWmORAioKSAvZuK6a0N54vr7YDw0iAEkEUc1HfwqD9cafQYnTkgdn2FCzjcjbQK3
VeWM9Lgq/bq00ID6fH7GYZcQ7y0PL/xjElaJeQcJ2OGAZlkVjgkV9TlwaiG36N5Iw4+bFkpU27vR
Ty0d3Edv1rVfbUoPfwxl+yxqGiQMtCHIv9Qju3Vd8W6eS0JkG22hwdPXFc1aOiJOKY6P9CA527pU
Q+Fbo+v8sVtIISeW7YMtSmkGUJAbgCbBYxDfGvEbEm3TPHtZJ2DBuM1lIYLgxGK9H2UxOkROg2iF
gq48gm66GJkE6o3ts8ybEY2xWD8rqkr99VwYBXtwHbt1QKJj8+g4G+zWgs/3bM9NtsJfKMVG2jH/
9lDT4IrGNgEe1azF0+vwuzdc+TGu6/Mz1nzlVo/nYANpNj5xfN5dl4t9EW8el+aS6S0ttW+vjqWd
o9Yjr3umuKI1myhatPvMLBGbgM7768Qc9XNoekO2oVcAE1jHy05Ey+8OFH8BLFBapJYYiQ1++Bfk
OOYlmqn3z6g/WZcTJqlQoHuIVvkIqWNht39+oA5vaN5dqjemS25JgsyWPN6JQnVdk9rVTImw/A7R
c1Ht7OYRKrc0zyRN8psonopTHVpiCb7+O7z9Z1juDKBY2grfI2rQYdqulGLet5NZ3CPyjLBEOPQw
c1ObRtfV7DjxheOEGhxfFMn0c5seYqK4BA2zE6fkMK56/VMk4uP0FmO6JLzXG+fNc2HEkMuUBQ7W
zm4OX1vNKxEDhpWj1/1V2fN1KOZKKk9Lq05R4+hAtpB1M1XbdI/QRbMr6HaBDRQFZ1BMTyXnRxfl
61hkCItPFsU52zj2kzJRSshqtEn3XhmHDnIHU3qL2A1sWkLzPt4MRlg/9OgDlWviPU9CNe5DczWl
WXWlm3NgrQsYbmcwCOlZMcNSNy81xN9vlPQC7dYL0/AC7pL2gAwYEmmK3fXgIqT57fPteXgg/5kF
9wpN5CbIIar3h8cBQa16pHTC9rRFg7af24obSzTtqhqH6X4eB/2KvpnqJTdVfz0ljjqRh32wORbi
xoKRcvtQczscP54aJPLMed73wm7WjQbFDWsI2hJkXfz9PuQcUiMCvOSzHcf3/ajaVkMEem/FtGx3
iBCee0EG36yhO+TzVV3CrqPTxyPKeYd1s3SUHa2qmRmTiemMwICyTtdoX5S/myA1Vo3u1goJlPSq
rTTvItKj5K8gjn++p0MzMW5+DhescXTBIjaNOi9NJfsxqxBJ5OXY8K+tBQlFXiNrklP18o8+IMiG
uaQWgNzvyheFimQ2axw5mizXtCm5F80QuetIivrE6T68upe5Lb27POouSgOUfo73So/2ex9X5t7K
uVJXqRUnWxO5jh90ntM6FUcq+v75dzzqmf5nSIQfAFeI8lnXoyFpNG2DPp71vZvUvbPtXQt1K/qt
ovvBa4Y9sl8wq+M0Tu96yyyvuHPVlSPDZFXxG0+8JO83lcFzpVuIvRAQc2APjwp8zp54b8F+IVjE
4BEJgdk80WFpuGlMJ2aSPcT1CLlTlcbPzxfiMNJ5XYcFMuPtXEQe3tGRZq2YQ7s1zT0q7/1FNgfZ
WvfgJH8+yvu9BI+Goh5gJMcUq4XDGaIdMUe0N3p7A9XmlT56xjqq++dwatMTW+n9SNBi2LPc3oTz
VBIPRzLGZmi565JnKr1iLRIr38pa69auFren8pj3a0fIqyMrBI3DWlprD8eKqMxXndemz2Xoqad0
pKwGXdPYhKhFrWp0Ia8FfW9IcAnrURtsi2sffUzE6yGW0tqycjrIx7FWnYqEPlgDC76UtVCmQFiO
EbBZq3DN7ZzsGT/VZO01cbdCUzjE/5PK6Ocf9qMloIpgcn5hI3LfHC4B5OYxkigTPiuUknZocxWb
IrLE+eejvA+1JHQsjExRz1ocHo8Oaxs0KByopnzux8y8qsF5qO3qAz05Mqb5YHSeoDq0688H/WBq
DgkaSZopLUm573Bq5SIVRedPSdzcGyhdWeocy8e/j6EAOvHMXrgpXEfHV58T6RqGsElFDpAFqziq
IBVomrFVaZCcCJBfi62Hj5ck29ahz+kEydx9hzOyoVl19dyBWusOXh2o0ts/XQSUL80gHW/Y6RUF
d1u2tG0JiYpC9n+YO68luZUri34RFPDmFUD59mzaF0QbNjwSJmESXz+rOJoRWWSwQ5qXiVDckHQv
bxZcmnP2Xhs1Th76yvPcaPYzd88x2C0xe1TgyijTWbTc2xXPKbtfHDqNBwZrttbh0VxgVG/1wjWO
Tq6DeoN3dKZz41+xwhHOesF+dNHfGkwWfrgslfNxoeTQhh1zD06x83kolFDsPkvEx18E+LOvdevw
G5FEjFFveMEjAtjpdRxL6rVWWTRtHJi0Hg5IN7XnVa9bO6zb1t7q+pR2EeWECZ8y+NyXXuhcZo4O
CJ4UmsI1zHppngYP0zqdg6R49abOxJTTWMvdPDfUz0TSiyWGjoctUzZqbaBT9o52kjiTdIKSSh0G
XqunSVzgZ9Zg4krzJaU+9wBdenkTDvZq+i8JDvvFqzp4hD4Eg17q/nNjjRVmcxhI127jL0ZYwwGn
Lu7JoomnCqxi1KxWja1vWR03MrFH4LtDGSKhTp0xH5j+/E/TAk/1ndf/D9tgXnqPiY1mLXW9yw1c
tZgTr0XTP7m47jIwkWN6Ki31Pa/T9q4NzsbmXFv2uTGixyCShJ9it4+97YxbQBhZ3Bmy3KrREQeb
+f+wDpm/GRpqDqkulyMHQAyaLRk44BfsdxaBP3y6lJR14OcOhSZ2hr++6JA3u8XMyZho5r7lQNYj
yXaFsfn7BPGHaZaiCmJoCE0IHC7RFRPoelcR3PHUjVhdVTAHsVon3AGpcv6DoVhBLQ8kB+V/72Lz
l5LRgUfdYkYPVm9fuzDjjEoGBzBEKvr7Vf1hroU8Rb49N08/z3+/3rvEwjI4OVX9pGUm/lbaG6we
ad+cJm3tsrCHTPwg20U9/H3YP93MH6cttDJURC5nW2AZMIm8pHkanR5mqWUJ+hyJFa25n72zGfl9
t0lRl+0mrwfdaJQcv16hYTUFdMugeRKWVWGZxl5FBne5n+1RC625L7Z/v7Q/HNldHTqM7iPgQLZr
X8y7WjtWs11VlJLp8m26jop4Wcx5PJgTRTPdSz4TvwOilU3B0batfGPTiX5nof7tOEi5gBRwXlMi
x136lr9etDUqSJhazmMtcC5JulrXliOTm1oz8lvdc5NtzU8EuK/KTaes96Icf3urOLZzBzie8QLT
kD4//p9KBTYZAkBEaoNqujF84SX+bti22OLlKQ4tkq59MA/inef8+yWfsyMRb7P15MR02R9p1iYA
4WubT+mwimOHubgLW51kjLQRw11Zzbjph7G+9rp+2Pjr8O8ZT9hac83sHbjxjH5WaP16zbNbZYj9
QXfbSS9j5dgLadvOe7vQHzrsn1d19rhIBWls8TKj9r/8cmaK5IjDaueJSuxgQEXPWZ2xyAYnaO7V
eGZnaFVsI5P7Yg+Y3ICEpLBU9DPBPspEKW8yzXe/ygBMfiRIRzHi2lLCxFFE6knYz7P+AHnEP43C
Gq+nJkk2EGHzITKhrIaCjunZTZS8eaoUL0mzUr12h5r4FN42Kxo6VWQxtB5jjy27dUMEfZhVUmta
v2rmDJkYuSXe76XL1hcLaA2S2cpcu8iFCPYR3CcWBmDP1R58lX8w1DToO8Od4Nk0LMhpqA+BIhUp
OcMuHSxQHZohnOcbCVn6ysrTaQ5RSra3QtSmHfZNo99oxNPg5AIwTZSJXb8sZW6DIePFjeoGcime
s7qTITaY6duAB20XeDY0OmJNNPXe1HCea359eLh4mGbBVZ/PEN7FZ7mkWIy7ZbGf1j5JSO/2p5oo
GGG7bMQMFyiqiYDRmEV+lwxlMB2wjmI17TQ2eZHss5qAndTM7y1N8z61JJ70JDx59oOC7XljcE/G
Y1MF2jsfFobXy59t4y6h8OfYnOXotVwssGADCKJosb5a+Kqx/I64U/um7IPQK/0iLhrKI7hgz3gD
0+qCPhoTQ3/M1kI8gVsnEpSmmkhi10sJaK9kO1zJdJDPFQjdD8GoOf1xaUw4EYY1gtrMg345SW2R
K3R6Pfd20zgBMqkSv3jBEe7C8+wwa4TN2Vk4ydl8disstWEPcCMh78Jbku1Szec0nHnC+w3VBiab
MBusWgE0ImcLEL4gzKwa2hfQPlofl0KrH915WtQOGbRtbOYgcVXkEcJR8NIlZfABVFdD4F3lQ+FK
Mll9ADC2OFHez+KWI1d6XSAEH0NjEOvXIFnUyfTzOomydkivx1JCKwmUhn1D78v13ssJ9IxJZNH2
4+yKZQOIpbhO9ZFo5SxwGuIvfOAisVGOwRcXcPeHXA5Vucml8p+rVKzXNaZEcwszSxsgPc90oHtb
v10cqb5SnwQxMOkOM16pJu87IGFsaUzAyX1T1v6E/kuUwUlWIgVBDa0pLMwVChAYDvbYZTYDObH6
InRt2T84om6DSCcFDM1eNTov5Qz7npsvnHaDwVQDVJTnxWNXdUK/rs849Lggm7XYtUEdrDFhtMKI
q6SetU9KQ1ocZ7qRdnHRyUVdV92K331FjfG0tLBNbwKn1Ip7nOpJ8c1tE0dDQdaNM65ZI9eGB0tP
KnC6rGqi2I8rKOwzAli51fWckU4Wos7UIPjTKtYi0afiY4ElbwiJXintuEhLfaBzTlUiFDXEdJr2
8DY4D8DWxWncfvdcKT/708ofMZwMSDtgp+ExsWAhuW3ZW9s1SYarGrwxYTHInDga0EQ9cpgzynCA
owzrUE3sMOrODIoblSx2FULDMOadkGUHtmosxv1sDedMrrJvp02i+Vkd6aOmylPt69V3ygzulbIL
p8DHZTpAbmbDvaaK1r/Y1mB3EQ0B9wRjrcADuCQgBpcW5ghgIDhbKFRycOSaDkOX8DB/2Z2Vn/w/
iDqyjUX5eD3QtWvI1rQLpW0o05hX3rBk4NC1DvioPaIBPRjG0D2ky6Q1h0bWbXk1uaCcb/vZ8nAA
UNA4GOMgjrhXmy6PyASryEVKvBs/8V1utjVrLeYUK+1Do629a67TIihGQZcPk8ntbsBmam+jbNFl
q5zQl5CEggT2QlUk17MNiuS4CPKA9kiJg72RsUeKeOmrIdKlJUxCBufR3C7zkjc3dusSTjIYyVBv
DXK8goguJKSBAia9d+iybLT2SNPgkSV6ivl2nfmGUPkPYBcEPzwU/tK+eFAc0CeadP62Jg/6S4Ct
WEZ+Wk2w30wCJSZd1l3YUSD9Sls5cTaGBtZ8U0K0PkgAI14IVqZ6AS6MRN/MspWYK9Uzbc2l2WxM
oPtW3AZpfiKyDgybBoYhJ1mpy17A65PucT4/EsBQt+59WgI1O4LIFCeaCbADer/EKwSkY3ZYLTUF
+dNevfNEaVYfvYQzdziAq3pcWWbfurHsZQhcMEWADRcnAGKm8m/J4IM5w0UctPjd1yXf+aORfl5W
gnBANPuDy/wkDTOykorzf1NJ+3rUQViGfb/mdtxRqmjPcLDM4UBuufrWHRU9MAkJNQ8hXnF6SCBx
pRxUzfURkU+AEj3p5Cdli/bNHxrrG3M53CphpfbnslDdc9tJtmcuYVLcWcsjXUj1rffEw11JZZSw
qiPiVMpHrc2NOmZ/MZrw4fLp1a5Kz4gzLpJdvDSMjZX38FDtPFtaCO65l4UUCgjgYWkx8pgoT0qs
BqiFaC0qoW8kLj8VeiPRFBuWeZzZ6+xbO5FyJou6Xk8+ElFIjEG3aMVHHODOR+VKojgpaOTmRoIt
+krVLfVjcwnK23mpuRFO0BERb2nyCnqb+aFoGvfJS3L+FJCR8cp3G5lGhtDyZyYOAh0GAvZEaFlU
EHZesto3Wj1DQUiUAvjETpLiivRbuIbonAMqGJCFKGyQZbF3FW2J2E50SPe9pWcaRC1X+uE85va2
rFpO6Y1gkg1VW+tfyYwOPtESrjMcWN3osAErvL20MofVoTXMt6wY3Crq9TJ/EXDra1gDRXUinm8d
YSUJHfrJIoi7BmK1fO2HidTGfBAd4YONKoFtljCogFyM8L0aEsXu2doBFWsDN/2yank1Hku64Q40
/C41Q9UHlX0OeZvaDTONAlU/p3xYQ7NCJdMtsimIy6pfOuKY0j14MH1XqByuI4Z1dbQmUPzw7oD6
hGZdyU+OncpvLQQTIh6NrNuP9minLD+e+Wg3fvuAPKq9I6cIsS2vLzvCimP3ljgRoYdY+8tb19de
3M6SDV2Imhl1XsjdRv6TE+Eli8U3NosRaFC3hBEsByrRK1gHiLsndiYkUBAJmb+C7KuhcFE2TXfJ
aDYFcMPWJpWGXmMBwWs1oVHQRuDwKa3mzqNmbQEcUKu9G1RJw2OuxnMqnptb35uSnK9bCO7JdS71
mcaAvQDKI73U/ciszipDJJMNWFCWxoPy64AkA6hMH6l86N6J4MWm3BmwS0gcMJmNPzRMteRGQl5Q
X0kdcMfQWqBp7MYBXtCWYu4w0m+hJ7hbVpslf1aQNmb4lXLHhoOvSUA1UcegWPXkm00Faj2UmdGK
50Z3ofDpa7eO29FP3afe1woVusuaPVh2Z0Iwmgen2o+cAD/TeYU6vKBy144urNFPWRV4VNsCLwj1
TE1ubPuL+BbkRgXmDGTZvAFyYeKiET5/IuMgFNEvKur7xVDZfFMlfeu88fxG/WuZoGKCs5nr+rFj
miEfNujN6ipj0oDcLE3roYbKXu9Jpaj7o1UtWbqd21K6n1rgrVewt93H3LBHa0vz33gDCqH62K1T
WcaSV3GI6xmP0XYYrbGMl0rYLU0ksPW41KzxFBC4qG2SGXhaAaaTPFbOO2OsU5LKY2x8UpyDAWyq
aoHWfZ2M1VyQPOrTcm0a1erdKXsql51YzX6JCd0i9tTnC9Zj2lVLwcxlqjGyZDl/HwvlaRECMvGt
NgiyOKi6Zxex5qN+m+qGvJrJ3IWiZ9f1iyVdsmIt1ZXl1lZVmV6B5sivi4aSZmwkHOcw8INl2noT
xdUoGQUGIiqa+h2K3Zntuu8NnyaZzd2BswxMHy67fm1b3btp1aRpWw33vAqHXhL4NzVGbkYOs9Gd
48Cj3MGzm7zNkJ6TFlTZD985LuuPIHzkE/O0JrZCx1kR2HOdIjByzUNpaISUTdVkfdYSbR2475wo
tj2XdlVwYmXaUFlJqsLUe0PIv3G4X/Si4+BRd1q7g3jT37h9py9bollIcLBqU5G8mZR6cmpLo72q
EWkAEpjTSmLBX01zYxRVfV0RDYKMt3PN5yXrWMInD1JRlEwExaSDhpxdAOve2umq26Ecp7z5yjas
2PjLQGyvOYAfbh2cHGCToH9FQdqxsJmK0FZo4msaDVMNyzwzyyFOu5o8LiMPrC6awKtxtnDLtAwz
VROr7OvwG3Y43eZ+pw+mvvMqoD9XrWDmKfPe0K/K1TDv6mDsnMjuU7IRxnObkyOPrrkxSXDFt8XR
ly+6QV4TdNcFIa8gtrCPBalAC3Q2jWRXZ/J0D7jUOl6NLv8jFDltJb4seybs0rTfAn8NHpQzG8WB
6BooeVpGZqBp1ckXvRvX27rQCF2Zpe48TdApbaivmi+2zLlEFhIFYcibliiP/sZsl/XFSTrRH8lQ
gfpNBCesZtC5HMpZdd5mq3enDZmlrR7J+oz2M31lf6gaws+4KrTcm3lQRDcsjlrd0IQKHFz5oLbW
eBq7eY7nea5vqhGbLDb1mdXPQIO0RHlTiHzvek32RWPX/uwlKdlf8D51TOYQrvj0LY1OYWHW2Xc4
ubX1KBd6CBiOhvka+aya9klAa2NHPXR564C+sTttFucZLFrQxgIAtRMTQRQARD/Dtgj2QvP6WEFD
yyLR0qFi6oLTz73l2MnF5v2TKEo/48xi5g09iHJ5DWCRA/IqSHTejNpo33JqJBeK3oVjs/jY3iMm
dR9Tg2mmsIYokUpyejneso50cF+BDRY3oEE9jfguiJchgUTCOPZGrdK4siaq7paWjR/z+QxvtN3a
w4+clPXWKmg8nxsztFowAmLASh2ivhwbcs5eM6bG2pgz/VoszIT7haD18ruh7c/3oHeMT8uS00Bh
VRyflmxWNzSR59u8qFVysEEHdOy6Wu0GKEmqItsS01csQBMdl2UhQrpUNRw2hNnn5EnLepkIlUuO
wboiv1Te4O672uu+rwmQ1Y2Jf1MLx9XOyGOZa/EIg7E/ZRbVKXKzwIWFVVf1H0D3jlhjJblgW0Jl
9WFfOcXg3MLj8IB+zkQuhshV6v1kLux+aenaJxxoAFETC+h+VPcKnKM96sW1Wg37aek9bwrN0mD9
hFCV2QSbcpQMvcUZyKp2J/mViDZQAcLzas6TWe6fFrgeycm0bIofI9sq/ZyfOzye4w5IX/Syq8Bq
52wzCAIGYjICvdsks90bEgzX13rQpB3x7+resqp0X+eOvXMYcL++wTQcAOHmnvmEn7Q0GTJbCF0V
lfWFWl76oZwAQHFEz80pnNj9DzDogvauAzGLrUtoTC7Ery8eUw9w743U7UV/rPmcbAjHoCipaowJ
80jLqsymYGiuXLTN8AwJByBvxu3ll34p8re/F8cvC8OoaOjXY9vBKWTjf7sogNVFLXOD4JbXmoRt
M/u2JrfKf6N1RwnzvWyJyx7D5VjnttFPRWhikgaHOnPzuqgPa/C5bSOYCX+/nMua8+UQF3VuJYaC
qCbZvLq050LNuNfoDWryruynrzbHjWZ8CrJ3JBwXRgAQAxf38Nzw+Om62pLFokkZlEk9HNO3uva3
8HNX/7ERlAOIRtKbgyiey/yBpKh3+kW/XjEtwh9NNhw9FAQRFdsXD1A6zFmLT2DHEA6h2OURbLJN
GmvvVUrPTZJ/VUp/H+dCbAEbcJrHlIxdMO5xs02P6aY7PLGrjN8z2xjn+/W3oS7ekw4FS2XlDIX0
mYtyI3ZEoR7n0UsX7+fQCt3Ne6/mhSb+n8/w3JA680nOys5fn6HXUQSvFe+mX+wBwToidJ+Gr+nH
4J7z5CETN5Ds31N4/XCj/OtCf39xLu4pkjLYBzXZQPVTfpMfy3v/4N7RhvfYG10RZJICwfxevyND
eHfUi+Kx0bSB7nmMSvXimgNf+yI+2Nfyi3vPlqQ1onzctV4sd/+3L/Oi69dYfpvaGqNWFha31XkB
RHvUNJIme9DWzsZVJMEN0+Hvo/5WKL/4NM9fz0+fZumCqUvkzLWCU/Q8PshPsKUqvlMJkDmxw78P
9+ube/lAKc3/OpxYEWKWCRfpLmZckeaq9DfNKyGfZu9MdH+/MLQhv440a+OcmBPz9qJNt/TuGMmK
XJ/sUwHQTm7N4PHvl3bZ0/91kmPF+HVAItwt9vlMcm2J+IS72eR3fx/h78vDbzI8p2lTDdZw80pB
OzybR7WXeXlnjD8ud8jg0KijGEOW++tVoIJx6K4bzWtzGHZ27O20w7+Xb/PPd+CnIS5u1LIOjvQX
s3nFwLHp69fMeHfeOM8Lv80bPw1xMW/g3zXAi3EVFJzY2TYms2T1qYv7zXoM7tM7AgD/k6/3pxEv
pmQHq/pAwkbzmvnjzs533Uixf0ec7q5K9432GcvkO5/SH9+3n0a8WMnNXg29VzKii4eP1MF0eE9p
8ceP9acRLqZ8mjbswWkZvOqavrU1++CCYE+SYzm8N+OeP/u/Pa+LGTfBcp97o2pesTEdkGJHyus5
RVTx2F9Dy490Y9gWzffeeJej9sdpAmkkwKezdN+5eN/pkK0ti17z6n1AQXWsP+VHQaZKWO7sD1RC
y7i4Jnnig7pS4Xs7hl83Jv/8Dn4a+uI7oBuq3Nz0m9cpeBqXj9Rd0rmPfetVT2+0KtvZ1rf/YP74
acCLrwJHQWOp3mM15YsL5CeIGpEO2//vo/ymJvkxEf40zMWnsKKi8Gqofkwhxvbh7g7mfQzp651h
/vj6/zTKxeuPOSqzRmrUr7VHfgunyDzf/v1C3ns1Ll5/U9ka3hVuVwuwWm6oyBLjnHXRwkbyPWPj
H6fdn67m4gPQ7JJQM4OxhB95W+eb9w1eef3OLTN+G8U/WwgR16A+JpTOvXgy5DSntrkuxqvpLvMd
akso0ROBDqtbrLHKzqL2TqbXqAAsQs7IP+YsXD4XxHLE42JjFimGegnrwLXjXmhTZCBMRZLd+u/8
UPO3+TuAwebYZykQuhQYBr+uQpY5tmeIZvKMVBu5EeWcpYw8ouWyiD5SnseysziEnct0YTsW8GYw
/5BSNFmDd28sgQVB2lmbU6CS9bnEkoOgabZmMmBdU7ZH5FUe4Uh+QL9q1LI0rM/an3AyVx/jvQWS
OzHxl/54nf6t+MvrHPnmIN7kZYzlL0GYfw3J/H8YeHnW8f4vVve3vMstKsaX7z9HXZ7/+f9Ougz+
gSoR1bSLtQAxEoCo/wm61Jx/oCZEuwgfBA8XhkreEeiUMiP90fgHOE1UHT+MVnBKzP8NurSNf5Cd
jqISoK6BWRbr7r+Rc/nrAkg9kjfwbDCBLYWSxLtEAZWdk/SQkvXQpThe7hejWD/R7A2ODXLWq5Ji
/nvu0d9GRLBPy+4HjErn1lzMA7QbWjmIYYIR31MPzxwyptd5NvRILH3fbh0zX+9/ehp3/73K/pyd
eXHc4brO6nEMLDyK83+8i2VBdE4uwO+PoN3Xug+LSdVJOCwJdc2VBA3koq23QYKbFBuKmumX0RZk
66jUflusvnomtWUSsJut5XMgkYG+Mwv/Omedf91ZqAY3hekAn7t/uUALqEMyhcJeCrQb4dQMrjoj
qt1b59ybDNdq9uPGEWSfvHNffp2EGBluAe+QYQMxhqFyOVvmI3zrjOo/oUOOJiKBZn2XVhb9tFZk
o37IhT4OtDnN/nZM2944kXwXdFFlDxC4+7Rzy1B1ZHc/gL+W2jtT5AVV7cevwy57NnbwkfxOw7IX
wroR4oDRT8Rikg5uuHe9TQVO9OW5zdrVubfXwDY1seP2yt2ZtKvfBC4bnbw1bfg2OjK/52xdatfZ
QIhnrGAKte/+zB8A5H/t7bANUD/DQOwh54cIq7sXRz7a326wONwMDprOIU+THlmHWZzKstL3BJe+
iqpYN4Yd9J+ydLafu6ZAhmFXnrzt/aa6IhDI+eoSFpaHRjMN99pCxHNBj4iESL/v3ENHEfoLUu8u
i9s8M1Q8cIB5IqhHSTpcmJSCUpXZrksDwrAWX5Pr3ayCarm3ad89r4mALAeJaCQzuiVVubxb2fOm
oRYgv70vgno1N1ZP0lgT1uLsfDLzTAQdoQH9Mm0rw1iLu8yd82WXegQ7hElaAsJh4+CnTjhJ15Mf
MOy3Bg9q8Z89jWCouM87bTiMlSa3k3LqZientigRyuDqRw7otXPkFLxz2ipFf+jHdjBvaYgl6rCC
m6DWQ0AFJ5reWbAueJPWbxo5L0+plxGog6yUj4EepJ1fqdxZKQitSMs82GwiWluly3DSJxITEJmZ
94RuUIGX2OOjArHANeur3V83NMz10CR/6BzsUpkpyVHgFkjGKMsSRZjNreQgnXS7LiBtJaQdKPqw
JiNx2SlN159T1yHbKzBX/sHUqUf4KS1FcGdOuyMR6oa9lWuTVY/TIIeTT39ZC2cC6tXtCOeRZBTR
VSQy2OSo4MryXyu1enPo9Bap78Z4LoQj0X3WVY8Pw2sLnwA9u1ru0H8xT6+J7pzgWC91CCXfJArb
H5jSWuHrLwj/aTEWQZBc+6lvbykhQ3GsU3IDNpqDEmwQJIys4yynzaLS8WCvGs3Iwhz1aJZLQxO1
GLP7FaPnay7mWUMPRFdrHRo3HGrDuEduK/tjUpTsNozCCZbH0Z5QovWWyIItMQ1GhBmru3NSrAth
Z8rms8bMQhPHytwPrdOK5eBok1+HRZ3O9z5eQxVOS0p4kdEHubNp+kkc0Aa0O62UBu1h/6muNfZl
LvkQT6u0NfOlJS54S6Rv8aoKxyFwwy2ZqnpLLcbGGZtuk9fNeKJPdZpbub4a1UgS6yipolOcf3HI
LrjWiUh49KRer7RwTYSE00q2gZx760YmTn1I3XH47PSIhKANpmF1FryIhTi1bJBi68iJ61eLqXjw
fkpzMuvqsNQEmNAyq4uwQW1cRHYrje1SyyQLiYVjHp8H42VN/R4fS56Yn40mQ6BGtMNsRWIq+n3v
OCOnXdaJLarV765Mi0etsANa652jIsmfD4BqVfWjQIlkhJaP2dzoFw33s+/FdmO1G2cd2g8FAezo
VMkD/lwKHads70/pZu5MMi4MHrdJzkuZ6huSG1HIDYBjWIfVCn5udD7Ya+E854tqbvvFXCKELklI
iA/qrVyKKyFcV0PI7bC7dExmFdG5Fsn2sizk1i0aB4TQaLdbNKrad+EH/TVYDRgtRtsu6EeT7Djb
KrPI7RjLNzHQbV0THEREWWioSMpZK++WPvUBPoGFj4e8Xx/0skUdWvj2iZjOAunwoGVkumhjcKoQ
HUTk2hkTzZ7FjWjW9pt2zgeMOzorl66vt2UAlDRspZy/tJbHy5q4qQUoMvMQEXTpnU/DfFeUpX4O
1ZHDZnKkeV/Sp4y5M9beG+jJosNzPtHPEXmUqxyVR4ZYbYuwYSJCyzTpuRJluC+y1CtJc7bzoxo7
tdO7ypFXIq3sA7ZltSvI9mzPwXqkuVXN+IGVv3r20ZkgVu2nbV0vSXIvjXXOgLj7/YS+zeweat0K
6Aau43ivLDfTI52cqpMzESB8mmST0bZd1juNVm3o6HO+kqBTMZeRLEOu3LB+s9LBHmGj2+52pRXI
6kN2iX+PCLXW7mve9PaQY2wJ9izIWnIg1Yee/YwIcdvxxvJtl/bN4JllFBBeuZlMOI+F+8NnVYyx
NjjDEQfZ3eTPB4wtjyLxzatyUmo7a3JnluaOgv5LXa0PrR58H4z2wRDBxi3NZ5Wmt/06b+01v8tp
vB1omnW3ttXD8qoGtLvWiGbOyYwPVeteS0PPt0M+weCtZgJPO/5bSbZ350EIsxF8bAy+5o/JHBB8
ZDruljp3sZ/UQMwHTvkDK50Xa0Sufk9aI9vYWtrteAe9DTxL+TwBXzxNDOGx+gh30/vcRw5L3Sf6
hAnyD13bZ4qUqa3e+yiHHCRK+bF31Kiivgra00gkaxn2OqGrvTjnESHyfYKrvTWWRs+v3boc59hA
p7r18rmvhpAbmqRPGgmhY4QySPsA7SDdMj9n6SEvXHQJgMIrZ5+Qw+Rfz37p+JvAyYZHoTOpkjZm
cIfLeoP6d0weGiwCsY1MCaVllrYRYIAkPdbNQG1wkc7V1CXr1pP5MuzYaszkYC9OhoNsXm5KIsDJ
RA3Gub+yVLts8klHPUFKMYGpQTd1w0Y37GlPnJdz07kd23dFIpEXoel3s0hx2NRDXa7rA+FShAKD
6beQX2W187UbidPZ0NrPorXTV6I4qtScttie3I98s91VgYpsjhrNh7xD3LAbF6pu71CDA8ixEKhu
piGtXkk2sM73yNuo3jD92GoVgPZOoHL22NujqJzrwQaeXrvmzp81+97TSE6tiqB8a41U+9iNbT4S
6JpT9s3SNN2Q6kXNxvPAWKSl+XGBQvMlIz9mPHYiaJuokLktDjK3ElaOSc27TBfd3m6mJoZpElD8
7vpbUeNX2LOaVLe+FixfR7NuHxAK90dV6/79xN/G5GN8nvxiOHqlbV4Lq0o/mWqmzZuR7/jN4Rh4
CsBg7NOkMt6KwfI+piN2mF4k4wt31vkqDXKUeHC8MVxe0sc1qlhCAyun/+x2AgEaEi8LCu5Yxarp
nxcT9TpFkCIqrbHdD2bZo5KHLBzz7bMLqGzNmveQm89AVfjRfl8GRwM2URv6E7+TQkIDy8SeJN+9
aKJVZEQmWctyhAUw7dB6nMObBULpuc3JOGLnt7auf0Th3BmR1y48yTGwFBVVZ2RzZRAoO7nWKU+L
6UhuqkuAlstf9Nl7VjraPuCfLgSv8ZBYRbqz/RX3HnPXfCMM6zSrSjyMlTOvEQEh02FeELSiMfLv
Zkcaj2XmNKdaGt2N8lp1h77SlhyZmmBbzqLZJAbxhKu+HDSCVb9xNM1Qec7LfcCqscN1oSUbZAPr
LXo7kjFbVMqdc3bocGbsXhvTTq5qYzJOPaFiH7EAGftC2d2xDmR2bc4ivetIdUuL4dZbk+aqVaNu
xhwAjikykKboSxICxPzkoOb6OLLZ2VWVe4+qc8cmDm1JJuhAaHoX+mCyr/rRGUj9rYcwAzi3NTpj
vF612oud1QSiPFfzVlS1s636QG4Knb5Z2dXtozVzRocIX+1UQ7ak6Wdgl/PS2BFneeVVrbEJUjne
BKXXRDN5xyfTq/pInm2/BhoDwjjL5DCfQxKtcVYnhQ7+2E6z9siWy4h7p9FOEyCmjKyyueW5d32B
8jjzgOPa5ifSHaudb7XraW4a4L+j85yRmsU+ZOxwbJArWJf5tCsT63tn9yLYjuVaQz+yk1OnEY2T
ZUMQNui5b7VaiUcjG5rrGiEjztQ09zZLZrGbxqQRriP8eaK55IkcLTdaNKX2JTDJuNVGdartZsDc
Ur4Fsz+81nNQxum0ACzLzNQPvdxEIEu7bNemRbWrdEkBXsuaIHYbcVVn9auChr1l792cbHcVTMyy
DKX1X+ydSZOcStam/0pbrZtr4OAMi28TRBAROSkn5aANphzEPOM48Ov7iVvVbVLqmtTq3vSia3HN
yqQUCTju57znHbDDKOyTJqhtE/adYbiCdWJsmhItwmq6iBbtHJENSW2saDr1iaDGfZkV+8FBUKL8
Udx7TpofZtINYRh2KSUIdjWXJAmSJ4YQnOjZjnWAsCMy2XdfAyrDd+8URaUQ6UVmHItjNcQGmJ1b
7JfBIU/ZiemdxrHU50bZql06lQ/+mrDnSvy/4rLOwomE5UeLmE5jjPOzsQl8fDZtl9bKmjj6y85E
mRPo5MLoJ3mqis1d1s3rRdy6VqTH5I53Mm9SougwSYiHSAX6AZ5XHS7LXB7nxbweHItw6ZPhpgXj
OCorD0p+VsP5RpoQdi1LBLXvsjWFxfaC/CKqNQz7oqCNsThb7jP8sA4GpdTRp76goavt19I1qwiq
y609tnLhLAjSRzMzrsskQ6kg/HdsicQZb9va+RwtxwD33KBVy67vxqsFp4Bz9gJaN21Ud9Rr66GA
MB2mQnCWztmFUHJBcV85GCXFgUdUR1cu+8loyo0ZcLwnfN4HoK84ojh+rjyd7kkqsB8rFOCX3QKr
TOLzviHsQUWeVuwjRfAyBP6dmJiYEyvZh21rqdCyyiZyxXIw+IA2tXbsCzKT8re6LPWjrnweAXSg
+ehr0tpRsl+X8B6rUHuFdxcvbRtNowdHyq1MihqJwZJc16eMEONocGxFMybVAjMnIbd0akl9xfhe
Hf3ZRcdEZiGjnAIvpLuU3GI84Dy6JqejRdgQ3ahJna9f4rF5LOfZfyOTKz/nB6tP3qBS9xjDRL90
khYbG/LgnKcEjuyZOzX4NJdy+VoYVn+trZbhQKyX7gC8/dVpTWwHCJ1syfJwna+lY7bXbm7mZx3T
tMte1Pa1M6CmNxvaC21l5g0NpTyL/aLet3D/zmzLaWE5GKl1rHuI6Ubt68sRq5UbHKL7qy4L+L+w
xjZKGfbdWM0G0Iajv/TOZL1UeqzwasBSYS9rXXgbmNvLISjqAv4niNcRu4eB/9AJDHandx1l3efW
W8232HBWXEH85c1mhe+19OeoJ0Pd2gypVZ5XcT2EEjXmfi5pgnZBXDAqA0y1xi0+MkHKqTZn3aYf
KvszswStdnEjKTrXMXhsUB6RhlmZ8h0lmBpR3nXdzdCW+YO9cqVt3k7qBqIgkpoebltZFP1r3M3B
ocAU/qlpdHOW1PINon595izBEBqu7d1Ttt+Vk8RCN6ejRU2y3iCQMB9Tl1I2bWd1gHmQvhSOX7y3
EKvABVzKrH7cN6U5nE3VGlyMfU2NNBbtPSoU/8b0+nqXs2gOQW6aW50X5Cy2OcJONQoM9RPjVuj6
hsjidIupwA15PdZrOcxJaFeNviwm/UzOVolVsWWOmDTMRvuCv/Fk7tmR+rApmmTc0iVJ6E/ZHB8q
ZbRPcy+7rW4K45xc22I8PXCSD83ksrIGb0tkZd1tsjx3z3BL1Rj/VhVADlWsE0FDZL0j9UhCrI39
w0jKdXxLuHlRHCY7GI1o7ed534rFffe0u+46S+eXbdLcVXY8N6/pODsYn09C1tZNUnkMBhEd1Z8m
kuPjnZadxjmgN60zS/Ud1blahb/r2VicXWKR5f3QgT5hQea25osVtO4SxaVWX9AQqiKa+i7YowMz
WIXeKs5RQzs3U4HXBfYdFdjZ4jhGgPUCkgfkPd5CSuTB7r0kjUDwqI6rpXT9c9lNqK5EXyz+IahR
7xzrFcDlohUJUBpGnROqmU6KfItK2NjmUGiWyNJlsufkW8gs14G6Zjuti68dcXTA3IVLWO5p0con
ndIKXaUFmRzfQOCKtuf3IOqQ/jUf2TxRMjkqjkgDPkWRun2LX5lbxjYbyzTkUU7V8jYRFnwvaAjw
OizVLTaXuLl7ji4fRryXH+ieCOGKzcr5svaEwO+z2pfrlTk1IttncNF3UmrnSvGV0Z7nQuJSMadZ
tUMvu16StDkPR+z+rQXkIh6uexHH9ZknFI4oTS2yreHU1UUNHX/BTy09lZtNOdf72k8zSs0puUkl
mi+Y4WDELK1sbsO6bstvZFMn/Rb3OFd+hgw7lvsm69nTU0uU5S4RLcgh4+Ox2w3QmElmNiDLXlnm
XJN3izU/MDzAZHGwO5cJQi8Ef79eV97rUAXMT9ahm6+ndeLzxhrCmW7TTIzi0zwM/HUI+ylqFqC8
+7hleUbWZMKjbvWg+12xjhaagSR1ptCLe2C8dOopJurFWDeTYSHrasiNzGG3G/Olmw/eGiaWpx4Z
eOjDVKSlvHUbI9iUKDO70JYxkaw0ifTMEsrVJVV5epkkDCBCW5GiSmwzo6cQ9w9izDOqTy9EhKmZ
PqI/JAPTL+DLljoHRZ+Cqka9axWr2pbzmLXhSAW2DZpMezernZFgvvFjAlkJzkUxWKMyvE4kMk+E
/8i3K3ctULDmIwrPmaINxAkX3fs8xQJ2m62ug1gHiecI+54QnyNZxvG4xf2fPWNu2rfUgTwd4uc4
PGuMGa4H1L5vo1eqB1dg9DFM7fDJGUxr2IjGI3tGriRqo3ue9V7ZsXQO0o2t4ZiSse0fm56EJByv
nIYAWy2Hi6FDzZVSVl0j7l9kqKa6fLCp3x8XMa9XQeMFVdh2bYDaa2zkZ2kuBLD3zFU5m1XqfV07
HUREEDWc0nPtE1rcelP1mI01Wnq/GrzsG5lBQPZW6qniMCCiRN9GgnMVAcMMwUXCebuHSJ62KIvj
ZY74ze2v0xTIEap4jHiuWaCuY9bD6rMLoc+I1cmeBGznez+xxyurL3CUUiR/g/8SO7odqR+TwzjK
tTjHMtFE40SkCEHddoKoL3MqPuV8rWyxR6pMYWUYKBhk51X2+VLWZY9yUIryaECKR2c2dR4Hd5yg
f/ZA45cwtargfK4HoHp/MdjYxgLT1HLBXBvvJ7s6M12qxB29Gotb59T7W1cq8wueAJSdmVnpO+wW
axvLA8VXYdK4880ReHpchomtXpd44DvLKYC9ydKA1TJm7m6Auk25GmOwcyDhs7ga/DEQeCXhIAkg
YVFatYsLb54ceW6h56ucQrc1aAPF3+vdxIzgfUYZ7O4c2ryrk1krws+JKSf+BU0CBblvvgwSCfCm
067VkLM9oiVHw/Q168biyyK6dN7nrV0+CIrOlo+1sB8QoNQgjoTdAq57FdTucSZ9ms8PlXbtzY/o
Pga9HQLAlaMJ7Z/GGkNGdoNKFO4ubcpRbvIkRjiCLNe8IglWvsQTwHOFkaIZqmTk1aXWbKZ7T8uW
/NeJspsrBpWxRe9ag3QvdhsVfkP1mndGdcEMc8GGyXGcK4ecaATHpWnu9dgbzDdjw93hg5DY26xr
jZQVj+zoaAox6H1tNfa8NwnR5cToU6YrU40mBqfYchnCamp1syu5Hb1h4yq9naoEbppBwJ7HIay2
4Bwo/GlwqvpC5VpfDM6KC0Hnjd76hOtV84qFFTlvHONiOZf0R/PNkNbJiWyhRRcSxbzAofGb7rMe
vbYJ0eYw51iM3J9u/55iLSQGV0cT3au9qRmCvTSDDq6m3O+XaJghGdG9C6LFka9AxM8nIQ6nzXPn
8rFBIk5V8FA4i5fRj/rjbYAI1Dr6vcYtLQuS9yEQWWg3CTUdApzgmE7ARZt19NEzynidt73q8RtH
USLBudHIIjlEonMRoylHpjXUwR7VESD/CMpfH6YBo7d96qKQxg2kvogtUcfnhR9U7pvyhnS5zoOx
S656d+TjldjjjhfmPHV8gQAlWGEVXr4emmlklEj/bJdHSbD6uu16o4Wb01f9N+gpycj4zCgeWrsz
l3M9FyJ+Fqu7oi8Wc1we7cHqx69mZhbrg4hP1YFvac9HITQF5E6DUXR3RBcuKadgsWutMVCh2/gI
z0GAkOi6A7jPBCk6pe0fs/QY8JRoLxHTYRBQeZwUL86aZiv6E91X6hpUPh9uqi4Tn1e1NgjOusCe
I7MZ8O72O6nkJ2UYJdVckqEcM8+L2hK3CmPLqAcafPTKYn1NMjO+lGtj0f5KeU4A9vroyCajwh6G
Wy9Zm0O7+FiNJC7TnNH1DwXl0qdOZMSDt5bZbut49S4o5riSaE21ZSrr3ZEGM74WlZewfAIMLMw0
7a6ZY5fv6Oumb8OaIA5EMRJvESl3t1ne5sG5VpV/7rad22/x5ib52SAeN9RJvDx65pwdhrzdjSIY
s22Rrt6X2Qni54GEu88Gpe/25CB28IoUYwUjke9VVvnOBnM9cTkt+Xj0ptr8hJBeeocU7oI40/Fi
lZuyaftthmzxwGYgD7RVGGgBlTQvbdoi38uVNmY8R+2ac4hEBeIi84NR4mxW+Do4d21nPpOwN0LX
wgZ1SSsmh3PhXaVBK3buMo5+OJMUXGwx8nYMBiGxta/KdL1LsWkwmWPVKOsSaCqXPtHehxKE8KsY
hzS0PITVfEGtsfWIcsP/Lx3Uq7aDEtyQURRD7ym/GElKECh3WYaMpbM6QPGOTeAUdEGxa5AwfVpP
/rubrB0YrZL+Xm8cq50QvHdxdbfKMv3GLJvNzpro2NLKNPMQSLm1kUemxJNO6ag3i1PgvZrl9Zke
W3vYdkWWYmujGl6rVYT5lMVH3MCgc/m+eiZcFJ5lp/oLLDWSo9WUDMes+BFKK/k4i4xJ3PasppG7
Ndf946Ktb37m5Fetmj7jhLhwFDbFbgHRumB+unya27SY0WH32W0zarn1el81G1DPPOzjQZ6NRJSD
nRvqPl0c/+tS6uYC2xx5DZjKwl+x34hM2SPhlB1rAwcCseljeC9o0csgob4S8bFE7GFDXjN05Lmt
22wJWejSl8oejDMGbyHCy7ZHwJb1+3TVhGoYXBDNrsYXXtMd47wt78zZry5gkjTY9Zu+hxVH7hwE
z4xpNY3+taMWDDVaqZvLNW6DIw1y+cDEodriBSgA2eqUOX18CvlydBCc57VqvmBKxCmml7T5rFvf
uzqFyz0HbSd2OOyoTQ5A/1hbhgbRHTlSs6YHsEA1nqWR0gBZm74qzyWk16ulFm4SJabot9hTfDM8
MR3ggI/E+0IRCv97qq2FVx3nm9UIwEWVM4odj91bQiRy1GxJ3JzlGaDUIPIkLH1d735NkfmRmwO1
g3w0qISE1pKbY/+UXN6zX5L5kLLn5ph5bDCckedrrKZXLQXzNrPyPiFCpLL89WV/JEn9fVkJn4Tg
aNxaYTSe/vw7zUKtshlV3shAuzY8f0M0PKn1JZg3W2qFj+rGqyf/N9e0/g6R/IHHEuBWisM3ggkT
H7SPQrB+cAP0h0yfx8k5oZk5ouBjZrJ5oVyXYx+ls1b3uJ8zxLWoqSFDIJVh6E/HNxXuOu7SxTVf
lnIg2GfEt4PmFSOT9lGKkXxk1wAxLwFm8ka+MG6mhm5R43+rinLJGX5j8nOQZk19sOTW+OoFDSMg
Jd3A4mQO6uogy6a+yYE1jJCYYPtqslr12afL1WE1UtbeEP1sQQMyVTseUlVNajfmesERRMdet7VG
yXgupzHqXoLFOTFIjLZgF+WjAyoLTOs+yBQT1C4fjaMZL4XBVEl3LbrgaT1Ku3ZvZzsv+bToFV70
rDnr0tkHg6W0imyD4jLsEsc+udoYK2WhUcUDGBzJANse8wd59DNzSrcIHJajW5r0bDN2Yuyefdee
WYXbMTehv36sx6yrt61sjPeq9nFoqefZ8/ZMrLJnt6yF3Gf55I87J7aW19KfiXgwsBpH6znNg7nL
pxliAG5e7nZsQaJpNJuZLQB0zAjN3FbdsazGtqCbKQCOA6/vz4O14JjxV3wmYBD1EF4Sj2S2bdsG
OKdhVlDvk2qAMNe4tl3tML9W6Gl1WgILWAVmGALajDzlHPdnjlWaQdTNy3psg8Wc/w9opvcN/Ibq
lxzT/z0m6v69ufpavQ8f/6n/B0mosM6/20V+YqHeNWpM/9udevtaf09F/fun/s1FteVfAZGZeKUR
Jsbhdkr61u/D+F//EvZfJyoyIb8QUeFNn+jK/6GiWuIvLDQIyAN7BE7EFuJ/UVH5oeBEXvYtdimT
QsT6Eyrqh62WcEB2WiBU5Bgoc6HG/rjnJamfzow+niXIw70sEntXz2V5xnxh3DKHAzPLps4Jv3tE
/0ANhev6gzDjlEkIvZCq7RQiasGm/UDElkHl2Es5PTR9U+c7VfgJ1g/UBE9Om7XBNjcnmp5lqMqb
YPI0ZW+qkILTmr5gPLLsGZDakqAlMysPBhWJtW/VKMXD7OYeH4U7zG8TbJEzyKWDidbb4Z/IrS6X
O5DhOYlapUS7H3zbBfxS01M84j4fMtzq5WVhrzb9r18sn5KExxAS2SiHveEp7THpKfzXmrddXMJO
9Pww8+eiQT7N74JdqNFigwC8QlbLtzEzh/jZU3Bs8BXOOPSG0ONpi3bXFevcN7u6zrwM5p3rDCWz
hN5wn9LglF1tYeTAfLLHTVieYtqECl4DUEi9hQ/X1jcCiugL7N38uUmztt7PadvLWz9r7EtH45zx
wB/NwBezH6xG1HeZPYdaWTMEFKhjdw1MtwfDL5nKalrAFvOFiY4W04we06pOYY5gbJIqUcm+SvsZ
rLePfbwqBngQwjPxLYOmeuhYVMPWC1ZYWomeZbZXINHWPoPccsnsp+g3SswAVGUtE7E1h8b91Ohe
4061gnEeZsYPQeg3hrI3FsnrwY608JjAXikgQEO2Uo6+aTN/TO9Tr3oRvW6xNATJ11vGE8NGV6vL
JB1a6iZn5582iVSYWHhSpWNIIEulthatJDYZEA3hQJKTwpTGxjaA/qQqntCeT8+jN1Y094u1+Ni/
xwXqupHZyM40VJ9uFmFDRhnnHFV2la21eW6OJX5PnW4/g2O6z3EKJLOZXJ7bnuwvEkkMMFOYWXHJ
0KoPhqo7zPwbxyBxkvPVWbh26uXvCs+G94qhLA4AZRonkNtk+j6Yy+RsE5OC26N/Zd7LtwgPoBWH
FjCpC9uKUTQaAidRIc0GYL/ATe6in4txoTqXabEpfRczZYz+sjezmmcR4g3dP6k1lfbGHnT7lgxJ
D0JkZu1ZXS3dZ6cVXRdNK9pcphvQ4Ejz09o76lrX+wp+/RjOix3vPZpuyCSY1WLOtWCRAjIRI/13
VCJvsWBj/hsE2S1dmhg25lz1V5kvmwfHnNxut2J3x9wz52si7Ke/baSlkdjCZSQgrkuq/cTBGJFE
PZzAs9nb00LTZ8+06BdBRaj8Vqw1grsSH+w59L3BQ969cj0QKhsMK7aRAWwqkVFqFEvfFJuqOFXn
lZ4G5mr2XKhoBWdJIGsqcLw+a28Yu5AGlxn9etnN1fSMs4H80iTB+mgHhKLjZ5era2n52V1eqPpq
rfBhYvqug2+44lG68HQ9+8w6Mbc3vu66J7zQfBM4zfWuLOZX98xt+YixSghundJdHgq1ll8d5qvF
Lo5hl4QlPPME8kcJ/w2Yc7luHPxaQj8whnGHeRWVULladBbYrDgFDLs6sbZMm5YqDKwpFbs4l4UZ
FcqHkcMMRxY+3pAyN51dZ4qs/QY/X98VMvH694yhZ0d1sY6XgbsAfdt+I8atDUm4CQGIW4bVRQI9
sacWg8+w+j0jFDFUjCdSp86idVmwEaJr6fG5Lmpu9TLpWynfKhja8mxIum7ItrLFz2Rbriu+j3Ac
Z7wnN6IHHOpDc06cLIn8dWWS7jNx8eZoUoPxwEsGAFr7CbZf4cJW3bU48/nw5kYxMR6D5u4dKIvq
YYyM1uO5RDgq+e6Lq4w13bsujPQiitsMOH3Tt37NViQSCUlhTenR8ssG37Z6O/QaH03RMOI/pLVI
nTJUdg8Bw5k7WiL+adsexdVpkpex5Cd3CfYtjgJWytOA6NpumSfEzJjxuwoxbGLmScrsjJlNkEL1
PjsdURbjaRvHgEOXK8g1pAMF7HFpl+dmfwGXaNWXyxDYmGqYOdzP+6SyoLrBButxb2FXrb1967on
zgjOZtV0HzNoEM+92Vbzru9zu6Cc7vr40cr08G2RXfygwVWtjTIm870RcyuOtZnobuMR21eES67l
fsJlg7NOpuYTu138bSXM5GLMzepbXsT+MR/HbtwmBiOe3ZD7XY1hoPTw7mhjdenja5aD39sz4Q6g
drdu1qWPbZKMZ/g7jF9VNbr0wBhTvjjLCHSfVzM3jOvmkuzitYWHkGCi1m7dhnOcSRE0yU3Xt+Zn
No8eChsSjyt2LKOAUoj3D61yOhx7z8r1jkNIdJsJ/py18WkBz4l5P/ETZ7KpNplXe187tCTWRnot
rrEVxfca0VKvr0PM2b+BeUmtnBWV+Wb7aX+voLfkCM9sjrsV1zxcHZtSAc0I6ArCxqIzJErXfO1t
p8F5pMVYJOgz/JBW1vRmcTU3qiDpmQQJGVPPoev6dRq1DBFl6NbFwm6T5vON1L7/sBbdyfm+gziE
dqDGBIpiYen3c2NXUwjZEnCvzBM97Mp6mJ415Nhi04AJovCG5cFG19H44ladep+NCuQwohF3sZI0
ECBvA2B/5imMX8oo8Zv82V40vmB2kIi3mc8agHslhzhx+X42cHQCMAXM6eaNSZtJLgatIEOhbOXH
HSzwrpyZ2T2sEWR8TAYKKA2zYRc0k2Dh46azG/McJ5YgDlWfUYOwIU9qC5zXupcEUkJrojDDfUYY
bF+UOCuzpco4Xbt3zdY95vS1jyd229+RUkwTV4icAvacY3U7B8vA7sCsoAE+DQp2dEQlJZO5QjCh
sZkiLVsf4sOyZ+qXQ25uqH/ocbx+6wxDAQahm8mBmuJ4ar+sUq3haGOq5VW1555lZtYdkCkZmKkJ
8qw3WayA4xOfHbfX7skAPY/ji5q/DJA3Ena+iZd4QtAPX5RHLPGUPCRozIZwWOf8UUO9Y/MVWTUx
IreGN4WyAqa5tU4YoDLoXXBSLmGDdNXsXENMhYw4zcbBWk8DM+Qq7B9Jt0Akdg15NcB8+hJUqb50
Rpe9OweIvWJpzl8knqsiIrtBQyQZS+OMMErvkzm7aCzkkmTvcBHma71KptMzlq6P3Dl4u58n0z2e
p2iuhsWTY2hBusQCc/Gdr43X1BxRgf0u0YHwddLGMt3E5pDdLq2ST3NNYjZk+f516XPyfhgXBQgJ
6j55mqkWruNYp5dYURWPvC11ZJIDJdjz4cttyFBov9Ug0vkW41Bx33cr9pEIJ+j/oXL0eL4yP93H
3aDkVkkom+GE5OVZq3JES6Eqa95P2k9ivn+DXGkAJuZcpYkXMLB/DTAG3cS7K/NmTPbQgfAApcRP
WKHFXD6CP2kJn4MtZpMmOZSXU6nPDpbh48QAzMb5mL0xj8NkmZRA12EncmPLDtpS1szuBfYq6y0Q
aJ6GMXxbTIDWQAwRA9fiOvMH45uEBnC2ThSMGz1Y3lPNgr8eyty5CQB2j5NXSVLU88KxMNQn2Zyl
YAzDsQuYIAFOJraP3ePqnoLp4vRKFmPwXleJ/aVir5nCITVcIzLxq0u3khK82EBScWoEDVVnHenZ
igtyvU9Hjz+CYVaNImEwyFbsix0mI1DmgLSzXW5YVbflR6lCO7zFu51fuf2tlZUVE2eyyYOdHuXp
r59IuWFAQTfulaXUdc0QK9tRybAGs6DpPwET5ZAiocdHOck2/EK1rD952gqeqhaYCq+91SZ9b6m7
I1hs7kR5AtwZdRXKgxqnsSr0s0RVF3lcDOl24HorOHmZ6y3fX+re+WZs1zufMhHGW16tnwBr8MSK
s4wib+27BB/XHNOiC8LcmOHHeecfySfoYKUtRg8/Oxn/5licMrNEoWvemAzerLjMnrBTSj7PeG9j
YbkM4POtt+A51hpx9ZLAdn7OpoHH7TN6e/FXwcx0cgDat3zf5pc6DahbW4EUih3A+dwLIjbD2Igb
WAb8QmHRNCdOQZ5hKuSY/BJkhQTw6osYw5y89e/LzvK8LTxzb++gF8PyZNXI9tLWhME8WAroeRBr
jzOzrHs3tPMAo14yVOh7RqiZFwk1crULIIVWO4NtFXM0YwjcMBPY9wrDHqGsGN2E9xwOoS1aA+V9
bnTnDiFUJrap7KQ22KTwW5MzNnuebxAsokLZyAm3g5VgPDFdWW7ymCpkxxdV4FziYTARwjPFLZaa
StJmuUu+RHk54ChcV3abbHKdxiPNlWj2tsVgEuDdwpU2oXTxN6s5IaH0jHR+GmhF/mO78f8Vzv8i
r/M75OQncOmILr9+H7Kv30NLf//Mv6ElC1mySYKuLYgO8TBsxQri39BSIPkDACIEyxRrRH4AsPxP
lfNfuAydsBcTBbKJmgk8ajihWP/1L863v8CgMeU/he2dMqf8P8GWfjSi8MgLlOT8uiAbyBROERg/
Ykuy92mJFC7zVcU2uXWthGpbrEyIkIfhhx0NnLLzlbZ0Vh26FJFy6I8l1tTfPbN/QJs+GEf8+/dA
4wv10LTB9z9a9qSemZ+qWSea7NIT+7RodH1lutiNso125jesoGhAungsX1c74BciarqBtdmld7/+
TT4MGMD5JMidcATRQjwZH3359wOGWSQBhCU4daJrXg3Era/0bPrZAHPYqSCff3PjPz1/LkfkFTcO
7c3yvQ8gWyzQpHJCOlE6ejQ2ueecp6Ijy0mbqX1lMPoOIAcb64tXQ8J1ndi/+fX9spK+s1/hwZ9+
AdvyiDRhlMqE48f7HQQsIOb1TgTAFUQQ18pbJxn+Y4CAdUHy3vzD+/3HqzgnsbntoK45refvn6pn
1zBKNcpPUfbNYwN1boe9aX7563s5PazvxjSneyESlXhURlNAr/IDUIoLu0rorOyo0cNwpk1ccVDc
QomfR/UbcfPPN+Siv8a2wGL+TOTmh2XCqGYBYXBEpMeyOEeb5Z5nuZnd/+kN8ax8aUF89MmICT7o
p2tIxQGUtynSXj5C2DC9M+h3cOpVUT7/+lI/3RBxUQ6bCrgvcwru7Mc31CVJAZl5MCKcL3FYg88B
GtB6v3lsP72hv/Oo3EAALjsUDCffle/GdxRti5SNF0cDVvrNrk+ZT8MQ9Bv6zMy33v70niS9uUD+
DrzB1O50z99dLckzP5hcK444o1Gn0vI2BIPpcfz859chbcQTXIth1UeAnoSzxlWqj6M2SKsbBIYU
sE5hPv7fXeXDs+s9yQitHeJIGZ06Emq+RKT4/s4o5uMb4hxgcs+wmc3IlGgSf3xmuG/aYkJ0S3fW
LpfJVEwQDZ36IUn79vjrG/qHSzFYwE7QJ8uNE+j059+9nhySU5H3o46GuCLRJzHIFOhNZT55PvvF
b1ae/XGn5cYwOJAM83lFDHM+LIaq8sY0Ncc5IrOOonlIiU3epJ6EfWRPqn5w3N7Mt6f/kIVJfLM4
d4ZWTlc4jPYVdhzKsonZW/WpQTUVUdqg8o+OMyk4dTmM/Qdk8013x1ACErw3FrAhcUBHxAIZtUUT
guDoBtgd5lpPrMF4HDsve4b9BMfMGRnB0LkrnLuBzK36PGO6GB8rc3D3wMLByXRQWxViJCj9mmGm
2XeHRRT1gzCn/sK1ejRa5Wgb82/cuX5+RcQ0w7PhLMRxBeeJH1+RUjH0gcrUEQkntCw44W6dLvOj
Ocec+ter4fRPfb95M9wiGMhj9+b8l1zwx0stRIvUiXB0VHQWwqqRW8fbeo3qujeuzdZvziEeB7e/
vug/3B8VGKcFPq8YvXw8l8iu6uYmHZbILQy0Pgg7yGui6z54qqXZ+fOLQQdAbIALExND8eMdDhCI
Uh4xFKVqVuEca9T+PAfUZcjf//hSgqS6k2ctL45D5MOlCmEBYiRLtBhBCkGzKp5dkh8OuOX+zlns
tCF8eG82IwZuibQ68ZPHBzTYyZ7wJ46wrAd4WsrgrNXeeoDOKy4a08AaRp1YQGLJf+fg9g9vDzWD
K31evE+t/KF4zVH5eD78yqivcnT8NqnnZegPHdbTELT1tPvTh8qncDqQuV+CFT9erkOuL5hEmlE9
QhgDBL/pT+nTVVFXv7nSaS/68ZnaNjZGpFhJ2gM2yB9fn+sjU8SDf42QZr0NI5AULOPij79tLsKN
sAXjwfTTcqQId8dgaSDRZy0cMRiXh0ClKiTYyfvDIhOS2w+X+vBtN+CiSbZUZtSSps3IM0U+FFju
H58nXMXlf5goBRhBfShlOZfJJBr9lTkIIR22HNW+TBkLxqnb/ObZ/cMLckwTvxz6NoKI/A+XwoM9
Xy1SHCKinhnHK3fZtA7xuL9ecB97ER4bwddkhXIScyjbH2qyoDcQCLBfRiQRkrI1udoWaAnM7IX0
sGHHuMjIfnPJnz8pLskgl3NSCJMv68eVx2mC1rBDWeEP4jOZjOO5V6ZfhDf0f/6yaDupAiFckKsu
P1xI4iecFLViUltny/20JOpsWsd0v3jp8puv6R/uiQIDoj8NHT2W/PA1OTbyrRUYiWyEPEZNnnqt
2BM+1pMpYKN/Ovz6rZ1+8w8fL30clI1T5CEOZh/eWqV8o6kauVKnAaJ2ffdMgo/7m77xH5bGDxf5
uPVxmmY2c7pIWCkjtaDpLGbRcC/Vst7bPUPyX9/UB6cwz2ctckEoITRWmKt9fIgEXK9d74k16u2h
R8dUl1rvYjmt86azUpfcj4qBIzMxxUTIboG6w8xJoVJ5yJ7uSNgrzv8HZ2e2IzeubO0nEiCJGm9z
UpWrXHZ7tm8EH7tb8zzr6c9H//hxSkohhXRfNDa20Y4kGSJjWLGWEXXFcAZuafk/JrC732//xOt9
J0qyiMBlhonsn3SDV+HkREvBKQm2Lg2FMC9qym+WGMXOvm8ZoU9NjUKFIpf7ZmmkVoIS8F0yXtA3
r35kqMJ+4v+Kdqxcny5XC+GQKZFHkO+vrIDPJpYMAbhOcnxnnMeXeCp/A4/4zw7VHWZQsWmMuAM8
JWR3V0hOjbH9RIV+61LnTtCfC8qYyhGFv2J+GfXOoPgaMtPolWWTFQ/FBOL2mV589bZWa0V/DytU
mb5kdu3SUmISte6fgqQAr68wo4eSJbToGf0i08jOHehc6+hCPj8+xnjL9CDyeTRPLUgH3auFWX7s
lJrZJ+hLgghq+jJ0P0Gw07Z0T4HWRG/cSh+70wxPQP9brxllAQGaVPUvMoxSQMfmqrDCwMP+wexg
rrj7GjFAerFN3I+OaehyH1/5V9BMXZHaBjGVw/wHUsQxGiGGe0Ridc/UtZcR+JH187bAfwfCdmmq
rGyF16Ua6G/kzEdOvX6CqW9Pdveq6AY0DXI9A0YREOoGL9nSjF4YcVB2or80dszI8Dz+1geU6azA
VSDymcvnANW0ZzidZuD9o/4uV/PdH3F9OYNto/bIjmr8irXg8WAjVBSUFWxqYwQeP3a7r2Fvi0Nr
+dHLvRcEdU6uMZOqq1zu6mJOLLfKsibvLxZ954NaEHVDDzDt3JQbC+Lh5N2HQlLAe7E6Oxh6lDyu
WBCpE416KCo+0HQDVBRX+o6U+LYpcIbcRRZvtvzzVx6pglttg7LBVNynHwJ0wA4ylf2uKkP8N6uy
dCYUgLrJ81qacmwNHHpU9hcQJOCorCn7Vuqm+WIFGgNet8/pOhPknKCohaeWKJiB5aUtdYwddE87
bAE4Q0kTZgznI1M+72i4MmueGv6Owa19lDcfnKMy3HJX+zjbdje5ljQIrhuBoiI9M+qBMB3Z3N37
SIGNciEVZt4Q+4+w/asjqyIDIIsGzU8bAt530io+ZGZonzM0iC63t3Hj83aQu4JYVZb3bT6u5T66
td2FJWLzF1IkBgVj0FQzAkAz8MuR6Lg6qLS6lAPvHJOasT5FL5M2Ozr4AmOe7izNQhgDykXlW3dc
iete/Rao6eCmc/gtgr4zJGMKo1EOIzePoT30d+8xUH1mEly0MFzSiJX/dDCxoc08U+NhCJVSDEti
TEVIsPceFee15zg6CzIpX/EyMAmx3OK8SVOMlPrFnepPbpfWwJZ4sQmkAu/2acofvYwq4fqULK02
lTnom1cZ/WS2AEjHFiVRGPvep1ZjHgPEZXd8ZsOKo3NnUdSG/pYS7XI9kIQj04Ls2cXQgewHpanT
SjT0u9NB0NGkFwJ6V1J3c/XuIKwpkMFqAo+uD4QeOsEA4/8K9A47m3Z9PK4As00mC8M7TbhVlGxm
JYyDZhB6TV5Eb6zaAMfMv56smVHa2+dzfWlhioSGLprBgyZWnmAkgDiZSw88UUGOdITwiEhBaSCy
g86w1b50g9ZFUB3A2LGzyOszk51A+YK7FKCpKy3PDKyd7xoWlC8xARxz+6jcjmSJU3GvbxCSEozi
gBwZJbPVChGYQgZ2Rse5aJTxPIHVPNg+AIfb+3i1Gh5nyrO6xg1J4rtGnfc06yO7ofSRA946tgZY
0oFkfyd/l9fN4muiQysnv2l9yb7bulOUtpobxjkafOCT2v6oaK3mHEDuqDBBZXGfPFLpdJV/W93I
UdgBYyQOfdULPbrXa/gdEKUTKQgd4sr1nvZlW4MfTPkdRvZMz9c8Dab1NnW190OeMobjIkdw9/4i
pkm70XAB9hN3Lb0F3LjZoj0A4n50Kq+fnOHSjiLYUWG/OkWLB0eQ/FK84JOwV1asvNdyS80tr8sq
9ZTbjCeUw5DveOTV540VnISvjoUgeb96VKKC/YMM1mSyYAoPdeTYx0Gv4RMqlNPtXduyZFM7oLhE
aYnYfLlrAyifLJ9oTDOi/tsiPvla2FJWEVaqHc+UO7PwTNbE/Q4ChX+Ryq5u4EoJa91tUuGFhQG+
agQ1PJo2zbgsnj5miomatjpVz+iP310m+WOZtdH/5vJfhwtlB5xnLArh6UjskuQEDgSRWX7q4tbf
2U65iKtFgjkmtpNLXE/xjQjHiU7FFHOMyVvmUeFpo8H0OVSqFH3yPvl1+/g23NGhmAqHicazA9p2
eXztPORQD1bCc5A8Pll9k53FyKjobSt/quqrZXEBU9qgkUpL31690Q0i5D4wVd1rfYD0R0TYbRWp
AeZr4S7PGCyYhjyE7Dgt3fSiBpX5MptT9ZXJ/SJ7tLNMh3iOShV0ruACfgEZQhh9MqDcPIx6Ynbv
zLTp9wAIG54tQxiuQ5J/7nZ9uTWm8HuDnqzuQSPceiVDEQztqYFkItiTdtg6BaH++Vplh3mdQE9u
jOvPg+758DECNZjaB0tJ1Mfbp7C1IOqWFM+5FAwwLcsFwRza6JpTGVSAkDrpggwWPZOKFeLH8cNf
mJLXG9m6runrW64hO84A3Bue2+v5KRUJTC+RULzBHe5NXalg8JnIAhxRNIWn5aLgvalH+F8MLy2s
GQqxCBh+qmU7cdnW1oFGoiJAAEjwvLISowrKLasIz5iG/pDAiHAw1dA/uehb7lxzK0056olyRYwP
43nMXZlrvMHUdM3gNrHhxYWFiPNgued2hsDOCLTmrMML+6Qkoni2mjn+FBf19K4MhwLoJNeeIsz5
QJJm3H8r0TXgIWaPCXHWaoHQlE6BT5jFmFATvTPM0fqeKtUI2wRiOfmMWPpt99m4BWWXgo22GC2m
f7U81FyH5DUJItNjTFQ91nP+0tnKqYu04hRH0e/bxrY+PtumoqjTSgC5sroC3c7tlB6yBQ+RqoKO
eyg+tLHr7yxpy4OQWyFSMUyV62T17jPekc8BFUUIrerspZ8hNikpFz/AP6XtmNpYkKvrRBmaBqgO
sNxy9yBS79G/xZSdtpaXKSm+kwtrJ7i+CusthxYqvR4uLni71m0Ko0SMWRm5TXK4rk6FPYxQ5UTZ
pxmet8eCqY2n2ILv9fZZbcQAsgEjS78EwGRJy6Whu+qozMxZ3pjMDGbEXVf+T8dPYWhrGOv6MU4d
oP/jpPs/VehQvt+2vnGGpGRMvBOWAj2UgMXXVSXY+px4zAxiN72lxA+3xsfMUgwvtMNqZ6Hyr1o9
mIiOSOCMyRUAamtpiidYuJZcaEK1W0CKMmeghVtwAE8I5/r6wU18A/JjKPjfOwas214Xhpm/8ys2
t1tOH5BxkN+spV5CORVYTMzHQxHELFSc+tAFJ+kcvlU1H4LF2q66DwTp5ckec3G5f7c5ToED00Kn
2rXcAhCNVazYpc14nd54TV0OD6hkWxdFzPHOOre+mNem5J+/qj01fd9St2tsr5OwZnVGOkQLjOJ0
e0FbVhxKXILqAWHkOhFGc7kXjAFZTCPG0wMT7+6jHuvu8S+sEEPwjyk9Z7UWpkvzxkk5M6aUp8dG
xN9k7Wrn499cyisj8kt5tWGDYISFcSLLM0NhQEwyflRnBA1ur2TrhnHgtqGXTEPUslevgJgAnBoS
6JMM7TP3NwMWSfVMaSxkZDf6aXTMRd62uLUsRLYcRqA1IJnrr06PIU6oc5IzQMERYyll8jzQOttT
YpS7s/64XYDPoGnpHF6V23MljFDwTjET2RBkl6DiqtlXLrCF6zsrujbF6wlUWpZ5oNFc+1yQiwye
dXwujwgmJLz3lFG3gpkw+3177zYtEa/QmCEco6i0dIkRpswxg8Tdi/ShOlu5gnaOVqEIW+V7jQR5
+S33j0UxWghwnEeIhHBpKmVYLh55yb1psJrPI9/aMZw1/9R1mn7xrTZ6/IulYYmLENWlKyh4WtTO
zFNqeUGith9ku/BE1WJ4gVtg2PH5aw/809WCzkAOoxvrHolNWpmlWYFrxGn4oEK6dnRTuNpuL2jT
CtwJgkxMhcdz9WXZc6nWDaP7HiyO00OnZv3bahjSnSbM9RtGjUMXXEKkzUQIKyuMjcImRlLoaXLe
xgmRJGyHoPfyOBqgtmZQbRib+shoq/4waBSbbi9yy0toy/w/yAYVOLkJr+4ou1Wo1MLp6pkpJK05
2MKD2nTVWz9CoIfZUH8ncL9+LFGvpBAIuyZvCSSCS3tFnUEVrGumZzowuF4QCYK5xo2C5HfdU7c6
gbNw/gEe6L80NCD27pTry1JaBz0HvsEkVl9Z1xCJc9yWidnINaf+MSF6GB7HoTIyj1lVREPbzrV+
I5RLKnZ7nzecSfb7bQIjWr/8r+W6k7SBP4zMw9N1lIJcq/RP6sgU8m0rG9cLGg3Uzsg+JMBo9c0b
0P62ThqaHvSLNY4DgETPGVnT2zb/C1OC7hCDJ3waurlK/PuwQI/DhDFHjwf0DWCLzR+Z14ftbCpT
7/5lCRniUcGU0ImVLSZ8SQTrzPJCX6DArCTpM9PRlldG494kydYOMjMDylfOtuChy3PKlVICpUvL
q2p1PBUmI65JRXhlS5mk26va+hQEmlvUUwlDoI5Zmqrt2G10URPptPb0Vg8G/aQzSAgNoGN8Noy8
fKgyiAciBAp27pwtZ6RaTDRAPZIcaLWfk6S/7yfi5tlAFaouqsyLLYgMbq9vywrRMLhKysUm9pbr
S0s7i2DTIz/tZyjCmec/DUOy13zdtOLStkBoRqKlVi8qWUUXogRkemkdR+9qw8jeMhMqPt6/Fqr0
PDt4On6xWssAd6PBVW14gRIwr4ES0MlK1HrnctxwPot0FHegjUxQt7okoG0XbqGaMco+dgjNoA/b
OZBfXGC+e9t40gg/kLok/gXZtnIBeqkRneYm9twCZlJ3CBFwhWn0dOe2YcWA4Iu+uE0hX19ZIcTX
edDs0ONSqh4GuLlP7uwkO9Wtq23DigxEZSsVcNl65ipAlyqv7Sn0CLygIR9Tv/01VIFzSiO12esO
X/mbNMbYHEknj/ZV1aUfkoaZKxBilR8Vv7JOVtn7EHKz2zt3XeACJcGu0Q/UieKI7ZdfT+FbvZu0
KJqMsir8uXJiG26OKaqm+IsCDwBiNUobV/+hoGGjczYVY36E4FhUkPFb44i4ga8ql3jsrejdZMIi
+G3nB8oPaxFfUuUjvOT+4J2hF7RyVnXImFpvcFaoVfJzJuIh/1cgvi1Orj32Wg0nhtmrnxmL1+tL
Ca94/HFiiFl8aHOG3o+9ZuVMuu78qOvTkZAFwiVwaDjXH+nLV+EMLBxu5jpxBEVsEY0nydTTH4zC
96cPFAwd6wPD3v2v2s9M7WuqxH31rZTkEsdAh6fpGSxpHJyRTPCtN3NEXPik2UW5h3i/ivhsAgDG
fCSSgTLNGkekVE4XFqYaeUHdJrDkImnYw5bSSwk3YBz5ey3PTPQfqe31zBSwW9CCDqq7821e4ztI
rinXcs2AdQCQvrrTdOY/qjrrEw85gbZGdgmvhojR99PvftCN9icNvaMBviM9iuENRXLCTH8ytV+h
swlEVDvfPrurSJSfQzWX68ACF0P4snT4JFJhpHCKxNPNCZW/0GVgGZIZ7Z0WBdPbtvXLHWe59hWa
t/LlJaKg9b0uVIH86JzS4e1zFTN4h9JR+gtPv7ueIVvEjKsB6uIroTu2WpYa0n8O0wx9xH5EIrKD
NTBW28vtzfsTNy+/RmGDeDLkFC5FP2dlpohnw25zNfaIAakqphZcngd4vjKm342o1oMHc7IH52im
vmY+UQor00eDD+VXl5dz/m7MdAEvstO7DJzbEPAA6IHo8aS3oq8k74DB0Q8wyhiHXrR2vRcrXH8T
dHvZIwAdlH/JsJe7NMGhZpllnXmRFRQu3EcBpMpB5sOk7zuSnJciqt2fFT0NqjPwVt06orFkKDsu
cf2SkLcCL6LzQymPBv/yZ7iUno2JuNbrzKl+GOrmV+UG8RumtvYykQ1vB9H0p1dLrZs6/tJSyzh9
zHBB4qW9lX1m9BMFWjVLPif6ZJ3mLld2HGTD2SWqySLrMXD5dSF6hmiirKFX92L4md+3k2/OZyvW
5vT+r5jakOzaMwfKQNRqXfSf4byJzQzdmCo6T6plhRI5Nj2PcTv/6NNkryp5fWQclcnXReQk02e5
8Fc3vtKKXPeNufCqTktfRjEpZzOlZZC7TXu3d9ATZMicQTYa7PQMlqYG3cVJ4Yv2OisKoRVyTIZP
C+j7rD7O7w0FQSaArqD6ADmkYH53aasK6j5wsqjwZidvDpPVRefWZMyxJZHceQi2dvC1KfltvtrB
TFGQhYNu0atm+HtyHUIae9Chxh5Vc2cHr72eVTGwwRdOwO7qqzsecSQ6E1ZdeImZVsfOTN8kWg9x
P7Q8hySBffj2rXjt9NIcvAnMvhBDuStnRCCJGk5VFl7cxvNT3DBaQIba7ISfGw/p0szq1uhmYoox
4KxGt4YKZYj9nw7sYqfZCCqob2zlKIjYhgOyPNMbt8/bH0OWOjtr3TpF+iAkx1QZyCFWa50SrVPo
OeIwc9S9Sycg8agp9w81JOA73/iWKQB8UFPQdACIKpYOAz81aE0/kUlj/J7p1xouP4lwgovycvsA
t/wF0KLugokgUloPdULdljqK5qbe3CFM3mrZdEji4oUoGL0uI9oZZdhaF8hrMgja11hcbaHboqhj
wQfnQWIGm2U0aQ9q3mUPba+HO1u45ZmvTa1cJmkD27eKUL53HVf/BBY1O/UN+kE798jWDoJlNQHd
8txY69KJrdWunjnQLzL4G3yi0FD/18LVcdGVZnzS4t7aOTF5Ly3jEIP0COQdEGXaq+s9nJU4YP6D
PSxTtTgpQOYfofys3zeuGvxLiDe/E13fvykjtE1u+8rmltKRALiB+wGzWnolHJzx2Cl4Ze129rMY
I9hHRsi82r84Okm5wrwq+Gv67ks7c47qlgnNiDeFDQxYUCFRwIFK5/ZqpAOs95HYnFIpqZ+caVpa
qVHw86vMxgpB80k0pvVp4sv/oGm1Rumh0Z6y0oFH9rbVrT0EekSUSgxE33r1ZQtzgmC1t1IPhQNG
tWhknmtS6E+3rWx9ZzQkaPSTsxOsrtaWQjgoqHCk1Lj75qc5pGP6MwwAKr2n2h4lp9vW5N+23kmg
u1S6DGZvKLEvd5IvQK2i0Em9wdLTz1BUpA+Ji5C2j+zFVz2Lde+2vY0vgJlw2v2yyE3rfxUlaBm6
O7VUwwTPrWYfK9Q3y69K7MbkNGk9Z4esV2bjsekRsf/ZlnG598huHCLYG0rrjOeQm6+DWAIiSmVT
hxCXM1lvYKEsX4y82FvmlhVQX+SOJDZ4y6ruBt0H8vJoHnkgC34ajMxCvaPcjScHQiCHpiQ+Hqj3
GlOINhPRWKFzI5eJKI8C+es3pFl+sfNNb3gkdrBCtZKCxhp3UghKLEhKZF6iIrw06pP+lES6e2ii
Knm87R6b+2bAxkKe8UcWYOmOJLkK8h5D5gW2AFYWFwXD/NCnFMHDXxiCi5xLmLl65n+XhlBXLB0j
5itriso/K0EevAUl0f9zvxVmJom8CQcgX1rdugSw6QTglFsXOM2xDeFvzIW918vc2jQ5V8BABpci
keNyLZQNmlyovCpRn8GuhxT3BDRvgCL69mo27gpZftWYUDVoZK6bGhXzLFqsqLlH5b05ZapR9ah7
GWV4DMaSTGYy6JftBG5ba4M+gu4zjWcWt9pBo6kcBAOJHhtFVxl4jIZzEiXG5fbKNq3QFSJgo9UN
IdByB+HuBklGGuupPbUeRSeVGHLUNG9b+fPVry5bcNuwo9C555HUVmZmAfEW+lq5x/DQ82RnSLwY
LoC44aMetJ+UtnnqeuMNzO4PkA2jkwA53s4Rbi6UdxPPp96srxuacTM2IoPS0BMia8/9TJ7Rhkq5
83FtXRiEv9RomT+nDS3//HXONDud6qZp7sFJOVzKrmxeyoqOfmHFeyjRrQXxadF9ILYnrV59xya0
lhQQYKONh9I6dDUkoGMY3N3O46Y1QBHC6GDySq6LkrXeQQfYV3h+kzgm+st+1L4UwdT5T8pk5v/e
9pPNNTnE2Vy5mHNW3zMKegm11pzEjPjsUPZR/VzmYtp5iTcP6f+srCM1kCtlA9M7iS0cnJdZ08dz
ao7R0erGvTd3I1zTDGIaDgj+NySvlv7A8DrFPyMtPL23tRe45trxAE8VDJal7xwK6ugf+Sz2mpVb
VkGl00h3GRmCUWxpNZ1EMkeJguKvYIzy3I5t3Hwq+nT+Ys2Z+2Oi2FYfxk7Vqr+49cnK5JQXFSWC
jKVhzCQKh8b5xWl3jIBJINhn2u3eVNSWn4CTQWcBK+CNVrE2POpzO9qMPCFwMJ3SJIBNWe+6v7m1
uC4QCONLJoNYfc0gjBPFFn3hKXGmve+MBHn7TFTHyoXAW8mC6ThGg/qIOOrw3QipVRRzP3lo2Nk7
v2TzQF/9kLUbhSq00Ui0eSh7f4OLLjsorvIhUeqvbTKU0N2OX+7/ECmcuQ7UYzb/rFbOZdDHOFDh
GSWCmkPDALzZVHvI6K1jBEYjBzfJQ4l9lu7iR2FllRp+Sn19PJZp8l1N3egvvvbXRlY+aQGutOAE
KzxTjxAdNpBX1EijHmpbq+5PNRkLdWHyYWgOr1wdE7j9KLI0LhZhKe5nyj/JQeh+vHNJbrQAoW95
ZUZ6y6tHJjAqv9QgPPT6bvipzdYxd/SPrhr9sNXmXCnBc9t078KxRS6ifUnFcMqV/wprL6/eukUt
GQwB2eF5WD91ljKhC4WIm9dMg/8Uu33xqPVJ+aYDDrqzr3Lf1tEDTXb8kQY446Orp07tClOhQZR5
qWj/U0WvHFCJedTy8UsMsdzOt7ZpjLoILXBmIiiOL3dXs0bI3aEe9ma7amKYuwulehwUe86PPVou
/UOM2MDfxA3El8DoLbJRS18FezYKCG1dTrLuM88QqaPe0WQQ6QeDOux8D1sfnXzNGdVTAZetxwPC
NtVLo6elko1lw9TQjCzG0bTzIbzcvkO2HASgroy2aCbSF19u5GQx9JWaMXT5xAz/NMYgzvCjF8dJ
TPXOmW2uCTgjSE2Jt15f1H5lo/esE3a1LVPoIg+UC8qq5k7NbGtBvG086MxJU+lfZfB16Lb9qDe5
B1Fe7vUQcx+jvqtRiEM4+v69o59AjZqWMHRdqwcuLqY2LWb0faiH56hDVuDVj0Ff0YnVR4NO2G1z
G/vHpsnSi2SGYSOXR6UmVRgKp8s9tP+48ycpRTIY806Ku7F/ZITQx4GIZ/phfT1qw8zoD3Acek0W
bP9mNxTlY9MVQj+qCNnsfcjyR69uDZoJgD8oE1MkWI+mjH1ootzTx96cBKnylmK8E8ASn9Tl0arg
wH4pStdKH6rEtuoH2NmdZudL21qvnMMFEg3ahW7DclcDk/HRWBexp2ZT976tp/ExQl3wQSfy+nL3
AZII/KlUSIraNVUo6oCKDmd46lWmloWPEOcXX7k7wj1U+caSwLgIHQgKeZxYgzsGs8mEnWip104M
xtil43tObQkEzYM9uo4Nn8SUpAWR05W0RJe7l2qTlUapkXojmvWPVQ/NYOGOd2PxQfPhjwR4Eud9
NaeY6cgVjzVW4rTMjn0iYO238/Z0//HAHMWgHRXAa8Y1oxtr2XvFCrDLX8x8ZUcz8e3/blvZOhym
iHlAINUk1175W9xZndoqVGn9zI0/0hl3xCHV6+4xVaZgJ9KXu7/6uAjaiA2xQ+N43aeeiOdQsopS
rzeb8jnMa3LcgpOEXKX3z61Gasio+y7d6sYSLTkzRSzuyums1b04AKFR3Sih8YOiwBHafbRqxZAf
SzEOO2e21b6D4UGeGE1JGhcyUHgVZlUiR6Al9lOSDO1/FA3y/7m0fvZ5/c0ZMvuAplL6oh2NnUdm
w+0lBJphOkZQGERZHaILzUjcTSPlObRjLjManmdL1Pb9EZWk1ZQsUBC+45jLtbnQzqp0WFMvsufk
oM5Ffhjc+TFCEfkgMv8vvmWAV6Aw6dbhNeuisN3ZPRhePUEt2Cne25llRMhZG+54vv0FbG0ePvkH
WAMV07rqOICMcgxGOGlxBt0BkGHxCDCk3bnX96ysqhQKHD4BSO3UU9Fme3B8P3kSVjLcO4hIk0zW
yv6ACkGnr44oC5sya8ycq7Ykl06aqTxEZtfsePnWB/Xayurl762Rn66l3BmdD+NwBJNaPCJAoQez
sRPTXG8bVwU1EFrEdN2p3C99rp/ySLVTSzCaO1K5Dyr7Sw5bxK97XYDUiOhWjv8xT7Omvij7Ngym
odFRT8UF4lk05yiO9mifNy4H+nwMz0guBTAm9moxed0NyaBEmhcg3p0r03tkYi9TW7eozpReosdv
oep+aKzMA6a5E63Ji2d591oA1CS9JXg4koa1/6GYBHSaeepUcWwU2VqRfBFQQBuwORj5Gz9Lgj1+
qY2zk5hWipq8kRblneXZ6UZH+hVg0unc9iHLkvGczWG7EyD+4ZRZroyaFS8yCwOye+XzjhsHHRJL
ledWMehQV0ZlCGd3TeKFQZYjkmMB4vFGIB2x1zLAWp9E0vn1wRxEGh+GMlCmgxqOafumSDWhPIQw
NKnoKOlJ/WCgoB2cGRBoXETEkr5+iiO1+hkVU/Ffr01lhhTayH+fGRoqwsS/9XQM6zwMDyjBieSY
+XqKNFAe18m5KUTyqzSB/L677b7XZA8UW0EscbaEI4D2Vq9OR+jWUb6j1EO3TkoxWUXwqFRmy0BK
2wbBKQEYOhyreYjetaIs2uMwzPMnP4E59ERYEIAK1YY0PsUiT9pTU3WdOFCCDLQnH92w6Khnot1T
db2+ReSPpkNMNMDM6RpFZiiFiALfpaI6qfZTEw7RIe/78KJqSNHd3qBrT8QU7kEEIGcI1qU/swXA
nLei8GxRIbHTzd2x7rN6533ctkKvgi403eF14y8toKVDlbXwrLQtPQgV25fQL9W7b0TWItCWkJza
VNlXZ+32Pclc5BReCp3E8+SaFuSuiX8vR5r0KAaeqdUAGeOMlt+uiEvVrWfWkidULIsiR7JgzmcI
4vo9Or/rqBBTTItxwZPu0H5YmkrREKw6VEu9qE3rt/2oah+bOu7OgTmg3Kv54hhFTb4Tisq/dHVp
SHiH7F7xrgCfXhots2rSQUSUXj+M+keLx/mhaYoA8lC0tgNVaS5dQQ/StRXz4bYvbrS1JNyPKxhu
HZQa1oV2VL4axWdgzdP9NC0fkqZIgiPtb2opQ1s13wzTN79nIV/Mw9CrbQSPrR9b53FWK/vY0IKw
dgKg66eBH8QsFBADAjvq48u9aA07HGnEFSCvRgZjM9cH567l7WcKZellKNPxx+0t2DO4CldVDUWD
OMe5VDv5p+tz813gD/0H1Uyml8DfmxvZtCahjzAm4GdrXrxS98267lhemOTtB2D03T8GdFCferU7
++nQ7Zzv1i0A5QT+LDvZV/Nl2myEObpghef0hf+1ASp1HOCI3YlYti5PgiJJyc1XSvd/eWZqPAnH
V7lmNLqE5wjt14/JKJq306gE3+4/LWboVcJKeD1JSJem/Kg0wFQ6mIIQ4LdbO/kDOkzugQ13PGcM
sh0I5NbS6OXBQ0JRk9dMbvCrFMqFbHaqgqpATdVK35a+rR9h0RJnTY3NndhhyzUktobiKUEZE8RL
U0rk94rpUHsP6WpA5mvMLrQODAiOB8Ru7OCNWihuvPNabzkI9WjCFYnYhm5haTT0FT1pM9p7meib
5lDDV1w+Dao65Z/uPziCDK5UdJj5rFefmZJNw9QlWek5iNkhlRsEn1B1TU8KHDBnRUvnnYVt7SaU
3DznDIrTZFsdXDzPld/rfGg1tdRjRpeoOuaaVZwyoIhvYA6e9gabri3ymuOXkJjCIGCtMbnhNI+T
m0vXzNvm4FfudGAK8RcU+J875oN2oogta4LGLM4JPx6MaMuDq8cqREi1galu1vP4aNfwRffuZP82
lcT5PMaK9f72AV5/CXiHbFiCUoH8ZP3llT7ipYES155oFONsNGrzoSmH+hQy0/35tqmttTG7IvVv
aDszL7hcmyUagyvZLL0SdNRHPx3b5OD7qoFWBi/io404zp66z/V3wIgl2DY5kAYmYc2uWNWzjdwq
hwfxVnQ2RyM5zeMsdsKlrT2krkWtDtw7RUH5569uEyJ5RgbRc/MCpuZ7TxnG6WdWKc588oWIdw5s
a0lQ9xI7SdwjbfSlMZRH076n++mFuW8f/bAYTzWsn3fHmaDxXllZfWe2BQVXrBSVJyDmOOVGJE7x
mKQ7G3cdlmGFoUqOSEcief1tjcYc1dU44u2iih+TSde+dlpknAezLv6ZFK0eAP34484dsrmDTBzR
C9WAQKyBZuHAfLiS5pUXIGBUHbTehM7fDBhzO912+C2/kKNN/9/Q6uovRCASo80qL2v99E3RmMq5
g8Txi9vucs1dx5rsJBkBERZKLRC+Lb3C7hLLNHur9MxJC7MzJPXacdQa45RrCr0Zw+mcS5caiWf3
2bwTjWyeoqSdlX0uiQFe2rZ60MQiiCvYSMzHTKj/BsiFQNfUelUdX6Jg+Hl7WzfP75W91RfQdbaL
Ojv2LL/sToaDsnai+3ujmZtWqCvYDIs61AhXL1ufQ5OU2xxej7I2RBMg+LtAaJfba9lyEVAMHBhY
KTq78le8ujrsaNZFWiKGnudd8EC3kKuK8cqPNdW3j7dNbS3otanVLYVWQTFlFi7SZUGMNDfIje6Y
VYb/6S/sINT5h/ebY1rVBzWztsExdZWXkph/B2CJIq4y+OGeaMDWc0LoISecZGvaWT2VSjf2cWZw
RalFNf1CCCSldpc61FmsyvaUehJ719XWYRFR0GViXBeiH/mLXh1WoFlD2uu4BED2EDGH2nwwimB8
0hvd/HB7EzcWJ/kpiYnRIuMGWS3Ojnyh+mT6XmGULePSat88lx0MOSf6zO2vqvDb+3utUlcKKjvE
YySDzOoK6dQopUcEbi/LRutnPiFlcXAMJd+TBdsoURJOgdiTMSOp0DoZt9WOm8gYc09JOoSK0XQ+
105UPRlq5T+DNXC+JE0VX4zRcjxgd+4Xc1Kie5UZiYspBZAbU+Egj1onN4EQE/hWYJdWCqQz7JTi
MvVBGB0U3x7vzjYWttbEPLlvxXYRaezsIJTj5CYWcWRbHOeaocbbfrPhojKFonMiUceAzZcuKnL4
zpKwKTx0ydqH2mybRz2I/M9+WMY7q9q4T5j0kG1s7kdC8tUFKYq5S+d4YrowYk4Nferiw4gg5N3d
Bslt+n9WVo9LxGCrHWWdHJeMrYfRLsZvudI7O5/b5lrwRVpBoPaZwVtu2zjbiTAS1mLa/XCoHF+c
O7scdoL7Lc83IRChRi7TCZx/acbIOJpSx+mQUfw0mUr9j05zl95DeOis4U1VD5dBY5ZZs5TjLOp2
56HeWCXmwSoR5oNMXz82dZPVUwtLrKekfdRIohb3ZKRdWe2sc+PyIqJj2ELmFBrQoeUyhxbRHKcB
2Qb+K/RcZ67OaaM6B5Dj4tGv0/snnNA4IYWBOow9Jdxf2espMsNjlIPb1pKfY+yqH9Rptk+3P62t
3XttZXV4qs8YeW35uRf2fnnuhrI/tln93/1GmKDS+KQY7OCYlkvp0lExi8DOPb3y9edc7a0zznA3
nw5FATkKxsgbRGGYW1qp0AqM05yrXgOJ8tSnbfhsdqO1E3DIB2NZ/8QKjS6ZfFFMXjOW+vNsRRQU
wdYzKPE/SRz33zQ9dX/0bVDVHxBFUGoYxRPnich2cL3bG7nlg3D2A/GiY0HWufIJ3+htc4gzStiu
eMpnPziW+fii6923oiFSuG1syzWQpGEoGUuMoa0uKdvMY6B5oFKjLCmfssAy3uSNFu9x2W9c7lSv
Ca2IC6ikrptdTE71Zdgzz63l4fRjqBXjWKlpcgrVyL0/R6JsJPlSqJJR9FgFA67bd0mj4uzFHGQ/
GP/RHjNmTc+3921rQZI8CLgfqyJzWfqhkplpFqcCP2x15dkfavQAsl68oCkX7NxJW0dEyYi5VOBk
kspkaaoqNcqIAlNGVWSnDNnZ05zsRoiyhLF2eU6HKS9CKah9ViWO0EfGPfTdnCEzZziNbnTshX1A
xPidZdf/klUjfxPQ90I29H4oA4U+XAAqNU3WjlZ76TKhq4UlJ1Y20O/VWq//UGAD3/mmN7fxlZXV
NgazEs5pzQLT0YxR0YyM6MmIs2Cner+5j4SHwDTl9bRWesorKNrNkhH/MC8H4AXqVEsa+eAShd34
3lDC8AUFkOZN6vbEjYbVOTueuXF3yXI+1XV2VFCTXrpLa3XaBPUuXfIkct8WgRafe1VR/5nqwXqb
R7DGO3Zhe/zHbnC4+6MAk0Jhm3FWk9h0FfqHEQqUjfK/nJ3HktxGs4WfCBHwZov2GHI4opFEbRCU
9Aveezz9/Wp0F2wA0YhWaHYKTk4VsqrSnDwHeGrrWPWrytDY75kyGn8UjF4/f29xO4JgBhVOb3cJ
ZaslA7U5KQIz6pjIAXdq8SrHqvnt8YI2fObOyuIuQfcyREkFEOxc1slLIFeBcTWdsg7O/8EOly/3
lSCLe1fE/ik9c7qob5KK1WSD0boaQx+1m0zhtMfrv3FrkZqhry3ziQB7LU5aWcqFPdLouXRtcUqn
Uj/ZQ/xbWRXPo4Zo876Ti0ORgMDCYuMUdVZwBgxFYe68hE31yVccayfA3loNUrFQdjAJJODQ955u
EwZE3czIqiZzlNqy+2TOZnjMunj6+/H3EQHS4nJkppn5aVEEJvlbXI5Fj65f0ShYqvqD3zFtdNAK
WTslXdt2h1Sxc6RyYZS6PTa75X7UZgWOUQgZLmvAiIV13CWRYH8YTddWyuSoQzHw/PtiklJyX4kh
O1pZ99uYzk6SSRbodSPO4kOlqcM5snYjgK21UI4CT6vC+EMpYmGlA5uiVW12seFjcK2qK94GLUh+
PN6xjduXcgq1UebqUXlarqU107IE04EVJ+0/SFMrGycSTvv3IOmKQxBW9jcYqJKDEQZS5tpVrOxs
5oZPUthGYgKgGTjb5e0r1bNCRg6gfZ6ZNcg6ZuCg7Rhfpgo1+Mdr3djRO1OLOLEwnFiLQwZAmf2z
jnZt/dB4wf+TETBKKs+ZuG/vP1uX6WXa0i2CRTmtwLI3P3o5MK//YSUWZSmQSkhaLAOAUmnUbECL
9JLLIUClgddCIco/Pbay9WkQBhJ0tEJDftnE0TINdo6Y/WrSAI1mJ2qlQ2+k7QdU1IZvj21tfZt/
586FYMQqTYm0Sm8GhXS5bSv6io4YL5OD8st/sEITHcpuALygNe4/TiVNdQkYA2cbEGxxFb1KL8kk
z38+NrNxqAD+kX0DAWR4ZzkWK7f6WMZRT6wbt9PbPIVmV7l1MjCwqkMx1LiZHHbT0emaqjolYdi9
9J0/ROPO0draU25Cuh4orYMsX9wgJbrGYTH42WUegz+nOFJebSXKdrpHW2ulY8o1yMQmaLnFlmaN
DL5R4+FyOi10IQS0IWnrfzWM9pdQ1T5ocf+xb9XWTZR5B6W85Z68ZBw01gfqZvFkDgxR90qWcZxL
wzqSjsmnoC3AgFfJHnPY5iLfAd/0XMBFLxbJgP9cKibzWL7R/l2lkO82Vn22HP/32ZrPUjTCHKN9
z/R051SIJSye0feeBA0DkcUvZd/bzg+qJGHozM+bKjtURjB/1yq1+WLXUm19CVs5Ns8RQzr1iWLC
NO88Dps7zDMKCpp6y4pUDDIQVCYTJ4NN3zZRMdSk/iAraX8yQKCo7uNDs5HFC2lxJhbpbRGcLC5O
hKKSytKIhZVINo4orGk1M0e95gY6qb2VGMZedXrrfIjjIQoHQsx+8VUnX1fndMB1x0LQNUyS0R8z
X9banZVt2iFZg01ZPOhLbjZG0Dppkuzs0itOjuBIPx9ssIrP12gtMGBkQGTZMOYvVqN3pcZyAPsW
EeN7klGWH4J43GPC3FqLOHMEw7zXpL73N6g+N2GhtrhEIckJJLZlcLH1xPr82Be2HO9nK+Kv+Cm8
T8yGNnuvQX/ZOPHfRQn5hOMEwR+pP8jP50WQrVM+YoxEQWpyYcrIpK6kjsvH6RrnOFRlcJwB7D6f
r0BuyDHWaIIwfiYW/NOCZN9Oi9xg2+joJn9D5OW7ZmFr/3u8bVtHiE4Gk/78UI1bfByqHiGCv1wX
AGf+YMDys9I3ziGtpd6Nxz0kxEaIz5IohRkiqFqxdjARINspfBaXqW9eQ7v0P0qZOf3Cg2h+YVIA
kIe2Jwiw5RbUPeA+QXWACv7CxbOhtCRIy/MLHa3qAI2Q4ZahMh8E4njnzG6tjooEaDh0ioiwFmXT
UEn6KpBUHpeo675ESp2nbqsawanxZ/+3FsW5E2wiT58uXJBxH4fUAsvM+9y7yRz3YzhYTX617Kb8
pCWZdUCXvT49dpPVGcYKWTOzndQvBUb23golpVpGwzW7drY2pq9qObTzm2X66Z5q4Op7YUgw/mNC
pz2wRF9IPRjwJkrTK0N0NXOqeohgrFO4cdLsvR4baxLQC4YhwMIS7Sxcv4kkdYhNO73GfufY6ETI
8bkeNfXZE0aR9H3aHAZnaPiWAzF0k8C7V2FyxXVCLx8M/zvkoc0hMBDiOySKWR4ff6v1FlKZEmTb
ItvjHlr6YdeMxthV8dUIw/qzI8nDX341dDemH5wdjPYaSUzzGViTIFcjZiVtv/eL3JjaPozr+KqM
TPqiIjm89Ghnf+onufteF5p9kqXOeXH6oXnJyza5Fk0evQXAlHYWvf6YXJWCxhymHL7lsmfRZ0bj
G1nGoiHy9mSYqM9RHCs7VlZHXBCDM+XLU8LEHhLe98uFGN3o29KOrrWsSlCEjPbnwemnQxDN3Z/1
KE9vxTDLT9duhVX6qGDFKRiulAdsqEioHUzRVe6m+kunyePnmirz22O32dpB7KBxBgJ7XX+R4Pm0
U0OPrhVkaIekaju3omixs4Or94a1iPgJKjkOOFP29ztom1mpBIMRXdFTzN5qLUThKXdCPQXyXg3/
M3Qgoo/X9S5+dRcRY1JQOEK4BRcmjnpvMsr6DgbcMr4yce3435Akj3vXVGpN+yRROZ6v9lxq2UGD
5nc+dFZv/xh1s/aP9FNk/ySXSd2+qPT9pYvGJ9YPddZ2iTv7/Zi6Hbei2lGwj4vsk9zZMbITgzrl
0hdfd1r/VUH8cnhJIeczPaVNpOgU+1Ff3x4vcX3iieBokYj9pBS4vMlIx+tZ1kLpIpnIQh5gl0l+
OFUeALm14ub7Y2OrBEPEPRwwkQuj0LVM8cNBKwNSmxgmkrI8W3Nbvsy5XX+yi6b/oKe+/PcEEIya
sdNfHltee6gB9ASBaoyDy17iAc1BQfTPlKOrIqX2yWxyACCofD/7jNMo4UmFSoOdFOOs9+5iJHZl
Ko3JGQ+cuX0hSVSTM9NNTeUC7kdxClxFl1wrMwVJ9+QCyZloa3AGOX/izN+bzrSA3+1LwdWRTF92
k15SjyncxXtIg5W/QJIPxlZEYIx3M7l2bycapcg06jm6an1iv1EuQu2sjWz13PYtGKLHi1qd+HdG
fsb7eSUoGi6dsxJsfqXWRVdpVP5CNpSxrkl5HRzp0yzVO765tTBkw8llCCA0rN0vrHbmrpAKM7wW
ql+f2tQ3r1zN1YsP+nEnPF89BZQ+xRCUII2kf72ENfoFtOFIRnCRTbESf2yGyDA+D4lq/0DYI+KC
mUItdvPWynZ6rxtrpH7B7BWpIYDhpWEQy2o2orp57ZteOZg193Tf2slhtMc9KorVgWONQoWG7wZ+
n0GPxXaOQ0jrgaNgx1DfoSJVu74y7AlObi0IvyeDp80rKmD3VmCb022o3OMrs6nhKQ0k1qLJ8WlO
ij20/npBbBpz6uRuBH40Yu9NDdI8F86kB9cyG/vTPNnK59Sp9yCO6wUR/VtAJ7imqEsuO0CZWQVz
bYfqJW2T5M/UJm93tDL+FtR0fB8frrUXYgrqBEHXQUv5fSzzpyQxJ84rZYjUeZqMr1kdeGUXfc5z
5Y9qyl+bunz6fOkC0CVuf67H1eSfHFHdZapBuZRha1/9Dr2q2FBLL4V8dufa2NhEHAJgDoECbm6K
T/nTymqAfyHwf+Ui59ZXRHbmG1jzxFWkNtx5VjYsMW9AW0ZkAVyLC6fomMxiLllRLumUaSiMl93B
LE35gsrBniDD+i4k4cAD4dLlkzEKdr+ovJ7SwbQhry2Cvj10DMEoafKXHUvHmi7Ajm9sODvXrRhv
ICZWmMq/N2ZqgSo3AMoujWxpn+Sojz+0MoLRjz1w0woJOiO/Qr1wCYRWwNGWzPQol7Yxp9cIjpyT
HMZ7We7mNwIBTegoWGmWgBO4oREVZ77o4uTMD7nM7FLqqxw/+quqzGavs7ptTRCiAbHiPVnsXGgH
DH+VlgLT4mAdlEGpzzOaQ+e0fJ5LjhSUmI3ABmJbKsULN280PZciYCkXO6yNl6jK42s+1U+zGwsr
IjGCMFVo3i7q3k3k2IkTG2xfrwy3Jte7sz9X9U4Gsb6McDPwwQy1AhYg+7x3uNCvRjsIE5XpJEFy
KGdy1pxny8g+qP6YK26fMXXm+og0Tzuuvv5ghlBWpcxOMQz+5sX64ECSorjWITGMA+clg6TBbUfH
9sK5fJr8jzcKyInAcYH+4IG8X6Q0jr7V6SNzwTX9fcVujYNiT3ua1+tTJeAtOAQzPBSTligPIJ8y
dWxnumRBOrhW1JZumk17rOxbVmiDiE+logi6tFKG2QxDejgzxhMOBxJ89Vi29l7taJUwMAAO3ALC
V0VIRC3xnlIp2U6TjiOjErr2Yvu5+Y/eoeKQ20X0vZ5n+9iETv57WrR7MwBrt+DGYE4dqCnxEvnR
/beSEfUKNeZeLk0w1tesD+ZD3VnVKSvjpxFB4nLireKGgieEDOneVOrX1hAyCn9pbEZimc01bJf+
eHqbmqY6oGFhncUfkx3aMVZ+f/YKBiFHlE4wyn/83NvW1WKG+y0yecAU/++IuSkEwNrq76etUJgj
esKUAG4ubipLjq3ezzsDyqnQhJHMzvpvbVzqe62PjY8GuAlglSgtgVZbxPCpk8VhlQXaJW9C+cT0
a3+spyk7RmB7Tk8tiddRoPFAWovbQ7ws9xsndcUUyHoIT6IV+rM7aX0QHHJ52itCL87Zv3aQDERg
RJyFZY02qbl6C8BUN22ypYMShvopZIpi5xJcXL//WnGYeaHMiBTiikKmmOcxjLFS53H3F3NdFvJI
ftDXRzlTp3/6zE60WzTZRrZjeHN5PxleXIkBzwuYILO8lbC5fUkphXxtaSLv5OVbVhBfZHFCZZTp
3vuPVbRMX4/IMN1yi2QubzPnGtbS9ON5l/jZymItkoW+TpNl1c3Qu/ljWNjOWwyFxp5A2CIQfP9W
YMSooQDg4oJamFEHv5hblM1vcdh/MNvhS87KDkaHnNpYwvf3/KJ4GWlDE+ECmVlYs4PUn+M2a29M
POrjETxaiQDeNMt7A7VbLkh0y02ILaoYi7MLfqvVrCJpITltAFLlErwRtP2Kcfol7Ko+/yj7YVCe
0LjSp+vjNW7sqAGEC1AB7RfgT4sLuND7RKcK192aFnjSoZeBhpytMYNeuW59zfgzydIBhNdjqxsL
xhmZmYBdiDb0ksm/MJVqNnhSbmkcxG5imP7FIkKIXCJFtN6UKn6xJb15Un5ZuA8QLMSK6d0KSYRF
Yj6PdZAM6YxZVRpQ0Sqc6CULZ/Xz49VtHDkKbXgn7SU+qbww4yCmlzhRWN8Mv/E7d26ISb6F0RTs
caFsGgJESgEfymrKDfdnG+KnXO8jk7PdW5E7BlDjSf34pOyC2DVaZbSXuPW5JTXxV/ycUk4lWj4Q
ad40tfgwSlZ3NZTZvzzes0W0gxHG88UNwimgXL882UlnqX41NdVtNNrkxSqbP7uqohyE/NmLnapz
+eYHvhEe01wt9rj112cAUB4JOpUNZkR4p+8XWDhq00oUZ29xOTSfyzJFa01ShgnKP8tCn8AImuLJ
ruf7egVeU0A+iO6WebphZrI1aKxXLwhEDhXF/M9lxujLqUyH6aZbfXuk99n++Xibt5aKxiUhMmA2
hpcXoV0ttREjJWp9U2hc1xd5nECOZjphGIQPaaS6XV7o0855WJ92AC2kODw/ouSyXCuDo4odwP19
m+Kxfi2drlN+ySEmSD9KDvxWLlNiUnQti9mpf3u83PUBESVbsI7CfalcLQ4IeBRzbPqsuAWtn734
KFLRwSifnJQS35LBVTBDtLHJPpYS3owH1uY0DMWtq8bkIqlV9Ta01V6rbuPTifFYngeESrlfFp8O
nLGdx2la3GT4wl7MLHf+QRmwP5JW5hlgoexJZdR/lwW8QaYWRzq/rJjaegouX1WLWx0MCdxoHXq6
EYrDjz/RIm79fytkOtRkOXrLHJTBFENvE+jEC3MqDkVgdq7qA9nTCn+vjLTpDYyrCIQ5t8zyXq5l
X9EYjGEHB6M7292Q37R03IsaNhdEq4Y5YxDFK2/nQQ0VwBPFzY+Jh4Kono+93g+fhzpqzo/3btMl
+D5izJ1S3LJUVcWG1TASU9zUcJgHN/Nr9YyAMMQLymRYHxS/VJ+rov/7tahqU8iEeBGs/v1VqQYF
cSpiTLdRS6w/DEi43UK2os+ZY+0pdm19Le5H/IKROh64RVCEygPCVfKEY6hKf4LpyjyGALrcx1u4
9bWYBmCEn+hLKCDcL6gRwyKjHpQ3pn+7b3Fam5/7wGm8oJL3ps+3TIGL50BxVIFwLspjvdSaVZ1i
KiTlPgRN0p2mNjeOU5eHO1Hd1t79bEr8/5+ebHKzuaLlV9wcLa6KI5VuMz6WBII7z8mWHRAgHCle
UIohi2+k5MqsjEpQ3MxMG89JaJiXWoft9flvBFoCqBE9FVHMvF9NUQFkrqoYxYG8LP0PzBTn+kFh
wMF/GXJUDf+DS0A4KJA0OLn1Tlv50+bF8tDauTXjeFNXHvXACa+xWmXupCbpzgHe2j9ixH+nD0Vv
8X5lTG5A5tFwp7Nr87HQstmty7Y6Pr1/oivKMyjKOnA131tpi9bBTsWhbaXBQMWka3+FvFftP1LR
UYIdaxuvPRAkAmxqp3DpLDUL49gIcjV3uFt9S77GGfSbgTq5U2C7CVLxh0QPkh13X92DNGSZvhYg
MjH1uKzkRBITExDD5Tcrk+Q3M34ty0Mpz+1xgCj99HgzN23RnuIdoVFFKfN+M3tdLaXaxuXtOSRq
ktKuLs9FXvPVmiDW3mrJGnYu3ZWXkESQGBKe0i4QeIV7k2VqhLpPA+cmT9H0MaUyfEgR/fjl8cJW
1xOBgmjn0E6kEIKdeyuSP+qp3aZYKYzgoNat/loUU36NnWrauTa2TIlRduaqwJgwXXFvKhoKObdz
mOvHMShcit/1uRRXextHwXPQ9XeqSAEKQKSI88wbeW9Kzns1T+cmuFVZalx9SXZe1c5KP9StKT8b
bIoCPq++6OnQ9l1uoFbKYWFNRnALYgsxV6n6NU+mPS3ElfsJJQ9CWaD4oFup3d2vJ81T34qa3rqq
xvyaKYoX+YPtIl3ytZf8J/sD3Ok0h2hQkStDtE4n5N6YD94j11DxuMWE9yez9cPUtf3YP1b8sydn
ht6NURIQMfS/uKN7Y7rSBkJbJr/FRqwe83B23FnL94CS78X5n2BNwgzvFcksQABR/l08JswxD4UD
vvVmq63fu2neNeUh7KJMv6aG3RReC3/J+ALANz3WJa+bmw9R+FqFSmvs4MhX31Iku1xYiCeDFeby
ul+xMQs9Gttme6fcQQjbd+QruD/jux3X48cG4php52lbW+RSpmorIkbBZLp4CUrZ8tu8atNb1Jr1
742l+B+Y/80Sz+4SKzsCn4mUHZOrywuyIuY6RfnRgS5uOQ3rtK1t1KWe3momqN0sypSDPep7g4Kr
GwX6ZGbQQXOBtwXptPDUsMGJR9/ob8NEN4ZIBWXolontYjb2KInfX5N7DyJnh1eKLEykRcsV2Smn
IWiq9hZ2wfhRVyZ0fKqwCbAoxx+cFAFAWzE6V0NN9FKqef6BvM36MQSG5Ua+Hj05XIFHU0uDQRui
K/CVqwldhjkAkFZZfcvztv4OjlB1a6dNdpx1/R3JoQFnvIcRKgCoe2eVG8WfRydobl2vd+FpNDUJ
8SfoDJ4N9kQaTW4mCG3pvy9DytmPEEYNm/aG5Hf7KSuM9DxpTfId0Vz1+PjFWy+JFh74KqqBLIxu
8v2SGAsY0kHq81sRQ5bsmrNkfG5Uefz62MzaN4lcwRPQQrYQUVkCi6e00gj0Zsy0pn4ggoGjviPD
jWbIgR+bWp1vSgOsRBAygy8mcb9f0TTbFXOQxXyrgqFyw7IPUErXkiPNyhrN+eL7Y3OrlYEWA83L
u0fnBKTaIhZq9AoQl6N1t2RG1zgtWwWGS2h3eNz3IMQbpgjwGOkQtzaE4Av3q7pAtidj6m9FF0xH
i5W+dplSvRSl/3TRSKCh6R9TiScNINm938SwyU3I8GL11mUwEkDvVjKFZWY7gYn4g+9uEfpaDELR
QzNBLq6gGbNZOmWlpCrZYBucw8G3EENNoh+9jvSYkZfqh6ziRt05XeKLrKxSiKOpLGiZlrmNNmqO
NDmjepN7zT/VYV2f5taOzk6VDq/K3PYvVq5nr7WZ+n/D67FXsFidOAo8IOMEOzkdPXnZ7tWLMmbo
wpluUm3KRwj9R0gGm6cTOKyQf8ArCw4Kn1nk9CAy7TRROAVNPubHqTf/MZpKPQ6msleTW66H8IhE
UdDgQ0kuQLb3ruIz2J8mYyN7TOZInwbOuVdq+l4Lb+kq71aoLEIrJJiFlg/OSFibOZE9e75slwLe
+rXWh19U4A1uGxp/gGI+Pz7Xy2tEGCQ6p1hL0Mx7ujhsSDLEkwX1vpdm5ugGVmgepzG0XF1Lf23y
8MtjaxubKIYuVPI3FLxWlIN1ZZSmlVSj1zHaf9RryT+0UVvtXI3iU/zs+YQ70PvQiKdAy2W87I9L
IqIGfjd4QZIXfxuFoh+Lce4vY+WnV79qtN/TOM7PbbEbsm9ZRkCLSpJoceD9907San6VGVY8eLoS
V8exmZujWjXNkT9nOtuZVbw1I3w2flU73x7v7PLSFGsmLqJxA1eUGCy/t1ynYzlrw9B7SZvLJ6D4
0gHhBtnN/fnZ+xlNLdpqSF7xfpGuLiPLMQKGonZ563XlbH6F6oDJ70oJv5bWuDfh9/677j8lJScK
4IKCXySQiwvaaVM5jHql80bNjGX0UOcs9GKpMftvPI5pdAz1IYu/2kMdBNep18LZbcYstl+V3gmV
gyODEvIIqgLpNKXyGBwNHY2inZt2vfcaVWaBUOPRWo/4DLo+DOo4dh5zVOA+kA4sP/WxXZydLt2D
Cm3ZIi8EJoET08ddbIjRF1HcoIjrRZlZHDpKaR+GbAg5S+X47bFLrQ8rjgwkHTl53v4VhWYShErO
xDkulZTNF8du1W9TGj+p00a7CPgq8iKws4gBlCVoQfazorEDs/H6zvEPUWqmh8DU251P9H7mF45E
RkIezWtPwr40Uzkz9OMp8jElxJVndZDLq4yo6T9jAI9m28btKSnN6SVEFuRMU1o+JYWcnh1jHnau
wI0PyKzbO10Q/TFG/O8PauYb8xjbcuMlsZy/Gn4Zf6zVdqSelY07LAIbpohqiNkYSuR+XxaTUp77
Ec5ax6viNvXUGDxNZUjdZQ70J9nB+Ip0NincUwWkGkLodr8qdc7apvcz25PTUnGDuonPQVD6O4/V
MqQRVnjjueZEl5qbbmHF0kEHEct7odUFZ8SabXBJcXGFWds/N02ffNOJejwny6JzOZnJ5fGBWN/u
1FWZbhMJIcn6srk5Z3mP/p1veRWgwI9TZ36oCLtvJDjzmZChOs+9onzSGHY4Pja8fqT5eGLGV3BN
MaG78BnVbxvDmGPb063097CCKB0i2wSGy3Rym0DeC0LWB58TD8c8V5nAACzfT1h+6oQU1PKkKIHH
M+gGr+HVOT1e1PuY0P2RpESA1wh6POoGy9JgWPkyUbCsetWoTH8witKEB1VDrQ70YWj0HnGr3B0t
UM1c5M4Y/q8xtUKBCrmyi0+53Wr1LcvqIgI1yUtEC71VlU9JVlvRDcS6/9sQVabqTvbYSdemLvyP
c1rADe0yNWEE0MhFe9wZa/8APkxQAx87bxbJ7b17UpqcSIcMxaP1w7jJ5LeyhnLXmA6fFEovwzmX
GgOkQSVRe7LNqVR2hk3XfkKyThcDH0Wuh2T3/g8Y/LmF9zpQvVRBr9pFi7W1vwW5Pf1mj5Y1H0I2
pNu5ZFbOgi0hEMVImClgneIS+qmFIhEhMN7axl49p+MlccLo3ICGuD52li0rpLkCXEmuu2JunHS/
MGgFJZ5eSqF/0/2qKw9wJkzpzkOxYYjRYIZsOAAsZwnFZRKsVZJ5SLzULhmjk/P2VAV1+PXp5QgG
INBQeIsY97/ftLrIGXfUwtSLg3FwtVhrDwTde+Pbq/uf4h9TSdSOwXkAQBFr/enTlHVk6OPgR14x
QM1kxqX6sVDhydDU9ElNQ4IRYYoKmQB6MaG06G41aYIcuRnHHrCi+ShVo39AjcZ6ssD4bkUAPABe
UGFc8rk1eR0WtGsiD2MVOYqSFtUhGcNi7wZcpWEsh1daQHkpd/Cd7ncut/s0d7I88vqhtn9pk1k/
pXFlXEZdDj4OllRd6JEqT5YJxOroT4PxEqy/ZC73RimFV2OM+psXIvb6g3mO6Udq9+GH0OrjL5Vm
Dm+xCevm0574Xkbiownsx7KaKhv9pCuJHnuZKmVnv4pk4L1cm89bYQ6QSUCggICRtPulObNNdVaP
Es+KI+2kB5Be+oq+h7Ld8Hf8nHgSoDcN3eUzGYZh0k2ZlXiVOgzxBa0wfT5rSRMGh8zJdnFsW+Yo
81FkR9mG92txvCx4QWxNGkqvqgPfG0aefbtRwjOoo3znkl29LNR7uWR5jcHCkqUvLtli6sumrcrK
8x1tKI8OiIz0E5MRZnYAxKyiWRs5pUrINXf9JdBKmAAff8D1WlEYAcFG8UpEestOb1+qRmczEONp
vTEf2em/5bKsDmE/753x9dHDEhv6zkJJC2NxNQZBnUNk2FYeLCv+x1KSdFTZLeuXqrW1YzIaztWw
5ug5DkeRS0GqwbvNjCW0EMtaWdgDaTaitiCDm8cLk4/NoRoBBfZVku8cuI2dBEIM1TGjnLTO9MUp
9xPZdxTfLLxKQUWcYos6x4dBHZrmpLSyL+3ErBvbSeuVcJkJKc7d0kmBCiBj5xBv8NwMZ8Vvpw8g
baY3i/HHN3NOlTfEn/q/HnvLKk4nNeU2ExIFBOvkXffHHQ3dPsn9JvYs0oJXaNu0k5xzVY9JDrFA
XoYdKtbJXKa/IAwl96c2y6ydbRaH7y64ZHSVl4/4km6mIDK7/xMmZt+1obelG+RpESrmlu3yeOy1
GDes8ORxVTtC+J6q3b2ValLpvkS1f5urIHxjzO5XBlrjnYxxy4hoQYmiOI+svDCSqHNrVEbq3/Io
S8/5lLYHLYGl9fE3W/ulxkgEWFEBPSC5WWxYwpUSqnoeeJMCucUMfaVXZIx3hoa0R3K0NsWlSf1I
5P0kjUsMvMN4TG5oQ+FlzIaNBxMBIxidDcmIIOYZ4ON+vLK1N5LG4ProSkHZDjDm/iNJadVPZm2n
Xpmk6jFLNc1Lcb6TFozjxwgFubNihdaxbILhNATDkxzdHAQyVp4IxsC5kCmp3JvPUvHuSt3sIZyV
SsdC18CP6JQ9ehcFimmPVW/tLZijasOgJLsLtufeXMqge9Raxexl6aRfw9Kxj2iQRKfHe7r+hMwC
0Q8CM0pxiCD23kpLzDCkUzh7gW/SOKk1q3GdNqMh5EP2tVcG3LSGarbYQYpfqyp/OyL9LVmTp8hV
czHMHrmfCi9tEGv69fHC1tvHG4fQGUrIAGRo2d8vzInyAUb9sacerlUBBfE4ZlBIBxr+2M56SeIt
1R3CZp4bCKMWdnLAemRqvaf5veyiplhcU4gKzm0n78lLbS2JFI3M9L3Qv6TkcRrEnmaAJJ4lddlV
dvLuHEiw3z5ekNiY+wtX/H4SQF3ImazetXKURo0xFsWzZFD1UIhpOWpdIRLdkJwPY38mWJefHEPm
bAl0NLEyEA+SqWWr0MpDZfTtUvESIBvHGNXsQ1BH1qFzkidFzt9N0dylTEEJBpTqwuPrLJvlOYsU
Txtp6E59mp1RGkx2ztX6W4n7kND1fU1gze/dwlDLCVJgTfZ6SqanOlAg9yqnPV21TStgEZFAFcHc
ssATRgqcPYEte1bid+epMmZXa+s9Uqb3pO/eJdgqQbYjABs0IBeLmeYZMph+lL3ZqoPxjH/r0T9j
mqn5Sz6qrXaxKMXob6009dWhrg3IcnoJ7p8TV084fErlrgqvZV529jVIDACaoeGHkuTKWdUYDHBm
qf2rMuVJdpLhX+cf9DmiJXETEpkaTensyVdtbZuYn1bQ5IJYecmuE49qXRMaTtTe4/FXlYH7FwHU
3ztJ66uBUSIqcCCyeDSo4N77QECQmrZTN3mWL+VnOXdE/yixD1pQ7VWsNk2JwAU0NNPay+yPz+JH
qHJyseoFoPJyYAoN+ilXq+rm7fH9sLF51KLxNdHPAdi7uFj1Uo2srIknT26Q1pumSnWt3t5DpG4s
CNgANUWEWxnkW56fKJ0CSF+m0WuLurpONcwlUZmFh2Jq95Qc1qagC4C4jjYjkdOKY9vQJacrYr/y
uBrU1zSVlT9iZ9ReGLqRdgA5W6YoNxO/QKWzETBN0ehYo1Z7DWH7FVmW4tD2BvTUpb2DDF2nC/C+
MAaJLfo+hBD3vocGRqjGXV15qgrGyk2CTDJdqe6lygWOWGTnflTC4gz2OHaefhGF9Ce5ER1FQOZL
csiiLWyj48h7VTEpN4CK7amRFOucRfSFHvvi+q1CbBTgkahEMLO3HA4MUGXTw9KsvTqXsmtjpc61
VfL8kHVZf+g72dxJ39e+T8OJ957oj6os7dP7XaXSawxdoWdeODjZDRC4fgqk/uvjRa2dBCN8M5qM
9Ex5he+NDEmW6VU+Z14+yeF3Jxis48TIyo16wnB63hQJiejhw0O5QtoChI5kcqvMo3HVHcK0Mty0
9oNjXoThfzAF2JuxR7JYKn6LVSWCUG7wh8zrTON/2lyrV8bLgmNQtvpOArR2CoIx0N70tGmir1i4
nEktUoSJK2+gJfpnZul54aHl0U1nWWni0CPhVYzj443csonDkzsK6AVQ3/tvBgJOL2PEFbxgDruv
UK41xzjTonMQl9EfyDI7O/Y2fERkBrg9/QHYaBZl2sAoZHmW8tIbHT2V3EwtrdnVK7lKyLzk8p+n
VwdZO2UjfmiOL2Pcfhxom9Mc8MpUgu5aV1O3spVf/VG6jfNYnh9b21gbMH1xe7GwNSDOjAa91GA3
o1eFZta57HKlPqEbUAdX8JjtnvDoxpkGS0hLjmyZSsOyuWp3zeyUaQTIxE7Hr3JACjuUdf7l8aI2
HITOOCwn70KWq3RkmHT4Wlq/o+NZOGfFjEKCoNK4tICZbwlCpE+/0qByBHsVoEwE65fdHD2PqA51
Qe+BMrDdQDMmzyiDZuc929g7wZULjooJDnCMC7e3hrzQVKY1vTHuAcRlTnOLaVZdH+/d+i1j5oDf
zgUl4qglGCemUaBGUtJ7EnDWX+V56o/6nJiX1reKI6ruzUdp0pRnr3p8Qsw2s41cIZBL3Z/oXI5i
M4Ln0RtqRfsSqVr4VlfW98crW+0fRpgBF+psxKF8r3sjwWRHbR5KvRdMg32d4jg75Em4x5K7ZYU8
mHiXSgJ4k0UTJFO1yZGIzT07KdJjm+m9qzvzXgltdWzFIYIwjX4+hJK03O7XAq2O1RXQi9G1n6xP
CIiiB2BV8achz4Lnvw31EKDGlEPF678wFYdSV2VJPXjSIDWqJztZOx5DBI6enW/g+iHfobzL96cY
sywLtro08OXzweOY6V8sqa9cDbndb097wfsMD9ESuQKlmPudY7QBrfsaVzPGYGopWHfdrTVNI9rJ
7Fd+IMQ2absCaKYVBgf6vZ2u8/uWp2T0Inz7SPI4fsjCsn72+sYKt9w7nJm2q71YDUPNTk9LX/aU
KY0O89CE/8fZefa6bXRb+BcRYC9fSUnUKe4lsb8QduKwk8Nefv195uQFrkUJIk6AwAgQxFsznNmz
y1pr+/XoFUfR72ocXh05aYpLStAOuJ8LdLmgLDaGZdEK9dFGR6z0SzcaCXL5QAS8CUWY4/3vdFV/
tCDV0I7iT8Jb6p6X5uaVMdhWysqAO2YntRuU7+M0mJ/7Mk1OCUEJ+E5tPhhG9KtFE/fhvvUbiyW+
oA4uR/eRTMqv+3sTeFaqGWyK+pgmmvlk147HBLEqDVIjbXYejyuHy0ItupdSpQJQ15aCn9lWNjjQ
BB5VKoPBUg3vJtc8Kno+HR2nfF7Lek8r+fpoStYhF1oSesGobVLl1KhLYwEN8di2w9z4tqL9BV/P
ey3KWM4R9cCmGVL8EMbj9mwuRpZxDdRHxRBADkeHm13Tt9CE0+08WtefC40qydgBsCVbmJsELEMy
IWe8s/aoVlX0a+rn6VgJpw4MMag7/eYbpkiSpTQ5uycxApcnw6vGVSndNnqM5jpt/FSdraMKc92P
Ym95rR4LWygzchoxEh1Dze7SGFMdcf9eFpGYK+k/dmWUj4bevHIeH91f3nvuNPAlsGLUVS+ttAXM
xjLKncc8narjIHSpQt3WO5nC9TmHLwCgQuL4OOXbMeYu8NMkUnP7UWnS+pSncd779pS7R6gl6UM0
THNAweDVZVyGCtCghxRBuMm/b856Fcd9zrPjPBrCmHxOTx0qplh21nYVcPKO0AWSBqipsqGXOzia
GsDpSDcejcbQj7bRJB+yhN5JbCjOsxsb9WvfZFlpB60tAZEkC1tdm0T2IYkKuiejYYI5JMoadZKo
+OOVTpD3UUKWgc/zxsDkulxVFFWTwrhNrORx9L1fzMr3ynZ6nod12tnAS5fEfcL1gVAix5Kys1fg
OdqNEcJK2nAS7lxiBjSd4c/apOzRQy+v77+GCKFfBhxKcs7mS01VRHawTuOp9bTqFM8jWICxSZ+Z
XLTXTL1tiiyEVoWE7W8urxFnCb2MZTxNvXGcDaN7V2v9+HFY95DUtzaPFxKot8RT0xq5/E5xB9kj
71zW1FPFn7ys98vF2FM7ke/7/9el/905UgMImcSCPMub5STM9GH+Ela63oyf4tm0TkpqdAGgMDso
gB18sGtlfurVYSebu4wEXgyTD/NQcTyAB26PYcMQoUxnGMkp1gwlBFqdEBj2Qg1Ve24PWdaoZzCD
2olJtN7BLsy9aUY3vqMMgGUHjQftqrvQMOEzW1fs95VS+eqU50GXVstjWYlsJ+zYIPf/t1a6rrQ+
ZdN6K6gqFLM10kJMp6VCqiSKdC9UqnYMDTPuDjbC8f6grcuTHDYup1Y6x1RjlMLi9o5vaXN9Hko0
VKo1dz7fdwU3jhjkUQqMss8t88LLI5bkLTyJMWMP+ko7rrFb++NYRYf7VjZ483+Xj0PjTXtRudp+
ai3J7dythulktqCBKmAfb01I48zr7qJDPhm5HxedHc5W1wdKx6ix2NOzY+a0/cf7v+TSof/vh0A+
g4NPiQk0xOV651zpu7isppMTJbZfeK7y1ECZAqMX9adRKK8jkv9rz0bZnVwBmVt7i9GLERzMJwrW
JzvNQCrFNOIGrRa05Ko9fYbr4yw5ZgR/lOBdQBibe9ytq4ZivsHSrGl9ZxS596Wsi/yYofI17CRB
t23RaIT0QmV820RFnXLJktmdTpnZkGt1SD/4oDAYB+b045f7n2xDO5Z7yMLkUGE0UKnEb3slE01g
LS6gDNndGomnYmzj4e0CL3c6JYnTG38suWu/V9fIS31rAmpsVZrVBLHirSIwkhjdNF/Pa+KUnV24
vjyAyQgMUKJ3ea23yA0TRIgwFmc6RVaRf3ALptYlnvc6EYx/lw8CDHwBmESa8JvvWpil0vYeVtaq
HB4Nu9J9oXr9zhW9uRaKAPIVANa7FSbMnXi0AdXPp3Xx/kHvuQg8c852ooEXJO/lW8ObidaBJChK
wtTm+rW8KULRmuXkTdkgkK6MkiYwEUDr/dnoPCVA/w7iXd1NrjiaapSXYSGMuA0jxMW6J21Z9PIw
qEluvicWbZYgZ950+9DZlOD9RRu7vdrSjYOOxo9kGryw9LZh5riuetIKJH7K2f1jWRFgN5PpG7DN
vREbN/afoAW9NliOhIDbfoUBBacw3WgmdKkVX5RdHpTRvGfl2v3J0VKUvFGogTS1RU5OWjPbXd4u
p0nek3YF4qeWT0aMmK3VGzv4exmebD424R/wTAJaCXXdFBZipk6IBRrRqVSKMnAGV6/8zjXWo2Ut
2VPOpLNT3o3pt/vu4iWvvjRLXkU+goYErQtoxpcufsy8vB/o4p+avo7+iWAZd6FpZmPm116jed94
fKavKOcUzlOdTkPso1Ocayev01LvmNqx+bfi6YsZDMVSySEWhRG9zVrHzRhNZXb9UetWaG2aHCn8
yx309ZkGU/G1X5u8fzTrLEY42qoYetGopfukl4xe90WrGHWYRrr9dc0ipfPnaUr0d6UQa0d7f4Ul
IOcRibM+LDbjGyMx2Y/DLJZYOxpzXv5S0VGLwqg0hOB2WOnS7tzM6+PnggijVPHSUCWguty0TF9H
G26kAXNnrc7JWjYByfDr4NXSlZEIwBZi7g1Jr73t5Sdmns2OvjgnrVTztzX8ocdaFXvsiOuAlqAZ
4pVO1w9IkSnX+luNp29arXB6xznViijfm+WsnCYlXt4mTG8/tO2YfItg8hxMiDI7VbsbliG3U4Yk
25Z51aYyUqN2Ubuj7Z5MbTzbs5n6izB+MmnsAeWut3NkCz+KXlmRRG8VhosEksvxPNT2t0MitMrV
58purdNUtPphnebllDaauvPYbT0hViTzUVLoqN/B3L/c1RjXFdPntE5aSzlEiVP3Zz+UHg1pK3lV
FvyyIMaG2CbW5B/2Ju9ZRFtnI/WXk5ozWwOlwvHPJXPX7/cdxdYXsiCKPZTYCWGQoNnGS/HA9FfJ
QThlXWvZwbCu7eeonvLJb7rZ++FaQt3T9b6xh3IGEGoi1Eooam1c01RA+1zswiZgQLVwSNvsNOFm
jgBc9qBTt0xBWYNFSmEXNNimPjLaVas5C6ZGxxj8bNXHIFMRik6ydQ9Remsj5dFDG1Ey9bcxNQOD
Qe+svX1K5rkI3DjXv8eiY6KCPUfvp7V2gld/OHrgeBA5G5aqjPw9v93vtSosoUksRG5OcRA3KMrb
Wr6E6Lp2B4Ns8T/YI/CiKU1YTRFyY0+Hy1BEQMdOTZY6z1ipTku5itB2huVYakr1+f76bnw60nH0
WaTCiASvXq7PzGxCdmmPvLX6o24KNKq1avnWusyku2/qKi/lEki5DymJCyqYseiXtjS0Oce+KaKT
M4/tn4xWiuoK8d+h7P8cXFG4H3vTbS20r6JaPydahyqUgEM7PVhavDzVPBkjgnNFoh70KjNbWTdt
650fuX2bqIORoXKGaIx5VIE3/tykcCQaU3FOqbUWB3NY+kM5db/u78QtI7SnID4QIJFGbR5AxPVo
kaG8eTIzBghAjVT8xe73ai3yb/k9NpFLkbUWGi6yYLq1ssSiyMrR8E7FMnUPU9ExODEZ1ONsDeP7
pY7iB3N11KMz6PEnZ9S642sXyZtIbeplRJLEt19+7TwTYiyGLA6ziRw0jw3tZIv8530jN84Up1O+
vDQ/8D/b91eshVvX3hyHKSOpiXUgIcV+QbczPbTD6v3QolY1w3HqPe1jZK5qlJEOW/1ygAiOAHVc
uwr1iCnz+ue50YdfzmBMr5tUJp8YJitIDDU4TKggW5/FzPEoG8w4Cbt5skMjK61waEvxKv3C/1lh
J6CwcVcpS17udxOZtZGuRRImfdoEalcklMKT+tVflbVAnyHigKxJefjSCg38xVnqOgkNtzZ8e86q
YKJuuOMFry8IiGLCeakahbDZFlxcAnAXaMIkYUlBnD8aN5iNvtrpwlxZoVYCM8eGash3udJxGmcv
is26xYrmpccO/G+QMQTotWvhbwZPypRnMGKyjXW5Y64RJSLLlCRUCjtCAs5Tvjf9Uv+4fxE2g0T5
/C9maJVRaSfrUjcPx6oY9jx0TDRQx9L+Z/Vma/2iO4mwfAKO+H0TeUX7qIzKqj5nwnR/QQDv7IlI
hPnTftGnU3roZ5CUP8eaqYin2NPyTyIzobmNpTO+ieN57R+NpJoyf7VWKwlHMNhpsIgs7nzVqJC0
U9V4+NC5Ayzo+4u7eqRYG7JokrMLvftKgVlWJu2IlIm1NSgFmmb9BJ1pfVTqfI8uecsULXc5mZih
1cDsLr+WmmfMdoMOE1qFzaCEktlGKW0UP/PSPR7CNmWVsmvMLZBPrxQA2j41VebY09R5kOib8tzL
sTXWaP3EHX9cKvv9wFSIV+/iS+1Vqu8zJ2qbECmIKwrX7LLQyuzGXxmSjfphxCQg2ran+6Zu3CwC
Tgn8IfYkCt3sYuYhNprlTRaKXC9CT22ng5UbrxvM8HLkZdRJH4FJkFJB6fJbtaZJRqz3WahAow0Q
iK8OjtZFO4fv5lrIdyhjwGmj9nZpxZj7ZVQyylMp2d9xmrQpyGwEVe/v2Dab4zDI1gSRGBkrZbFN
bGShLdikqZaFo4MbaszKfGqLUoPaYypd7+tWN/5aNKt4MNHB/3bf9q0VYpfKE7UalBY3rqMupzh3
WmyT/TQHb9KXg4Ic9KuQZ/9+LTIgEhIyO4zJHfgtkq6bqW5UxWHkCgrWhzqBG7iujJ/6D2uREpWg
bWgybNO5ojDidSzVLMxLSw2c1YGzsKrea19BoljaSBBBKBYTZG18et4O/aglRR7qq5KcvXIgA++K
L/eXIrf9In6D0kMznX/A7dNA2BiZUtNYxrUpwr4ZEINdqcb0hlUuPqig9OSIVvv7vsFr30dVBo1n
BsfRO6FbdfmFnHKMIIRQPLKSfny3DotxEErW/G3nxY4ruloaQRAFE0B0tBpBbMkT+dtZmJAZmtRW
z0NtVjr1yZwGjXG0MerzZ1OnX/w8VyM8k/vLu2WUBgLxES0ZNKw3y4sHFUZeglNym3g+LOo0hS5z
IaE3Q4X0e77CX/cNXu0nqwSNKIc1o2dAynq5SqMunCiCcBsWsy68Y5Q4II/qxHHD3qyYv3vf2q3l
Ef9yHnm7cCCb5RHIxqmjLlhD8cxHzb//IrrI/YmLNt5Eiv3KURlcaJb30inG+RLbbnsFvQ17JUZt
LSzbuXmjRJr2QQGG/kO0JOVaXO7NFr61QGgRZOE0DaTk1+V29lSQ8xU8UFgtS9bAXVVG49D3cXYu
Jyf6MDdT8XB/S68/IKUhcgsiUS4EaMJLi3FUFIqGtlIYVStdYVR9H3M3Td8py1Kf7pu6XhymPIiq
CKxQKt82xrsYGlcxG1Xo8KGgYKjiq+WktC3yMY6qs7YI8doyLLQIyUyk20XpC9bHdnVUnlKz7AF9
DktM7cT7Alyu28lKbmyhJCuYrnw+WZf877/d9Nxt9TmljxTOGgm1r4gofT/y2H1ezXj95/4eXr1j
LAiMDvwjnOb1tB9IQU2xpGUd0tgxgzbHeR/axlP2dARe1KsvPLM0JGHa4LQ5jdudM5Vk1Dl9Ioy9
Ivs02WnXBdHqpvOZcBhVuGXycr9206Z7rNy0i9/i6uIvwkndBfBL07wb7NwYfo52Rn02KmKLseMq
VCa/LiwreieyCp5WkbTzV1A5Vh1A4ozXRyh5q/G4gOy2EfsfW+s4NJr2vXaHIal8CgCzJ3zHnOrX
VtLlQSHpY4AuMZ2cEnj5Db1qXZeic8tQmemajXmkvRFZun65//WuIqCNFXlDfjspQJ10vcqNkq/n
ZWjPWm5QlwOjVsoyP7rIqLGvifhcNaII71uWjmP7OXHUoIZgyckywqVlAZSiiwuJfmbc7RmO+HyM
9KEJtFnYH9EVWc6NFqefXTjDb+JR4xj/B/sQ5ggAGSl5JXwkzHhSEKmt5FDJEpGtMvueKPkclEIp
3opOTwKL8XFvemX0vqY8+69NgylQwKvh4YC0Tml683AMIEjstcq5olHuPtjGuL4bcsKM+4vcUFLl
cwEAR9LwARdJZPvm+3ZeQQOOuUAhQ/JE/6CuRW/5abp0xgONVrH4dq4r41/JYCixr9bOWj6QlTba
o9A7W/VrbXJhmCp2IoIKmD9/JmZXB6KCCOt3jjMjMF80ahpMhQnzufOqxX5Ac6/KngYjb+2d4yoP
/eWhka8s7zrejbx+20Nlh5itAMqGSvBY+0tROEGhDJ+RpVmP93fu+mmQxW7pz3A4OpJfl8ezzacW
eUWglIgWW5rvpYvyXFdmFTYiEr4xaMXrxvW8fCrKCCA5uQvUQLfhGQID7jojkxAudVwc1yz97LWK
F3h6soe3uHbZhLi8sNSeoUMbziZRnKFMDSRvdRhDyj+Ok6meVDHuYZWvXQtFJGIjAGAup2/bTtJX
4a5DYoiw96JvvPRjYI7aET+qBghb6YFeK++XxtyJHm58N3nUkYKAREclefPd8i4WYkIcNlzNJQ3N
TF+CthnrwFzL+Diuhvh6/5zc2MsLexs3xrjkBPDwJMLc6dSH1RgZak1eG9y3cuPcowtOTAQdgSB6
exoHlwAomxYpA9F46aFrC2dhxqNqHNBrcHY8840tpIOLU0J6UcqUyh/z25tQJ1XdG2Utwro2QK3N
0z+zEX9Nq+rX2kc/7y/sxvbh/Gle4Qqh+23jZ5RBlSiviLIqobZBzGDQQ2l6e7HDtRWIctRGJAzO
5XRv8nwm2JgugyiGsPCcTgrm9oof2WP9WrgQ+yVHlwAYBTZFtLLJtseszF1HYGfUO81v7FU723Fh
HO7v2fVhoCLyAuyVom1XCoRdEtlMcVr7MNUXPQ6imWfzOFp6Zob2Wrp7ZIDr40DjV1avOHu0q7aI
kn5os6Ez5yF0EjhKvtu6XXUmZijSt0zBzev3otPa1zFupTOUzX1aYKwTmcVtH0NRncLuNJVp55pd
Hdw2VYJiNTRq38PeG3m9nRLbJfU/6URTgNxkOPTPhNpoihpG/TgFSZSmB1G63UMPIWtHduvqHBLM
UfEmgzPRA7pim+cc9mqmKh7GbTMf+rhpThIzufPov0CWLl5J/nrSGRASLwKSW02XVouGnHEJDHGf
qvYPzcbBh1oVp12Q5FNsHofKbP9cIlPvocV4xro8l1lRGWcjB78a7/ya6zXTGCG+IemhcXE1p9Is
m0kxhtgMvQH1/6h31HBymdtw/068kL8u1wzojMPJGTVx+1vtDWdJalsFvhWOpZWvx6534vZtZq5p
daBHpbh+aidF7w9TNitP4EE9k3BeaPlzR9FtJeObtUH7oqZtZavhujjNCDekX5Q/+kGFLu9StDU/
VTYghSPiMpP3lIgagkzRgK8XTd3NJAN13K+H3NEb/buXrs7XFrRokfrtUAgnSFatXJ4ooCOCXDLO
5GvpZhCER3sSwheV3TlHIUSjnRsVJOPToGZafhxHYQ9vS0+ArG/qMYsRNDbz8bA2iS7+rsuu/2oU
ndn5Y2wlbdhknTb6bqPAGBdCAxMQeDQCH5mt1XeHmPJdBTPJFO7ZdZao+LDGSW8T5keLfYy0Nuq/
DCjzOAcyqXR604E88E4QahgVsVpO3x6rqsi8w+xMykopZ16m82jqaOxERaJ/Mbx1Vbk1Ure/YUzk
P6IG0v1nqSIF+yMyokJ9Ltw2K45tNFTR3/e///Upk9w2onkCjRf28OWbNQtt7jLagGHndeJg91oc
MK1GnO9bke/E9pAhXcRJhmJLa2kTtLdDEyV4CjtcpkT8QpG8es5aWyD7I4rnNTG0Y1412fG+0Sv/
BPKHOEoqhpsE8lvNksxLFkXUJj1MFAnPk11rYQlBNRiXak/18OYuEl4TOsFou6oWJ6Y5whDgEqHD
Mz5XQNvQP1TV/7Ag2ZYDtgI+B0mRy2+1iCJp0jyyQ2+MpcCGXRxLkPqnqlvGj/f37taCJHUINqCc
HrMtf89532micu3QYRTh2wYtycfI8sRr3bpL+EI9lRYWxVVji6xt1LYYlHpSwrEodKgVSnQA6qe9
dttA7kGxhmMj0Z1XdbHEXWFxTJoT9m7t/EFLMzqkjeWdZrPZm1h9deQwxTFAyojIjP6EDAl+iwDV
seOh9GqXd2qKfupRuWQo5GkpwxaQcNh5IK6NwSljaTTqKfmBTb405oq1ZLC34oUVdJFwtBX3L7RZ
6yDpGRq5Y+vqPICMoIwnq+0U/Mh5L221dqzYXWp7IadfgEjuqCTVjbeHgr5tBugSrxFs8q3elBBu
BvjU8MKynODb2lmNbHnkvvpAsBjcL5hOSTLc8pRTxcMfa5EXTmavggiQOl3Z2A8HkTft3lDvG0vC
r1In5XgDd9jeJJhJqUphmyUljfBBGQ/IUed7z/hNKwAdaBig/nrVCE6MHEWgOo7CsTaj/BDXVfwX
tdl1bzzC9Znj08h0isoPJ24bXhaz3aCcm9lhlKWmn+lwVCqz78+zmps7GOkbpojWgV9Rf+HcbfVP
mQ8wIX5oemHXZtOROHsJtDSyGdUxtK8+3TabxiAdIEAQ1LemoOkiBRV3Xii63vPV0fSCWNsF510V
7gjnYD0DYpf6MWDmLu9Q47gDCg9VFEJ9NsRzkedKE2Rd7arvhGnEoPRNRnQdhLl0P1bTzrPj6ujK
XuPleluBF8NOxiFKZOdWns5aasXQstljzjvuVqSDGTAC2wuGbJepf30oSYcp1kl6I2ndVn2isqos
V8jOQ63s1P6YTLlaMiS6Nvae3xtrQpoMQ+TeMES3mVbUWnHrqHUUWkPZBYVLtakUJf1Ae5kP9x/G
G6bw7eQJNFOpMW9xzB2O3RxMVQmZ3oZuWKN/m1QAnSWYrNdbkqVH0nvZ3ITdcnlc8iJvGfnVxOdu
YNSI5gnniMiwc5oy5dVJI24JvjA3GnsuYzkuTY3R2FSDpsfn3Oy+5S4437lblKP8v3ZKJDeOhKxp
kTBiDvbI5s1KlArYd7rE59hsu6C11iEwvSk+3v9IV5k3v4zgBRwhQSfgyM0znM0p6dikxWdR1ycF
IJ7vJfbfdT+StFSvUz8h46ZZBKRebh9cVA7G5eZZRtVD5RiScxINrg/ulir8MHs7Ze+XM3wRQhM7
45voZ9BUJF3bfCNFTzpLqVslNBXDLCd/9OY0f7eoiDK/X3VmAftD1o42Bfk1a/yaIUgfs9YbKj/v
EM+VAJqqCOvEZgyy2jOk7MdQVI4GfDZxo53g8eqO8EAQkRB2SzQc2jaXO6JNMcpRcVyeERT7Q1QZ
GVRVfquYG7ZT3bs6TWw8PpX6A8xRajub7xzVI/yvXFTn2cuTg1N39tHrjXrnIl6dJmkFRj3tJE4u
Lc/L5bSLtla1BffDmPR2DpB2qHt/HRHf9xEMGovHlR+5pyJ6vYeEQLy0AOJ5mxCEuzQ62KKgPZG6
ZEzoBAW2N1GzRA58Xk+p2cd7oipXNFQaZng1VcqbI2xGGfjSnjdrXlLZqwMfqFzfpOUcP7aRVv6j
LgiMHiHapQO6vaPH7Oe6Spyz56X1FBiKknQno4Hcs5MxXj2WPE6kbHg+wkCEOzYBZxmljFYAaBIu
afSjX9ZQr5RHK46/xXP+nLb2H0bjPJfGXpf5ugSEXXwGQTxMHNnavtwHtzMqr45jj30QmuZrcWX4
bhq5wdCp2rkcEu9J87r0qaj1+YM2KPqfkVlan+/7r6t0Wf4I2ltg0QBaAce8/BFJPZom86a80O1E
qp6oi7jtkWFFhnUuC3STfTepu/d5UsKFum/5+kZRaqIQhC677N9sFStWuISwkBYvzLVGlL4lnIWe
72qN/8UOzpKEGbEKdFm2K7Rr5CN7D2576/yM83X4oBpduRNC3loNMQElQ+I6+qIbn0l/NNU6zlZY
C8d5phHPhPYiXQ6v3zOKDFwdolS83sYKgWrh6jG50QryyThOVa5Nh1qbp73O67VPINODLU11kkSC
wY+XmzZbMc2FmSCfrDkNwMiJJ88ZmkNWNHta5Ld2Tk62QXmNgg1R1aUp08uVIS3yiO5Mm/5pw7kM
rbzWT6/fOcg+ciAhQqCUXS+tVF0bMTguiUJjzJdjamTqeVAye+eVuPbfbNtvVjbbJsD7dCREUTg5
afWuWq36USSmfupTRX9Dn9053l/VrdsrdZ+JOyS1fTuOnYFP3kw1iAhbs4cHe3V/5M04B6BV4NIv
j1kNTua+xRtfSyq+SO7CSxll47TgAKBDoZVRGCdLF7pqmx2S2Vs/3Ldy4/jBNsGQTXeBOt7mTBSM
4dKtTEShEnVxiP/zzlOZqEdOx94U9JumaAhRrJFK2lvhramfCBuMQaZK1pelmqksO1lLzFMVO+/M
za2zwDVL5CIkn80RNJWczgba4CETW1t/0BUmUJiD9fqDjsSDDA8h0uBfN6950dr2EmeVEnrF0NhB
ZMfRs2lIhtCrP5FUtSRIxLPKca2XF4onfqq8KonPQDDKd0pWTk+ZIrxgGbrq+31TN24VTRLIXwTz
AAq2NBGjECsb2ifnodLVpz5a3IdKUbqPbmH33y2nbfdqhfKaXgTATF0mBn5Znyygbw55yzuJJGme
nBmQPAt/agw3OehtYkKWt5X2L6LZyD3Vk5VUX4y8d1ofIYSu/XtwhrY60tlWm8wXUVe+gwtiTO8H
RD9QAoM5YPlVW09VUDlOH/urK0YTtNMQ/YiUOemPPLYz9TWk88Shy/Q489V8td2fduNEkgWtqcnb
aNJxMJrohj6M+0L5y0OawOVha6v6pHV94h2zvFNh9MeQa+C9jqbq59Ok5IHRz/yCyZi6IYinOPuz
QjycEcWemhahqxTAuO9/uRtHHqwxGBqIlpKIJP/7b0XKFmiuOTPl5exNSf0RCdTsBE3nP7yKMjQH
JESWSNC8OYrD6NQg9RZ02evEOlJdKYNmpcjxH9bym5WNb4c+ZRukrsk50rIf5jDMB0Ed43DfyA1v
RCEDOSPgEVQYTHkVftsw5CbbhOI+Rz0fJ0lKF7RTS+2Y1Otr1UMoRkoYLq1bnDl1oo0pRhotZlkU
DJRjBsk5s8gxRpFpoWzc7Wzd9arogRPpyT+onm0TygqUS5HaenrOkjg9Osi/HKPZm0/GCq75tRtI
2xbkoWxbvGhcXG5gAfnbdgt0WxGLNYK5cayjFzvWh9400x0PeH24MUUTV+JYwO9fsfWjojMaC5Rt
QvfQ54VufG3w9hD1t/ZOcmzh7VM0oft9uaCmz8bKSOGcRlVKxzDzhkBf0j8QStrjzV9bkrUMpGKl
pBat9s2jCzM1R0pQrc+NM2lZABoEBc+k0qbxoJaeupdRb83xfeT7Dt2Grj4B4OY+0eTOK7vworB0
F5RHXL3Q83MaFzHzMdUhWXfKQdtQSZqD/0eKS9sEJtjGp1tCb1SnpZqGIgTopjIVT9poFIeuToew
daGbdmqh7sQx25frxSiX+WVfAatt7phCrQ6lVHS1ukVLPinO2B0XqzUfBASGN0S5e/oxchG/P1zY
eyGSyCKRyVI3njBCXGGFCK7QHEzRkBLdr0rXvhZd+35yCxQtNHEqs+nBLPOdJOvGxyT3kUVKCfy7
kvuIGqAKcb3G50Q3Co+pDXH5cQGw3R2n1RZ7rvjGtkrcE9E8o3cIRjcxTjOYUav1RnzWYmbqTW5F
RJ92DIeK8/k0jd4y7ziw7VWX+wrwiXMDLuRaNdx2kkRpKwzGjTv7ntsy6LMo90bq3rbyIkVJKZFM
4vKqu25TlYigx2dzYTwgk8zaA7MdX8v2YC0vsFaWA2OAIsylFc0gr7OqJD3bzH2Gv2dW7RNjyOLn
xLZK22eqifX63UN1i3gUGrLEfmw+l7owJrUxOyz2ffmOWaYDWpjanojajSMoWx5U/2F0U6Lf7F6R
erO7oFF/Voq8PqpJbL1dFF0P9SHfK/re8CU0KEkl8ZV0N7YERaUFcpvnKu9ZI5qPSQJYQ+Agj0bS
RoW/MBg5HKzG2mEMXF9uvhxKC7RFZSC8vdzWsnp6ra7ZeXHVegzTftTHJzO2tPQ0oRzePU72UPzV
RylzxHKtHZzD3MOsfeWrxzBt8FeyZgOSh2ro5vhMqWJrfVLm595K609T4i6fhqEXH+8/4//2Xy9d
GcUaD6gI90CVde/LYzros2E2BolmPldV+3a1ijE6eUoqxs+CEbi/FEoKylPf1NnDHLW6d24sUa0P
2Qqdk0ykj42j0gPGf54602k+lMOiF63Pcw7nPrXt1j4mTJP3QmlGHJcsnQqCktH7a6yR0Q30SkyN
D3HCbUK9a1szUMcVpfs6j5vqTzXqdfMQI9Zjf4qsCZ8ABL5xDv0K6PMhNvSxfdbWBPnfaFiT5CPK
R3b+M66YrO7Hg6kppT+Wit496cbqJOggRcAF0CRwlzDrXKX/BNtBMw5WowpkQ6KmV79Herwsx1af
lu6YlKlTgNRBVSfI4UR8GD0thX2pKwPClGB+SFqyqDadhGL8POiwJEWsLX5StFN6rmqncX9lsTDG
w5xorfaMTMBqBZ2wx+owlUbSyUHiixrmRV2qHxKXiReHypvV6SmpVK8Ic86fcxirGqkPT7FK43Nu
e7Xn20lmmgFV8jjxp56RN4PfZQwEeCuliNRnC2g7QhWezuQyFF6qn4idl8O7fBSu7k+zWltBX7Xi
1+xQBH/UVmUpP7Sui74HDRYmeyiCsRsHL5thpZU2bIDDnM+rc+zdLOU8mlFXvWmU0hlOimIr+pkY
cyo/LTE19YeojezioV1zazpMUjjk0wxzXH8GpFUwBqrLc+0bAmjOBLcZ4MvyFisodKnAu9u/FPox
9g+EnSPc8hhX1RF5lbTyGY9bF8cF9ewk8b2Z2CoGWawN01vXov1xFKhcMIKx8GJG1bQ4ooSuvGVn
77V+MVTE+uweoY9uWSCyFmAn+8PUaZ3zJlsAD0NiiYV+IBXNp/eFVcfeL0iVsfehaYQmPnjGOBa+
6oxGbvtrqXTlObcV0/mrS+y+Oc6u0bd/t4pVG4sflcmcaYEwNKX+1Du9xwdwRT/Nj3U/GN1jkfWL
9txCdajDQvHS+BiJIYuSh5xXXf8KB1PX/55mI3Pe2sx2NxiApenDl1mndndqlQzlkqSYtenPBfBY
/1DQ10u5a+owZ0cphSEe0Defk2BFRiXT/T5OuEz+mGQ1jYb/o+zMduPGsTD8RAK0L7eSqlzyFttx
nOVGSJxEovZ94dPPp56bVJXhggfTjekJ0CxRFHn4n3/Ru3r5C8Qw62HLGdJ/rpXYNfbgqFX6qGyo
4b7sIcHtUjqvWZB4s0EJPK9atq+XYXrpGq2rd4M3pnbAmpk6nzTTjNA/2fBWpr7u833ejkb1AxYu
KcKNuThKpCvF8CjtCnNw3yykG8++7vaT90nWfeU+VSPGaA9qO+voL71qVoX0O+naAEPIDihoxFRZ
9+pEa+xQ2+msv5RWMa+hjj+852Pct/2bBqwiQk1k6XC9EMIg9o05WKo/OGvvXk2GcLwd4ElcfW44
inW/7w3xo6nHwSAqbOwHY48RY/qLWxVRiVLr8/ggNTk2u6khofubYg1ptnPVwrRg/nSjOQRlOs3l
Thv13kFbPufNPoV3kn0y9VYxUp9WTNKGGLzamW8U7jD/mok9WiK9xF4tMJ2q445UTXqnhUKIWtvN
MRI7DF8IsH+ZRk8rfrqrKpZgkqmHWR2dXOePVnYkFPlL6c7iqhKDFkxGH1n6DGfDbVd3Z1h9+2Bk
sDyCarDbJKxte/LCLE+TPsCXs28fM2Ktb8BI5nyn48QykRNpZ+I2XjspfKk4eQZpxhuHR1eigfXn
spoUVD9x8mMDuVLh293cyQBILO7/ZkoWP49aJ5ZrWY1xMULjcKeqCB1RpmYA8DO5nZ/QTRzwfVkX
6h9/nMRQ5j57WabeaaIw10gzCzJG7FUX6pcubhYWQFwWkwztKldwqvUQAE+Vr5m5aj8ws7qMag+N
8GdcA6z519KO9hBWkwvt1B/6tB19PMkq+6rzStsIqnGYK7Q4tjScAvUDRqGhUYs+u81kvDRos5tu
2771ylayAOpi/iCKTqS+01bFL/yxpiRHF9wNXSicAadcaTX8tn4qGyz2+qW1tZs2VtIxkmZhM4tN
31VqxrKNB9d38NZzr1Wp19q1l5f1swfxZbpOtbWvfOHJ9LpsF1U5ZMyqtW+WsbX9OWOYMK8M7Vvv
mfkYLMTY0Kgz01GEEqd7+y7n0FXuRcKKWPxWRRN355qdpV+37TAlV5WTuc6vLI8zeU/E8NRzYrV6
1x+WbHUbDKknaDOPse3F3Sf0KPqTV+dcrCtpDl/dydReYyxrE7/iZIoDAm7m2z4Zy2/UEOlDM41m
6XcN/YmDIlT7G5Kr6aWtqmUJQDCleUuii2Nd01mZhC+WZfqbtdL6E8/LlB3MbGzzQ0WiNdtSk/Yq
lyfPwljlPnfMZX3ptAkFB8SjxN27pUz4ioxU2g7TZMfjU2GthrhxB00Qz9xyHpckhTSLfQcba8p/
Fyi2TQM7TaMrXzS45SVE5251aqLMKluffL44WV41EN/Kp1RN3cHPh1iaVyMeW7p8aLd/eCnqLMed
Qikac0xZtzA59l7VjVOgYizyWtmxRVjYBMXYz/psUO6U1hgetB4E81pxRJts5ZCV+1mb6COVRVWp
oSFH65eyDALDn0xk1qtJnFoeEHGRNk9KbDWFb9lwye7GOBW9HlqEbfzV5kx75ntS4pdq6kqxWzVd
ZH9zitMlqKDCfrQXRcXJpRYMhNs7lLPTwr6dhKqXtZkerERzl9DCn/2pURdXDVepKhcKz/NbBI1Q
ugCc/ah5SHc9Ljt1RI6Q7eP04CL6V3hRRvJcU6WtQQPZ4RLX8a3RuD7ArXRpdEBSOR6txfDYEpop
DmrbjzdYyMgA6y/9XsSVcwEYO79cclNhk8X7ejOkO4Viewyuhlp3xGGplt+UuG1Y0wW9ulC283tP
inao3Vv4xSY0Bt05fh7VGjKlS3geXCurB8VROG7tSv58f5Tz6z+8OdCGDXDYXG9ObnpUBK0JWQB5
e2OJB7VInBfFajQ8RHsrvxNma15gxLw1IBwBeJxE83EtOUHGzM7OF2Nec5AxK7vVi0S7bil1rwmY
G/aVs7bR+w/4xrsCBcCtejMpw8nlZFkkK7KbRBmKA1eabq/PYxrpQpsvTOObo8Dx2Twf4Jedsoky
ddGMkhThQ+NO3ImykqJJnbv82/sP88Ya92j00zQEkCKdcvvzfyBtLgAq9exaHXSK2rCxFDugSQYf
sDDs8P2h3niio6FO5k0zhLaCbVaHkr3vbkmL6ofqzpeaGue3f8AFPKdhNfLdAgEfPxCBwlmzrFN5
EOiIotIa6fVo0npa3ap9EfaghtmSm48ffTTaypsXAR/WpvM6WfPNqHaTk1XVodOWLA17fYy3G5t6
SYZ39rY2Wip0ZRuYBseAU+ZoJRuudlpTHxaH4z5R3OIXJ4+BTWYpP7//SGdfFVMIdoeuEF+VjR19
PI95g+U0uNNwGGMqQVNRc5RO8wsW/VgFGx/WaOBbiEYYKa0NfkJS7gkKZTeiW2ZPZzjS14N0kf1m
qYL9vDVqFwCvs0lkT2ejAF4DK8Q/8gS7UNc+I03BgmKQr86OG7j97M2FuK7XYvjz/iS+MRRXIFh6
BrA9rqYn68JDceSMkqEGjzMqH13hj0UuruqsuWRb/cZQG2YIxRyHGtryJ0+lLPU0pu2gHTQzJh9B
o2QVm+hpssQlmyyXV390jhh0F8jNgZq0OX6eqp81bXGSiobAYVxNrYvgEes/K7V3Gl9PkuzFSPX4
MU140F0ha1Hu3p/Ts21kG50mAZwA6CgYOxwvzFJLBmGkjJ6A8OyBmRzKLvsS7eytUaArA1kyBhk6
2xz8sy9yz24sYBH9oBY0AzDsHEMVV5AL+8bpRwYeyhGCDzesUQ6SUxIx+0azaVzdw1RpblQbrYwK
c/wzIsvfm2N1aepO1wiilK3NwmJkMOzbTh5qwEHNWaoyPkCDqfe1dNdQNbruKvXSSy5xp/PHUFBU
/2stG6Chpw7jYhnhC61Ar9S/VlDASI3GrksvwJ3n87dZGFB4bo7B3BS2B/7nLXmYIHvKYruHJbW/
D6l225d27QOPPM62TC4MdvZIxJ9vOy8bFbsi/3A8mKjwW451aRxgFjRzOKwd96xaFNnP9xf4/9HT
fz+wzX0UvSd19Uabx8TneCR9KLhMeG4SFXrF1r7n/jarWaRapdjgpLV1p6+W2YzyuW/lYn5bGr3S
hM//I4x7urm5FdoWgsF7UdD+v0MtmC6BFS9JFREpIrWHMs2K/DAC9YBFeSSI7eqMhGN/htlWvU4F
xIUAgrPaf0LOmS5RndKY2mlO1opg0ts0DgGJUuV50BuXJMlmrfPdGhvKtKspATLb9wp1/jtSMpth
XeglV+W8da3DNBPxGtSJoc3YC4x9dieXohK3ddNikFRbHnu/m0sjDZoVxg9iwLxJ7p0EA8CdNcZz
54tCNdYbq0DagI+yoBP5yekdt/yU9qVhP+gkQZIbl3RxGWjzmsB3drm936Rl1SpPq+UJ85o149Q3
ZpYlpS8NY/3JDbxRd+nkVMu9hlO9G9HnhFziax0a1YOFwL77m8sFKAJY08QBv3LiLojzPC/3KVrg
LJRcrbRdUm0xLWnhOn8h1PHUMzauY6RmZTvuZbkWXkBwTPwrLQpM/4yUwBN/dRWr8OfVJixJjPrs
XvWxrv1kyVcl8cii6g6qtIiyR0BHpnbbF4P6NNer/azM01o8DEVsKTsR5/VPVFPqXzHoydOaqR2G
a1iRgi4rW5aflS9zj+vGIL4I8FAvdGy7fcocuTx0tTIiVLMW5XZYB2veV6REpniccHz5+rS2TeCU
FcrZwiLsOyj1qfBu88KxXtUSlHpHZVpoX0FazPU2abz4F+aJWRxqtSmGwMu9VKaYpDjSDfLJ6p8r
u0Gwjbl/1wVqV3ptqGnzDDaL5ExMV+RdePhGq6naPKeqt1Y3mGjO5DcnazldzS0Kvps0No0fc2fK
4pedpG55AFprlINlrkbxNHlsbMRmqLri963jPXS2nAwZTJqSal8Qf+rPZbma2b7AKKdK/JptMf7h
Nq2b/QFRLb9kIs3GK7XOZ+vTmtAqClWzoStdyYxXskrcup+qLuuToFQsAnomsWiSu6ha4/WgNArt
Jb0Y3LsqrfLxvs4U9UcpYY4c9LR2synA688ZH7ylc5rX2auyF5Pkn+TTtFTt59ldNe1zheq8o5GZ
r0BN2SLtyO3aBgGz6szFi+XlqxWuvacRxAcO+3eh5Tb5qz4SI0dKuKH6nqqoy21t9mV7mzuTeMbe
RRU0tln5vpGtsf28zKU3/BV6DG90WQs19bsprl5mUzTDfTJMmr231VFVr9w2t63ruoVvegu1sDIf
szru7gyzsbBetNEj39Vx2otQ61GfAQi14G8GXQT50KB7zJ8B+PkaC9BlzWd5pQ4nASXnnZW4zSec
0WluWDgHdEFqxJrna3gAl7tCyVFyE1iGLRRwdB3NCVGsOz0Gjd05Kqq9QJhVafiDoWZtCIYOSp86
wn1VFUvmNwBzqbVfOVzTYCg9/REXpsIKZVoOBUYI+oD3uusOAEpz0neBMW88MWAX99NiFnQwbGe1
J4Ll1gbu92jUUyD0nv6QOSr95FtDCU7UJHZnhC6kX0JZHDfPollvS3eTWGCT19r2cHDcWBSBSBVy
PcZcWHi5OHqWBh1tj9/6TAqD3yEYpyUI4pYFVpbIz4KzK90ZRqd+SjRugDtDE+090mVmd8qHLiKh
qX21e7iEO9MQ5gP68DrHVVyWRbAuqnxtZUoj0sI/JtINjOB26eC5wEeaLH1lJTNj52RNs8OaXH5N
xqTQb4xVj40rB8z6T650JUYiUz1Z7MVGbIdKujhfF3jMbbByLGl+UefDHWVe+X1sdFJ3Uj2bgGH1
9lGjHfYbv3T5a6im9Js+gO8HnZe2RtA7g83MaXlRhrPO8cBNzQEgFar1mnci+Z7l7uwFw4AUmcwa
fZp9RaLDDMEs3PRmjov1D5un0fiwVmbNr81Fo4OGbm0MxaQ2X61Ruh5xKVKiB6jSr66jxGUoFjw3
dtnoZrD7JuK3sVgqwSVSs30029L7ORtdrQeL1ZQ3PR1DCcs/ba+Fp49auBQYv5OuoMve17x4Fjsv
6/RfWBfh4s8liPlMPSXR/DzzvNW3OoBPCIk00q9mEP6Ygtgx5p3eCdcL6IxIOvi6PTVhAUX8Jiax
4bWc5cRdVWSTz6yiXlnJr/1dCLU0o9zWxjwY7Bo2Yk0J9cnKIVDvjAKpWSCE4/529Eb/4pirqvgJ
S5hGms6Fd5Rl38HZmSY24FYo8Am92LJCEc9T7w8kKJNby+b9Ix4dxwA2VvM/3jDr3+OZ2Jld0Q/j
12nqaKJOjeN9KZLV+exUY0H47CSL21iOkJ3cdhy7ADl1tlynfU1nR4Gl8Z2cK53/OWNQHcqeaKmw
TbTlDsHoUIQj9O6DUnvMDAo2zl/X6fiNuGlUIhwTiwMD0LDXOM/qxfVZIepja9rN7z7h7Ib9kOll
EFccPrvWVdZH3tz8degrS/G1rGs+6yTMtH7ngMP6XZcYd1myOMvOa/usClVIKaNfw40lbget2dea
ZLnJz+Z0O1dVnLh4mXHLxjBlTbGDKZfed/OA6aZMu/RJNbMhvUJQZkU6h7uBCNVpLb+fYzvd2+VY
fS6azsF3ei1A/ycdny/8tQY2miUDoXzqyrLcQQiIi7BwK+tz69AV9IeuN4pgmVfrSfTKjBUw5sru
Xipm7eCYWhjfFMkXwqOPjQjcXq1fitUesJbDufJ3vdZuFyA6nmhgxBLRgTbShb3p+rX8qWBDZvGx
aB7fbewKdbc6vcEMK8v60yhVLfZTu67jHRzQXL2iFYkdwrLo9OVykXa5T54Yx3LbmOWINYct80Br
q+aaTsGa+91cpLiRTMA4ASZ0/RPm4CsNaui4d1g2jzngtNW6Pjk0ah72snVF0IyO1V/JkTnb5dLM
usAzCfELFmVY/2KPbX3p8JT7VtICfqhMb+rpd03d4HeeLWu/qqeV03bK2z9gO+MfFXzAY8/ujZem
hSBwraqVql+l09TcGr2Enos+ilNTdiatIDu2BX3cpio/U3g1X8q86r9bsY6sx9CK6ZHEz7bac1t3
PhftrH11MVd3/GkGBvERDlDmZuWqfHagDDxNBCRjcdzlWBRoi5qSnZYai7IDsTZupTCdPiwtieV4
PclqoCclmaSua2lAxJYdL1tPs73OqY/HT0KrvITAiCJ/ytTBxXF6KXXtIOtiLsNpVpaWz4OzLzAm
W/+tr2yBYdPJ+bvtdfEz9q1ezZ5OTeUPUicL1cRtbfK1Xmv1K9l7s5IG9mKt5SEz3EFcjUrF1wj3
VIyHZrLy+XXEzWS9owA3lTAz0kl7jtcFs1eetosPbZuPcs8sFeXVUiY2L5TsPOjLo9nF36FopOsn
Coes/mpaSqfsKncxu2D0umy5beAD9Y9oO+02tNVJi6NWNwuz9gl0ZPP2xzob3F2t6qIM0q5Pk69L
k7U0xDlPXu3Yk/ELWuKZtksVK9VuUNUZPcOUdwMiMI6RO2hLZhsmeue4L/FmurU3Gn2odqU7tPn1
mNipvpuxDZB7O85199akSTf8tAa3V3aqm+venhS13n5FMDQyBZqyJn5SNWNBLm83RHEGHfy7VRE5
du8liSIjua6zHhGauH7tWD/dF9ORWpP4OVKO5q5EHGjfw+wwn7lm68qOScrs1E+WuBoDpSN2K8IE
2etv7L7lpoNjdTVG3axV+c2saIWLH+BcubedRfJh4EyZZe9FTpuW47qm3ITdnmSBmo3NcqCIcGYA
mKapQo2r1fwLRF4xXrAkWiFA6HHm3joUoF/aGh7+1qmsOCxrjdtHZtYVlzaFTs03clqL5HlUtlyY
QOH6UgdlXff1i4VKVAtAWVvOuIQU0gmvz2Gcd80yKfXPtRyR3JEo03g3JrdV455kP6W4alY9Xeis
mZVyjzkPqXUsRVNnyaeumni7RdRLEVVsl9O9tpSUfobSzu4NicizJ0O3hOT6ZSbPaw1bssYKX4+t
2rqBEyO6fVZ6ljwgl7DwnOQOXv0udUHcMOHXo/QTa4q1ACq/We4rSLlZ6M5cYT8XZtOv+G6sjn2f
540zhnIZyKaDjSDXP0270OLxl2rF9mvpKzPdwfBy3etqWrJ2Vydq99T1Sm1c0VFsuMm4eU8OfJNC
tboHWtP4obLqvL1irFk6+8QYeM21XdVefQF+OMM6NgkzE46cCLY+vOZjUGDCA0lTR5lHMm31Z517
/wtdv+aXq4zZZyI0L6UFn8MdAP3qZuAI5OGhWjker4nbzohpc0RzrxiB3Tju56aqqgtgxxkkhdGW
yhkEoxIgkbP3eBS7imtJM7uIBKwtzomVhD/fGJoUEhEWuJdMD84filbl5g0Jg9pBXHkyiUu7eBBY
ChEZsSTKLvXG7oeL49tHVbsA5hg7wMTbdI2bnPb4scwGjIaGcoabE96zSdqzGnUA0bLLLxHdz9cF
KgFi6XA4YlFArD8eqonjYdCIgomUsm7D3PTGZ01r+3CyhfESe+4liuH5G/vPfHl7NlBy6NPH4w32
ag4yGbPI7tgOCjnPFVaAlXo7lJXy/X0o7M2x8I8DSYTDddadSoH1vNjWsqhbu4QueFaXwSb/eU6n
1Pr80bFoVwLTgy6jeAWBO34uyx1Lu2zMIsKP0rju6SrfU0ApNzMl34VPecPvjvG9rTOKFyBqGNB6
9WTR5/o656yLImqHUmi7KRe6/Uu0MQQ2CYL10DU4ZHzSpzjPbqe0Lp7UoZmmw4efd/OyR2QCoM5+
cvIe5Sa1TLgRRkbfpIQ6puOLNiAU8zOLY/P9sc4/OxLosUDHJAGaPcSq47mFkYPnQgr82Mgp2S+9
bYXOIuz9+6OcGVzTpqeoRA5PRuqmtzwZJuYn2Hqpl1E9w0sCPaNJEa6lOmUBvDr3efBIio+4h4nW
r+duWW9dbN/kJ66WmUlRlkj1IFfX/qLN6YDZaU5ybTjgcyTCmBN1uaZad9uXWMlmFVeiJPfy0Eud
YnmunMZpd1a7rPWhWdRhwSh8bOdnokus6dajEIt3Zld/NHr1/w+M/ISZ1aDSbN/Pv/i3gZAV76cy
EmM17qokjgOKuS+A/330/tyef4lY17O/8GUgg+QzOR7JEK46gsGX0azV6Z3myO/SETxZt379+EDY
c7Gx0OHB+vakmy9Mt9ZUyvYIWswcxLHq7irOuiBFSnhhvWy/+fgzZLt0dJ6L5gFb6MnOuSw5yElV
1JFXedYdEisvyIv+BZvnJaLKNHaQ9/6+/3TnHwIajG2bxpOEQ/yMgsEluwa8LKM4np1wNJKRanIy
PvyywM9oSAOE0CODKXP8snJVwf4mc6qIGA5B2NE8FNcpn8QaGthxXNjMzmdxa16haDWppqhRTtZg
YqGvSioQum3TckPFrnE/6bSxPySyT4ACO0srML3y1o9GVG2pYVj58hd8d9bkSUPG7HiwfBnryKHG
zfyyoxnjD62rLxe2r7PFv/GN+Mbwcdu+tDMbBs20pQrzMVrjdfXNGHqeG3tVoLBDXxjq7DRng0Ql
ucVuwAU6azJZK2wWx1bXaF1q/e+ylHZQjrVN0qDWUiU30+MHFyTjIP1EqYPbB9e+k6WSGB3WF8oo
o9EU8071KiV0zNK8sEbOlv2mnUbvzmeN+4J2aoicgpEITeUCNeGI+NrE+foNp5rRudDZP1uKmNCi
wIBIgBkPlrsne4e1VEKfa0uN4hmtTDZ4bTQWaFz9ssqln9H0SvxZJPLPR+dws6/gk+M4h55hnaxD
LwfnIEyhi9bB6/Zb+m3QNIX48JvatgxmEIoTHJPTOeQdGmMB55P6H/v2fgEY7pX8Ejni/E1tRwkT
yCqHQHP6NVcCXCZ3qz4yTWUM13FwAggFffj+jJ2/qO0zYhgob7R1Tu8yZdHmQN9tH6nd4gRZh6Xp
nN8kSX7jQiAPis68tEudf1dM2VZHaluqIcvkeEu0hUl3bOFYVLJxfSq7drjykqXb105sRENezxe2
4PN5dChzYIlty54bzsnZgsht0KSqTVHWe0ngkG3tQ5cdPzyPlOHcBiEqsGdQARw/FZNn4LngDBHu
FclfRxiUbzi3JG0wTgQ/H2gleo9aVZuXHJK3f/HR0bnt9dt2wSGD5OjUan/q47GelgKxoqzXv6ox
NbshreSNumrlYaUKxGc3z6wXjWvy1ftr53xmt6HxoGTFI3P6rwj8p+YZ6jLLZC/mSPU4QotqXCM9
oyvw/ijnWz6jeP+lvnJbpJt8PLNpnnb6UE5zJDqNljv+bLdGS5fY6+WlO+lbQ+FNA/ETDhThkSdL
U3NJkeCiMUd6Y5i+uizdbnWFE3Sxe6lCPrt48Nq4b7MgEZazQLev5J+5w7ijpubJEBVoRfYdLWHS
0L61lSXAZ4q0m7iV8SfNGa2fU7pMRaAmQ/1BtiYH6H+MKAhETC80keOfMHRkFc7YKUdziu5lr08Y
av8sVPBqp7SG9dNM57K9oH99a8m4/99qUGlDfz0e0xiEPox0wiLXBBdUR8SOBGw4H/7kIaLg746c
GNP1MyhjBfKLx4JRFBQgu7ru6NkXw+f31+WZ/ds2f5w1cDU5CUwkfsfP4tD/rvCtmKLUSRFmV0rP
LhZb6yzvQWnN0S+NQXvAnmXV2FjVIvZX28brrnASpd9rNIC6q7joYJOmdTMP/rB0ab5DD6Bll4w6
+CWnewRh9oAEBA7h8XeyrqUiWhPpyhSxkOenVLP7P0U9iQuz/p+VyckwfKbsBtAVYQCfVoFk8eV2
SkxfBJdVS/h7AzOkUpH9+Gnaj3WQq0spQuyzbXFoTbm+zjomEXuySXo1qC03vnRXemO5QQ2z2JRN
wAR2j+NXpGXt4gz0HSnyK3ef22p7g4dpd6FSPD9Dt7hnnIW4w5hcYE5OGCeXtNEE24YczTThLatC
C5au0D0/bbH2uINMItsbS9CyuLA5vvWAkA03lhKvlh3l+AHzGBrUGudL5HjdcAMU/+hlZffxj5ZS
B1zL3O6bgJDHg1SGnsxzJpao6Fdc/lOt3LUK2/D739P55oulLCc1++EGdJ5BBguUkaRekaYOVIYh
SjMn8x0CAKydQw79R21zceuCKQwQshGuNybv8UOZBFsvOZkUkVZNFfZtBRcIsermdYwa9oLp2X/r
7OjLYDBo8dzJWCK4iZzMYF7FZOAmhhNlrdv8FTRfqqtx6F3loE7s/CEaPMV5GmotfzFw0DOCFMv8
IiiJVWjo2lr59xTmPpjimqTlJ84Gp3lYp7z5ouhmNwRtmadPBDt5aO5FO9pf7MTIvqq91OJwGqZm
uNGHPK8CwTX3+yRn4Ya0KMrftMeLMiq8ovhqpBad2plgBSXEKwvRi2Wscx11OLBYkD3UXDzTVzIJ
yqA3Wu07e/GSbxLN2x9TDoX+SkBgWURjtSbTo165lAEt+u+RIFBFmE+SMM32ZuTyAcNKp6rdjTLu
h8DUaDH40+JMl2Jmzj5KptykTN+yvTdA5uSjLMdxTjNhWJEyqF+w5zTZZacrJW9QPBakvTpNd2H/
O1vAjMgGCyLDi97E9ccryhKWK6ehtSMa7qu27x02BT9BMCYCQybTh6svyOdUjnhLQ1g1+ECPhxPm
3BUrfKeosFx8HRrYLUMZv77/UZ4V6wxCcUn+Cxv6dpgeD8J5MaQTUdqRQuxkMFZaL2hD68Otmaft
g1rm9oVd4GxDY0Bzm0aucHyVp5ZS2Dp4jZtOXBw90iXMGB4KVt36hVf15igoYpDGbJ0c8+RVzWnu
ocP01Mid8ulhgSr5ZZ2TS4Kst0bBggAXa2BdC2TmePJofKe1gWA6Sg29PWRqJX14LZe6DufLDgkR
Rw8x0FsNfmpLqnvJzHpLrQiZub5T6L4GhVbBEzCNSwfd+QNp+MhuGBNYD+zlkyXnwFTg49etqFu2
fuGCCjDDz/cCRHH+QABmIKjcD7mRnrU1Ng/QRB+kG5nxIopn1ctJY7O0rMl/47djPr2/ws+fiWPA
4pu1OAo4d06WwkSvY1661o02D/WvcHzFS5Gvl5xY3hyFi7ZhGA5/nRpSVmPbN008u9GoueNLO6Xj
jaaI5eX9Z/nvmz8+Z1hq1F608vgvJg3HK47kW9VElO9FoMGoDJHgD2K/othqA1SKhnHtGKv7Z1i0
/EestFN2lSbq8KsS6NH2kICkBlu5iLX9+z/rjReKPmDzydych/nr+FfNZZG4bVwSDZhrqf2wzHLq
D6VV5vLLCqHqz/ujvTHVELaxnGJbBDk5k8v0ydS088JotrACvhdrb2N/E74/ylvPhDiGhDtweMRh
25//c38b07FW87j3opmAXpiSmRotmB3Afx2HCzXe+UlGDgdQFaoEAr65nR4PtVUOsFR4qZaZlVcu
pZgvsVG5Fp1a+UpiqX8McfEjfGMWTbAnYCe8aDbdwPGgdVPUKjqtOBphoAaNWpSBOs6XPE3PjxeS
sbYsODg8eJec0utTqImDZsRxlKJsvq+FyF9xbcc3e8ImsQUWunCcvTGVFJabLbhGtwGJ2PFTNfMS
mxYuItGQjJ6vqLhSqImdPatAkaGndfpNPU/dpTTEt+YSO0YysQm3QFd38gJVq5/SeM7iqCo4qV13
Vq88XV7SAr05CgJ6jKUcOm6nVrQrdiEmOQVxZMjiFauZeZe27odv1kQ1E5fCYcMRQJ9m+xH/LPtS
7ZycKl2JpsXVQ2nqyr4o7PxSvcy/5WQbo4LCLn7T4SJnPpmwtEXGzKGmRIupi6DTrXJf2hKZp6x+
vf8Zv7Ug/h3p5ERTLbxDkpiRvAaPMweji5tEtfiEx9ot4aD1xJgWsdLv3h/2jd2D/RmACZWdReP3
5NDRK0JoU41pLCYR/wJD0PpgHrtWBvbcdj8/PBhKNMJbts4k/eWTMoQqmMQ7UPrIpAR5MLQaBm21
luHYq9YFSOmNNUj7h8oCCI3d/lTQJ4UhIRQ5cSSWLsYtpsVqYbE/au/POQoeDvjCYYqA8BRnEB7p
WP1iKhGe9lBp1Qxiuj0uhw9Pm8eTYPROebWhnMdLfVDy2k5WkVzHRl9sAbrerqw747amj/Hw/lDn
2yAkBPZYLhCI+Fn3x0ONo5jg1so1Gpf0h7nEf7zMeJJqTeZJkV+9P9b50mMsoh42m1h1Y1gcj6W3
hH4l07xGCPsMetRYyWMZ7+KG5M3h+0OdrwaG2oyxuWAjnz5tfq7CFm5u6QCMhT0HHRTBUMjho6aZ
/zWzVDAnnAHAbU8770lTU1mtsxmVijaEtZO+DtKzoUUu9YWD+Px5wHdASh3+A4h2Zmc212hZNO4m
uNTIB/L48uvc65cLaMv5C+KcpzHH1QQsCdOD4xeUO7FIiUnTo3hIzX3TEyvrSbfyC01eCph944GI
Y0PlywuiFe5sf/7Pbk6/u3LKbjEinCU2RxsXXvGSOxfq+fNRkAZuAl+mjmrC2fbgf0YRC2R3XD7s
KAfkwDvMeXAc4sk/utaoe7kCIY9GSEd7+HgQXJ6kUTuZE/Wp9newEnEw88W8UMienxYMsj0CwkPK
+NPWVZz8j7PzWI7baNfwFXUVcthiEmeYJFIUKW9QkmUjh0Zs4OrPA52NJ9RM8S+XvbDL6ulGhy+8
YURgpm7dPYI75RCYtYATlTnzOymyAPeNOgqqIsA+P6sMuKix48ZKdx02IhnRSdwydkLPmgZ0gmpa
eRe7/YvW1+GN2Z1/J0BXROeU+qgngIs6XsLQy1E5qDvClJp8oVEqDITU+hv3z4VRSFYX3V7g7i4F
tuNRuJXigtJSuLcmu1wPdlWuohZWxfXtQImCP+c4hlh43lzf4K6pJxonx0iDIyTjOgn3eadcfy3S
wdXv2kGPf6FK0H2PpLJ+l1alia0ZdwsdHCF/6S3mZv4E+sQGsL5ys8HIH42EotFLk9di+Lb078U2
TMPefDRoApebzM3L8CuJqudsRi3Uu22EPpSAjKSZ/SMAvdreerTFYkiVBQU13ajgXERl1o730NjG
aYfqTQ8d0S/8bDPXkWutta6xgawnVd8ekO/M9Qd7sjsnD9KqbrMNjMJ+2vUo1sx3zqDn4QbTSst6
s4QYvydjU9gw+FCV+1qjIWfdlaaIx7XbhIDFtckscrXu1eDMd/ms5/beVBRcVnZbNHS7pli2LxP+
0iZELtn+2xSqbR6rKqWNaDRd9DYKhLPXgxbO0XM3mpgeFHBRm/XMLTzDYgBQvHZlY38bHFVHd44p
jGf8BFKK/8ST1qZ0IRc8K9cov7YGM36MRsPMtg6q0fKud6153PhJrlAZMnLL3w8W2mfpGin9fAqq
UqAVpacTskNu0fVvQzJMf6V1h3SUmPvcXg2pbucvyqTvg8eoOUKl4+IBr5gDw8HoCrVXhc+nySPE
qwVS001m/BphiA0SjhrybcVXuIux/xjDgC3oSehCPVG2jN3fkxRa/rOtlYrv9Q5x0J2FmZX2Ybgz
dLAOBztxmAzHlQFEYshmUE7tNN6OYzKqO5rA8iCpjb7bbdWmh1La6AzCPxQFQFFLeeu5G/V+m5bY
mSC81+Rqp1s99JVC5nZ5SG3MZw9uBbJ5bXOZylXVq07cWQlCDusY2G65S3MCvYMwdMXrZ/FZHki7
p3/6ye6NJ1fp8OQEUNKfjWY3HrUB22nu5ropu41bthHKVUZaD2iOmPPXJAwdbwU2Pk6erIFiw4M9
t3p/IB7v052TIpy1joGfIpE14p1qw1hUKBxMtVWidzgJVSOJJ7P2XhUqC1dTYXVISVTGXKyaPhRR
0LdmqtbKSW1YULbohmCWLUpNtYO17SKZ1eeHNhSDCpI6M5s7swGyvM5QWm43DoJ+E3ul1uSKgL2D
UiKwkx1eXF/xeSPgSWo1JZ6n7v3Gmcxtr82RhVhgP3abMR6iYVdFNpSjoPRbY/ji0xbCr2gMNbFB
C7x2P0L8T9sHf8i8j7hLtVfUB31/lYR1XD5EA5ILgZYjYRp0JsTBVTY37KdFSrFYec4gwmCO4O6s
hirW5UqQsYUUgB2VrhIqIdPKyWHOEKhYiQrA0vp4N1KQeS4nkb4aei1eDaRS0i8R/mL6WzPOhfqi
s1/Qm8aXfTo4MlNuUGayLX5AT2/79QA+XKytMQfpLp3I63sIx3Y+NSuFA3QVJIWB5XVsjt6H7YZj
tUuUJU14WjTBf3Uxjp9QDWAxNtQMR+sl7+L8r96u9Xo3NOaUQy7Qhu8g9dPsZXIBnj+70GjGu5aC
R/MN3S++f9L61XcphkhfQ6XzYVroIxbFEuOD57TDTHfroyT4s7WnPHzUMZSMNynnWP2aBn3Eq63k
uN8PyMhC9YYr2z703dTDegDCV62gwuTDbjEudTZda+tjwClhCaGvxf4PruEw20HS7JugWzwk7yY3
tLq7MHb9duvn2M2vpIt3+b90NWpv1Y19ZCDZOaOTKkZfR5mRIuD84HZ4/H5NpAMrsprGxvjqiDGa
d300aOPWzIz2fQ7dbnyO4J/JTaLVeb0e+JS4sMtJbzbFUM/qKcmiEDZuIzCsRrisazUsRnphrftR
lIhV2k1lPfDUhjC8CpqT29geM3XAXcGq73PVduO+QHdOPPt9nVlBE4+u8ZD1I8yv1vRVu/fm0Jge
CLht8+/QsNX3XJmD+WJL6btvWe2J8j2knqm96nncZ/u815I2iGdlz7vCKNundEa9YOukcMff8H5r
bbnq5GSLtRMO08ibr0Lo+2wTpC4RTfXg5SE+U681eHQFJB6vEYuSWx9tyxqx4m0hw2xcqVZ0xhNe
J/O89ca6rlZdHU1srBla786rewcLzHxqnQ9urK76NaPkJdxVpeUlhLw6LIctvbHumysma1r1tRe6
h1bQKuB6iOZ4zwHXvzqzU2mbXjWdcec3+DL/hF6XN9s4pf64paOQ62YwZiKKvyQTsrtwQGo7p8lk
iXmrbLJsVBZJ+NHei+YfsY2CQBsYUyiytd1wb0KvKSv57GOf0h4cbsJnqFh1+UtTTRSuIeiR1CbE
Ef/QuiJl6jJvru7AiEksyLoEsCVs1NL+bSWRnAMkOapmnXM30zhF7MFuWefZzP/h9ZHDoy884QdT
U+AxIYpUT1bo0Hbivk1Th/95oreysSsUHwOUeLswoAtoUxBpvYgQ0xazu/KryfhW20WD5GFbwX+c
Z899irTWSfeTO6eYVeaWQK+90Np6o/F2ajvHn4hr0krDZzviK417mL2mveJ/8vIvwojmaespyplr
R8Y+XnZzXHOSlN7vrHQU35sk7a0v7pTpeGMms/nRRVGXfE2FJzmWM1ot3GZCmu1PKZC7iwP2SDm8
zoNw/VcfkDsEOzqH5sbLGxoVKMsjM4jSq1PtZojQ7/hDWTAO+ZEhz33smtg4RgJv8WkSi+1Xmas3
5B/B5HD/zg8ADSxtP9VpItYdxMr2dzImFX7ZzVD+hDYYotQFMuuXghP4a4TSNW/mdMENjW5vcB9H
EOZgyBpNtk1QEP+N5WiiNga8s/TFjv2kfCiiQhoEh0NtVEE+Ql5aL4kfdhPlVCXfU5VmzfcS1ViY
5MYAPF0hVYNiwGiOX+gzYhFeTmoWr5NjQEQKYt6xNxuMrnxRJPtyXdCfTWGTNtNT5sZdvumzqa0e
x2GI+kdXaIO6g+mrPQD4xtAtdrs0Z5lF89JqvUWfOIUpt6vaNnRXHthKbQWdHf4U0SW/CF2F8mtk
g8T8quGs7Ow8S9l/o2rObuvbuIyfw7hSmLgJ5LseKIMN8z3R8dzc1aGRqKfcS5tyhZT25O5Crdf7
Xy6ijV+KeZFnxUHJGXfVrCfDF3Poin+91mv1fWN1+ncx+Fb/tx+G0tiUOL5Mrx7/SgZjk0bT+1QI
1DCwNE92kuB0ryN8Yq9gZ9gjsVvKXVn3da+2XTED1m+NigJJILu6wQ6o9hCHPZho2QKxkDDBVlCU
Qh5bM6ySTasJ81vkUfHbKszbARDM0sL3Bi1Szw0KYUF67i0v5cr2RdWtTC/q4h9mPHrmqxfbXf29
7dgMkFwWgyObfy/WUbvIoASgXobiwWnyokZPMy2oS7JZ7a+R1bv6U8WGk9+8qDb6jQxLYe1KbnvA
GM5kb8kKTVQ4MlgB92UBjxtbGysZ7jOrybwH2HVDdbdQ8Op/ckeG+abtPOGwn3PIxYNbIN+doybb
7eCrgsbEDELlQdsbRrkF7Osaz4aQItyUSRwikomqqNY/1EijaVmgtKhA30VFifg398Ks2xadmmkM
CVjF2xR8uIXCdDJzeiJtEfWkvYQoluRKq1YqVeFTX0vrNZItJFG7SVT7KBLsKPaRwAh4FWmieEep
jg2XN36lbcMQFnEwAIWvdmMd9uo5jyO3QBKWah58lsFq86+2q6CSBp2jFhH4EjT3g19kzfx1sp2O
7SaUMbwXWomYagoVOF6FUTr7AdzUTAuqysWrK+YpdBYr0ehnPY5huSJuA1Eczn68Hk2uoWDSO8Iu
HjfnlovOUps9Tix9ivmkr+SW5MunffewLFK7CH2f6qMZ7RIf9WDVOebjZKJWg1zI10rG6LuIYmpR
WLY+63xDmwTCHPUUCikLAeSk0BF13VDVZhPuAY4UQeWJ5AnwPS56GKg/XU+i/9QdT6aK5BHNErrL
iEidKooKLx1dKfxw3yDgnAbKU92vCO7jawWH3Q06o85+Vlk8j0HBG/PiZ5Hmr+ZMJH9f/yEXlpx6
mE79yLGXZtvJnJFy1SqwgmKPwnIVKDeTWz56t4Xj02xRGOj3flxgB5G08RqS9Mv10Zc//WQVACxT
grEXoxz6OPz3/9SvUPuWPKx5dOCEzXLbNbMLOZmQ5n1GThdCUwFr5Vb94nRM0pmlQQDGEHTCGUxf
E6OyuHfDPXILZHxuKLez11lP1oT+Safp042qzFLbOZoj41FVB5qEiaEG7uJ4jjrpP6edXVUmdCV0
u7b+7nIu1FSpdo2TXfhIgD78SJ3uFiHtrNy5jOzpdPUX1UGq38cjp7hytRRMqNOkVbbKYjE9o/eA
fjlqbz+uf8iz8t0yFP0JWqg0AWnGHQ/V0i8ey5HuHyDN6QPpimI7NI7cFmgL7eKO9A2YGJI510e9
tLR8QZqolNxpJJxs3oZQqfMULaZIz95zn95SGqt7ve//NiuSWfjkQeagGnN91AvLCteVajgWT+hT
npbZ2l7LBZmV2Eu30zddWBMH5q4KQhRT/5eh6B9RF13kFU9bxWMK0b22R7F369DbINzUBRM6BNQT
oluqm2dFPRd8KaVkXwOtwfV7Ujx0hGvlQvTI0ssB0fYBywNz1sobh+HSKBSTqYrD+qEOdLJPRKUV
JceEL0ZJZF3CvF6BQ7rVTbiwGxdvSJBpWCUvljnHuxERsFQZHqa+SSnStw5u64tiJc1DY2EnK8bR
oySDcLVxd31nXNiPC3OFhokHhodL7Xhcfa5nAHxRetDwg4NmJ/ND2iuEh2wLTcyySzeR0seXLO7k
jfN3viepLS+YHrxtKDGfdgfBLDjNRB3kgJa7WjVZrN56cu8VBaNbAK9zJAxnnG6QYwO+Mper7XiW
oZgg9KqsPJjSxykVV9NM/YxUGyVPmdZ0VF27TrcPMdB3+06nVvxtIuFpt9ILO4RtHBNhFTai1n2/
vvoX1sBwOZjsKk4mYJjj3+WYS5cKLfVDoyGMTEdriIKWNiR5LmHj9vpg51uMiw6kA92qBfNwdlza
0dTopWeHeTTRSmqHxg965H/uFSoA6BSZWlw81WkRTjf22PkJMqh0wp+jOwti73Rvx6TLTYOT4qGs
pVhkbsgLiFo+ffEwik/J0qAZDEVvmf5/HmYzS1Ed8tL8gJqIeMvKJNyY09xjNBLeunjOD82C4ePQ
WwsrnfNzPFSLnzB8TYqSdlVrh7RMrV2NOBM3xCyRyEqgJeeQVilhfPouYmBKhHiU0XViJ58MnBst
xNsiPxip6DcIu41BnU/hZ3uOLqPAQAdKStiB5fjxKO5go26DJtcBVRXnt1lA7vfMWX6EXt99FuD5
ZyhUGRYOGBGscTyURt7CwWWo0G8Mgho6DZ6X/b6+8ZdVOQ5nuFjRBvUQ6UCx+xRu5yG61jTezOfK
cu8LwsLGvAa0QFk4y4Dj1l5l39KZuLTlSQYAxoBZ4WJd/vt/NmPb6k47jXl+KNRc/Bj7fL53U1Sk
Pj8xMBxLD5L2vX8aLdHQ0mVVJvmhHjR3iwMPqc808Y+WyNsaMu3z47EnQGJSxQJYdHqQp8arvSKJ
i0OSYGw4z/n3ll5n0GXD3tfTf69P7sIhA2ymsdd5FBf76eMltHun79CZZGt468JV1a6y8lcjJs2p
TSPcDF49UVWTN26RCx8OwDagVtpPkALMk5di8qOuzJAZO2Si8D7qgcuQXaluhYHnF/+Ss0EXgh8D
yuM0wpZ6m2aLMODBzKDFDtTyt3FpZvetO9/k+C6PyMn2J0YmpvAW/Ip3SqWYZ8o62hTWB4mu1BwU
iHd0gWYjt06F38WcZ6TN8E1r8vYL+Mvm5yjrQe21MMKohJs7bdcQQabXMkNnL0jGyDfvpt438/sm
a03jzrNngaUSUadY47tS9Bs36bJx3c+0FQ68o/WiG84R22Yk0K4XaEgrzzteo8Xde+i77lfs+V2K
6AYfZJWBE5k21BXQec1MWUWHquwid0V7sMC1MNHjaQNTnzwbcWNUM6mmh9mdAHWir2zIvh74zpmA
AnW1prqHG1zdyIMv7BCf20Ej4UaNBFWL430Zeq3FHknLg02f5gOxTPUVl6ZbBqZ/sumTr0Z/n777
gjaCwr8cj//cIDo7z8v7rjwg3GbW91DaPf8dlx66s9lMqT3QDHR6DzQEadN1sRy7ByMxo2KNyMyU
rCtnMP9BxrUZd17Y1JL67KTizRzVxS8BudbeyxQ4/49u0OJu1VOAjfbXz++FLY7GDhye5RUB3HZy
fgtke0Nqb+VBiEx85OzBATybpm8mR9ifVgKA10daBTKFvzFMPHmy8HBzJp1s9YAnY3/XqTTaJK5Z
b+mIiRvzOv/+XEdoppC7kTaCoDv+MG6L/JVJIY4bYnbMDVomvYmCVzHG2+sLeP5sUVmiusNgJKhn
MA839VPdS7iKZuLiblXnOd4tiWkGWYhDGbVPGhjXRzz/ZFzvxOMENn+eypNwtEJVs8kmJz9UnLMV
omYVx45GGg7itxA657f7AssGegbwA9ze6Sqip1w0oTUVB10WzdqYHsu6XOExRXFwKSfjTlosyrnh
jev90pr6CztOA+BETLqswH9OVY5JUYSDRnGIkiwN4sFbJ05urXRpvQ/c8zfeywtbxQB6jzq5SwJ5
JpNULmjiMvGKA6FCvC5aM7634vzTlA+Kj46zDEGUDTnn5KDN6NfpSPbVB7RFsF0zqLYCb0FsmM+5
ur5BLkxokQta4Oew88i+j5evHyJUw0VfH4ZCqS9YsUV3YYY1yfVRLnwksI/86UDRsL0+BVZ5yB9B
LSvqQ1tvO31g0cp0DCxFW8cUNzbEhRnxymvugnNaIHYnWYOKCdUqlCkPEdWgrQRvsY2nfHq9PqPz
1GuhTZFysWwEUKdMjNHkXQ1Th3WbyHAJ7TNaWXoO782uMPhT2livMmy65hsreeFAowXAOwh0EDbL
KQ6udWVfIrVcH5q80bYKSHBgF8Jf4zPwacA5TxWUI9AsS3YJuv14a5ipFvVeG1aHOB3ndW3Lbp3K
4VYwc2FCnFsCXpJJirCn1dc5Bm4xN0Z9mDswSEUkvdcC8PzO7FPn01kQD68Ouo/EHC7Qqf36gGY1
diS1PKAD326IaPxVIVNrNek4il7fHhc2IWpfFAFQpkNM5LRmtuCn+3So5MFEBdQC3e4LfzOZsr9V
Zbo0EI/joj6EUQeyKMcfSalkSNH4lweMT1PUL0YoYkLcysQvjeKDYObdghQPDPd4lDyfrMHvkFtE
PFl7jsVseEihAmm7sWzn9wTcQAiW4BOXO+mU21O1BVrHyugPfphG7p2pJsTRE62Lxs0kfMQok8mV
t8Ka88kR9PGCoH6HDBZp1/HkcK2luzpV/aFt/fwwECvQ6KmqJLsRZpzv9MXFCo8fMnBg7adHt/G6
pi2U1h/QkJdbivR9AJ+sXUEhv1UdvjQl4mPH9fkLXMTyU/7zKLaG01MJd3pADnG6HUxDIb8ibvFe
Lk7IWd57iCI8VCcLBxPNBf4YDYdcH4tH4YI0QKTZNlFkEzC8r5+o8wuXHM5e3JhQ0UOc5+Q2Gkw7
bRvARIfBactsPUaj727NVpA82G7eJwfK74a/m/Ii+vL5kckM4N/TDeSRXDbtfxZzthycaeQs7jJp
ls6qRLK53FmVD45lmsA6PTQd9odrw1FDub0+9HlMtZRR2HA0FxB/ORV20K0u9rwka/ZoUTSBW5rz
mx7baE/PWnQ306D/0jhmswLvF95Y7vMdxMtp0ZIHPAMF7pTB0piylarI2n0vpLVL65aXzUhu4Z7P
zztrys21PGlLjn5yryil1x3IznafacnrkBbYNRf1hxdX/zh2G95dX8zz7QqbZAGhLtb11I5OBtMT
CziT5iAU1CSo1c/RtM3IKxD20G9h/P8QzY5zvWWsBRNPPRG21smeiRKjDC0rRrVHRq27ljGYkDVC
6r22VnViZQvUE8zAAumZ1/iPag80IIb+dbG9xPUWCKHeBVaszBDLWNV1aM4DrdsiQkGDdIjMxTJ2
lAO4rNSNfl5fpz8X3umPBz9AQZkUhVr2ybkeIyMddVnX+zZP5xisaVOYXywTGYVNnpdenQSU2/N4
Naoqdw8hrM90lbfm0K4TqTJg1elA4D3XUzts8eyLok3WUTXJAxUVundfa41p1V8LlZrGu4VwiLET
jZf+svk6c5DF3J4oPpKBr9M81vUApFNqPwGEwL10pJqdfzXwZhnWEbxeVMbAu6V45UR5/XF9HS7t
F4J8mw+p0WM7NVZqh1IDXGJlsNSAuWhT/k60YAduXX8+BnKX+htWh0T9FKlOHnFkphNzBOC8H5bi
TTdaww5f7REn2GjeXJ/U+bl2US5AQQ2tQuZ2WlOXre/ztoXlvuIhfgQdVKxzw81v3B7nlzUh3dLS
R+uOfOmUdE2y0tauh9244Y3eup2c5L6J+xcjeekUAoX4ZFyf1YVPBZGV/j2FTBKZU8W2QgCzsuNe
7qUd5x+NbszpGtHVbGcbVZXfCMEvLCG9yaXfsrQmkB47fg+GWS/NSY8lmo/exwKm3A+89zdmdH4z
wntaXhuSC7q8pxV78OSVDf6kYQXt8Q4F0HlG477tkr0WZdbv0BG9vEHuO19EdKF5ZoiPiZHPaHfw
JFFRr3ls4jyNv6nGGtGHFn6Pkz0x5ri7/skuTHB5X1DuQEeQ3PBkz5ujlESRi0wc+JIhyGxHNiAI
sR/Y4vsZW6DQJ5ra1we9NEWPZjlwD8KjM6q1ISZfdvg67euyrr9A4Rhe8sqTDynmNzeihvNdArWO
1wYGDLVuLpDjXZJbRY0xztztLZzi9aApMg+iXNNM2fb6nM4HwmIRejUQC6SqzgBDQscBrsC8GPZD
pwfKzMChRuanmdywuAnzKCMRj1ABOXkTvCKi1Gxb3R6vpZ+RLXd6oZ7GuoN502ufL9kvETLhOLUP
gtjT60PiF63Zsej2ndnlHz0o6w0o4fFGCn++GRiFdjWteTQeqTYefyH0ngCnarLfj6Uq7xFLcwMv
ctQCTryVtV/4RpRMmRMROaf5tF/larhmUTEY92OdiRVADVzuF1j+p3cC/XCudiAUVCZOYVRKlHRB
LCr9iKHhOYSR6LPQ5/lGGHU2l6Wxt1xOyIQsn+hk2VJITe4QA2OvMNR46rQsDvS28m5cRmfXA/RU
Dg2AIRoWC830+ONYeeInRj+O+8x0qaT0urbBoA/7H5Enu9GKjOD62l0cD/UFkgt6YeZppK1pqY+m
o4eSmIr8F2rt46YaVf17MOJsJ/QQ/sz1Ac9CeyaI7+BCXVtCRffk/mtEjr2Hb457W07WJoniOzUn
H2rUdySjz3poPMyFdSvQuDwoJ8tgKy6DH68qZg1Sq2eHb6dpH747r2g1NkFb46gUx0kZuF37PBa3
DJbPheOWuVI+II8AR0RMcDwsjoNpazSV2jcRMP5B19bzAMqzLYzsPuyEeMFRaPimyjIB41k01osj
Leu3Cu2362t+FpbwO8gf/7/WvzgtHP+OPJ0kKG1H7aPSclDf7WXxVdBojlZdqJcL2akUXyHnkodc
H/jS7kLi4w89n3Khe3JmdNVTKDJ8te/7YcLGzvklgeE26O0HXRX9dX2ws3uNWfpEkVSfuD9J4Y5n
SfXdGfsE3ceYgvxzjy0LCH/hfISh/fvTI5GVAqWCu8q9cyouO4YdKvAzsqAK05MDRlSQ2no936vB
cDbXhzq/dRgJnRTeHlSUqUQdT2pGSzavMyj0PhD3d7d3s59ZI+0bN+iFpaOfSnGOK3qRFz5Zulg3
UjmVqbbHSzX9Uta5e18UIvxiDG1xIz44H8ogBwV1C1mWjtpp3ZMUNDfLVlN7L3XHTRo241oZcI3i
pBo+vXYMBRaDW3t5wE/zOQrVuqtgEu2rQQ6vbh4O74R6yY2A7vxw8ZjyjajSoFNI6f34C9WjliQy
i6a9PstpZUgvfYuSRfxtMMVW7xPw3IChbjxGl1YR1CcXKahWSronYQnMPm9SVjHtkwgYpA8n6fvA
qgeiiua3z+5AeoMIMS69fZBPp2WgKJuaVocNt09oht/lHehZ/DnU+vooFyfkESwQM6JQe6q5q/d/
JHv0aY829LcJOcAN+Dbor9js3Bjp/ESBfURCFaAacTY38/H3SozcdePJnPaZamZs6/wwMDv4Ydfn
c37z8WnA6eEXQYx/Bv+d8dRQjl/Oe5rfr1VX7zt6oEE5yX9rtA3/l8E4ugv+l2mdMtybXK+8EIra
3u+9CckLd3a/WYCBYT7BGj34BHvGjZ7CxfnxlC6xireI1x+v4sKrdMphnPfKg+y3qp1GraQG6UX6
Rguoq5xuzPF8g1g6bS3A43w0xjsZEA8ab5rAfey9sGz2OiLi2973cexr/OkGlOviUKDFgFihbknZ
/3huY4t5sTdP9n4h9O/IXP7FhVNtuKGaG5M634tMCs0Xd2E/LO2M45HaagpDTyLmaLgi2SZlb6Hg
RK31+l68MJ8FSLDUCWjaoXB0PEoylYPeW5VHgotl2FA04qdVwEDCJdZ+vz7U+bZg0cj+QB559M9O
FY6yvG/tokTjrrZsUGl9AYU8N81oo2O5hq2rL96uD3hhBZGPWBxfkEWj+XwSYTTmjLEPTbb9LFL3
MZpBM3SzNd7Y7ZdG8bg0uN3dP9/reAXtBpIhDmzu3uy8klvWL8u/tCzLb9zqF4ahbLpsumXt6LAe
D5M0XkY0ann7KU+ijehzLGDoSn9+0y0X7SK9RsUInMTxKGnpd9i/ZuFeT3C2zwrpb3pCuBub7sJc
uF8XExJK6Yxz8mGqUo8z6nseqd8U/7aL2XvWsii7cVQvj8LmNrj3eDZODpBM40bv7MzDP3zqHt28
8tcRItk3Pv+FA7SEECBJSJwps528tpFKOxd2prfXkFFDFE/qj8iS4gysslvyrn8euqMi9KLryjNI
2UEjuDwVF3LKtBZRgUSETiYUtQ9IYAaddAGTgNzuPf177kKPLgINY+khrdasywrlBxyyUmQ4p9cY
a0gxfZ+8b9rUror4sRMwQZziWyzeQ5neuT6uj9JUfzXi9/WjeH72CRyXS5MKAunr6SvUu1HaY7sQ
8i3AVJp5nRzG2ohWZm0hFB4OtwwXzr8947G3/lTTOP4ngRdpqhimFC5RZXoKb5iyWtOjugXvWfbp
8fcAbk9hkLoCFTSKx8enBZe1DiLPjGBgWw97IjJ6DwkM9wDOs/8FFFp2MLtGPuAmWb6TZY03NOMu
rCojc1gpvS48rZMdDgC2cvAJiA70GeI9Shu4fONbuiZeS3iS0ltqv+fkOOrXNvsP7sbSwjkVkNba
xHBRhovga2CQBLrDLQEkRiUA2ZWNTWm/yxbwwt3MUyPWE6TN37ZdLBiX2Mq9zaf3FAjxpRBM+sjj
fzL7pE+hW1d5fMBLWFsP1mgc9FRAIEFwFhdRf319uPNYnhhqaTrSiqcHfYoqaBDKo4kTN3vo98mm
0xtrr9Ro3PsylXdgRNM7z5nH79cHPf/CCJzDwgN0Qi+EuvDxDsOi0007x+/2+Pc2nPsETWI4iW7i
7jEgQtAuq+b2Vg+bq/hsY5OEmQtdZgGvnRkVhvEikUxDdR+1vSdWCZrZw6pp2rHd/OElPAxDNb95
uindVTFqMv2Y/a53Ng6UweduoHCNMJSG824ZY8OQcSHFYVZwBYF4oXpVQ0POEsSqV7DuCvstmeuw
CvqIiOdJNwazCZweCtFetr2VfW2mvBIfpaB3QVtb2f3iXl/hX1WUabMe7aSv/s5VH7l0A+I2IqWr
+6Ja01HJmtfJEHaMx7CgIOvm7VBstNGLe0yZEeTe2hCp3sTYec2HncRZtsGnwPU3juw1b+eoRdQD
ZYHmdwOTN9nKCO7ifRYOQ8rPdCGVaYPvwvwKlYGXqam/wwzBbBTxm/4lyca+x+azavGcHtJcz1ZA
feZqZySdpv0Qlj6KO72e5xZlU1EP3w2LVDELwij3tU3dhpn+no6+p55iSSLxG0P0DCWBIppU9u9o
hk38YLSIxtxHc486aq7nzbgyEgfFjmTIo+9plsb6LivmIl55uQSpRCnHybT7WKs8mqcqnVLF2Bli
Tu5GeXlibt3Mdet9P7gqfs20KopibIa9zFllmAo38MqJngJgePr47Pu5wVHwVSZXakggEzaUc42d
n9aue8e0s35ldlpSfwnnLjMWtdGyfe9lLnxUKYy5vsNNKPxHim4u3mHvR/84yJPgBIike/RY17oX
1iuzDKF9j20Oxz/vK2QtWipVqET1VSuDIeltbRPSF8bSvepMC3GUVtPeWqLc7pvXNZH+OlFcpsEW
y27Ym/bUorGE5nWIKnyFGkycFm6/SYCJyi9Dng1/zSZS0o88YoO/ihEIitaplvszvd0R2SvMpsNm
3efocmxau0yTHTa1vbqfkCmwkYAop3rLp2aPmQZ33505V42zbjLlxIfMTbNxq7H2bpBAIXf/oqvt
R/9IpffpWh9tX8J0yRvooKVWVM+yTeJqPXujLO5k7bbZgxZrxo85mfL0KXFtGe+rTkmIJG2Mj30f
o5H8JGMJhR/lmLxbVaHQXwZr8pqHJEWEZJWPxmA/GXx2+oAdwgwPrpE6j0hF4dkuscBtHyLaoPoW
JcHBfZlg5MVvSRUW+XPig3dZAxOS3YeMpuIJIXZ0SwoWqttVrh6JQzyk0L4RWHH076XXeH9lKI8g
rVygdvYkNBAT25jOyLTLGmdCXsXwQkMLytQsxo1p8Xzq+x5bXvOt6Zs4+TbaYtKf7bBGizSDEIiD
cY1eXyICHJMmAydfjGq2yld0x6lLyfCgXPSjVnOCZPZjJUb5nlCkCs0gNIv0sc709kGN1YBOeIHD
9c5tOtMWgQfr74Oufqgq6CS5P+QB6mVceWukluLohQwsSnDQTrLaX1uRcNttizdxWy1+v4JZiygL
tyaAM+1pyrmdgzAs+nA/URx/BzjvJShU+fZ3Im3E/sE+jkgQxf/H2Xntxo1sa/iJCDCHW7KDmpLl
NI43hCOLORTz05+PujhwswUR2pjB9gAbcHUVK6zwh0G3AyjHCoVO0bjeYaJg2RwmBVUtZFGKduY4
Zv2EaYpXIc7mzHiIabhGY6fuWljVd83oXFxMrr37URX1H0Owze8zhMiqHw01PPeiGHgZf7XmLP2t
CzNJv0IBitp7qU3DL8hxLq7jaEh5/qjWqhsobjyYh8WKZ/c88OorYTJhcvSoelNsXETDt/1gDdge
nJXUcAq/1OJGfIkni9Ic7ojtdGiRx2jQzDE686JmbmSAunPK4o3KgzljDjJaC3yWLkEaVVTdGIx1
XC8Hp59c861YkvEXcMrhyzB2Un0cCjdzUWVDqdEvk3Ie/r78pD4TxCCCv9aW2bTgh7Y4xCZlm4tq
MSDQp+oRatZ0UBazfINzkLgYiKyekZMycR8a2jeD2aAC46LW9vKPeFLovA4dYVZYwOu5XCgGbUN5
AHVtUwnTuGRdjMvetMRZcSSegUY1Drhzz3xO+77pJUygsSCF+s/QGqf+rBXK/I7LqGwOZbL0qH0Y
SztavhJpGV72je6UqThitp4bjs/BLPvQdWWPogSgGPlbzzir41S6/SmSclCOgGombOzhcZkndoD3
eW6MlkfdScF1+VMvuyqoe1TcTi0EB71E5IpGWuvrkznOhW/Hg/OrGLVoeWvSmx93QrybmAs0AdnO
WtsGNESoex3+jANOeqZTmcQhusUDBpsDn3A9f7BSRYbEXN6FT7Vn6nOTPDyNukLbEMKnabhJ6QaP
vBrVKfPSIGlW+ZWWJIOfSyvdSYOfmx1cPcq0tNio4G+SlMyg5IGziHUByNAPR56DPvkwYHFqBHpd
zdWlN/JuuB8aQ+l2gtmbuBJJAHQQmSJ5A7tnM0WrQW+LWApRkyX51RfjQ9sOP73M+StEtGfq9/xY
a1kBrhJiFuv//w9WsClnq+5pnl5aGFjIAekFYnRYnAVpbcBlp9L69eXD9cz3w7wD5BBTpHW5hQ4h
bzZbusLkSr0qjrGF0mTcGsbOEX6CBV0dYUredJOwQeIor1Sp63mNLd5GVal7l8qGo3qEumTqfqkD
kQosC9m1YEZhsL230I3MD24lF56kfIZchmGUct8kiS7uZGLF5kHkwkoggnnY0R+tpZmGQ+S05Xxv
2k2CWFPqDO7FWg2+7ECPCqTBlFy6yecOzQD7pCO6+AkZsxECqxrLJeCxNeQnDYGo7lMNRh2Ku9uL
b0JbCAOsZFL/1rQ8+0uUDrG8WFWWdAj32U52KEBNEgCSx6Cwgq8Lon9t7KoBEKKi4/flyhzW2gKd
NJ8apb6zoiRdjqjCRV9qW8kH3+u9KXltTQr80gp8oPkNoAMkzvU6p0KYqchVhDGR80kCG+UzeOqI
Se6012+3DeOQS6/lL2CXW3RKPGl63+hohmu2TC9eZ+X3aIlVe9uGX3u9a9ZRaOBrwIlgcG9Og0FE
C7QeKR3ER6e7XLhJYBr93vlec9+bURDPXeuSFIy2TvNN2wpSWPYmCJvyS4P87NFMou59ZXji8trT
tj6jK+uS6uQKkbz+PBNr1qFLJsLaKPNPuj4008lJ0JfdeQvWhbmeEuNAfYcHtCrObivvClqqyTKU
SVjiQmEE6/XV+sRywj3PXY0gZm9Pufo/TG7lbcPUYW706q8nF4O6XhDnS0IZa8NxUZoZaz2i2Ncv
oQuYGuo2J5aW4fUoTT2Xy+IYSejkYnxwW/pamSWtnbms52SzgOxrhI2QSFGBe637/597eDbHXq9G
JQ0X2ja4K2rwMA6EkTCMZWsus99Cg1v8wVF628+zotuhlN5+wCc2/4pI5HTRN7we37DwSS5baoB4
CE4BorpIITvJnWv0n9x82FvT2xOAvTYVE5Uoi8rJtl4OX1SWfYm6T9Q0PzQ1H08lBCJ/sQCqv/br
rZ6SbEv68KtO1ebr2TGGwrR2ifrzhNpbUfyxyvHVOCb+Zsi4VP9pWIBs2zzYjl0lepsoClW+hDRn
mAiom+HVzDdGeSovY75iU1jbXLV96riNk89xGJdT/hN8QRVOVr4nf3R70VL9pzjkeEhUUxLZjJIC
vCCBd+JQzXIK12UVeRch7T3fzWd2wCpdzn1Ov4kQezNMPLe9zOZChEopzPfWYhgXPLim0B0S/fDy
FnhuKES6KMVSHVyREtdbO+3yfimlK0KUR8dAped+QuM2fUSNpt7ZbU8b9/oYuyup3lwPMpypJ2DR
P8e4NSQSjxqE2TGtzOHQe2Y9+G1Z82blVk+1GyRzm/9oSy3VbH/QUQP1PRdWZmCJGaHfxXJF/tAB
Q8jvmyVOtJO9lNDQS6xh9IsxZoPYKVM/8735uZzG1UKLfGcTKIE8rrqu1tKwN6kp3mkUqo27fmlJ
Q1/+DLcDrWEfiAcd3A1P+eaL22axtG0W52Hryop3osjeWV6y52t1e4+ty08LjqeITsz2TcgyEzMO
ZBrCPlfjR7QkV3dlOaB5q0G6Rd40anaevufmBVAFlQ2As3RPNoffxHI1xXAVPm+/oNiFOm9yTKLU
fP0l4wHGXIHHbGKA8Jv1a1Ocao3EgfRPvT6kGniBcdDsPAO3Z4VGCcwWEhByH2KU67PSeo2jVWZf
hfpEsh207pSiBtbr/XsVQO2efdt68q5Pyyq4wh1DLuDQ79KvR8ucZe6TDtqwW83mYw1RYaFy3isF
QiItWowa8Or8pxiLcgLuN1Ga4j5H9uDVG3PNYEm6MJ9eMU7Xv8JRIkkSRgHfkXbsW0uuPCC/qfz3
6lF4iYALAKBa05J15f+5GaYqaYrItqJLE2faG/gonY/pQLHz/dbT+u+Krs1H1GrgtPMggU/YrGjk
1moRjZDL0bzom7MH5Wq+iwt1yHzEaJfxTrgopvqVFeHs+/IE12XaDL3uHAo3pFtwGzZbR7VjBzc1
B/atk7ooyE4aNXhNHzuE+h3R+oLHSvPHpFfJUmjA7gy/PYbM3IKnDXuQcBBu3+Yem9xxmIuiqMKu
qJSg08cp0NU53mlbP7O+3GDqerE8AfvWX/HPV4S1EeOwslRhPmv1N8STyzIoOzkcJ4u8EOlnLZjT
xP722qUFBr2CCYnNuGq2OhbTjAa1ppVtCAv9T9rO9QetKKajuraFo8VJz6CFxqCTtvvx5YFvFxV5
SWCFbCnkP+h1XU93VPF6QFijDRPDwwwITuFj01X6zqbd3tnrtGja4XnoUdehCHE9Sq1Mi1OatQwx
eOsuwqVR13faeEr1fAxm00jPr52VQfvMIyECEoK2z2ZWfY6yGVDxMpQq5XarG4DQU57dmdXteYCb
C01qDT+Z2RatgXy16wrVbcJYdlHn6xZF3aCx7ak6OLkWDOpdssxte2l7dc9g6+mVuz6LKzWd5iA5
OViqrd4OdYW0RxukDaN+0eMH/uunE+fxyVy15g8aQG30wWSzFnvbUpe+nXlzfZd28WSH6VJ3WUBl
QdN9sBlYVjBDMsjUg/t3VGZ3SU+ePff5m2WtSsc+1M5BnIoeAZxHLannv0s3m7+I/oeKgr6bIgEc
R1N6aY3ccgLVUijsog3bymOLG2kOy1xLonM0NT2uDnGnfuqomVNsrwtklwBvdpOPnnU1BorqRrE/
4V3sBGNUGPb9HOVe9GYZO7s8caPOViCtcc59LqlU3vVpZ2kIxJc6os9Qwtv/JoS6vUcvwpfHT3qd
Tl/XJn8NY3LEn8pYuuWzoZgivQNIVjc077CoRExNDB/rwmjLcFLQiz8Uce2Z92M1qdHBaOIpuqjm
gLeAixn18EBrwvg0RR7rVhWUfA6oMhh0NpQckViltq2vQF9LGU6yHL6a0qh/642aWAeEzdsiUBCC
0O5F7gLuTi3qBGEJtu61iou8QNg4EZ5i3gPma/sW2ZX0Yi1qqD7n3hxmGU69tuy0T83SqRdsCKp3
TQumwqcEvufpsw0wSKFXJ0zGXA8GIN/rs545Fdd3P7chYW3qsmbt/EOv7brhafDmYdlj5tzeLURK
6MeRvdOoJy68Hq9z6fTaUSPDBpky+1yPitU+GEthZ0HSNPZHUWZ9t1M6fmaOaA6gM8gjuLp+buYY
A57C4G6BN6/xFKHo2PqKQbaWGctr5ddYTmYHBFHjSoMZtHl09aiaedDhzecW78PaH2vuGlSWvlS1
V2PQ4GX96eXL85kFRYDZAr+DZuQKpb9e0ALm67JQbwmFCjIR6CgcPJKXtjSOUWxKj6e3svbkAZ5Z
0ScRG9YT3RwYateDziK1dSGdIUxdfN79RFOjo9p1qCtlsO52MqLbGdpPjxHbZTUw3mq/WKVwSeOm
MSTuzd+TBuNTDhXiDDlufNdn6V7k8sx4q4wTTFD0XVnbTfwZZRP6aLq+hIOpN7GfFHj8+L0Knd1f
RDHQRJJFtAdgvV1R7DIh+vEPMSk0r+sVpauoYAo0qOFo2dVjPpX5ubRj8aPllt5J/J4biqQMWSfA
OdCwNs+7LvXOxLdBD5GaT75XipzQWqehH7ZW2e8ELLdjOSuddhUwoXsI+P16WqLRhp4ajREuxthf
CGu4TAdcnkYHFbLXHgTCFYIfCj5ER4jBXA9lNjPiI4mwUUzJI9KGfn4oWz37sOidOKJw1716PKCl
3GSrtsEq57jJM6tZIHFuKnaI40nqKwINjiLTT7WufwDXInfusCfZy+sQYo0dyIko0q2stk0m0Vuj
0BQgK2E6IMsXIDkw5EEe1bnyIRryaAIjFEmVgn9GZ2HSYiSkJ9Os4rOi2lP/WUxqNZ0onjs/X172
dVk3v0tHdAc+A9V++n+bjUsJLtP6EkGCqcOxoMC85qQrTrzTbqD/dTsOfQ26jNQnoSZttR8RX5C8
VZ1g1wrQTtWqU3hn45BgfOybVFLebjsbU48SY/DuPEeAsA4S7t1M28hu6h+jY+TLMavr3jmgq2Co
77vOxT9RlO74X7Xkrv4pc7PcOLC3GoxhVG2yTqOdu7R9afEoAQ05u76v+zKC4zAlZfO9G6Vav8kN
EcUn7qisOsR6577DKjj1jtHqofTJpjP9QJeYu0NHyFzF0gHd8gcaVhUubmj3jfeZZzb5PQFKFVZA
u+gvE/grAVZV7qfCGaefJGdga+aa9v4hgw9v+hTGEzsAqxEbPj4lGHy0k2H9lnnUuHdAaQuwVOUy
YhoRt/BRWzdXloPAxTP/nZt4T/zO4mHpL4MwsuhAo9wwwyICHHhaesEdrvZpsfypaqyO3kJpBGss
UHIsTgbYiuanzEWRnHu1KHhnIi5nZO8jfLs6OhoJTx5sneGSQ/6OMX/X63SMfbTK8u6OpN6sD6lW
mG+dKu27t2Pi2V8Mp2znExbkNPYz9AqUkzV5aLIIsB0uKgZ1RFPXdqLo0BqFeI9DXundg+bBsKdp
kcfG9CieyL8W5zMVqLwOckIdeST5dIqLE2XSxKRwrJpj1I+a+tDlamQdITwDRROIU0D1cJoC90xH
Gg4yko3oolPpqfIRhz+UCYGyKdppgL71C/lTZQwaIlr1ga6LFcMl9TD2KuWMiY7qKstyVASNx8Nq
GvLTGhutOat63nyeceLxwoI65FdPZGZD7p/q4mwUXq4dbdyp2k/LBA9p59A8czRpwxBpoTNGnWpb
e3Pmboktq6pCIykKMD9l+9bG1mknr3rmYNLUtVa4Pak+mOvre1eT0ZDZbVyHnQma1l5acYzqpj0b
5S495ylH21w2EBTWsrENEIR74HqsWJsqXVvI4dLEQD2n0JPqR6KtLusWUs+/Jxc16WOMy8kvXaTD
vZGwXxscaezDHNP/Cwwrq9zT0KveBzMz4hToQJu2gZmb2menV6iv1xHaLxe3HDn9yPJ00dmT2rwn
b/HcmvFl1iR+rY1sM+y8cATc3bkOrXksca1ypndLpmm/PcV2dyokz2wC50kKiwBxLe1t7ucmbYk3
bK8JW2803yBXop3kWDl3r30FaE+gz4dkHuxcHtrrD8M9NuATmDeh6UTlw+RWxTkhVn115LKOwj4j
3l1rauuy/lvtUUxLzkbahPWUzG/juFWAWeZgCpGRPbx+QgaVpbWGxb1kbJatiDvF0oVow7rXiqNb
2PJASLgXit1+HFrApHwGaGlqnVsrX09BRCjTpiZcpsrh1abXMkSm2IkdbgNaRnHpmdLeYbttqa8K
BUizlQlVIxqXD4gZz+dZg0k5t/pwL6jp7kRGz82KC4eaP10F/tysXWQBUwFS14apjSVXXsXGsVaH
dmdWz46ChrFhqSsrdbuxuzkve2AX6xdK0mPTF6A+a2evD3x7UlcvAuTj2XYqycD6K/7ZcjwlQNmL
tOVt7u2D6vTeXelpQ9AvVbQzodsCFUNRMeVaoHjKZXo9lNEZRD/JyGeiZx8Ug/jiDul5GTXDVxd1
IiQpDZzZtA8v7/TnZog6I/WpldOPvNz1sF1uZ2Vk6y11sTQN0D9VMa/EtpWwdm8jPjcUjS3SVYZb
mb7XQyn9MmAxgNGppViYpaHvTHvo4BTTeHh5Ts/t+PVeXTMqaPHW5qKwPaGY01i0IZbYbxxkrgDn
JT36mkXBjRHtpcM3bUaSRd5A5H8hsq+Cw5vrr+hSJZEq441xlj5oSZe/jV2nv1M87IPNufQOeU+Y
qZA1fxmB6T+OosKKE/Par1HcFaceYEgQGzDivCbrfSuKlZ0L+snO+PrppF2FbuUapwPB2qIDJznp
uZJiWxgVXbWcPCsjJvUy1UsC0sQS8LraptHJakC3+27TCuXQtpb3Schx/uEumT36QnFay09HsxqP
lL/tyXdij4sxwjgv9j1IREhBaMs4+RMc+c63sZR8n3RksAdnTEEEZkCpxc6nXvfMdl7eWv4HCkLx
eGvjTHgYdSrg2rBB4ClwxdgfuwK/xldvqBW9hqwRyp/sqU1NIBGu4lRWJcM50ruDUYrkQ4M2D34O
bfUNBVRS6NcPyIXjMiZmEhR2ro8K4N7FkpMrwxhzB+DGeFKm9WS+1zH6/qOlUbQTK94cTY1+DW4j
5DXMk1rg9XgNWSWYrnkILRcmvG/oNVf30uJUGdiDY3x8eXZPep9XX41R1vofsn1PlKzNAa0qGdkN
JrqIc2ut+tjQfh7hFjSFB0DOLGvNF+Osu0ECwdw5dnZjFT9xhayQb49mW7vwqE7O/dy5qXZsRJrZ
X4cKfTd/rpoCmWNptxgmNZoTLYeqiwYvXESEZx2pgJ3ooChA9jf3g8wnyLsdktpvtFYZyWfiUcNP
sRe9d66LQusvhJGdQIAs9qisz8CG1XfTVEfyl1BIGX+X+E16n0qjIhkyVSSKH3RhZ/37se2c35YW
l98pya/9L2DzCNEledZ/S3k3JZ68Rub5OS680TG1c+dxAqGSfzQSM/0JJcD9z1xJQu+8ebGsh37p
8umhnig7vvb2h3sDdoWGK1+fc7Qer3/etwk+C7ifQQsbsAJHz+sA7yaAI5Hq3+OE3W4xhkIOGAWV
JwnOzZaGROXiPWxrYZHm6X9NqcgDJTxYB72R5jtR780DsJbSiRCRf4LQSLJwPa14mvGtLjstVCbT
+uuNnYDz2bnmR+QPxbnUanNvR/MXXm9oHhsA6qjirbK9WzUOxewU4ImLESZcH81xmheZHJdFpu+k
KLTXattz2xGKwCskB6JTv609lQlbo6mkFWZJrB4QEnX9Vh2Eb6jTz5dPKuDE25mxkFjbuLxwCARv
rj5XTJ6HVvQSEkEq4ofeTd7w3lbncTlSFIOjEc0DeBmpdY382EK/+bKg/TmERQJfKBjZ4PAhqGrh
Ydon3oMszYFqQenKun3UQWp5ri+VcljeafBbFj9GI6R8j+9lUgXl1NgPDfX7DHQ+soSHRRtT21cc
bYbBuWRQJ7KxwzsoTtBR8GszridoKnmcngC+zNlBsijliStm1j8scyWcg6vNrvu+N5saOYesswz4
C4ULbH/I8YztOGHygf8q89Ok2NP0njs/WoKht+AKqU0ro2/CcMV3RAtpX8VisdJT5A2jetbRVre/
F2riGYBBvEr5gCWiax0VfGDjk2UtYH9xqcy8oKFjj63wgtX8Q5W79o9i6IsoGMfJy/x0maApWOSl
f9WOth73RNnZZwyEyvHgJVaiXTQjHjqgBHNKDFEAA9UOqVPkKaZq3Yr2TWpdif5AetBMP6msyT7I
EtGrU2GkSYIz9iz+wzMdn2X4bt7fZlyU5U1e1fljjeDoB6IYrIKLZc7FMe8V5/tA9Q86YIR+iT9a
A9lJ360dqkQk7q9sUWdqJ326JP4yq7V+kmx9XH0jRfxCKCsq/AbsEUbXVZJo32JlHKqjLvLePqdt
v7iB1yWqCCo3z2Fn40gC/Xqy1S+EH533NtfRA30zzn1Wndw87dOLi2BQflIFEvC4yZMojr4+aNJ+
awlddEdTKT3snBNSKpifcwpN5OXjsEXIrAePBh//ACijX7YtdsA4r6Ek2iQdtbfwkLgd3sOGcFUw
AHlp0+gh95kxtOj05DwZGDQEQzO3e9jDp/xzc9+gdGHhx8gNx526+SEw4egqQbEMNas33Pf4rQvv
LluIJQKzN9T6rID/0O7dekgqgs8Wd05KQdaA9nYcp8cuLafhLabsbnHOrTIqzo2i4re8atS0B5pw
lljRcDUaW16pfCuiejYoeg6Zd6rxgx2C3O2KL0k/DF94nDFEc3pZmIeh9LIpUAdF1d83Vd3o77si
M37YMcLHJ2UWpRVUeT12d5xaI3lj1jw/eNzPclb9rix7YOuV1qQ7sc3tR6OpqqKetRpK8efm4XGL
AdmiNsfGuMqczJ+tMnM+ejQdAf9gTKPcmQV216ekUJUMP/UWhRm/7wur+/ry5rkJVXleoYEDdABv
B1NmE2PV8PbixOy8cMLMIOgo2NHRNff0Xda/5XpnEN0/ca8R2AOOvXn6Jg/DukoqXjhkgz6fgI9i
IrmouN+60soeDLM04HkMkXR2QtbbZSaFJGAlrFt531uqWEnzf2pLNbtvm2GgK5+cOs2RkG27C4Mu
+K7L8lCpydmquy8vr+xTC/d60uvY1MyI0N0VPHb93nticnvAhdm92kcDFV99aH4prpp9sNMYzYc4
UeWntFKSL+AJ6uFucoWoA0VBfAJXo8p6mOmafoOf4ZXAhctRP7jAeeUR5c1pfCN6tUtOL//i271A
E2MVxVmhUYBuN3sS8HOOd7HI7xHQ7fFeb6ZzRn1+57q63QvkKx6tdvRmAblt4a/ULMwlVpriPrZc
q8Kjq1r+06g5JSc7UfGhro7eNM3vXp7abexFiZYUH8ALVHzajNffwq47tR71MrvHRsA5VpOtf3WM
UuEebNLPpl1XrxXHxOWHvrsBQXClKRo3SLfMMpIRuvK9hnZN7Zvc0Ji3Knv8umc+2ZOgyKqnvvLs
NqEyibAoZ3fM7msL1bW5B89XxdMeWOH2k1Gup4JAHQG1BoLX69Xz8tmNFzAKa/F6vtPqeH47SKd+
N8tevs/yZPhpqd306bWfjAWkGUzdCbAgeu3Xg1I3N3s9iot7N8/ac1LH2hcXIaxfntJoh2qotZ3w
/HYpUa1Dq1pbMcHwDdZU4Z+soyN6kj3N9HsQX7WfLBQ/CTOL4OVZrX/L9aVwPcq6Uf8ZJdNMekOA
EO/VxBRvbTDuqKZjmS7BfL19eagbiirwQ/xg+R+U5KixbitAYky7bLHn/H4sZPvXTnuPJ1V0tUV/
bemzuxYn+ehk13SojktqiuZo2zJRPlJYytwgKnU2Upl4E1ZOeQEUvYid4ZNl1/X3pPPyP1zpBnIS
M+1AQ5qyPZZq38yA2JAQeKR+NgKlGTSlDea86WO/k2aRB0UZxQ7gNnpLh0pTpHHEfrv6UU4M/UjR
RlbYVOOuHmFD3i+fMe42q0eq9rsOejcfgsqitYr6UUhHifpGfEQbTTBkQoQtMcnBEghhyL7Vj3Vt
79FEnx/qyf0QOgs9outvTvO3wIstFqG0EwfdVZMANBI/CgLo88uf/CYvWifFaw5sitbRDQMuS6zU
9CoYExL3Ix8wr/hiO7F1Z6a6dpiauYcNMo737uy1Oxfszel5Gpk6PuUawgh7M8cCPXt3rFnOyerc
O46Yeu4A+u4858+NQscAWStcK9Z22/VKYqeXzThVKhc3brrH2p2GN1GVOq99B5kL1XUkgdfnkH+v
R1kAQCrAj5ULCtTJY1NN9X3eWXuwrGfmYtEi4KJZn0EQb9ejwKEiPs56tH+wFHDOSdXU73QAPfbd
y3vi5vIGmQtJnh6VRk8NktP1OIhpjEh0pHGo2OrwHVl+9xuuBx1+B/00Ox/HqpDDebGyaO+hf2bb
A7NhTDis/LEFmJKSrqyeSIHC2K44s0TUnO2ipSbQel6yc9s9t5w6VUmCSw4z2epmmhmJ7ATMNJSd
4w0nemV6dbAqmzvn5fV8biCqGwi4IVmk3tAY6ygTRR5FDORhtI0SiryjNZt+ev0oVI+fSCprPWUz
HQizaAgXYxz2jvLHa/T0mOnRHhXpmeuCpuX/D+JujhMXPBQ84LlcF/b8rfAklTYr6oc7iOTiR5N0
RtBodsYVaZLKv36CK8qKiAJa6E27WaU1MfRuBWa4lt7J4Un0G5zDd9Ks5zY/FwZ8CmSNoMXo17si
RutjaEQrQs2Z5akaqv7Q1B+s5hEle/OUEwnvTOuZTW+jSbiSdjGBgbJyPSD9JcwwLTUJ9cg0f3hG
iyfrNNmLfqTDMWuvv+8JaKlbr0B1CvLrXv0nmminGGaW5ybhnFD6Ghe0QPDIrA9D7tHAUVPtLqJu
+zlNRRrvTPSZY8ClhXIsPjDA/2/IeaXSSC1DvAuWw3gHlZfcxarinVP9zHJi9UTESdMb+sK2h98g
zNilCcwzmJXaWbWmXwbIsWPdJu7r5wNWD9FYGDHUUraQkUZo/djPThpOXt88ZnWpfgeQlO5cxk8/
+Cr+w+N55f2t3W9QW9t3cuq4K+cqTaEzOQoOERDORnGU1tramFwH6STucDpfS2woVhwMnTJPhE7g
3ml+TsqE/3kzykOv29TeFjEixGmkLpUlHaEx9dCatafdV7XoukPUd7SAVIA/nyvXK//2RTPAufES
89MCOsp8k7ZKYvoLFsVLG8RDatkfUQMgDCyywdJPtme13Z1dGHnzrswW44uIVXD9L18DN4kZDywk
BDDQdBgwEdjEw+D6eYnjEftVvEoRz5HzQeJB6M+K+pj0xR7B8HY/EXpgzETwQEECdv31gakFLZMU
nZVQlpAF1BShGgwPcx/Vgz1gyO0BYSjk12gr4s5E0nk9FEzGqGlraFYD6q2n1srjc12Vv19evtv7
je6Fh0YGQEf27laStTUrO8oVdFHnwk2OpjfKb6Pu5g9VUWkHlGHHx0wMe1qQT0ZP15uY/Ut9b4UG
8BBuWcadmc0NhQ3IDjLLbdvPRiWWj/qKT7koSSlT4Wfm6HmP2qSL4h2SWbUJ1tCSaFCUqhqJ/3Ax
HdTPSqpny7eyGpQ3bbaUuj+xe5OAenf7n2kO80M1QS6ELeUi4RXLspT+WEc6UkdmCd1PrWT2NasQ
vvUlGsXDWcRKsZf73r6RCCOsQgyUx4ASbSsHdTsSJNptGw6xLUc/d4rlPOtCfd/H3fxZHer+3HXp
Mt4XYpbGznVxi7AlEuVoYEZH0ULj7rjeRJqezbmRDjKkLo3QBE5ZCEChnxPZj3Xq9dmnPslr+dBk
jVt9YOnn+KL1WfkHRLcwvtiNnPVATajBfnh5391u7tUFDI458Q/ly2144hGxep0ri7A3KNjos1ze
aihj/H15lNvTCq3MAzpNx5nW2dbMJHGGBAAXZE5nBsPv12BGk2CKyWrv4J8ue+4Vt3fRCs5AfRqS
7krd2yw2Cjq6sUQcJmyF6/Jougr9Hgv8bB0swp6+WJlh/Xp5hs8OyWe12VzcSlvQnVvn7eShCh22
OH4F3ajax0a6w6kqa/fYpNmeHdKz4606FYCHeFS3LEEb84QCfTAupWmM6lM6iuiznpXFezq/PDFJ
Sx9l52F9ZkiKN/i6Q63nAG2DzKpVNfKcpA6BSMs7RbRtoButuMNqvT1kyBjtxOfPbBoo6qgUETcA
f92qzaBsVsvGFXVozll70rR8fjNmrXMvUbbbO55rJnh9Ea5sVi53jgLB5dbTmNacOal2D8RQj4GY
pL01O9AKXPvTjJpqH6aydt915li9A5dP0yMr2LaB1XVmcUoMA9FFy5HdjCmeHMvjy1vr9mlgDWgN
ATmiHADP7/rqKKTMMmqtZeg2RY9Qr3GURdr8ocJVBFNLNebQj7LeibefW/x/B13vjX8CUqRi5dJF
0OBU3K5OMi+8g1bGSHGqWvU/fGeCT/dJWpUa4fpT/hlqRmrfgCwD190stVPJexHqatEfsFbfEz55
qklvvzMxPdVc6irwHbbTotsFvEUrwwi99cR3VAUdydiIxkfOL4vbYsJT+XrvRX/noXKnB32Z428U
MM3Wj/I8fa06MkrBdDNw1nO5q+jJbHJ6RYxeo0Xw/GvEI32lo4y2dMlrvZIZBZjQqnAHVRyw5iaC
6RRjFAiIl+EiM0xILVOC1nSanRzmmS1DCKGuy0sAwy14/R3t0VyUUWlAhMdSuUP5euHiK5ewj7h3
Xz4Sz7xaa0WCkJKYRSXsvB6KtvAyCNOG/01fH5xCjV13nVuv1ApYlw06L3UdxI5WCOP1KLCjpETG
AsWCsUGWX6mNx37J5OHluUCj4+/ZbEqq4/S0gK7Q794WyAtvcCIwwWOIXVW+fEuAhC/fDfgO8sEo
4jKvgkXh+f6ay0wpaPkmdSOP7rDoQ1DO2IV+VBcNSzVsbqbhaCeiVWi1YkJ5aUdl1v8WWW18BgVQ
pWeqbbjP62mGVrTRW00cLKkw/lPNnKxFAiVx35DMp8i72lOjucfWakATdbgs2HeinLT2vrXI7X0K
JqUM0MrMmre20i5V4lupljixLxvwnqkvy1QR59nRY+2Qz4itHip3MCuYLGW++M5gtTlAQNl1w3e1
Gmbnrre6ogwTJVeTQEdDuz6b1jhwxUZD18PGE00RzERu34soB7NaD7omPgxl4VTHjkDS8w1NWvGj
xtvUB2WazvmHOAajVfrDlOiJn6r6NJwQm7UH3EQis7wrm9yxf5W1PvfQxty5viCpWZofCuTbgEvT
6XV+pZYa26GTVmpxhIiRRL+ZbWsFhnQjG8BIZKiU4MvBfoiT3kN0bUE791Tztd6Ycyzj/+PsvHbk
Nrp2fUUEmMMpmx2Go9FopBkFnxQsyWbOmVf/P9QGNtxsoon5bMPwgaHqKlatWrXWG77blVn+EMPc
UJROKlRJa+rm1RlL1eGvidJu6RlOZ+ruONR4l1uRLlWXUJe66MWakHZF4xGHyNrVMOlLz+hDqt+C
foRm7ZpRGU+dh5Juq/5upomohdIdGq1Nn1qvXTc7BiK8NSCWvEYgJYlyHOrsrLNwxwjNBnd2DOHS
7GluebOfhSwy1VWKeaxOmpAryUs6EVlfx4G73R1MrZlfAH9WFiuFgtMBOOek/Kg0qrhurxvRX7MW
5SrsoF4vj2jw2Na3Sc27z6mcIjDTJnUzPzly2KTnFvGP8YgzKzela3U15Gl3rNq4fYiDQmovo1L2
aD1bDpEKviebzi3BE2SuRi43nDC/U38PmjkHX++fwqUMtzqDi80v9Q+coniJrSpoSqs4talPoIf1
Ul2kn9HwiQObno4BklhKZNQ9MxMAiRxq8JAMyfx9/wf8eX+sfwHvP2DtZK2AF1fRxgDZPi068j68
fNPwxtkpn0UjxZmb1gJH3S5MHPkwoSL0wTaleH7s8rmsPa2fVMUtkozujmVLtcbjKcjjgym1ojtm
etyYB2TGqvDciTr6q6vG+TkDL7wn77IRxEwNIVWiMtKAICKug2Uq43U09GRrI6ARtyp6r0AT6hA0
9QeyFWPnrtnIiSi2E6BhHCiMu7prEuRWFdRzkRay5to1gEV4JaLkM6V3fZ4fqSzvtEWWJ8P663BD
A14Fo0PRYZn+f5IUsruwiLqk9JEYk59UrcshmzUtuuVpdcE/SvanZLaBNrXmw/2NsXHXYdSCZgaK
9/T/1mV/qTcD1MbSkqlSL0rRE/Qq0e4RHjYub5OWMGaTyNzTj1klIlWujUhDi9LXirw/SA2uf3Ne
S54tx6P7/gnhXkBhFfsZCqurpWw6PaB+y1CBLYbK1WKhnPNE73e+2Na6oS9Co2TpOt8Ac3QuoixP
JL5YFOPC0cw9Yu5BUTk709lcuUVbZCFw0KlbbXwHsewcC9rKT8cEkQMU+lFBnzr4fy5Vz3IPLL4x
LYAI1Lwg6oITW5cxIMMNKl6nlQ/7tPLksBJvKpy0HVr8jcs2R4s6O4Vanny4aK4JMHopzDE0kfYF
geWIFyBv7Q8YI8rnFKx8+3dAk31+Johl82Uqc1xdi9ipuIT6vLONh1KLjeRpmuy4OjglGBG/Jr9t
D1Jrqd+QNlWbj+00TDFqsDhje2akZxXlDSH+iYI+xYCgkrT41WhnOXzmDtPap3ieze6hjsBgu6PR
wy2XpRbZY7Q/7MgroB1lO+duI6DxFkS5BKkhjYLcqnEzwsVVlNgo/S4UTzA08u+dbv+jIWr2oI9J
4L33UMCOoXigcsZ5Yq9LFnZcxkjwWQ3v+Tp9SAGrPo1qM+3kzbdzWroMlMeBMdFgW1NXqkAHmYfs
ip+Pifi56JaDoTHT8qMidCEfNOF0f92f1+29ukRnwjQsTkpf67pmryAbPiRj58t9Vo3HTq+64ZLX
faYf+yQNAleCM11dCsviijUaW+sOidQJ8Xr/Z9zeF5TpmTPPEnBRxtqzt5bVSQ7kuvX7PMZfNJX1
j8CL1QNOCX/k6aIfoTCnd+8gE3QU5wGEIJIIayB14Ki9CDqlhT0yxJNfxXIHUM2JpcDFwXUILkBI
yz0r5D/x5vqmWujyC2ceFywg46tyQQWOqUtg0ficu1D67ERdLb2hSNF1n2AS9cFr4czhBAYtp0YF
JRnn+1npJLmF3wIo85AqejdTZcjKv0A+O/H3SK1BLNf4vQafhq417TPPSf0vWbRBBG2HovBbpPeS
4xlDmY4fJTFF9U595jbosX0gsKFTiekg1ZDr21dUkjP3GFn4toHXhTmk86ec6sXOGby945dSE/B6
0FHslD/V8v/c8S0cbTyEus6veHp5OfGlOgjCZO/KjRZ9M7IxPQUoPT12oZW8v43K4DwC8X+juoYW
w/UUe3Nou1FqOn8GCX/OKfq4poWI1P1zsLGQdE+BRABf4c25TmPmSKJVFDKKmUq6r41K9k0uO33n
9ri9EpdS+iJti8wXCOJV6LRHJyjy0GAh83j6qpn9+MTrUL1oBYYR/8OETI7XH7gMD/brZQuJFYPa
6J0PP0xF1wDGWaWl6ul/GIUS5FL6hEi7LkU2SNqFmRb2PpdW7wWlNiBfW+xVAjY/DmBKgLyAv6nX
XM9FZfOpcVj2PoLmzilWpuaM+cD84/5ctj7O0qSzudkAGK3Vm8taqeOwtXt/zurmpe3ViJzPKoCP
GdJOAeV2KMpNUNroBwIAhJZ5PSHRFVYzxwPBv1Pyh0y3k1+iUeFM0L7byfY2hwIejPnU0mlcS/9C
Lw16pwEXRRLx26IF7IZGRW2gl/Y8Q2+/EqRPSml/dhwY29VXAjg1tYUeLYpBSHNMUoGoKyIlx/tf
6fam/n/ILxDlPKhu5BUCdRQxpiqD33VqN3sZjZUzRItCfokCPi1ZVaXH3v0xby9JXmRQqpcO7oJ1
Xr2BAdzDOkgZ024a89Nk9pPb5dXipKImvqmZ0Umyi72jtTFRUFNIBqHDzotg3UfH1gM5Dyj+vqy1
4BlDVHtTbD5eQtusPohC3XM83NgoJM8I0y6qmWgRryZpWhOMjt4efKmDwtKZmC05oghOcd077761
yNPJoxGUoXxPRLze/gmyIzCtstFvbLW4QGIYH6CQ7mF/thYQroZJ1x2xIHldpTT0HgJEEo5+VbRm
gYFIgp1O0anR5Eeq1b1lc6q+H2OxkN+oZMK3I5lcd9/znnavGVcoOCdAbAV0SlRrklRPdq6rrY8F
+IZjjdATk1t9rFEvYhwA2tEXWlH7SWCq51zDDQDJoGpn828sI1kTjyp9Ua2i4XT9scyJhocoHdlv
SsW4hFOfeGFjl4eI4HjqtbzbGW9jaos+LDqfS3eLB/71eJ1RyGaN0qcv41zx74QtFhqCwsgfeQAY
O/fx1tzQyDL0hVhEaX75Lf9JbJqiCSp2heKPVSEd7Rw370xPs+dixoOgErsqybeBhAYA72EQYdD6
1DXYJw3TtpIy2mZqYhsfZWqenkK+8T1PsuJBADr9nE4ICN2PXrdxeWmG4k9BrURf9NmvJ1mMYN/w
hxp8km75qMSy5Aa4gpzePQoFoAX2Sh5NrrjKROG/xHOSYV2rV3M9XegOoT2BYkjV75QVbqcDGgQJ
MMYAEEIx9no6rYlXSVZzrGutgwSmmOLTLEn1e/V1QEmxajT+aSzKNFuvR8GoS48znNP80ianoQKk
ewKlZrco9Pcqs3OngGGnqACuGAbjOoeipqmEEI1HvwW/7kKLzN06UdKDZYbl/7B2YDxswu8i1b3u
5qYFFeixlUd/hl7udkJKEIOw9q7L2xO8VHwYhMSdhHqNEMwbWZmbCRl7truE4eWguFLUj2cTD47j
/V23NRR0ffjs5B6Us1a7brCNVLfKavZLy6brS+YRdi7sjSE59+Aff797NB2oBmLAi54lXJHrTeGo
+ImxXDK1TgetscnMvGYY7BP+je/VU2dTAKtCIp5wAT5kzRBvyqRqhmSQ/boOHE/FR/KAvFXx/uUD
uMwZ4p7kZbUG37SoRY9lNMtAHPPyQJ8dcdxMzGctkfb0HW+OLb1c3gdLJYfXgrqmaqsarBDMzCzf
pqj1cxyj1iuHKPl8/wvdjgINhNAKqpgLn2v/+gsFg56EZY1EZj029Zkq4fxktyX0w/vD3Gw7DYs6
Qil85gX8vU6qhy6100FKKCUseJYscjAL1SpshoxpbyPcXFEcJYuXN41w/guU1PWMOi0b695wer+L
G/Fq9knntemsnCc5bU9NU+yB6W+nxtFFX5TmO7gnRGOux4Pcj/5Eqgw+DWbpok1q7A5dGZ5Gpdk5
TVsz4z3Cs2QR1uZcXY80VfAAE0Me/Bh76iMtLdqE0VicSqUov+lhsfci/lMpuCoALVGJZGnRnqcd
v56a1clzYNEs8EUbBocQOvijlaFU1xWi+GCD9fqRdJPxiKidA61adc50QofzDGTOj1VMBSct1z9o
8rR3Cm+yAlYZqwwkLRW+tWGtClNhZHVFp0mjn1rF5M66Nntj0RYfwzIbDjXacV+spN2j595yp6iE
cYNq4IewBaG3d738Y2lUFWww1e/o7TifRdxN2WuqjW36pSjgQP0I7FlPTyCrdfWJusWExEtb2c3j
ECIAfWxEawg8eGqSaqfWlWdnGA39AN5Kn+lmZ5jMDmoZiF8t5VbbpcqZSv+YUmCkyUmWRxkufRZn
9SEcmsi5tFFiV8cO0+D8Q4czi/NtEkUZe+TARePy3EulnyXa1aEbVZw2D4mfMHCxnJi03quoTolD
QZG0fm9JgNUBrwE+bzkJNxQqejRZTzqj+TYaoDLgAZX3UISX8KjlcbMTVG63AYOBBIewxWudZ8v1
BxGp1WjJbC1i1475t9baVfC5qgc999TA0PJzrRsi9elxTHtEnZv6HtPknQSSgwyE8tcqxa+M3Ani
CT+NuLZ1V3OS5oJ1LlC2rqufmg4RzINRlc2xSEzx+X4kvQ3YTBScLU9rOF1M/XrSKAFno62Xml+g
GXKANts/ZGYx7TAfb0MNoyAXhR0KOHtGux5FLecxVUWk+2GgTrHrFGZSv1LxLB1Gg6iOdk02jDsp
5Mb3xAQJ0C/uHhQr1iVFQ0KQdBoYlKfg1B1mE9EvmtVSrh9KdZTaQ4qaTQBqj/jzcH9Vb+dL9Mb+
nNLSHzOP1QctAbPMxqDrPngtU/PqIi4mOuQYCxzDPMyEq9dBVXv3B729OYAELYxDisSL/c/qUzp2
BzADHji4Jsd+aAKdYSD1P8SZvafkeLthlx4c7xle2joo/dUlpRljVFd0M1CkxAZZU8VzlZZvw4yI
v96Hb42EtXPR6zu76HavUmZf5B9IAHnGre3VFw2PIdbAvUwmUI8YkyOv76LmvQBDCiJ0Fxd1z0Ul
aE3ox9RMhrWGxsRg2c1hLLXg3OqB4ZZole58sVsCP68o0hh8of4ktWuYe6OroN/K2vYzOciqf9uJ
98EhAXIFZAWshHUG/CzEKQuyyPJEHWgKIue0IxBlMTLjPMZBVz6ZmlAxJ++oslxyTZCpEsWbIkVb
pcQDrDXqPNmjHix76foqXyo7xEsqSMCY192zMXbCNKtyxwfn1Yx+Ig8G3ArYoYmXDqYSPeZ2qdQH
LHQxs7ElnKeOTZcHb/d3/O2GIGIi8YoE0cLXXH+qAYUjC0qX8GO56L4GSYmIH4yU1/uj3ELkF2Qi
IEgwCGx5Luvr6KXYg1gg2sJHhpVDBXQMD27DSLEmynrKoRcMJFDETYylWTzkOIF+sjsN+Z4JhFf/
IHV1/6DWibRXGdqYvk25Fz8mA3AeXInr31VkGH/M6Dv42RSAaOHN7JTuUGXDu1v7Cwdj0TYAibyU
y1fHvZ2KKCjxVnxE3DY5KGPTnaUKpZf763wTNDkD8JYWpA6lGSoM19MJhrTAq6SksEAr+NmpwuZS
QmD+qFhZ+yiVfbvnynATxRgQcRJwGHSCeE+spkWeK825RDlSHzrnKWwx9TkjW1UW7hS1yF0XVp78
q9fzhBAQm2snztx8PVrqQNa58fl+C6Pveroo8CZCKsDn4P5O+p3TlUWkxUnynbRmY1m5ichrFy0Y
lGpXd2+RZwnd1ZR6XhvO0ilVddG4atwXTwjOhdrJ0MJx7364hTPrlCx5NBE+l27eug6LYCge3hPC
/uMQj/2hzuMqOeZ96LzYymgprm13wb8ppnvA9MDcecAiS9vFkzr+FtKPF979rbWx1gvzCw9lfEEV
fOau1zppytDKyDR9zWzgIBh9+CBCo7zcH2XZL1dBkUkjyrogjYnB+MtdjzJKPTzMJlf8RjTJpS1R
/6gj4fgK229n82xsXYrqC2sFVC53yOroi3xuMjr1ij+Mcu9FZmyhpmIg4SyN2UHPLc0Tijw912aw
R5DfmiSYItigsDsYepVlxOagBU5dozGHrtITsN/peWGh/crNoX/vfQ8hisci6Qxgl0Uy5no9s3Zq
QPgqil+DYb2AH7AuapqnOwTQjb1BZ50uEeXnhci+KipJaKZUPGM4H3FZnqNa/Wk0QtvZgBvfi11H
nFnqLzToVt8ragKriCQee4HZq8egUctHkK1gJ7XWbNwpUa0vKZZBxzxoxp2wujk0KfCiAbA4Faz2
Pr4zmSS0QF0AgumnMkPT3Uwy5W3uzP6bjD0S7kaOADls7kkfbkQeDKAW0RiQe1TAV+dB1EYbDWJW
/Fzo/VMQNeGpb9voBwrUmLvO1XttA7mdecaDtKAKDlVxbSgEiFBRFuF6pPkt5SWTqg4/oyrGerEH
a3r/rG/tmqUKzo6hI4lcxPXerNpApvSKnUiAa4kXZ0l4KkKyn/uj/JGEWYUU6nUa9VX4gdzyqyuq
mYQJlFlXfVMUjyMqKmkpPWih9EGWg7dMMo5yb/1TafqnLnT+VmrbxSHj2Bka9NZctQ6huYdv3Zo3
ODDqiHQqeVWtf5AyYo+WxyodmzY/mK1IHjOovJf7894IMlyLS2GElzhlvlUqIJVx2M1lha5knGVf
uiRI/CCOjONcz3vwlq1NulDxQM2z0Dc2bLJcdVVsMZQMi/8nFare18LZfBOhiB8S4bTvfRrSyQPG
QzJJ/CTkrI5jKiRZn+1E95usy54p0CeegwThoZBkcZLNynp/EF2KW5S1EBqFfr6K10pcKwHedqqP
dfOM/aumepGsv1uAhlkBEAGlRMOQt+/qg9VmN0dwHijUWFKDtKkSe7OamS6iTnsq1xs7EHV6UK0y
/yzn/frklaomoJlhrhM2efV5sILgUtpDsRM1leVyWZ08mhoguoiZvM9uOht9NehpIGt+MLfOmX6E
gDyZi+cpmxYjcb1qa+RvtNCVCvgbSd+J46BixHH/IGzsTg4A+QQ3LtFrLWs319RMcRPXwPDyFKJS
2ghfgsUBzGdwsCbV4z099q3lRRJXJ+YgWn7TDRsnrVYKNEZBBYrJM2JbPeRlO5/uz2tJbterC1Zl
KXLzdruRX++tuow1NdB9wxh+m6X0Wk3GEz2JF677L3Y0vewMd/NeBTS3oDh4yACW5zF3vWmsLFO1
KSgNsAjoVZ5RnOqjB95P8+C1FDNCL51jxOatMSnJodq2PVtRmmIvNNdl/ssI48x8kOyufimD3tC/
ALiLbE+MfSQdlFLS7LMlDdZzC+dpyWKjEbuJ3ExVv5XkVP2rT2OEikiWu+ipmaLEwXRRc14Nc57K
QxmmZE4N1q/tg5hVOTlPYWMAJpZ6O7vA++9bF+p61H/XqknHAKfpJYk4L+bCC8dG/14OaWofR1Vu
bU+rJR3YJIwm2LCoj9ueWvM0cGMJmVhXt0IVka3REl/58u0vJUvHwEuqLA6PmoiRZySxRU5rKKlb
nZj/kLqTSLIvtiXU3xM16OHQq/qUeSMONTwdZCF9N0voqc+GXAbqUxFmja8GVpkfukqvv4aTEOVB
C+XOdhHt1dJLxTvlRynJVCTMNtNDdyJOwn9SpOR3Kvd9ch6iUf3VCzhjeP00cf/BTJooP1Vqlske
xmudtXPGNna8CTGEDAVELDCt1ZVGoxZDmwwRY5vWtqfFnXaAcvtuQiU7cIGts7AUQm8ywCKnpO8M
7PhAUg1XnuBCS/q0Jw6zNReuZ9ItHuq8RlZxuAczYc3gh/y66UJP60frOIp+z9FgaxTAhrykSCkX
5ZTr0zRwnTi2JJiLIfevs5wM37M+CY73D+1tv4glWyhHmAvyWW6CxEhNscZZiIJmriOqPC0dsaeC
pwnVatRLVA+nM9AwjRmSv84d2pVejMPhb2wzG80Lu1xNHgvkjz/2jUqTXaY8E+/9xo1rAmokAXNp
4crgc66XIpwK0FQCyKqJLu233KiVz1MsWRZCI4aGl2ncyO6iUfRzqofkRDtu8uky7L3xtz4I6m9A
6BdJsRv2cBtABpPwW/X1sZk/JYgvf5QyTd+pJCyfdRW0aUsiZodMBDWLNYB7tnWJagm5HxHn1xSL
4Nxz7A9p13c7y7oxH7RTKDZBK1oAcaukBb4B2JJKqH44DjBXjNw+ZJLV7FxCW6PYnEdOC7wwjsz1
t+sNI8mJtaofdQoQwgySzFAQqe5v442rDkTr/x/lFtc3oPpbD6qfFUP/VCaZ+QUqiupmQzQ/KlVT
vqZ9sffe3JyaDmuPVMkheVg9T7ogmbOwyZhaYXeu1DjjpcotY2cBNzYEGFBQYkuyQL1jFW0CKWx1
tRg1PxaG6g2B812WJ82LiiTcWcTlGK22HkqT1AIsk0c6u+/6U+HQFps1mDWI4uAwpSo1p2M72Ulz
6ps8eTYr6UsezvVjXAv92/3vt7GUDM3s2PHskfUu0WzesSkNQL/m7XxMCeRHrBL2apG3LMulLsDk
0Ogg+aIceT3DSprisXBS3U+D+pMwlH/7zJZgWHYnWzJ+OlHkxdI3q5I+EhK/zHRCEbFRX2yAIi75
lUfvtXCDbvgcNdNLW5vzQZmNnY+wtRJckwAhEClYCKHXP1GjC2KpEytBJwtf4mm2T0GM9dj99d6q
HVLK548yFq0sZnE9DOkinSen030Bkx6cgF5UaBf3s/4cDZhCn5D0DLoPmTnk6ZM6J5RNFRUNm5NO
m1EhD0qsvTfb1sR5OcGBINKDTl+y9P/AFIHVI5EM3cvPOkyfcfDIjnJs7+kAbY6yKE9SQMQbcI00
GSlCtcxP9ytjbE+F2uunqK/q/2E7U8MHB4m+JU/eJVz9Zy7RPEwhghE6ldm0P1aymZ9NjN13tspt
ZIDHsYDrQekwn/Urd+gr2kdFqft6JwenHhlmsCVKeyqL9v3LtgwFqoQqKF2KNZlpQiI/1ZqCG1gO
DPj0dTR8t8JdGszWjADmANOisL3we6/Xre/TLpI0Yp1m6DECHTHFmCAxHFJXUew8V7bG4q1CdwC4
jELZ53os+MlAz032GyrewYex0pqDPtiSP9WFs3Pabm8nskWyOJsmpE6FfHXYug7F/lEyDL8Y8F43
Ar14zvU2P4NNsn9GAKjdqm/lnT34p+hwHc4ZFQYGQkiUC2giX08wytpcsRrZIIHkUfY8U53/J46c
vDS9IizzDKpMKIc8zdTyRUWfYT6KtG6+DyCE+8PUqH3tyrjmvAiEIWIA3sOAGADGDhAU+4UMz/up
K09GWXSfhBMWf8c1qhGHTtfT+ZBAEJpdLXOCl7ooohcjNJQ36qd17apNLF7LDl9PV5X6WDrvRLZl
MdfTxkOB7woVZOlir6aNKkVkNI7pQxAVLi1c7VIT9w+JIKLorcJbLDY/N32sXVKBlQ9+FdhijFGU
fcA0r/Du/5zbeMOvIENYLjcQw+t0TsIm0uyQRcaZpg48vEktSGWTvfO62tpg5IywDeiZK866gql2
uIUktWr6eiSNP8ZBbQ64YmQX0USRP8NKd/u+dHbInRtTo7FGTxg2AMiPdZOiV9ROM7oIpaQm+KFg
AfJS97n5/f76bVzZBGs46UAdlyR1jUI0ml6356YXfh4ERv1DtiQVhQYH6fkYFTcsAeaxR7suCCJb
PXNl64Ffp5jduujhpk1zqDI1iVwnoL38ioV68ckuKjV5sGKRDug5mEaMdv2cB37c5anloryYaTtb
ciPScAVQEIGCypWzBiCM45DzV2ChVjgUHqpz+JG00JMKJDTefyWwXIvN1tKJu+kGzHM+J5xCi2w7
NU+VcBpPygrpnJRduzPUxucHos6kwNwTp9bWF1Wf9tggTMwKwBfCMzV93cLaS9m2RqGYtJTmmA9p
wfVpbuXeUYMxt31pNgDBaPi99OosdgL0xigUrbgteRDRpvpTp/zPfa1mTVq24QKdokd1as1oPAPZ
2iPEbY1Cw4QSBVrRXDyrG2cqHT2KIwBLud1hAYtC6aUsxj37h9ssfkFaclPzWbhG116Pk55Q1+Xg
UmHPqKHKyZseThdLm+GRhZEXCfNIi/rf+8d0CaqroAsoihYNEEI0MtZo+NIykZJ3EsO3iOwcTyl8
STjL3+06V5AkCfls9wfcWEvyA2A91BthSKzZkn2fAU2Ke8lHKD06lLoWe1FjZjsn93YU1GoX4ACs
eeASa1EruCSAubvZ8jW0DE5O0GWwZqmZvXcuMCMMqhtkIfQt1l+sNhqrJbl2/IC66YsoRvUUwZd4
/ygwMUmcFrIdzLTVvdjX/ahOonZ8aylNdkAf/zYT+qLvngsUWb4MWAtwvms8YBQjZ9YAPvFBAgQv
Y2eNp3ROkrf/YRQs4Rc85TKjVVQYamNC6ikWftt05WW2sRQKeai+u6tDw4XIRs2YBxmp/HXsISMI
ShS0hT/DqnbHGcjyEOR7FiO3Rwd4AYxp8CMQ0KCsXI9iTm3rVJ3lwLGM9MiXh1r7VAaB9jQBrFFO
+uQ4X969egAalgc+VSbewatXMGor2KhRj/WBrNkPQk56z6y0vV19e+uBTaErBokAgKi8Bk5hD9X1
UZoJP5wLiZRxik/9VCb+oMZ7DpMbx5QsiycQ5OmFMLhuPDhaVdh6InyBtdtvOo3Rx7Ko7B2o6+Yo
9IdhqLGzedxdfyhHOMU8WJVAn7Bqcb0Iq4uMrsnr/Y+zuWzUypbqNd3tdZMvtkMcQUtGwcVOHGU1
CE9GNKdPw1KFff9QYAcA3i1HibBwPaFQdbJCa1vBJ6mag6L29iEXFrbKbbqHUthaO8ICD8c/RcB1
aclom6EtZfpqOX71H+15iE6zGu3JqGytHe0uCuacJP692gdJpbThIJErhsIqL0HhcPeEJiZlQ949
3F+7rQkRG8AmkGohabvaDL2hSvBjJ+En6PKBXY+Mk5X23ftjNkY9XNcL0xzzhVUEkgPsGO1Iox0Z
zsnXJB/fADarOyn2VgBCKWm5fVg2XivX26CX9CxKq0j4ValJZ1p0yUelCCM36uXsiyXP+eX9S0fh
hRuM/U2rcFna/yRbIXqDZQMuD3GhuPjSW6H2RJjYc+jZ+kBQewCVQi9fMKXXo5jAePsYB1SfcsZ4
nHHr8XV9dj7fn8vWjrPo0NAnRygSrNb1KPh305JsBuFrvRJ5Ae7WT4GO/mWF6ezp/lCbE0IBZekX
/+lVXw+l1wUiuA5DgQlX/y6KenqMgDTtrdvmjP4zzCoo1FhUxVk7ExSKVn2SI+NZKpzwXErYSN+f
0Na+4wAt7UDyEvb49YQCRaB41KjC75r2rdes+BxI4+DWRd8e0WFN3fvDbU0MtVAOEa1BBDBWG2Ka
sE8xMp3bPNGt16ZLqm8F9J7UE7hh7UztNgdfLFQRd+U1gfzYmoTVotUHw6wPHmfLqI8TFc1fjdGJ
n1k85rprVoNhHKZWqj5ahYSI4v2JbmwUhNUgVBLXgaOsEX39MEM/6nuUK9EmO+ZEsE/taGm/3j0K
pXQuDpC1UK7XiFdDarNUARHth+GMMRpViWPUFurOQm7MZamYQbVd9IEpQF7vkaGqBeUZ5qKgU7VE
pOEpqORoB+i5NQqPZVCDWPlQ31ztRGsMSrvBsscXc9zjezrKR7O22vcfYOxzQCgSKNBPWEvFGVNZ
JQUFAh/dtPHRDrHDECib7qiubM2FVhEwS6gV/L1asWiOg6hVKsvPZr13i8EWx9bYRXXfHibEAnlM
cGpZMHn9MHIQhzMVvLFB688YMuaF80ST1j6mYSu/+6blz4djDTqIdBWQ0PUWwOElTSW5xBfVGjVP
bpDsIAUodpZta0IwZQmvKFpwFa5y4qZUjdTRGAWbXdsNUUM5OD3WoQVu1Tt7eomg129lprJkdhyc
P4KZ1xOSRmlQ1ZA9PXX2ty6R/D6sfgdW95RNnKRsanbqdJtTW8TPaFNSrFnvbqnFiGQemVqYy+ph
tIf+i12pxodUay3vflDYG2rZnP+52ksFXbEkWQ6SJE+vozrgvJ7Z+blJw2hnVre3B5sb+xUoEwDu
bpD9SlXNWZZYJir/xoth1b/Rnf4eNHbjAib6fX9at2dqGQuwx8KC5qZfxYcMD3WnXgp4keRULoii
+tg18x54ZWPxaBYtqQRoHDLY1RbsutGRHH20/AIS/HxAL9g49MNYqB6lTHvnVG0NRkwmVSCtxG9r
lbggKGzHTWBafhCMqSsBbnLTdP6FVbX27rBHM5kNz3div1PguN4T6Ck79RCqtj9Rlz7IqdWfahrY
O4dq4xOBEl5WjioUT/VVlKgrrIuqcLZ9UPvOYULLzZPq4p937wO6UlxGi+ADL9vVPuDGH6JUpSCg
1K3ktkWbXdJC3XM++MMJXwUIMlb6oLRuKOWus/4B63IcQlKSSqp2tZ8Pffy5BsL+OmCSZ7qVOqGE
4+CM/VFKOFleMqdjeCgR0IcmrFWmyqHL+F+UFGfv7/owl+qhtsTcuObQqpbPDixfFKeb578D4q74
lSJ2J7WuHGlSIdwhDsLoe1jUSnMAWY7c1P1VXLbWvemtEjEkkRYhL5t3NAl55o99Uxwjbewfhsmc
X5JMvEGwG6nNR8lz00Tpz/vDb+x8KElUk5fyKJjkVYzSc1t0utFg2exA36urMj6FCHI/Bqn56/0j
Ld03IG+Q93j4Xu/83hbaFC6vN1nHJtPuZelI6dqiPAqt+/5QG9ufRIzuIlIDYFHWeZKw41aXo1zy
pSALjgLzsDNr8G6ZYGoSIOTRMVjWD5jd9YRErc5SmUeSr5X1dLK7Ep5aFfzQW3lPjHFrPtxVlFxN
2ttkstcj9VqWpdlkSj4lV9vr0dAwgA1Bvt9Zt63NwIdZ1FAhHlLlvR6HtkxYtkUYPFpWUXhz1uRf
LTsoLvNsDTu15A3IBVuOxiQvXhJm6v/XY2mVNFOYrRGLQRGR2Pu51oq3qVRxU03ha5tWKLtmnn+W
8vaMouZbOE57BZLt38A86UZxAHhLXv8GMo6qVgC4+FpqNv8aoq1+dJM8ezbKsCfsiBxXEY04J1lt
eYOt1i921yqHmAh+ub9h/zQ+V1GAjuXCWaHisFyr17/Eao1YRsq+epwR/kgPOpoAzhv0zTg8TaMc
63/L6Sh+lvokzQ9tE6ANUpLhYD2pxLkkPJJChKvwFFZR6Zz6VHptoklCttqWaufUh3I5ncFpSm/Q
Ypz2GevaKvoymJ3UeWarQxFPKrmoDmmbWY3hWpNVdQCAa9kvwRyoH6HYE0tlEdVHw4mc9Pugl+Nb
XGt1fGhtjBRcpR1F5Wkiwhza5C2rnaRR/tOdMq35Qe7qUXqF7UoxwK2kqp4/YKgaZq9RVub9p3KY
g5e8bwPDVzJhhocpy53XME5H5SDUIHEeNXy3yq/pNMn5ATyThGWVFjpl5ja8PJM3AzZTfu7JGQqP
h0uIX4pIyvYgitABkqqMQ3cq7DaXnrTBStOzXTZm4k+W0Y7uaGSK4hqSyqtAtzsccxFb0CZ3oIFi
XSBTtIHtUgisf8eykjkn+oetQ1qljIJfNypjnB8KO6Nlmsp5M32ypjSpXtS6yPOv0liPGoIOrTX9
SvQ4SI+potbK8wjxyXJjkPSl4k2xJfIjOI+wcO0gssZzY2R4U3pmGRj6I/pbWfpkR05UeoE6Gzxk
ZzNV9pS7N0IMPulU90lMqPCvM6AgzzCdEIrwF1/jR4xnAvAK/0faeS3LbWPh+olYxRxu2WEH9t6S
bFnBNyzLYzMnMPPpzwedi6Nms5rVPh7XzIXHQgMEFhbW+kPU72Q/t7xm0m6Z1AFPpIYHtOl6n0Ns
VfK4rRVAgroW6LnZ/ZHG2nhIQgnxBjIxvDhh1waRyEZ/KidxSubF+7DUav8ZW8js4/1ztzVrlN5B
FMrrD5XW659TT0aDfaAXvjqIsx00quSnVG/GnbC6NQrvdgDK2CpIvenrUUytsbXF446109j9PSrC
mK5tU+30ZzaCt0QkURkA7UHFXL8exdBL5JT1LAqKMIRi4FX677LZ/RZrkbrHYNqYESAOWia0oB3Q
Y6vAWXaiWJZQUV5DlWB90MPhM/ruYs/Y8Gc2vAqLoLAR8OBlDWJkLVaVOl02uwbjJMPyhkLNQbGj
1E/L+EKcfGkn7zlV3SNvn8s0Ju+zEb20LtaSbR99yO38KEC1dNr8hLTvuSyKP7u8OWM/dsoK6BCR
Uh1mdTpa7Vz5iWHuXHAb71rQm5L/BMaBFVrd2QjWZhPS2lEAevNbT/D3KSorR6MVb4XB/1b24/xA
jq7s21PUo5S8hnMWcLzsaBFRYFhx55uFNr+Qcw07pYGtS5MB5JVtySf0ug/oNYk9hVMZBaqLb01Y
pE9xnkMjAzpo2e92OIwYzLg/RFvicWh/HHtn57Lc2nysKVclBQrA2quVzevIKJJ4jgLYJtr/Ei3r
Nb8RILsejg1AYmVPg+ooELzVqaVcjunawgeMUas5ppnQcBaJ9lQ9NyfDMeKJg0LVTedkHpRRW6ow
CvLRjKhQVVjW+DrOt8f7s7ndjtRy+At5WUkCXCOvKqTl7UE1k0BtBjs/UYkpsURdMjQBI7130o/5
6MW/GSUyJzvreBuX0DVBBgC1fWpkVHqu4xL40hyKfJUFumW8kCxkT4h9OmSxe0JwtzUQyaeWiCLQ
ureVHTwDOtUF5xUk5AHDoVY1Ufhm4yQfHW2aMekcIBztnPKtMdklHHQguiTOq02yhGprLU1UBjWf
8dOcayI59GaHgFWT99YH+eb8dP9D3m4YvuBPGS8kCSkDrkKvk7oGaOMSYQxT67+HdqO+ZFqZ7yk7
3341Cge87OmMc8pQirr+amR5Wjckdok02uhhwjzYPKC96alS68dLInAeYRtLaw2O2joLL9PM0Oaa
oTDXCKuXWUvC6WnssmLnCGxMCQQGGr2UNFXZCLueUlqKDAyDzqUVzYpvWHVyqrS8B4Km76EYbj8S
XSkgTUD4KTKiaHs9FGQLRVsQFw8G2HI/qL94Ty4AjT1hBPmLr65HCkiAvIgcIFrpWa+OVo1SLtDV
eQw0ZcEk0EFAzHhrYn3M/NKKqu9Q+OL0bWmKYnjqRxFiIFKXYs9l4WayEs5J7kQRSDoQrQ3oUgsj
uAWiQpBjaq0diqLTEH+Do/8wnE9irRmCE27L7vmq/+vgq1BHXKyBmtXjsZ/S+fe2X5ogXnTl6/1T
dnOuAShLUz0aRsgUAtq4/oCmtzR6nxtDYBZ29FXk3hD5wJIwowYgq1c+fq3LP/eH3FhGkBS4DUlR
YpkxXA+JuULVlY0+BEJP63fsbUs/U+vpUekJLE9sgjE6mbTR+QirUVxszWxhDsFAU7F+VvOl+C1B
N2xPgXhjAR0gvsQn2uiSg3g9ToM1jKYuxhiYRks3RBk68ykWeR/5aed2M0JoezxE+UmuDwMPeUpl
PC5wJlDXNlhjXdSK6OWIjdf/k2tt+TwM2vSUWxGiXYYWfy950R0SfR6S0/1PdxNZWFTAd5pDQ5U7
fA2/a5wKn2Du7MDCnePZ1EXyRWDB9WSJZo+huD0UkZ+YTBxbP6DUxensOR7GoA9t3OlrtTKK05Ln
6kVLlr2S3caWRPkeJBapCWi5NSQmSiKOdtOOQVbZxl962ZlBT8J/fHz14IbgQCpBX2AgrrcKxRab
goaC2XShpzjyxXrJy9ocnfpSKcgIfXt8OPQHKftAIPPQDrgeLtenOp7MkBJnJFnFTtec63D8Ni7d
nsbi1hlA+JvitWSuWmvFMrjHiKil2RSoy7T8ABxW/zVEszY+o+qbJ2e9TkttZyduDgmmUQqOA5VZ
K7fTaR/G0sqnIKJg/5wbqrD90kutP7t6LnKs6CLS8/+wnj8906XekbNufuZaoqa2k06BXQ7FD1ub
5zNVGVTBxqjduwFuLzyKkuBPeUxL0UFrlW4xitOQUk1Bp/fpIVWI0b4iyvi55737aSqd4T3vSnFw
U6N6qup6r2m9FWNofJE+S3jQTb1As5Zi6Ci8BtHYDJjChcVTV1TZi5h/mD1tTL91afuCNdSXnVX+
WQFchTeOBsUKmlTcfeup12OBNtjMtp2aZupesZCPm0NloEVxKIco/DdSoyHxzUiUH6O2HT5piunX
FBzKw8Ofm7clv4HMBsSlt7oZ50Y6eOLQwyWc1udmWDDeVJK/Byvsn++PdPvS/MktJrUBHkXPe232
nMQ6tBgn4fxwG35QKyU628VYnz1cNY/O5M0nZ9TwdRST9l6GQw+1R9FP5H57IPKNOIhUu7SEJyvg
Vb/adpWXqgb12YmXRT2cJqNLz30Wih1ngo3QTlaKbgpRSXZIVlcmTu1FTRIwBU3d1adSq8oPndOP
J3K8ZCcL2NhNUoHVBd8hC0Yo0VwHQSXF/kwpI4AXwp6m3/S8rRwfOFz6NhWZMh7aMBalb8Qz9EaD
Olx2UAwYVOc8oue7s6NuDxXRWDLuKfKA01//lhoTAc2NI3a2Kn6UXv+ld+2Xdpy+CggCPmVnPzT7
P+7vrdsvej2m/Oe/tObnpclq0ShDoLbOcqqBLT4bSrNXA7r9ory1qXzQ8QX+fUO+ctsowWtYXtZO
4Xypm9b408zSJvFDN5z+uT+jzbEAlEqDeJ39s9qjWiTIc1CQCTA8Gw+qOU4natrKYYy9xyO+JNXQ
8zJoFnFrr3JII3HyMtKZVh52yvOcpPmzrRbleXLdvb2x8Z3oucqCBZKlFGJW+5Q8f56KeOSFk8TZ
uaXu+JrnVbSDeJJrcx1bmRAqLXReiDM31HV3nlsjV6cx6ByIDXkJczT+UKtq5k9VXCFut6uytT0v
7jIOIU5na1cQW2k6Xe1Ywm7kpkpQmbhUQ5PuYLQ39wQADWqQ1Oo4ZNe7nI2AiwCCM4HoUbIalGhC
AqAG12yUDzNQ0OaT4rx0XSk+U5+4HioKVTc2qRUEXS96RCUBjTX0kE/3N/ltekM1AkF3KHYsGy+L
61EKnmt1WWlj0JgDqBqr87Ejzw4tbth+0fNi+g/DUX92AbxIIIX8Ob9ECa0cjd6G9R0kY+q+0fsb
P7aT7vw7qJryTLnpYawii4jymqdTMdD571Vq6lQ24mPZMAVhQ+Pfr1GIyfzE7dvHl5E/H4YNDWWC
/zqXMGYBuKtW5sBAYtW5uC18xmPuNmPLaOOSoHOlZdXL/cXc2PLymQRIEvV/mO1ys/6ymLSuKbZk
gxpQGAeCHDbfEjQezvcH2djxJA0uSmcURrhRViWCJmxnqplCDcxaw7Xaju1POs+xF7Nx6z1HiNtk
FLaVJDHL6h/Pv1VsWpKF3mQkBoDHdn6e7JQRMjdZTvjF2NKcOBlRQh77Q5ooyfdZWHu2OFuT/fUH
rE5DXvZaWMb9ELQNxH0nVVLfGJTpo6JV03/4eL8Otfp41VCAjsq6ISALpRfuxYZvZLiU3v96G5mA
RAmTXaOgTn9wvaKzS0In5iHIXHc61OwYf4zwRS3aOT+UsfZX2qee33b2zq7Z2pq/jrtaSBr/SyjG
cQg0Kx1eOqPJ3jAV30P6b9wyEioC7IH9iZr4ag0NhVvfjCnwmBj6Hsl542NoayH0pir6R1GH0O9F
4x4fX1Luz587lOLZurgaI/o1Dy6FLK/o8m9z3peBmQ7dx5Q++5lLvj0kdht9pJn3MIZUImPgKGNq
jYIHOcn1eVddfK1FznQVqscvUTR8c4daPCf0R3cSyJ9iGKv7G917CUpEVYsPudo3o12kpZlQf0nN
YnrSk24CGCFytHcLzz0W0aIdhtLAxiI326ekKr2z6cbeUxpRbjCmtjtpkeeegH2ppN2dcw4Xscfc
vVWWkssBcxs0LjkGvavr5ajnFO6NGY/ISne172pF8VablB7crDl6nRFhQptYR0Sm6nNe8YDHRk5/
xY4D1R7+2MPopvohd516j7i8FUTgJ1IroFIHTHqVI2htYWmiV4cgra3oSXHT+A9cr6KntNp1C9g8
ALKnxgVAbXytejYXqlug/zwGzkJh85xMRVGBgohy4btWZ7ypthKOh3SK91Rat843Fx0vODr9kqZ0
vfYQy1PTmTPerKPdNidLYEvkW5O1mDu9rs2BKL/IsjGQpnUpC49wddHdYgxcF9WIFCc/X1A/2wnG
G1kQVQApUsYLnFRhtZU8aHfdYJiMUjZp7udx3x+KtqsSn+iJLRUeLxix3Y8jW9tE+oXw2VjFGyEu
SwDBcWUpMAZIH/m9VS+vqZnMF438aCccb87PZStKIgWgqFWgjLLUUqD2ELMUZ6BxYgIwKnS78FWQ
TG/lEnWn+5Pb/GwgfyV3Vno4ypv+l9SkHmxFy6tU1jSWJHwa5iXP/KHPqj2R2a2ZAWSldw3lFEOp
1ZeDWYZG9tjx1AXQovtWppGS98Y8fUOb0qzPldLWO1WFzSFJT8j/ebLdML/yBbsvJeEF5cVa/CTG
vvycNKobIIxu/NbSJto5ApvjSaYFYFLqxj/lhX9ZSzGIrIonHgKFMI9qk87nGqeJF8Uu7YPpjr/f
/3Lbo0FzBYcg4UurS4aGLmIFCXhVMSspTkGpHX8wOxHyxLHnZzsW9Z/3B9zaKjRQ5GMKqBRlsOut
Ei2lZieuxxfEHEDz67GkVjGn5s68tofh+qTiB51/bfZZ9mW6eAmdPdF22W+Z1k4f0OCc/su3Ar9D
EAGaBMj+ejJzbA9LPdIy0ZQu+lOJ7fRku07yPR/H6tuYZXtN5c1ZSQArL17Q2msIsBYKcxyIJEE7
zll6VkB6TYd2VNsv9z/SVrCS0UO+51EhXvdjMr3yxjiPp4A71D3ZZVafka7tXrG+snbi4uYG/H9D
rd+9ca5bi1VSlkU+MDnQBar9SOsvami+NN2u5vHWDcr68XriQc/mWMWPxcN2pW7YfSjQ2c9jWfcn
r8W3dEBM4zTDg4r8ltL5TnjcmiNvKfrYjMmhNq63iV72cEtSDpmLlddpbLvo2I5CvywxeAsfvck9
Y9GtlxUnTOpeAQhA6+R6wNqqQmVY+H5Ae3RMXkpOv18NWv61C5v89xFm0CnPZuWTpDAKv1ZK95/7
O2hroV0pFEXfiztoTbPqJnxNF/iJQTh1k+cPhaciu1vM3vew7+bLHKXvJa7M8c5Kb21cgAMEGOlC
ilDS9cSV0lJ6mChT0I+RPh/CLLM/kSWl71XOVbmzdbdOI4RggGIedjrcSdeDZWHhTaFKMyNvOvG5
HYw+PKiKM+5xaDfHkY7MxA5SzPWNQMeS2rwtqGvnGqjXEkvLPh7ETizbejvC8KT1S3YNLGJ1E6Qi
Npp6YBQnmoeP7jJX577BDQd3mnQ5ap1RvYxLSZJZ2OFONX3jq8FhRO0FA086pWsTgDpTnYV8fgoE
GAnOh2cd8OWJ/EVpi8c3CNRqFhEELRfsGsOiiCg3HBpAAcsQfXWMYi78XCmcU1rq3dP9M7A1LepR
aC+ABIITsAo21txhzqMlc5CGS4T8XDRm1VnJ1SV+1bVB7NWHNo4cQEl445jRSY+hVRIWje4MZgoe
d2gKzT2EZFE/SBg03e9Vs/+fNKFanmw3d8ydKunG/uSEA2blRsItct1/UNWhdrWIs47GcPbcoMj3
FpVVvpO0b45CnYjbFls6dECuTxv9JaEsHZsE2EXxknV6dJjLZE/kfOObSeIuaCBINjry49ejlE6x
lKXop6ASlv111sv2rQWe8FVpSwa8vz82rgXejZRF6UcSrdechcxsI6HYHtu+dzBDTTrTOnihhRj4
mKRCP7qNpT1+yBlPiodRBKYVutojrjcleGUOc0ALvw0xhszt5aIbeVMcehAl3wceQIlfFnVcHCiN
df/hsQxWTYZLTMh4LMiP/Etyq8HBaRQxozWQ18VvY4WS6DFu8Eo92G03NTtxZeNEUE7/iSCmMIz0
xWo0uhHuDDEgyIQ3IP0Yt0p/cKp5qU5aps/NS12l9QcnqbXofP/TbmxW+RoiYlPSR9x5dfQLaXBo
u7MKEcgojp3qpB+c1rYeRayj6MpZ5wr6WQ1YX7IpxqH07S0VKKOog0I1u7MVS21CdXB3htroJcvu
ETqa8stRKVqt5WC2AqfNTgsSi1qfv8QUS4GYRJitAlO6oOcwT6diTAvzQC0IvfgyLBXJJexiPx20
dk9/YWuFCawytcc7Bo7m9bdN59mOKU6pgUA00O9TdTjpCm3tR78jKl2S5gzQC2/LNQhdCGsq8rRX
gxHVvfde6dxnzUHK//4ot4EAWC9Zmqzz8YxYf0cvboCkU6wNZg/QweRpxd9NNU9/1rbS4XhvJv+7
P97t2qHSgDw7dWKKfTQGr9euarD0pB1tBvNczf+i0jvPx9kz4r3c/jal4NqjxEIlGqr9DdojaXWc
N/SyDJIqMd4Gu48udqnEL3kaNZ/SPLROaWzpT4aw6ofPH5hKXYps8dVIZ1ZhfOgdrSnNUgRFGqYn
x1poxiPX4n1+dCEldBPFc5JN7GjW0J3MsGZosthZ9naTnkGTjm+L4ey9xuRWvq7OwvrEuEhyX0Ak
rYkpmi2Ep459E1iK3R2L3Ml9MVu/g9EyqYCUJwctNr9tyk98hr/vT3AD58DYUtCflILeuLp6rlsi
Nft6VpvAVUYg4LHkkBSuI45QUXu/rLr+bOSVc6Qk7x2tXKs+G6h0Pf41gaySH9La4FJeg0mNkWLQ
Uistl/KSTL5I1D472Eub7rnB3R5EmT3JlI3nNYXw1cFIHIBlbaF0tNh05ys8tG4+2tHseniKmnN/
TCO9WT7eX+LbjINHNvkT5XfKCDeWt3VmTorZ1HDG6Jt8BIZVOX+JOc3q41TQBd6J47ejkf5CVOaJ
RLIGcev66NMgKguiws8mRvVkdIv+sSdUI7lS7pbsN8aSpRFkavFil/LY12NZTeSZUZJVgTum8bNt
p1BTyyJ/VhZd27npbyMaoDaYOyip8ehEpPh6qIRwNrLCVVCpTXu06qn7vPR5+9v9T3W7PaR0owRT
kRwapDHXo6h6U4YRRM8gczRxLCtbuUSWOwTukii/FaLVdmAVG+PxciawcPPgg7h2oMviJZx7PakD
Q3QmlgCJkc++MkRYgIMXyNJDZEH/PD88SQbj/QCSSCaKqxMPw7wpjMyuuRwcpHG7pX/tQFqcwrpv
L1lthzv7//bT/dSXYY7SUhcew/Wi5lncUy6mwYY727fU6JRzNDfT6f6kbm8iumJSjgxAtY003Wp/
2CXiIZ0BQEVNW+0QI0PwW40gy1MZzd8dLc4jv3ZK90Tz+cv9gW/PAJkDL1peetRyIbxfz66MTD1E
oYU6SFEOy7vHw+iPtNHm4QMwWuPhU0CA5taDLiThnesDNzljUsFLp2zXRFlgzEl8aCiX7zxrbz/Y
/5XZ4ixwCIy1hHLeZAC23HgJynGKpiNsHTc9IH0+eQ/vRBi1gB0A24PB4WF5vXZJOGYYJvV6kE5T
cSnceDi0Ttx8zPApPQ7clTvvsdtvBfABqD39ZTRMKBBej6dYUWpjWWQEha3oHn6rRlkfplA03rNZ
mfanR3cGrgwcM9AxFCPQTbkezRLgs1POdeCIVj8s6AacI2uK37tcVXYWcuMWJxUiVQYFyqG+0dYW
Y6fn3hx3QTmE+TOdUPhVWdz93emQ2tEzTIZj1TnKUeLSPmR9nZSwUIzZON2f8sbOAXyMXrHkWFKF
WR0GxUtjhX/SA4LIqmPX5ZnyZiOWJXZCyu2HRA8LoCkJmdSjWb8yEz1My8bKhgBJIpNGlE4vEYC8
8hJ3o7ZzJ9zOCSgVxQJqSTBreI9df0bQFVrRoykdGEvkHXW1Hk8Z6Yl/f+VuX7JozEm6KO0MyVlb
bRaMmlJ9wKs2aKZK+XOM3Wn+0FEOfMraMfoD9FuqIMdszXvGHvLXX6ee0Neoh8A65KUAbe56dobd
aI6o6ilYxkZ7aut+fII4nJ3aKss+KKguPnwEUX8jcEFxB/LJ3Xc9XudkoiXFI4LFc4FmQ9qdy7Y1
jwkUm53U9ubDoe4D4B5uAaeCh+3qnhvKyRoh+BgsKYLjgzY653ZIske3vByF9wcUM9IuLvHrCcVW
YQvgS0bAO+lfzW1cXx/qh283BpHwQQkoJXStS7fUUxp0PRMbDmwVN3/UhSOK6JA6cZE8aXNl/1P0
lTe9R1mXlc9ZbeTuTqKysZa8KEEEUxqQT9hV5GyqVGRDnqmBR9vw3KmKezD0WNupM95sRimmLq0A
qXgYvLlWXyziaMBA9NRgoEP0lpgTNDlNads3UzTJabbHaHx0OzIVgK1krxTe6ZGuDncSDjVeG6YW
4PMQf8ftx/1UqJn7XlR69mhfVA5FEIErRMfkRpeus3gI1KGrBb3AwzGcO0CgcHh27u6NJcQFjD4W
NDksx9ZCOIlZhOQIjhVkrT19jhNVO0xVpRyxDSwgAxj5+X7cuonENGJ495Mm2CTlPMavt3/YxbM3
zq0VIN9te6fMqDWqbm4NAUBbnCF9uT/c7T7k+gbVQVGIpyLFjevhPLVBgDjVrMAjY8BqUeg4lENk
ar7/h3GIh7R9AWQifnE9jppM6G9Cxgp6LR0+FIkgi6yrducau/1YFNqAHdCr5K1B+LgeJWwgwdZ1
bgccvBehFt1Rseqg0VzlmKbNt/tT2vhS3DA2yTH3smTIXA+mhm6TuNVgSY/r5Gh4So75pV4i8N/s
kZA2hsKvhbIs8ZerZQ1si8LO9QZ7doJcAVX0d2E4JU4ZtYo2ddJTltpJtDaWkUYgeB8qJ7QF1wi+
foidzEJIPrCpZ7/S/HKEr3ld/mRHKkj1Tih7rYqNCbKIZHVEDP5eP2lqjwzKtms3sKt+PHdK2p/D
HN+zcRB7ks6bQ0m2AlpdsMfWiM/Ozq1anUeGSjrcQJBxM4YTwjd4dVZVru7E+a3RQOBJaArlay6b
602CakQ5zL3tBXqIzE6vNL8neK4+t7q+c5A3BqJOgdYZH47a6NoMJtFEZKfDEAYFbIVgStzBOnWi
FV/MLlL2jPc2BwP0yF9gLQFAXs8K2llexDgbIlRh16afhG7/p9LmADqAcv94+JgBpJNVCi4xHoWr
BGeMIzUmHQ+DVLem41TV1bNwQMsqwj7eH+kmZeQJQ8nMkCw76cu2ih7g+pvaabQwsEWVfkMGRnuF
q5k/lc00H9u0W57qyIuf7w8ql+oqX5SDSkFDJPopk6ybdEuZ23jyMmihGPo5c+jfJqm7pzR/e6KJ
H9J1RJX4KCCyqw+WEJ0GrCADHBP/rMblK8hqVFYr4fhz0vx9f0q3u4PBXFmfp5INp2C159PIbZQ+
IQpHWhOetMYqXygI18/GksY7ULPb1ZNDSYAI8EfqynLev3THrMHr+nlULBjYyaKeQv7PKewxmXDf
n9PWQADvEYNk8WTL4XqgOjJjEfa5A7ncnJ/z2LKeCTB7die3O5A+KoUyWZnj1bKO84Lm1DS5hSMr
EbmPYSZy/fWPSVdfrM77WHje1/uzuhXH4kZmMHqp9KnI61cJYqE0dpI0oxMk2vDep+KY1jNa93Dg
houn9ufEbJEuojxdLd67U47RoXGMPc6L3A/XR4AfQZ7603qF4L864bDFCFkwWAMbYTx8PvImP+hU
J58LEaOZWaHWfMzievZDZ+h/u78CG3sVuLjMF6Q9GC+o6++aZoppdWHlyL0qfDAwyjOMeyTfRLZn
jLY1FB9VCkpIeM/NGaxEjGfu4gQpwPhXV89sSmi0AMsx1HYi2cZu5UT9JDgCeruJmWldOtjLsKKV
yMT/Cqg//wqneVgjks1DNOHGATHF4q3WjsdRZ1fYfgXZFGcfK2eM30XaKzvJyO1cGAPzQxIDTh7i
mtdfKA/rJbeyOb2g/2tAvGJG6sGMqzF6eNF+mv4SJ9mI4I5XR7zQymYYhZlegNSoqEUo+RGVQN2/
v+E2piPV36ScgvSsvcmtphqZ7tlNL302Twevsj4kldhjD99uNaYCwZWZgNvDleV6zRJlJtWPrPTS
Te10wr4kOk1mpfmdpiYP5x3Aj/gPcH4AqjecCyOuZjT1quwS546WvU62Ew4HOheL8Vw2YbFHSr+9
yIhTeOOSdkh+3FovtC+Q0eXqzy4oa1S2v7RGfVCEZbxHbQ4ysCDXejjyyxGlyBMJDZFSvV5LjBPi
LGvG7MIyCwzv4YCnvNJ20oCtL/brKKvKbZjp0HG0LrsAs/BQGLaTI+zMzq+bJN+Z0N5Qq5hfKQ0b
DjuTi2rV3cVdhP7BaPr24+zM/aPldboiDjsRUVyJH1vbiZZOzUvPYKgpQjEtSkfHb8H97hzczT3B
3SUzejb8GiyqUMlNq07NLkOqKj4Om09T5yBOYr/1oqsfLnAwJd5GNEdk/3odjnDcs9K2NrLLSCJ/
8IphPoVhn7y66bj3oTbnZUu0BtnNLfKumqqpIC5ml8RY3vM8PUKLf+1jzTqIIdyjPd9ewlTWZYVD
h+UqcQ7X27wf5sIpqVFeqsWKvzptuxi+jrGK5qdaOxr+UEo1D28a+um45M6u8OLWrkRIR86VKwUI
9fX4tQozwSjy7AJH3mDf2504ZIDxusNAKWnnCGwEYdmrI/XBLA8Ctvznv6SNHRYnuUg50x1aru9k
9dUTFfzw6eFQj4IyLWMKORJ8vjpoduzaU4/52iUZJw+/cDN5nrphr5S5sXCMwvMBdodD2Xl1Pxqz
qlPA0QjAFcpiSegsyF2HLkp7zi7rbWssCUuRQAnKp+pqk8SVWeRRPueXoZk9/aQVdfTDCcN28efB
q6ZDX1dczqVjw3dr4jD7t4T3pIFidlSgAEiSvlWKtfzbi9J7r1LXU3wSCNV8+FEAZByxNUIBUYdm
2PXXXXpV65U8zC4ZdbS/kP1tTuOo9D/uf92N0wmYiiIn5VUAmusKbjopTYLqZHaZFfuPzEieXUCj
xwULxijT9z7y1oaV+QLbVeYOaxBCE8fFUokyv8S6W52bvpIyFTOIksezE1lQlSUY7lccuq+Xzmaj
apnb5JdGCfNjjLCzHzuJuROwt7YRCZBcNoAVoIqvR2nisU66vs4vSW28T6aiYDwkFn+Yo8efbVQO
AFLI/jzQtjVvrbI8oYyDmV+UJRuPhefM57mIp/P9rbD1daRtupSNkVnCaj55WccdRdb8UnptcSzm
fEAc1jD/+g+jcL0QHGULZn3QuUGNGJ2S/AIaszqPbiZOZg+46P9rlLVaGxVmtdYjJb/AKE8O49CS
Cnfznp7H1orJzrF0r+EOXReQnIgpxjWjdEjUHqoh04kEKIDfn8vGPuMNDYKBv+mPrTuNo1UqZl9l
8+tcRAIXOjwYhjc1M4rP8xQZe0rTm6PJoCN7YCqwl+td7cRJYtqoxL62I/xq3y1N+xBqmXFsE1P9
/vjMbIk2oWrKe3KthxJbeZjSaplf9cbtnoAmZ7mvs57ftTwedq4x+buvn+eyWcujB4i3rLKsgn6t
jnM51NbyGqfgycEtdFl3GdxRrU+ZHSbmKVPyRj242M/uJSW320Q6vtiehLnQflmHvSVfKhOovP5q
Ytz+1RrRYEwtaBX3F/N2FNhUyLiyVzyQx+uKcCYmwXpi96FH9nLWw7l6UbWhfhRHBrJZ5gK4vUgp
kXUurGilWCKzx1cSjY2PFQ7wL71Sa2f02vfu6dsvJh/kUkDv5zNwzRCLsHecJ0caCuaFczBqu/ih
IzX0oTcj96jNiva3PRgPIwGZH66CtDPpIlHEWmU7OrTuecqYH83SZPHt3uuP+sznOwwJMH1nGIZ4
53xvzhOaKfVaJkoR9frEuXU4j5q0JjeSUfWjyYlhfmIjIfDvPFM4nv3Utj8/vFnILdDfRb3HMG86
x0UfWroYMcZIJnu8KGPXf+AiftgQjV4BlDsQlbKWD5znemYezT+nKFRGiRVA4naiPxuh2jzdn8vP
MHF9tFF3w72AC1JyONYgCc9NSjVSEHDPW7Mdf89iIy8RDa9E+7kAp5e8yJ7h6BdJ1Q1+CI2yHw9L
aqI6ZzUqsuhk5kV4aLVZ/mst7ex3LwHgG6hx44y+4ZUiP5lG3gkf8oBnoXqYFP0B9kC2d23dBl9m
wkaQ/XTo2+sreEH4qjIdZtI2BhZyWCiY/2LrjK1qmy3Vrkr8RsiQLyWQ7lLBCf3U1fcJ+9KLrTIO
Fmuy1VOPiFrz7KlR4z7ZYatpl2FEuTsYNLP3vqDcV0Yv/MJCe1KWhBYCyrxlCfDZUpqDMeMHXPhW
OC8RAo3K+FnvnV45uLMRlm9JL/TuvcvCMT2IVp3UPxO7KMIX22yqEREDTAa+jF3lDQ/3raTgIO8j
qqMaffxV0LdmsTRqq2ZBVhe8o7s5OZdelL+31OpO93fhbSLNpQkbiqo6cG0Sm+u1xHEFCZlU5EHn
mRPUsiU/CeGqABXYPWG1PKwrADUA9gcQQ+o5sANXZ8utvUwN9SUPhlCI4rhYYe4eO0w0ftP11FJ3
8qmfhg7XZwxWKaL1oLCxSEbG/np6IV1N2iAMV2DH0ZX+0jdG/80FCegc+4xqeumjre05sHpMJMf8
Nm2t6DBaqlt/xEEeKEWq9clfhrARzwUO0NrnLI004xJPDWo1GHd45RcvSfXpWEeO/g+2uGEBddsq
IfdHhhKf7I6C8B+5zmPsrBgL5I8p5mn/bpWD9w/1pib1dX6PFyz9rLZPOQrSw843vjkvKDjQWJP4
Ry5a+LXXiwCZtUznqkyDYepMf3aU9Jh5+R4c8Ra1B5yM/UpZRrKGafJeD9PW3ZIZJrw6gVPLaRYa
ws1WaZ1TERb+EMW6j+0OzkylheAPLcyndl6SHczN7VShEGNP/RNvQ4lh9RvitipJb8H/o/qgv2hj
2P6uxXH7+/1DcxPvKKshaSVhkLxvoC1fz7T30I8YNU8gSxrWx9md60NahPqTpcZ77ZmNCUH/5GYH
DikL1qvXTVUZLdYbtgjqXP+rszITyRjcau7PR/4hV6eE+fDqRF4YxrcssF3PJyvi2o2WRQQchcw8
1QtH9BiaiWUclaYdrRe0OC37NFLq+B99RDxb29ZQ9m4R+W3WvwIVFYaHBMdMV1EPAa+2cWzkvoum
qt6tZEifprQYnzCItEAG94jUlJOb/5ONtrqDZrqJgrxSpQ4gfAaQU3Q7rhdgpoZqCizigjDuvw6Z
2X8I+/aL1bjGq5rG+U5UkudtNVFpOc6NySsMSbbVJkVPNTSVJOkCpRL2c6ga0NvrtELTP6mKsD3M
YznwXhbushcPb+cJV1Q289HuA6i8lqRCq8/CTAmllUKgCPoyOhnTbXQtPg/NUOevIqyaZif63H5W
xpTtEDJiCbZbH5YCj7kuDaegXQaylrwcFURdBG5bybFVG7d9G8Jurj7UdZx9qap2mc/3d/ftaSVP
4MVO3oYIF8Wz648rlUG0cbKl4pFmfc1yT30x1QVuFz57Oxf37WlFyp1Qi/YzWSq95OuhiIx6HYUI
D+V6Mn42+3T+MINP2nnMbKyoLHaAPIVXDC9uNSEaZYpQc6KoPWeWckBUTO18xYEqc/o/nJ3XrttG
u4aviAB7OSUlrSK5O46dE8JOGXZyOOxXvx+u/8SihEWsHQRIgJQRp37lLVU9zO0ZEysv/tSSJA6h
TqW13Lllb7cRgRdwZXYwbEMUdK4/s+8NWxU1tFgIq9paCMldFdXCLdN3sJQQBW1hJu0RPW6XcU0y
SG0QsUUTYxtkBigVAupVy1nkQ30Q/RiEgQ72EFLJt7duGG4fiuBQq7Aigg54/XlimXrUXgx4qqnj
PiI+oY6WNMSD0Uz2TvZ7exXg2knrjg3KiSTbvh4KMJ1d5bM0zl7hxOiC9aaCMTObnwkN08+WMVTv
R81Ido7knankHCLlCs8f4Ma2Der0BfFuBzI1GJX/iMhIPIdTKttPSY1e4+uTebtZgUQxnatxLFfd
9srxVtG1QjrmeSkppONTYSSk+Qmaxye5mp1HIsn7/oNrlOMPMdbGXgfxzreSmaxE/P/hHzdH0ovN
HIawLs72ajZmz7T78TCaniqsKXfOJdk2y3V9s7/UGVbbSzJjYozr5TSGbkauairPWVXX7vtOunZT
kw+h9fYs2mHJDsIwlHriotS9yFSJrf1RVGkmvsoehuvZBpzwdVBIHzbR6C46emmjXWXq0Pnxkh69
YFXFTYNsKL65sUvHdShCVZGaJuyfbySUbbSGudEyCdsLe1vLT8hvlM85z7p/yiepvgCy0KLcRZS4
HMRfvp0MYZ6iK4G9uFcYiMcjOBHag+yjunCKLlR5W9ZRObreQbnzPzJ36nc0Mb38o2GnhoXd1YA2
SudNj4FT2E+qc+LsEDf6ydOCRR2x6ssgsS+dCkD4Ibwbum1MnVZvLCOT/PjW/9gWDfplZSDFmIQW
AF8/UlrgPTsYiMIIQn+ltMxxjvp+1v5ru4EIXcB9/rn6o8fRlBrB+8rvTukI6AkRehn6vVF8aTuL
zM5fhsWKPJ7SUCwyebAQtOwjMlnfDZFQ+1nFhhV2JtK/sTs6R59gcQqXptJn0G7+BKjZWgBQOc0h
9QQHxEcrKYxjd4pG/Ej6qKvdkzUXqFTalX7weUC1CI4dSPYqwyv3757/4Kc9S8xCVTvndtgHZl5F
VpYk2TFve9U/+0hljRFSjU0TDvkSeI+F2cFZd8vY6R5SsZTtwcpROzniFyKMR+pL8Xdbn5L2wOL0
nN2q7yd+arIsZZgoBCciZeta99QboppP+lwuaufeun3oQOy8tPAAApCEr6futx6ezNNYZb2oz7Ma
8viU2x42O2rxx8Mbbw86vdT2ofJDyQavv7kfexvVnSHO5nNZGfExhXIaZuPwT9DkwVfPmuHw1rH9
SVTjm6vXQFThVFHdRcARIvHmjV16Z2pmzYbZofyErhqQii9mpjI7HD1dfX39K29mk1ABkhoYYxs1
IK7J69kMksYwR7u3zxoF2aOT9X8WVbkHS7m5m6AWQZCkPE6HCXmnTXgt3DnT2XQ+T02KBKZF1UlE
i70oPmkp/E/67Ndx5NtDy2ZutLz6qFWNnuzEvuunXN2Q66/A0ZYfAMTuRgeh9mtLoy/rnyfbp3kv
dNqZQaveOU2GJXyAlefrU3tz/XMLA34g1sV9m1t5E6qMY9+hxtujf2coxFY9MaV/J1UcNAd6CPLT
64PdriMg8bXAQSt9FezZvDW67KSeUJw6D2aVRx70vMNU1Xt49JtRoAusYrmr+Q348O3Zo0zuCMGN
eFZ1hq2oLYVKIEPEVbCzVjdzh4gESS5caI8RSYGut6VVF0Mcl7Vz1vA5c6PCzsW3YbDafztnSnfI
A3fGAg/OG71C2TjumwtlduohGVLfwg1JySVCU065T3NWmMYBu9RdLZuXpbjah0DMqOKgj0igTiS0
OQ3auJbEyp5qqWiGnmrpEMShnpf9+CGIE3xl56wMPoOeSdNHU5qU853FL4dnp3SG7tBiB+K+qwXh
6POC62a6M/M3YSG/jlYmng1rQs7EXM+834q8JaaBh0Kd+4gJVvKubfUJZKRWU8uavOZd2cJ226kD
3BzOtaTBBl6hVoCHtnJzE21BgTmae56nxHso26AYv4tJFt5D38RDfaRMsbwVLoAsOaEodXC6t7iJ
bWJtK8tzaMCNdh462z2rbsyewcW+uepIjQZWLmBldIvA5m3ist5J/daIM4gAOM2wzE73zetl/H4J
dk2AbpcO60hsu+EcrOSeLdA0KHvVVZ4MSAHz4nPfe/5DUnX+SfqjOnidHv/r5nuyF7fr9uKjwQNJ
F22VJLveLn3Xpc1MtAo+OrHekycV2LKNhlccfDVr80OitWWwc7HexPXUVWmHg/JY03pe6OsxK9oU
le2MwdkxjObPbpm8RyttywjgDfKtriiKR5kX+a+m6oy3Bh8vQ9MAWhXtkSncnI5SjpRgBzs4x3ls
HvGnto5BPln/n1HopVHnY0bhdV9/IHyvVOnKCc4lJetw1GI7VMje7Ezj7b2HkR+XOV2mtR7ub/b/
pA9drnVacJ7MuI7Qs/IPbTO2F7emOv7G14lpYwASE+qi/O1ml3jNFAyLC2JYlZnxi6pi866qyuS/
10e5ty8Qg+XmAo8K+HkNQ36LDL2krrslWPc/1e/lp4dnyAdrUdX4s5gTX0WaR/x7spEt8cJaM8qf
rw+/vknX9zp9cridVDMJNLharoefm7rX614EvCNxGqkSWxR96aed+/kmlmIquVKgjjAGLOf1V/z2
kcXcLCMyKP65QH7DPriJp0DN5UvSh32hB1mY4sf1y2o6udClhEgJPiAf9/A1d34FeBSbyIZ6O0If
myNIiAoXkjTrrPrBd45mP1Ufen2Z9TCxx+BiqT4JwiIzl+WAFnli/mmXCSbIb57wVf2XNinFIFw9
Nx0WQ6u5HXoVnIM5rY52HCNcFlTdzih3bjiuNoIQyl0w3rYVai32xsZsfQ6jP1QhPuo/6thIQ8Oq
fxiz9/Z3kO4b6HquzLXBuI3j5jQ2sxm9Uih4g/4etoh4BJ7bvbdabNw8O97jgd65BNYiP6Hc2naG
O3m9nZpcJBTcsvg8YLmH0oHvXLIxDUKvdZed0t3LTG0OyEvcCPEEt0uArddjiUlHtASf0Iua/EUd
ct7MVU0HJ9ZQ5JX1afLyuDi5SOf+N9SoHXxwg8RPQ02hxlok5jBEiYWDwGEwxmb4s65yJb/pS04g
mqDBW4ZV48/eQReBcD40TO/0wajLSjwstjf9JOpxyodyqPrsMKAtol/6svPrQz7HNOcm3Mz7Q+9i
b/FYDhKpbGtU2E+YA2c5HGTbvR87TdiR4S2ZEeZBL7KPdl95IGKc1k0fGhoZU2RA9OgOA2hJ/1CU
sWUfRzVVfxcebgEPi2itgUNqD3UUaIbzfcDfugrHoLPlQYfoAuZOqzP5OFvuUocycEWPWv16ORv5
Ms3PY+Uh/Os1ZMA7e/xO5LBqfYKLBWAfAD24XhkiMkCaDXscXvV8RGBjrGgN6vm7vk/7Y+5by0cj
zn2xE/TduTHBEdD0gBuz1qw2my8fUcAck047622Qtt90HEzYCqOplTuh3p2XgUweXuuqL0BDdpOK
we8bE6MdxCXxY/m5lEOcHpyxm4tHBLz9PAlNeoZd6FS+9D4NPozAnVLknS8lN4NrhH447aUt3wrX
SW/wpIBi2PfZt3rW7aNVD+5OFfDeKNAyV43y9UhvSU1T7uK3yoE6j7MtjmkypZFtqzc3NRDYIMGk
aEAERBdgEzcEgaQ8o2AuqqGtxtD0iuURMZ1JRJqs9uzjbncmDynfg5IpPDEwb9c7EwdGe5R1KS5K
TP1lwJbpMEzsyaK0kieqJPV33LT2HGVv5xFCGMKTtK2JVm64/+0yBUU9+OJikPREQdcKwiP5ZjTs
SrJGK5Hyyyrcs8Xc5lT42yFxxSVthfFkl776I6C3ECbmSPHz9afyzjQSF9HMhUVORr1VZ6T8K0D6
WOJi50tUu93fCKDgx1J3Ty6lloOv7Ry422eFb6NpAvhy1SfZCvGlfmEkcZwnl2D0dRGKIi0iunT2
t0ASzL7+bbcPNA8KXdvViom0ervrRV5ri8T+9uJ0Hi2MZfqObNQ/sasPISyoPSekFzjn9StGeQYr
NWDMVCFpLVzvyMlD+6hpY+08+tLIon4tEp5dZxA6V3aq6T/ifODmTMY4ySMBXAhdaEBd9cOA7pMe
qqQw7Acjd5zu2NHz+IEGMY2BbjRrpJrqztci157r5p/XJ+nOgqxKTfxeuj5koZur1kVV3bOUdBGP
R0GeDvc/GeCl59QsdqLg26uWsgZcAW5zhKioIFxPzxzwSA1B7p47IAMwHenrfOapnsYo0XzrA54N
/XkqpftR2on6+/WPvDc2dcZVRROy5g39bWj1Hi4VBGRf6JfRG8zIVYVFr8JQWGOhyvZxRZa+A4VV
v/nmRddy1QlGUfqlrnP91b5d5u40omNA7puess7Vw7gKgp2dfmcR0SNhq9PkAU+zhRQtdDYHCQH7
nKae+66cdZoWELzH7xBN4j9fn8s7d+Aa3xtrURHi8wu86bc8Q06FyWy6HgWZuTqKqlLPjeXvvSV3
R6HkAxcHKiFcmet5k9lUyWpK/HPT06tpgB+wTvZeeHPnhqBiSQseB7pVIHDzYikL1JfqfGix6fiX
JpdPU7PqOJI7hJZEq/PtM8cJ4ErigidP2wQbSdZkziIG/4xlsP/Y15l1bDRnD9twby+gQQJvio4/
Mi6bUZrBLJHelNTUHW/6Y6ZL5JPwhiOqE/+9/j236CqwVQhNgV9+YVNs/T6DchRurZn+2cZFownR
FqqKQ+D33VPleL04WG0+fq8H8syQwD+rgZ91Ko10F/Wt4+u/5d5+4WfgI7jmv6Bxr/fLWPtVV/SL
f040zSDbE3Nku7X/+Poo9+aWiINmBUDIAHWG61FUm3gwbVw+eMiGUHPH7qGIqz70lnEv/7q3NQGF
k8OuYgb0/K+HymJrahqLuj1oyPaP0te7sznY/Z/oZpqhX5vBp9c/7U4gsPq2kjbYxFWcuevxenMe
naJoAvxKumVcyRfysV4MMBRJ3X2hOVtGSd+8Wd9/VYMgd15FDmggbLFxqTJqY5pW7RU/Qz0p7rV3
Y13WR9+V4v9xb63tbyr5vARIG19/4AgnM05iTt8y0C4VRudFamn2vO7u7UNaFEBlcSpZS5/Xo8hU
JKPTsg+NSY3PWpUnR1j+e3Hovc2xauat5w7G1LZTIJDVFU05cTsO7PaxSoePaVJX7yZPrx6FqJp/
X98c9/Y9efGqqRFQp9tqyjWmDMh9OegZYd3jLAzn66yju+gmtnV6faiXddiEUVSPwDK+tMj4xOsZ
THwUmuJFD86WM2FJx88pPvZBZxnhsox2F5We15fv27Y2ktDXLGQYTSkXLRS1ln1EPND61g1uZTzP
eV58DZys+CZsZ/7eoPDyvYrr+SN8FfEjs7tMj2ql/Ukp1DyVcQboQAVj8zDG0pke7a4pymOD6zSy
/nmxeEfOgvHdLvxOPyg/6/D0SUtqa0Ze2jvIv1vIBpO8onzoLaP0yP16PQWegLPZxyRSZpH4gQyL
YtL7MGstoL5ocThUmejoTeKnbxau9VeCAbt/sGrHhj6ZAnY460jOVrxhADU+j8XoykiHS/cII6PB
XqmtluYUK5XFT5XeqeSjXWjFf68v452IC7UJiFYrK2LVArj+BDPxKkDJ3JSTWS4gDExhICI5To9t
Pdd52KSj/9RP83A0zDp+e/nAotrLrQnEmDrglgylo4m1NJSWz34N8STI0AEg3n578EDQQE8FrBJR
LcC360/Mcwee0ATxe8qnhcIYBWAAEmbflYesShvi2L54e/uThx1RLGSdgIfedHI8r2yXahIQCxUV
H1dV6WqSqIVTg7XZ6yt4e8cAmOZuoTkPiFrfcml0rNlLHfPmS0YHB+z9rI5AJvsnv56sQ50X086u
v705wZ+Ck9YZFdfCLU5JiNgO1LxOZzENx4Ra5wEbt7044c5X0QBAdI5OJmWf7aLVxqznc50UFydP
Zww67Ye5oGo2lfFJ8ydvJ+K7NxqotlV0lLOMHNH1FhkJXuvArMETGHl/kHqbnczKQPTdkH+5pdOe
Xl+yF/bq9d2JAjQMDxi0a/Fgq2KZT+ReMh3Li2V1ZvZApQK4kwafTj3Gtl9ml0LVdfM82dAIwmmB
DXAYZyewo0TP7J9YMPv+cdRrVRzdpQXu47Vz+36EFgEYOM/GX7Vu1S3FzDL1KE+WU/lr5vVuD/7Y
q592QwkXcYDe++oYPBeHcqqD9I8EIMfykchibg9QVHL9aOZIeB1rTfSf+9Y1ZCjH2WzDcsph51hy
Wv4RbPQhXIbO/+gCIsUy3JTD1962oR875FPZg1tD2z3sTB+rsZk9UidSAcLn1cd18/JMWmIuNmbb
F9oKSWRYy3Ao63I5vj7K7VsK9Bec7NrypUywlS8zgGM0vSOri9Ac56upTf63eIzr752dvpkkTtme
Tih/UvYjUFiP3G+pmhlMXEqyry66MJ0QuYHs6HT6ngLL3Q/inabpSaPgRqov9fqgADVZXWak8U+w
ydNjBczvVPa7Uf69oeCbrpwAlGwI9a8/SNPcFMWntrokabw8aPiIIAor84cGTsTOMt25jsgM1ybS
ChUHAnI9VFIFpZZoVnVBmLU/ta4fn1ZTx50td/eDfhtl05mk/FxndTlVFw2N81/9COxDDZ7xMJlz
tnO/3huKMt+Kd6XYc+OQotJK6Sh+sxlU9xm7SGz7OpFE0zTsmTLdmzreJozQAANRdtlE2vmUj+D+
RH0RwszPgAPSqAi04Pnt5+j3UTYRRosOilTA/S6N5aZfx9SOQz9flguekd1O2nf3gzhCMC9J/W4o
CsJKdKnhRn+xsOQOyTX1yNVS/+H1D7o3CgOADaMNhqTR5oPkMGTuYFr1pSjc+Khhf3Rsu2rP//LO
NoDLwmcQFtF22HYtKRkkqayM6lLSagppiI+Ppd9+lrFWvLm1gXgMoFVgfXT4SYk2J8igPtT1PvdC
NQ0pDVJDPIm899++D66G2ey2OPE731F6dRnc4h8j88xHkoAxRBpsz4Py3tSBh6DqBb/TQrv2+oOQ
UqzbudeqS9an/glyUtNFmSWcjyDwMn8ndLgzGNRHkjwuVbb51kUNVFSaFa3bXEy/GB7SFAGVupHF
j0Z6ewpkaxSyefeo6CFntb577L51Y/72THhKBFkgE3lZRTgQM56MD103u2c550ZklqlzKfzW3otV
7gy6SofTXKQYTMn8etC6lp7wh05ecB7WhlPnirg/JCoYvrx+qm4BCdi0UalZ4dMvJbHrcQqyIrOd
3Yp7Yfo4KYmWp/4zb2pIlNlzVltpKOb5C7bg314f985pXqtjKxoJ9Ac0n+txfaXNUxar+kLVqvxT
zn36EVuf6rgzynopXK8dIQv4GVQvVyzyFuqQustYJJzoSzqnnfnZrBZXRI3Nm0JtsWraB1+Ps/7T
2FiJ/a53QM+FHebZXRTwrE0XbJKz5L250D557kpzCt5VgxjaT8Ls0/rdEiNCFi7TkijE//vhG7Br
+XcQZJl4ru1FlGeXIq33gGvn0mJQ6jRETIIlPwYSfCKwaMhPZx2gshHpoyIDG3s9/isZ7dINdX8W
/3rDhBWT0Qy1/DJ6zfLJdMpiOC2FrX0uKFVhZ6uy9L9ANslwcOPM/G403ZgcWm90+51b/vbEMZVg
kPBHWqGG2/6NhvovPemivswFhHGvd7uod+A25Lld7xzu281xPdTmxCXF0napndaXxPLyYwfZ7Cgh
9r75iDEKRe0VzcWDv62kyGlCjzGQvJCx0B6MzLKiBvOZ/8coVLV5uWAzY5npXm/03u6TFB85ySUx
L97jYCVTg6bE7GY7k7b+j7ZbnWtvfVTIfUm8rwea2Gqx07LV41waUetP6iCnEcd5W2v7J/yPF2Pn
dN3bEdzAK2eX0jJNgusRlV+kQ0d+fbGTzv/H8TL5zaq7Wg8dWhE70/jSab35PNCmmPgQdd7wPb0g
yS2tayVKAdLBHdDJVfNp8ptkPpGptd97I+6br/6MxhQVKdeoDqqz5+nBif30T5mWjR7CQNarg1/J
LAA/7y6oIy9t8qOAfhFEvuTtjSBnmBZt3cAZorxbivGraw+FF3ZD5/inZAF2H/ZdNQefubjz+cFG
DdaMRC86qMTUxObQ9lPHfuiE2/ZhzSXaH/CAXrRINIY3hzgJmvWhwt9M+KFPMaR/0r1pyQ9mlWT5
m59+qJPwDZFYAvNGG+J6fZiE1RBpYX3StDlSpNSOeZDlIQ/dnvzBnc0H3mDtIJJXAwHYpAM1HBy3
a2x5aWcsRAo1IDqtrIHO1KI/LIV4O/YcrQWU69HcWh2Ft2JinjATeoeTvDhZlf9akBTrw0Y0LS1z
LdX2sMh37iM+bRWeRoJp7SBeT2SKZpDbpIym64uKoIxlkZfERvT6Y3UbZ/BNHuBYsKUramNTMAuo
6bQ5ofRlolnzmU1af8t7OR64pfJwtMTyrk2C4t/XB71zhteU3gMi8lKH2bzD1rjkRpoyqFNMZjjo
Rc8Z8P+xy3E5/D9GYhsSz7BJEGq5nsQqkFNc9768iG4GjoeChUTLtcR/6WinPC07m//emhFgsF7I
rVMs3wRQlMayTEfF57LoY3y08Fj6YATLnv/kvTWjAbUaga/8s22nIcjsLHbKpr0EUl+cvx2oaWNY
qBQz0qzx6+CCk7jtHzUisD34xm3kBsCQ+IndD1eGhP96PnNjwdB29NrLYA7VXznv8yRCDZ6hFmqi
NvIwqVSHpFGW5UtoCU9rwzS3Enfn2bm3gSCUERHQnlrlCK5/RmsadTKoor04Rm2fmtauP8WjLT84
S9o+vb6D7i0pDRZSP0opq1nR9VBdipY9LjPtRebBED8IJzHd0xSjPXB8faB7txk+kCsyYSUUb/uY
bW+gXe44rCrkzWdRaB2IFDnI58Ccl28ucMsd2M+dAVFAoz27nv61oX/9Za62LHBHlLxk3gC8yEp/
BUmVh77IUzDKe3C3O0vGJU3RmiY737ctXTuxGIFc8C7UmiU/Jbnsj6lS/qfenvaCxjtLtr4HNPtW
uU2gJdcf1mR4fJkj1wuYRYDNuV6EUzXYb18vZBF5fkBdEGRt+29lkRojfUVeH17xL5RVFjpAaW2+
d8bJ/QNBtj1i+/qcbYKR3wfcdp8XMBFoNbny0tVGQSySfKqL4ssCmBtE9TtQY//JwNnpQN+bSlIZ
MhkaHAThm9e8Tyum0PP4yEUz2miel6CMEFUy3l4C4TJZIXZgkaiEbG9Ow4rTqiP/ubQBtNS46bQw
lkYVjbPcKynfuT4ZCnQi9CX4FFvvKi2dtTaeyvbSNxa9dF8f50sQ5+lT2cz585yZ3bHU4z0IyL1R
yTypVQCfgTm12ZRe7HhxNiXqUs2eeOxzZZyEPXan3rT7iz0o+eiO5V7Ecn9QmkXgW9Dy3JZ7xjIX
gV3E7aWimfLUymUIzT62V0279pBWvLtFvdukuvXUZl5RNAdQw61JlWTzSBizlQFuq9VlWKRsT7GW
N0/0VtUnlMbBDLu1qpCeKKpDq1s5mGrfzS8QkrB6Sx345q9fq3fuHcATBiwP6HsrQPT6MsgE3BGe
bH5M5QLUkNOhA94cCRxpd2BldyYbNT9kLmCpQQXevo3xsBTtiNTdZVRj8TO1dPEXTo/NMyz97GNg
aS1BSC0eXv+8OweUFh3NXGSZOTtbMRxbDkQadt1dNHvJ3y9V5T3DJ692RnnJs6/vHsoIiM2uFRv0
erffZgYjPp82s+jKpj2Wk1Ggvd+6yDRgbIrVawZrvVgORZ52z/RC50PZFfPBLKr+1JU9OmHIr5Zv
W1l419gzrL1syqYs8BYHrxZ3dLPO68+6T2XFipvqKVuC5OyMyx7LezPL61BA3snWVyNj/rLJNNIm
BRrbptMZQUgtNANDhPzb7ulNa/kyykomJwRgnhF0u96qBS7ZljfJ6axbhR4ljt6eCH3mnYh/i2Rg
mFUSD9YKFxF90G1pEYpC3rVpupwtRRX4UgRN0j6M7exxF9KRAF9vKFU/NnZllUcXN9Sfqabc4bvl
D30P4j/X/3GLbKk+VVayJGXYpZ37I4fuah0tu/Iui6wbADBabllHJXTvjc416+/nCzCdpeWOI8q2
hELr1jea2ZnP1eRS+YeLIfgNPais0ip2Nv6Ls89vG38djDMNdI9niZ2/1cANqITaepdZ58Y14ItR
IWsRDp5RIGEfAClwUYxTRfaYUTQzw8KgPnzCcUyXkWFmdX/ApMj5R/EYdX+MZeOmH4SeD/nBllWC
YKomlodgngcvzA2t/9aZo8xJuwq3NcOya3wmMO3a/NtgLJo82E7fGScrQaiEsees3vlY7zrAWL8V
XvWanlOggpi3ubdd6K9ZU+T22QrQQIH8knWHRdNFVJix82mw0vLv2mnf6LjyMiq7kHKBRZJG2nS9
68ceQRGtMa0z6YrhhjZQwocFilwZ2uqt0N+XwSinQ9qGcEFFcZ2C38rqjqVUkGeLfUZZy+IKS5YD
rON2p8uyiawZZbWi4Lpkk5I2bD8J7rcpvdSzzzMKkk/2kIgvVmH775zUWB6x4h13yFr3xgP9uDLf
OA8wPa6/Ki2CCcUICPhpGrshHbj62XDT7MnqBTiAqt3TtdtEoi/f59OdwGiDAs//5G1+m8W4C1SN
nJJz5hclPxBEG08NvZ2nGlZfWCeL8Z6++XJSCLzv3Pnb2OJ/Q+Ni8sIOAqe4WUBVmz6MUPz8pJa2
ISi85KGLp38VglZPY5qUl9Zw0kND/vKQx0GF42SALcLMvL9+V2/CipffAXObe4FMDSf4za7tKjjL
LQU3uMWFeyJLn6IYeshBa+q91u0m5/7fUAiioY20alptM9BBBXq9SOGcW8KbsCxq/ZCWdXUox1p/
NNv+3PcMPHclTnxJLXZKGnfWml4h1BowLMDlt1aXJfSUwulMPCHrxY1kag4PHCEm1sk6VHOa5Ajp
G42ivJ93EqwtlHn98Kuht8lH0ypXk4l7bqUcj50xI1+R684H22y80wIcPYpZ9udhrPpIyV482OKN
AKiXn4Dl2ypNBUn4hrVqQ43NGz9zz2lWuidpGH2UKLkribm2Xa9fGTpFMLsJZFAWoDV2fYBjot8a
KVD9LA138k5DG5ORdxJLwuOQJnodeuhgNqGpUuODreQwHYaONlPUBl7ZRYuL6dhO4ne77PCcaCAg
tE3qZ27pn4WJQmZXWPpZJc154R2ani3lvSPYxEPbc95niPjsBCa3QRZZO/t8nWcAEdvnB0DyjIal
zSSUTnHU9MQIMRWcdm6Q29PEFUk0t8IgKehvi7hLXkj6YLF1nntnxAujH54U2KBDVcTiVIMeRg5+
aX4i6kT1Ohn2hNzufOT6vq44I4sYbJt8ynmhzpOW9rk2agf9nCC9eHT/d47O3VHoGnPvkG/6W9xe
ZThlW2ijfSZI1Z+Z9fxrJnJvxzjoBTi92bZ0s2hn8c5Rz92W4RqcfVGea7yzXgfFcJZpbgj0wiRw
M/wRG1W9N7VGOe/QN+zEuzlzgym0k0r86y9eFn9UTdPr3FyZncOh8xSCAEmEYFX9bzXj7vWowfbT
nbBsY++rmRnS5ryLOQ1T3UcbTjqOBNyp5aXufZRGocYwnSnT4LvTu79wDK0UiJAEfcLD61f/ncnl
MgbwhBTyGkZvriUnAfE2icw+T9Kv3ksUwOEce/mP10e5DcZ4vOhs0HBAGYMzeH0lUHK0G+j59rkS
8fSlzJfui/A7aOWDtI40aIdTq5XDzqfdOfW4IqyQTzIQbvbNoLYpPGUuWNg2Rtc8mm6p4SloWY+E
FDZ2bkF6bAM/i5JO5ntSCXdmlQ4ibymdI2p324fdLOoU2xqM9zDvGg4IUDmHvC/3JFXvj8JThsQx
RfDtHaN3bFEw2955GubiSAfHfsahbK+U+8Lt2hwMii6rgSCJ+YpNuV681GgxDUhgSmVI8eGbogGR
HA38i6ZWnaSb5T+WXLc+TqOefglY2p88c8lhaNXwE5Hp+eObt9KaUlLDpohN/XWbV8oCczSl4R8J
ivSZ7sE7leO240PzTPp4eh9oVnZ6fcjb8Ii6z8q7hJ0A9WcbswghGgcSNXJalRa/6/rAPqajrR4r
e9J3LvTbJWU1aQSzmlQOkYTazHXvCEkYqJ0LkAFuOPdeYx5Kz83Mnaj+9ptYThfcCBQgTv1NWcuP
J5pISjtr7TT9KMmJ89CTrflHPAZ7ypu3B3HdOrwRa4eHgsvmINLL0qtg8Rkrziov0ovBrsIy92t5
ADCUqFC321RFgx3MFpLzmflGeyYCHweMGDkgfwVQv33/g3pZlDAqccH12Q8bKs+HaZLf37pLGAQ1
U6Tm6CpRMLxeuiQtu85GivHiqcYNS9vrvkKbXKKqT9ydZse9xQOk8ALi4/Le0jcMgzWrUfe/1HVp
PraYIZxkVzrPdSKMneN2dyhMdQmcsDogA7z+KguiH9lQByG9rz61qd08UnL9Y/EKuVNwvN35yLoA
Vl59NQDwbJ+IJuiyRKhAXDqla+86fSh/GoldHV5fpNuHiLcOmBaaQC9iNptF6uN0ytHdLC9e6a9u
r331ve2U/NUEjno/KdF9lAjN7SzX7aetSlxcV6t0E0pcm7Z0OeOjlbspsD4fzA/MGv4WNpr36/Vv
uzMM1ESOF8E9H7ntFE1QD3i5uwZbNkX9v7DT9z1P8sPbRwFVx3vAOSLE3+SsCdFNFktQJHHRd1ED
ZDEqSmOP13Cz7cBC0A7l/0/NgRrA5s1pYheAIN7ll2HwEQLt+y7svOmHWsz++Pr33BlpxcRik8C1
C2B1/ee/pf9lh66gX5rqAvBH0j/R/7JlC6ZYaDtb7+5A1CihXnELgti8Hgj52JU2pKmLmQ9xVLiE
A8IoctRA3oqPfnF+AIO9ztwqGLC974DAtU0OFu/cDV33xVqc5q+hsd6I6XgZheTDJvNgU98wqMnk
h5n6BQJsIh2/VAuisEvqdjtx+c2uBjcCKAvzDMStiHQ266OI0bhaEYjpJqM+DE0iDsGyK350uziU
Baii8QdtLaCq14tTocISzBJCF4pRlnFMFzd/CMrAGg9mg0XIW7ccHRzq6rD2GYuX6Xow18ZIQVlx
cE7HJXGfKt+cKKJW5RyHJqTcnXfppp622muuDx8lLp7AbUjRaEtTz+AYzo4t3dAtVB7WTnLUpvJ7
Mld72rX3RsNlj3yQa4hG6+Z6mAYNnW2xxGdALOZfUzPh4Jk32lNHnipCRzhv7FyzC1daPWVtqjl0
M7Zpm973eqCB3rxYgJn+j7rz2pEbSdP2rTT6nL30ZrEzByQzs0xmWUkl6YSQKdGboA3y6v+H6p4d
ZVah8u8F9mAxmAa6S6ogg2E+85pQFG2/Gaxq7pBi7ptqR4j8N5X41hFX0y4wWnAdKKSf1DfSIrb6
CQdvTDZH63ksvO5LWqblmVLVy3W/7ikoy1wdUK5+1g5/OZcKiLYaXSixR8xJf+c1kXiCxCQu3l6K
r49CtMlJsZI2Tt6lguqE3BXoAg+i/Qa/a8qNYjonl/bi1qXazcdZq0GrpvFpfRFPMAwQ7H7Ye9Xi
3OZqKjYj5gVXRoa7U25P86ZotL+JreQzkdjSFycgQ0wC0sPxLhtsI4ubGuke1UhlUAxmG6rtUPoQ
bc4xGdcA9ihDOhnq5GgfLLpdLe3gvV66y2PXRkboKRbAb81Iw7SQ+Z03J8VlruTT5u3v9zI5Y5Ot
7RyyXNJNKqrHb2k3dVbUiTvsF3Pu96JTRuTMIRZ1sHlBRPqF25UbOXbJZZ4AujPtog4HN48DzZ3c
oG3BW779RC9PUoJgOll0mjSoDKcSmcxCs7RymPYMYF2C21RundStNhJ15zM5zCvTDsYP+PHay127
4sfvjoCqMHozkfuxy4odlEzbL/px8jXZrqeOl21cIX+Q1Mzh2+/4ynpGagU0ADkh/vCn1ALaJVOh
IPezxxazuoqBiW3zxhz3LmTwawPzmneZm51rLb2o9enAHlAL5uKglPkCCESCFpdtnY/7Uq3ni9pT
kvKqrHMnKFV01hdEz4MCvWt/ADGk7UbLOavy+sqnJWpeTRtQ+Fp7BcfzbdXp2DV9PCE8Fw1b6cxp
KMaY9G2I5eXbM/yyNcL+x7yQlM1Z6c+nLKLRo2giZ2PCcyruKr+KW8fy4yEt7rV8lbcxMhl9qXjL
xR80PVHCojfR819GQdEsarPYOvPNX3t56GYE2ERvYC9PFlsz0OVGcwQDvhLnP8cavaCflJ2nlu3u
zLuv+cDJcUKKQhORUhn/s0/39OphYg+p3EfC8KYwkgjAG3YezrNUO7QGM/lxMKdRxUthUit/pCro
W3h5nWnEaa+9soEUImEK3iPIRh9/bxVGb12O7C997IDR5Z43bBo78Q6WXlr7NNY+N4aOzFVay/Rj
lovLRHXf2bGZ5H7udltPL82giRE62KUCacMzB80rux/SCx8CZTG2w2m+Pcyw/61clVyQg25dWRS/
8XxUYsQW8t6c7vWhi+3ARKQo9Wk4xPOZC/qV/UiYg48h8S8UxFPEYYoBnzcqvdxzEbUytF3EHEtb
RJdaRm/J9fIhELH6o3Xa4vPk9iimvr1MXkZaBMQmnVkOfc6h00QMeeVWqAWHUDo0tGULeaNjwBmU
BKwXohFn3va12QbPSdyqcbbTVj9eC2WD1YOTZfO+LZPuUhVRQ/oiIGb45hzfuGrZ+Kimd/uG8O9c
MngK2FmvcnieMBYxP6SUewoWjNIsidqkmvdUe8tthzACbSIX+5ZMae6UCPlLo7cw0BDCFC5KDG39
6KkdPiCZN3R6iH/rEvtab6lf3v4E6wY42ah/4nYIbX4S8I8nxVWmTsfdA8QdX2I7IJ/h95lp/g/O
A6R317OHnQiw4CSSMZpRa+okZRhLzbZJDFRJ0XWgGVWsobW/mJthymc03SzxMA55+7Vw0uHp7Vf9
aWH+4l2R8bNwz4HEdBr1lg7GEw2XDHCRQe6WyY03upooqFKgwtsXLv0myqE7yvDNdcxBGrgWiDw3
Vho/KVJzm0rFCbWyNC+zvJMbl/Lw398QMNFBQ+goQ6LceLJEuxT9eCx+5j1en8t1Nc3Lo/RQ5fET
o23jnW7n/fOZSVnTwtNJ4fhZVZQA1FBMPV4AreirfhzneT8pXhNYQ5v7YzLJW57xgbWKyWNTVxun
jrzQdFZf60Yd34nGklcj1VLw5c7/IBSFFYhtO+g5FfzeSSjaTbkyR2my7Gm50NNW1VnT/d5ebJOl
KfOdaJ1uaxS0eSZXyd+/PR+vxEWIeoPmJz96heBGoXdodTjSeyyw+9hHBsMJHIMYvwN36zeFlxyK
IvfOVAhePR4o6cEGR58aBsHJ/kBWrTAw/Jr3rjOo+9nVljoYOqGqu7zSVQSTLW4KX09SFcu3Qibv
FSib1WWOYJ6Fl0redj6JlvuhxiX+49sz8sohTZyEPAcPBwjulKmORF7kIH0x74GuIgeSZZDhfS1x
aNcsbXyQhuy7M/fia4cSDRICNIA7Bm344zWJhataKRb+QUuHs4QiC/thGZbyTLn2JZ6BMxl0/3oa
r1220zi/T3m3KhLYFEGu1LbaHBN5K1PdZZeeI/T7SjT44RaSAgAmv7j/tLCKQK8MunbOG+S1JMgD
F2tzLcHBRSvn+JWlZSKFrLTLvqnmRN90kNR0v5kQbg06BJa2KrC3r7GO7bDvmWXWb2k06JGf0aUl
osHh4+uUOu18bope+xIYpWuEces/T4tKvTcZSpT0yz6aDPNDjWSFCiLMWjZjZRIxWNpc7r3BQ/oE
naevudnsFtS2LlMvpr41wFF8WpAM8PVeyg9vL0t93RLHBxccKRRqsDlBiJ0g5njGWlUWnlaV6h7b
t8INss6aG79clArXn2TS0IOeRfWQRaZ+aQqTb4hZpj5ejtHkPKeKlz5asqq+l1K2BxPDpvu2n6d3
uC57crPSkkH0dz1k+VYzrx0FPVOQPkM0nIlJXs7v8UusP/+lRIKyv223daLu9RlBma7wjADhQ+/y
7bl6GQUzikOQRQ/5lV7u3MUrdjRS9wZwkWyfc0FOG7dqjOJWXRojC94e7uVi5o6H/L+icymCIzF1
/Faw8rwsdljMyuKAnzT61mj8OU6xYVncfNv37WHsu+lOceaaEIhS4oo9V6bHAtmaGtcwiW74mWd6
kZGQAZCHUF2Du8fZcrJcpFksWaQbyx5Qy1T7Y1UVmwlED15m1BquFacenaA1qlwNrdkurH2iWsOz
ZibNmYjr5Vm/PgkNdeoLK27utHbaSpvDGzWGfQNK7UfhZk6yqU1l3CuWXpCRuTLIkcm6RDLL3TgJ
Zc+sV6h7KHPxXs5pEyYSQfS3p+fFOuSZcJCBV4usoUuz8eSLZch5RmOv7gu2b+kbSVZYPjIyhgzf
HuhFEL4O9FPuDLYhVeqTpeGqSr6kKPfu66koiDTKb7GUT0qrPAurDsExb2212r495stMnF4cw1JL
AwBJAH4SUTR5My5oMGl7x57Snd002uKXgP8/4DAIZ34eI4EdpxzaW2JfpQS7lxmZv5SGjcV4rQGu
P/NAr0w3eM0VrEIwCapkjUJ+2fazkVQ0nGZ135q9J26VhDDqSuMqvRFZFXvbkmwvowBn9pcFOvdP
CkZGru9MKi5yOMkLhP9BLREbDqApESU2z4TKrz0fZC10vOFoEIieBIVxPehMmdD2ndGL68hTh/vM
mr1z2fm6546OcL7LatUGlp+yPrnR8TRoQzfImuB0P0+T/d3uKxD2SaWMTVjlsVUGCkd4eqVib6CF
gqw8ChbMMT4nvTd7vhy4KA0/q/QG344OttI5QsNPOs7R81F+pYIDv5LkiIVz8nzOUip6P4/5ISu1
wto0kzYrdzrKXpGJs+OECbmmj3K+q/hv6Ap6GZZl28ghPr2uQUznG9VRZrEpQPfDw89ztb0QCbaP
T4OIZxmWTVlMH1IjM6etbk2K8lhE7iie3bleuoMXpY7V+5meivqbMDJaRj7KNJbVhTF2ROUCk24y
qjCuOmzu7XnJ5Vcb6Eh8I7C7GPZVn5fKuVN03SnHM7I2GGlwc3ARrLwkXthSFzJOD24+6wAjUf35
bua28Uku2QTqdNSF5pu474DjNpXM+DhnMyT31oizMtR7LSkfYccIY/f2hlo/xMljcaKCCV2bXyyn
k+MLUmWUtWmB25aTTLed1fef6TZEcajZyuTdJo5UDRxsMOy7eHvgF8cZFS70WUjvVy3KF4g7daa2
FFd6chgSqMwXYmpid1cg+obplikK8Jlef4BFFQvs45FTPfM9XuxTaql0mfk/vQl4nCeXWjHViDHZ
dnIQhTcJH6/R8Z3uEBG+/ZYvp5fVT4jMnb6Kt5/i54eILWktRnWwYzxEfGPwpvZezVFv/eZkivFh
bnL3wcpgmJw5KF8ELlzYtAQg+HA6gI1c3/+Xc3LV9tHrFJWVRqbuZat4yq7Ga3hnWrVyJkZ6OZVr
bEDBH+4okLdT4SJvnEpXGYb6MAt7vtAxQd0lSISHb8/ky1FgcoAJYBiqXnSEj19ISQq9FkNXH9S2
sKAUSSesjbY501V4kbJBbFzfAaUMtsWLYlM/LpGX6319GEyv3qHZOOwmtzLfOePobXRNISJ/+7XW
W/t4/9FypryjgUkHp3wKj0qTCaZxJMShLfNVKGOo1XTnGiBFt7OV2tEtcWlaP8QwD+UGGSNn+mxO
KZS/v71eQODAiiV/go0Oovh4esfFMwSCfs2Bym59oQp9jraL4TaaPzjaWfLDK9O8Nk9WZQ0YhpQN
jkez9GoqrDkRB4Ultanasr2o3Nm7GGNDz3wN/Ow5qOvL/QDSjdE8YljY/qf4mCyvzRkArzjEMrOx
zcmA+3vkgB8tR5E/3v6mryxVwpMV2QbgBwzoyVIdXKmms6qKg5Yaog9MI8YWU9UHKvVvD/TaNNIh
Bmy/dtuJio+nMdPwogVWJfASTdXAwIlsT71K3OhDLzDWneTf7u+BIqDEw4X+c7ufKnmo3ei66TyJ
Qz2RyIOYVq9QylyubJfw8+13e/WDAaozsY7g9Dxt7TuY1g+LxcaYIs8uAzy+jCZsLS/2LpPemT6+
PRqV89ONCPSSqNJd0YormfpkA8AlLKaKiPGAJjLGx14gDK2+RXW33ONqX4cG7b0n11b2ijp9yeDR
b8rFq7azoLY/E3QG7pKPN3IA8ODj3zl+NRdhP09zFcySPl0SF9plAhHNrwwxdQFuHCQLepr7elNr
XAxFshNlgQJpX3npU6LNe9Ebzo032JrfmYri19XqZJt7xYG6tryWnenetmnSbgh+Rxwmxv3Y9LR+
laiYD3M+iI2a2C4SVw6if8ucPKWzJmp6Z92wieMEj55hCPlV41YflE9ll93YUSUvGhWVtimNhsJP
hVMmvhN37QF4vBaHmeGWD5VhtdfonuTXuYzUXWW1MyeFGvkIdN5WkVtseCp5cPGl3jZDPjdDckn/
UsZPGaX8R5QA5VdNlFEeNrOX77tVzCdokqmzbxyY+emDE4HAuWrshcnyEM723lsY1mQhUEc+z9qf
ezdVI2WKoi705sKbnfprK6ck8Vu1wUKrxucy386lTc3aT0q94IssFZEd821W4gDTW1u8qzRWnApP
JOF8c80pSy9cOa4CC305Tm1y6KOlmN/ZKmz3C5xezOgJpFja2cGQIS5hBeqg9dOF5eTNj1FaoJDd
RCbmFiEzWe96bRU1U9M8SbcLnAViNxhWaliytdpNpGAeEBpzN6Vb5MbEsoEsK68ViE9f9KFt8Ous
CffGpbXjbaJNugx6p0eReepnqYdqprp1YLUgkH0PhWgMXdSpU1FpHgtx0RddUl1Lr9X6C6tPdRmS
IZTVuwkOZL+jhTwiXxgVlMYRrLAJEDC+UPcguSxtV1RZ2Yx+kzU65BFXibunvsha5Z0R5dOP3mwN
633FcdSVgUnHLQ+0Wu28beLlzriDTUBkPeoF3NLZcDtBEY47dot5wVhttCmv0SKbBveTbpbIMIBY
GnK/bQAxBB7FsXwzWsJ7aCqh5kHazlGJA1uU1r7pxVOxa6a8Gd6bcLGXT2nSzemDKIb684iT0Xwh
RDpnYdV0ne07tdWU91Hn0Cn308yBdmMnLXU2c85IACzkXOLWz/Ih0wPcwvWEjLAris9Gk1R0Wtt2
NAZ/nGgxoGqeDY9oKLnm1ZDHxYdJFjFIZWhr3V0Des8oQFtoes8wq3gWrf8ZVizCc9FV3OFodrC6
xrHXHRS5/VVvYZR6WMyaUmnXOxgipak9TVsUjufiJsqiZHivuLX6gzC9TcLEImtjA2FRt3E1Mef4
Xahjey+Nue0fO69v+lVgs1CnA/4/wvAxPjJHvySbWa6cOlObYKktiuG2cFcxLRzTvY6yp6qP+aVL
Uq+HLmI3dkOxcTEoSfelrVznCIC59/UkjWSGmxEXtG1UZ6y/m8BXvPdJ1jdJKBa7sQOlV2eV8vow
IMsnnQkSMybNuzm33Ol7pJV1caNkDIpJiB6L7TThUK+bkcsFD9gyo0WcJVn2IQbzXW7NzBxHX2g9
1kYRqgpPyRyL1recNBluMeidK1+d82m4RiOuyncKsbYSkiFYM7TpwXTu7dmo+wCBR9PxVac3xWbm
u/W+t7RtdmXmTjmEhV429Xpr5dWPyCrqeFPY5rjsZtEX5T5ChMzzo8zQxeXQWvp0mFMdEYfBKlXK
9ghYQeCpsjaCF5p4MBeXRtXvLJtFEaRRGeOLbGL3tqPr0pSXVOGxQRuWgd6LDZX6A7KAVByg8cDs
VgrVHO5wXjIo8LK/vcDrvK7co3lgKA+1qqftPQ/SKR+nEQL7wdEimWwqFrh94TSFsYRIWfV6yKd2
DX9p8+XJitHeq/m8iZlwWlASD5zOnGmKI7I+sQeiSLcCXOM7KyxLDbVsFv004KKdze6umWVfhIoq
mvQusjWl4hDNhtl3AepPO2FCovNbktDer/puEXezZsL50iTKf34lOs66jl9WX8yr7uBlpWVWec23
k8XF0pYUhCevKT/EklCWTSVYrHnTth+GLPPKsFYrYfmQBLrPAr2gj7HrROrG6RFEQhwRg8TrhiYN
RelY58xPJYA/FOaapNwlMwwTnxyog3VeVzCvlGK050sU5JKRzV3X+DTUdar6PWjMT6pozS4QFiTQ
C7WT0gwnjkn1oY6aOQpzWc+JnxarXbJboYjpyzItlo2c7da6z91+zi67fOhl5Q+jYkiarbOCeJ2Z
ZEMS2P3o5V8zczC7Q6N4GIJxaEXCR2DP7bf0oI193cL6WPxsrqi2u7Ia0F2V0aJsu6Y0l69a5ubN
1paR82msrboLMTCj9qurYpC+6M2oQp0KK9kdUhGJ7iP0XcHCmbG39Ttdmg9LtVTl1uIJHxcI/t2n
ZtHQMwiUGn5OwNFR1FsVatJTqi5lzQm0LNVd3GP0QdEOflJI67KLd0DIcoAbUzo3m4xZWHdQHs++
IpvWC/BNotc/j7381IKVkdvaQeckGGttwSWzmjz9EQ7GUN6PCHs1LVjTMs2Dqk4HJYzhfLt7aPfG
x2WyTDTyhTPflKh9AtQsDGP8gL2J7K76ZcyHj709J6a/xIPSXYKKcio/1aTq+K1rJd0GNG9e7FBG
ytJwaQT0FXqSw3IZFd2Sfpwr1Wm3Hf3WNECIalgOkzkO01Z1u9YNJzP25hvLaLz3jplV7UXUaHr3
KOsWaKDeWFF70Tqrr3NTRyi5AGl1x3t8V7JimyvuolxzmYiPaE9j1O7VeYp1KEWSb5SRsiTsmGz6
2xZyihd5jH7EjZ45lfOJ9I8QwegdY9rYY6MMB9z29GoXu5jhBUuHy8JGWnWRcyQZdXwAylDiXsHu
dC5gd6pFUMvY1LeIshEK0vwYl81CpLK2nOl1BW7ZWInfScNcdmajx8WtbvSIV45VPHaXXtfO2pW3
JA5OTZUGAn1m6dNkmEXebSnXV3aoatR6d0W/EL6ITI8/SJdlccXqB1mnJlTWNli5FfM1ln5ju5Ua
BFd/yOskf4gMIz30paM1gR2NGcdGZMwFbmjaUDM5k4ggd6/9OG49Iwn1so54W9ep7qYUmddtai56
uTM1grBtPHj1cNUIottNESdCecTazHBDs+sSJffRoxgJ9HBn8aIlmPSkmL/EXpd5qd8XCrZMypjX
IsgKgZQGzPZabJW2oc3auhioBk4v4imUWqQoH8wlir/GWa/rj0oi2ict0nAOCFVrlt2FDSMFo+8k
reerdEq1j61igvyKBqp1vtfZkdwShDfzrVeaeMS0VdU+9HrteZcxznuVT4DXNRtg+na1RR81QTzO
sAqPi6sZPljU/a60LLKzSwQHeqiIzEi+kwUrHw3BqZ3CorLKbxoALyuUWS/Ni3pYlPcqAZjjs3Qt
GQ6L5laBtDNDOShSLdOtIer+qjayItoWqmLM2E4kVoWCgFL1mLy0HAO6dExyqRgK3ybhOPauUEhp
OO2jcqgubdZ97y9aK1G9MfLyTtFn2yUAI/w9TIYmjLAg25t9O59ii3/W0g5GHM5kMHeJ51zFFO5N
X1EK/RHnASO7MJu8cnxl5vS5bpbZ9nyzQaSRbUIgvONLDVFIWWfUrusyMufrfulwh5KugWZGZAnJ
OnOWlCWD/CEnUSdFeWXrTlNfEnD0dZDhvozPRtRPz/miO9NOW8wk3kY02hfflr3dbnNRpsZmQgI4
uWcvZONODAlNoRyTI5dkrFzqfaXFstiVq5CNjz8mYlMBkqTjvZFqefY1QmxqCLVOyRIZlI0Qd3Wc
i89zkpnIBNpp1AgOAqN3r2vQsbFPEVXB7ZdcMou2UAXX5LDuFjXhHp/H9CZXvYG29ESr9GrWSbp2
1EK86NYjoDK2nlS9OMyrZOmkD34sag8yNWpiL8Al2UadoZNf9DVWhrbvoUtohJaeLslhrDshwqzs
nSWwM3CTAf+57G5W1zRjRwgHrZmY0U2vIBvgBWvrPY3czFnMRzMXExXKbBJyo2eEKB+h8Atzpjeg
2N5zRnetPxgpMj5xOA1FCqpKLWOY7SAtFdn6oCqagWZk6XWuj1zHmH8DGbiI+585+n98k/8ZP9d3
f1bFun/+F//+rW7mFjOr/uRf/3lIv7V1V//o/2v9a//9x47/0j9vm+fqsW+fn/vDl+b0Tx79RX7/
X+OHX/ovR/+yqbge5/vhuZ0fnruh6H8OwpOuf/L/94e/Pf/8Le/m5vkfv3+rh6pff1uc1tXvf/3o
8vs/fgfA90u5Yv39f/3w5kvJ37v4kvbpiz///KXr//G74mh/rLBgaBcqhM7Vy3h6/vMH5h+rzsXa
tl7p3VTbf/+tqts++cfvuvoHjBBgQmsJHKTI2vYD7bD+SHP/WHld2IeAagJVTYnnX+999IX+/cV+
q4byrkbTrvvH78fVTfjeALEQtVphYPD3ndPm6OK2OAC4ibOpxhFbtLROa0gZrndZz6ujQqx7BLfj
qDzLLu9vbdnG2Zmy8XEZ6V9PQMmPZhQ99Rdk7EzkdQvuCSvJOt+2ApVqePsaLjHRGSTScdXvz5Eo
ulOqouDO/J0UkCzRKlGpTvam1DTKfc1ihUlVlGfe5+WMMqdYL4LcoG1By+a45Je4hVrrg2luuOjU
W+yuVELaugaInam9am71sujJhyvlxpaD9TTSJUzPVOaOexrri1pAARANMMG9orS7TsQvrQViMQEY
VDc3cys6MMGdfShmQG6y6MqdtK0qoBqknGkXgTA/KtCtw6IhgBAfdTpKnTzCybB6GYlCba2NCgg6
JglDTuRSMQuD+CnRG2/jSa2NL/tWm5Yg8QQXT8Rlnvpek9e3ca+Y75uFU5fCKBiFqgGp4KujLb6g
9ObFFJNiFB+y1jOQLllahEOzJQdisVSY23jGIgk+kghw7zzTZ/Z5Uq3ftW5ivqMaU8pdakmd8NTJ
UvN7lnQKdEIu3mkbaVP0PjHS7CMfK3twCsP86uYiH7czFm39RZlpZkGS7tkP8eylnxdHWvZ9b+Es
/97MZWGgzzaL7MIdFPtTbM2ReWOApRve5+Zc7Mw6W8atW+WaHmg2PV5fJSp8ciaCkI0mTa+5oZKn
P8a2g4jEnDrZe5S7B22HmCJXNVaZXuHXrWkvm0qPhi+2yLRvmE6ooWqXk3Fdj6mUPg7C9hggaNKj
m6MCSA1MbXQORNzdvLEcpt13QOkSD2YwKv3MxeoxoJgZGdsKlG69qhiRtZE2kGfofa8DN6on5DD7
uokvKwwNxcYuS+A0sIOJB12n1UJzmIkFCgL4G0iA8l3cxJPnE3bihkao5O4dVCbboNVS91tZUIIL
AK8StuupZoaLp2U76m+R5s/2Mku6vGpHL6donhWaMY9LrmdExzKbPID0ZfmDGoqZYNYgZUr6l493
VTt+rbN0xh8vq83hZ+IR+6YrxbeojwiilE67aJVpdDaR2af3Re9gO93Z3sc2HpPnCWkU+n2K6qEH
4i7Gx8IYxa7pin7nmAqGvfnsjNeZ4pmfRKMUd7ow6oYLVzevKtBfi+9IQz9I6bkRzoSadw/cyWlD
O5U2JQwZ61sMqFOyZ93pNlFP6y2YKtVcgpFi5o3UkkEEKHxXa44ypKlv6UryocnH5B5dtELZQOb2
hgsKUzb2OV0Rb9zMldmHcmTSKj9OHULUYUhaqniLMCtMvbIIXGku6UY3euk9pI4nkBBSvDIjusmX
XSdbZQz02bVEOESVUYTLgDBv2CXIUlyYUxF/NceZckjlFRmJbQSIJ4CjavrCq7NvjVNjhmj0i4ox
IhJ8Nd4gtmLcZgZ0u2CuuFo39E3rm8ysehmsytcP8zDXn9x+0b8BSUktXwolup/rzL1N8J22KU41
8XsxOKzxbNK6Zwcf1zsvpW8axEWX3c+p1sebLFKLNtTTkpqUaynWB6qR5edWl9UPr+oV1/dEMX5G
JSj6qsWqFBwuGoo+1lStECgT1RYUBm0ruh2LlooY4JCU2qETD5g/F9id+JzlwOxUVU6xD4mHfaI5
mXdnj1bSh6hPa08RPD+qqdUQswZLqy4D5Av1m1WujwjT7bUBCRHSdN8WiirDhCoxtUrEHfRtqtaN
GeoT8PlgTL3lk1CI4Pyx6KsvVlxTrtCTvs62VTnINWJUdGOLaS7I7CFzWz1MCbaTMBrIEKmSd57i
twqK87dG02X4peXl6EJvaKZyN4zUSEF5Uq8JoJoWKNOjAkLBnL2z+DQXaD6AKyRtH9QU1J89uvIL
0CCg33ntNOpGlQ1vRg6soKjtmXG8EVkLy1aOk5pcmVEKtL+ZMpAZU+5WX9zYLO8WVm+CgO4KWDHa
erm1Z6XSAnLy6Js3NJm5ZbsNn4pYUd8JxSoidgTVAV9aTpfRENBBeHRZQ/MC86rWDXQEeZzQa9vc
CwHPWe/KGuXNi4q8qQ0r2x3rq2noWZkyb+33A+IZmd+olVsGkd3l2plb7Wdb9d/tX5QikDq11Z9k
HwIuEE3Hl5pmu0PaKzG57jApcWB2kP2+Ur3qOOOW3LOvuYalfimyUu3IW9Wu9edFVyyUGaU9nIkt
jltg68PQIqWVj4QheRowq+OHcWvOw6ECrqOIwbovuvtai6yrbCmaB9Phy/0Sw/4VK/4aG7422toh
BRhBeEiMejzaUk+QxrvM2qRFrdxRpVzoVCguyJjCPFBofn57OH39fcdTTTRLa+9P0g7WDsfjtfiS
thxo5makqnSfuKs+aGINjgzU1kNnFSsEWPITNelpk5GyVu/13lWisB/ZhhvAZl0RCtNu5rCnOnFQ
UWXC9S424oiiQzVPB8OLaxsSstLhDg1ms3+uuIf/Aq78b2RB43PbD+3zbyRB3W/bofr+BY336v9C
PuTwcf7jX3nHi3zo5nn6LfhSPH+vq/TLUV60/r0/8yJQceQ4dPuBiQJWp6P7r8SIdvIfOlKHq0Yn
ig4/JY3+yosUsh/69qtMA6IdLproLNq/EiNINX8ACkGZHDgP2qIA3P5OZnScl7jgeFdYMZLdQK7w
oT81f6ldp4/NuIkeyubrlIW2+kTz/pdJeWWDHcfpfw2xqqatO5r0b92Av8TpSjsU1FBl9GCk6iZr
PvaIXpneFy1+14/n3BROgaI/30dfXe5NVIzROlnf95fBImSFoX9rygMBdhLMN57YSLFzNZ+Sf2le
VDuC47//emRaQDlWGTrSy+MR1azXcKLCyWn4UX+u35uPSeyfHeT4kPpzDqFegWZFLAXow8kgVpNN
rlFZ0UODBdvoxIBf28C0su1CsvC338cln1qzeOTc6aIev09EvhdDc4geerUK1mSl+AjelnCio8Z0
DjlynKz+fC9IxBC0XYSnIQudHPV0RTGDEFSAEnfc2O0tV+uZ4/10gYPWYnVjL496xyq4c7L6pj5P
KkkX77EBPe8Sy0DKVYZzFPj1Of99qCN9eDLKSVJoCt3FenqJH6ORtrpvG0/Rrb1FNsZ3qjMvdDpl
61AOVBf6dHACXpCStS4eIteLk8euGVvKh1th6fmZMU6Jdj/fh6sQfDtlBNAvJ+m9nAyjymCEPLbf
XTi/FFabbVtdyq/1pf41EX5SB4n09acpoSZPW2379ho8Xe4/33FFUHDIYZJ+qhGtN0ZVUcZOHsfi
/WyKx2SqL/BC+TaJZvP2SCeRz59fDoTdfw91cmB0Pb15jRzw0cOKlx75g7otb/8fdWe2HDd2ZutX
8QtAB/NwCyAHDskpk5TEG4RYFIGNeZ6evj9QZZtMysxQn+iI7gtXlF0uIQFs7P0Pa31/tVYvx90p
VMBv39ybSx0txabuDSsTXEox+7MaKhed3j/8eHlwFrB8as9URfikjt6bbHbKMqeWu6FXbE/whEW0
iokaW0XZIlE/cbmPH9fyfmz8V2yA4FaWKtGb3bZp6AHgYgr3I46nxGFzbX1HOxEO/u4ifLdL2Qx5
IvqP9xfpohmRe80eQY/nRVK3sxHfi2E4seQ/vhzMjkSdWAYXosIx9j+2c0opkRrtq9aID7oSJR5t
KjKYz9fbby8DVGrR/y1E+qM1II9TrZX0DveIeAihK9tTrOIU+fF3T2wBwxBaLHaQY+pIQ2Lb92bI
rjrUqy69wvt6g3Jp88e3glANT8Yi+SMOOTooMuQXs2EMYo+7QukZolljcDnxVo5p8WxEuGzeXOTo
5bdVVlJ74CL+7vqgbUnnnK/9tebrXrh9uruZvcmXfQo75/oFCptir15M7u1/4z6JtGQcpXR4X0OO
N4uc/AuhhdSIvRZKcPGT4iqkBvD/d42j7zZqUuEEcsUb09OtPY2revgzn9qvB/nmLrT3XxEqfqmN
2lLsBzz7KxIOv0WRcuJT/c3q1tkKiFex87HTHa3ugYFxg511Yp8n9TYWFETzE5nqqSscHbTtuAyS
pnu1z9ngGkj6UX7iQb2GiO/Pcpbcm5s4jkmszokHMYo9wyI249rczL5wD5ln++JngKjyTtzf/GVt
Bv9qcqenpRt7Z3unuBe/vU+AUvRHaFaCanv/uoxo6NtansW+S7qzkMmCofSH4zl/rYh/X+L1ZHyz
rkNcKRKGfnip16hpN00urT9f1K/Twz88ycVpwlpg+z5uu+hVCZR40Ph4n1K/22Tbct1sil2yM66C
g7X66/v51vJ5j+ZdukvW6rZY15toNbnPn/+O3z7LNz/jaFVGFNRCEFxib5v7vFvC2FNclmMr669n
+eYSR8syVZR5yBNL7Ccv2ATn088mWVEKnVs3XFkeDFU/X6WrcpNSQIPQYbt0AtanXJu/vU8DnTcx
wBK5Hd3n3MaSGAdDUGWvNkNXZT8ktQp+fv4wlz/kwzvFSmKZMIeALC0/4s2qaZHREsebYi+Kq4BK
eSrB/dYWWcifn5QAhf99oeWQe3MhJZecAUcnb21CPGxTqj95id8uUHwp+Gr5D+3Go01xpDE2a5yM
+91Tdp6ulQvlK8LdfmutKn/2NC/zcy/17FV3Efqp17mdeztso3P5YvvfOGMI6PGNAw/g1xzdLDRO
YoI5i/eoOK60OKNyfgqh/EoIfv/mIBajS2TSK5Veopz3D9SkgjnHVtLsw7y3fjaz1O+VeGxRR0GL
GjxDH8bvfWXML+U4pN+m2Wh/oI9I74FKxTtTG9U74BbivNamkPrxJGnoNWLKn7QiKnbHuchwWMdt
teuCWH4ZQ2X6qzcz0Admia9rkOE1EfEoGpB9m33BjepeylwkffohrdQiQRsi5bdmbsg71Aj8d6Oe
NcdrsrGo3CQt7cSt5EkfPQcBBiVeoeRXQT2mzMvRZoRnVRbtGEiNTn0e7RGkd2skhWuntdW66tAj
5BW1OghfT6IKNFc3GoGLnm3OXNxnxbfJhpPO35pUbeNMmmLEcY398vnXs+wD794BLXZKQVR++XwA
th19olmul7kQcb9XjeBqKu8K3XhxwJ8NjKe25BPuzA/7AfMkSQYUAFbLWXzcc54Fuu9hDGUuBiwK
0aRUn9gMXn1j7+5nAWNi26PLCB9Ql492A7kEcJ4VujjYqcb7mdq0/G7ag/ZcTEGLHEzP5TtJoyHj
GqNWK5AfDeu8RnD7giAvvOmcipBKbRO1dnPc0fV9t2hjPDHq1gPtLTJNWbWLZ9S6qIDGsXxpO1N+
Vpu5e5wylT5cEDBFx22NsUET09klboO5y0s3j43kjm6mUblKoSmT29CsugiBRt3aiTPe2xH9Bo9Z
x4ikjEjDSi4FuZq7dVLmu7BmUgO8JiUxNqMgDXY7ArRTlqtjkz0IGyp/JpmTAS5kqei9/yAtCcVq
W/XiINnltJPtUndlpavR/KQFmvEhbR9Nq5HO7aCQvTYItbswD/8KB0Z3RI55albR6+TB9+9y8Vcv
pTOsV6ipj39OWThdVRXJIZFRgFYZvYoxCOwtNehyhRMqvAD1QncIX+m+LkvL7dA632tyjGF01Ltm
1VR2f1UbwXgeNKWM7DuV9uB6orVjIx4fq8HaB0G6loap2GmB2oHEqJR1OhnTOTtS4TcDEknGNDto
QJGQg47RVp9/fsaSk7y/R+xtVOvQ2ZLjkSS/f+RDK4e10yrywQEezSZQ6O1Lb/dh4uJ+UcG5S/p3
rAfzmabQU3ULgG63gzbF/baW2/w6JNk94BCrf3R0c29m5FEPnCvKoZlKLQOQoJiTNxVDedNmGafi
REigMT4ZYephQtd0a4iEOA4ReLIzZVrG7lwFAZOundD+uYwq+xbVTW25lD/Ezx6SNkpGO+oYXSZV
VXotmUlfeUKGp+LyDYQ/y6BwvkoJTbyo6VCfynGPDaDPrOSb2ovqr2mUAlCEZSk/VFQw94MUtzsG
y3S62+M09oM0sfRTBcQPNVgWND5MgugFgoQ5/OghT5YpqqAfnEMHStvxWzMuml3jBCUS4bTrD92E
vN+nTYfte+6oz3ld1dg6PKcaXlkwBd3D56/9w0ZIdworlYFZDCES++H7tz5DNQk6vU8ODaaZLQeF
4be5Zd18fpXXMW/vFxdqG5VQggodfz3OfuRQEZIh8LgwtElxq6EzL4NY6v0ylLdJh3Y2c1bZFJqb
QEUQbc/teD1kTH8RDbQkl8mnNw3f4PrzX/Wbe0eUZS2UWCCVZNLv771ow8jItCE/5INtr2v4XKt5
xiDz+VU+RlL0Kxgkxk5GUYNj5yhPz5JGiUwIYYc0q5uLCL/SFb4dc2sv6TJTQPdtUWWXSmjpK7CV
vHcJNSTivcxjXG2ymhC0u5U2596YqpU7BHK2VRCP+nOW3NkNXo1uGLOtaQbGtmvyaNtjaL5o8eV5
Nigvb8YXjLgyEF4TaKdgD0vw9e69LvfGia1QQKbMcaz4Ce0QiXhTFYehCkO/MS3Ja2jiulZiRJvP
n+Oyxx5fiodHMY1VRDfhaA9uZ5apXs3FwTbb+MIJYnNllTJN2FijnJwyuCDr0+TgKIHjlWgXzz6/
/IfFwp2ChqcPRF+S6v9RPGwCZg0msy0PhIQSot4xuJIjSASfX+UVOHV8lzQWlsgEVyV9sfdrssQl
2sDarw7ljGdhaBmD4jKzY14llRlt1Ey0azqo8l2YMXwtCJRdzfxTr1d0aaum6XSedVPmlmOinKft
qLpzIqwXgECIaedqhE2JCY/TOxOQ1BGojGV+ioHyIYwjp2WhU10jQ1m0YO9vQJKyXMpFXx2csZs9
xah1lxQ+9IzG2LeLAl6V2hMP7UOH4fWSjAhfLgsD8ejVRFoQcW7P1SGRDM1FXBRsUZygKFaQUwRS
h8qsBIQ4JekfDrSnVQ0qgksSFYC45tB8f7O4kXqMU3N9cJJMQVPfIgVq5jld6XVe+gkWon1hq6X3
+SL5zVLk2VJuo+3F3WpHGZFcZ7rcKFp9iHFh412FKqlPkXFi3/r4aZPIkvg5S0NeU49JPkq3kEFZ
XAfs2LFvjdFT2y7nEWNm/c/v5+OSAb3Ak7Q5hMjAjOV+36SzHW6F0owM7RDmfFqOEwcrznpMX1Jm
emiqIERC/jixaI5JRdzVgqghT188/aS4RwtVDe1ONpmseYjFWKx0yThr+gznQND4Zjuct459gUTr
UKvVug1sEBe9cdcGOhzN5NQAlo8vlLyWcrS6fDpEmUclTriUutDMUTpELS0lJbZeRtEVJ57yshbf
7yw6fT7WDBMobCrfR0+Z8WpZ00ZxeF9blbNiZHLnFmoofK2ws1UfB6eGBX+M4Yl1XpvxCyULHMTR
Be1JtyXZaK1DI8zHBYsSBvAXYz26HYO9MSRuQ70Hu5sr0Eai84ALm1QnPpWPN40Ulg8UGa69ADqP
fgMFIVJO/P8HLXfw1jHcHj2/DAtLL6ZNXFjyiVPitwEeFOgl40N+wCiJ92s5yzm+OC3tAzTDSfGj
WVW/56gYbhh1FfduTTPlTmeweYcxdDRmT8JiGK0DTG3PLef+qULmxx4eLwH2HnVSZAas9aO9om+C
tBzH2Dkk5tSu8R80q4p4S3OlypF2XW3p1xTCpAuQTPOu0UjzyyZzvn7+gS9P+f3So1/Kmc3cGF6E
Yh59almVjr1llM7BHAW6XEZUeXOqvHx+kVdd9dFVoFUgpoDniLxbOyriTDXYEeBF2T12j566QZ+x
uu243Zb1rMyekfbtmTxFir5pMQECtsfclrgZ0zzppYrYdOvM7p/k0lEUBOigb3x0mk7qlQJhpksC
fY05z1iTsyff5syyCtfoSmrckWLgsQzNwL4hRcy/MuEYNye9kRr9mjo2/mRAmI9Jja5VTO6yj0O6
Iw2XRH+mdgiRYR0F0gOJvJp7sWic70KXtAGhnlXmXmGY+P+kpJLu9HpW7wtnzqgxObksuU0UoJDq
AizIfi7HRrNuYqFNbgkK+npSl6GV7ASS6UVlcZfKlfz8+SP/zWoHD2SzpIE66jz0o0ceab3Z9FVb
3oeO0a0rB0czTmVYJDL7gafjHfWMIC22iNHPjX7q12FcJvdVgDr081/ycYUxkwtV0NKnhH+3iIze
HiFFVWZWqZTxvWyl4cXEzAQXFcefkr85M7gMmRKz3ADKgvR4fxnZaGSlToL4fgiteFsJ2b4ILThq
lhInVAmDZBvYolnhpYzulG6wXBZa439+qx+3NJsjjxI20iSgTPbyKN6clkWAIxpZnriXndrZ0cwe
74exlq+ywjlo01jXJ+KA31yPmvniaOC4JFM8iq5KWLlJMY/iPkswdEtR2G9ndTkPDXlcG7guTzSZ
PgosiAZkm3SMDXuRcR3tFhQapLERvMuxyNoto1EwCjd6uILjYsILrSpKpUAODafAAGw66boIbM2X
gl5F+11E3miJfD8Abj2LgGj4ManLiZ/4MeBcfiGnCfkc2ePxI8l1K8I1X8X3tsIrMGoHORWX9wg4
9W2bzKM39l11n4uTZfnfrHO6rA5Kp2VcB4n7+5cvV0YVa7Md31M4i7a4HoM19c1TDf/fHN2MYYPe
DmXodXTD0alhRhBZe9tETGBRTDNlJoHTJZ3WBgWLDZR/bV32Fka8xKwvJ6NLzo0wtvw8kjV/QLlx
YsUvL/z9xk7WZSHeoPyP5uZ4wGiljFUt5XlyLzLnekymF9MuDmYQfg+s+Kop+qfPP7CPge8yHscg
EEXfg/T3aC+xOSnhORXJ/cBgpgtTCo07TMXfKKQqJ27sY0qL/JEE2rYJFIjMjj7lNgyMLGvU/N6Y
nccklNsbZ7DSq3jQJ0wTzbBSAm04y1qlQQMuzNUf3yd5CxUJAIVAyF5xO282EruzC5HQ6by3Zks+
z2oKkaVsVisrM05pD38RSN+/w2XeMIV9pCroBY6nay2os3h2gvq+5BMtt3IvNF+2K93VipgJKCXw
itIrcm14nI1JkzeBRGHUrcD6/MiLNO4urCBNs80gehV3w1xmr1QeY6/YVXgzKdIcrkxtVteaWaS0
KsRQHwZVKla93EXaStLz9MrEVWD7am3KP5R+0F9w4RpbnDI1YznDLvoxJkGLv0O2yKwt0DSQFJjr
GvAtExH4YW2L7xg1pm5jDWj/BnLzJxufF82QTug3EBv1pzxMHOFNfKCrzARU4rWpNVxqZe4MS6Ax
3QUR/z+XiRDynZPH2iEl2elcBw7BfRPKk5vzOfrRomM7l8tcal2DW2vcSjf6DpNCibunH1Jr38CS
31lGZ9jrKG6iHmAkY4Z3ZsVsGdegELKdSl6DuzQ6qJ8R4p1ZXaeeh9RbDzjZgxfS8GSgm9Dh2Ce4
6L/NSkfPaTaSdNUVnTyjn7PGzBOY8tKVjGRmWFT2tKSBPkWgu5VyKL2waKPOk6eBgGZup4gwtxis
jSPRbOIt0KSIlWSar+swkb5Xdiu3Xo4xCVeKVQFYp9E0YfcvYpV+j6FVhk+/DXQCEaMu+xTCkpWZ
ByWc5cBUV1NPmutBLw7MG8a10bXBAKGquFXkrndtTGS532iRCSkiMlM8UX0NpaTrWkbqqCPoNrtX
pHZVUBGz3XaopgtG/DpPgrLyU9Dr2W6awkjmD6oLc2VIIbAZeVg89GDKA+F3uiGAP3fYTfpMF/ec
EWqGi8MuyBqtXrtiiJCSMz0b/4jPwsi/p3MXr9uCmrk8js2KLcA4D2tJHPA+tV5oiNFXZ90IvRHb
2oRDZLzi45PLa3wMNexT+hG5Lworqb05A7vk0NLbQ/WPW3wQc3gewZPYIXWafmCE00EjzGNmb2Nw
CrLLCFYwr2E3KesGkvRP28iC2B2p8h9qJ8BNJ9thdNvy4X3vEogWZWdXN1I7pT+7Lk1ht5rw0KNQ
Ly5GuVIdXzKb8Klqm/ArLUvJ9O0yl29mRM2AKhpxrw96slHSqkj9WkPK55H9ZQ8WtqyLCk7ExmYE
WOfq6hDZVEhkkXlVU06wnagp8IgSXHt1pDP7LFRz83xyJjpLI3HN17gpq7siUeXHqqmdxVsh6ruq
ruF31A1BujsHvbFzWlG3XmzP0brUTSlfxa2+qrHj3E+q3l+VihgkV8rDtrwWyqzEYGuKkSuAzH3M
Jdu8Duc8fMqF2fHtS6aWnqeJWF60c93ntvktoBteE/JICqUQJgs90kWlcjDbY+kyoUsDfZWmpkNB
TWFqaiAlvemG4EqeK9tpLzBtqFu7GXgMUxV5SZPg0u6FfJkMsvkc1Taw1ajotK+yNg/XvA5WXkjp
z1iNEqOhsDAUGijVeWh8h+nXtidSszvgd3TI64ZZAeDfOvPzqCTKdWc76fPi2pXc1CzLvQMg6CAH
zfxkGaNO309VDK/N+3QzhVa4CnUNrxBvZ37pDXPBRV/1sXPG2Jxpm+hB82zSPfH1DDS7ihrgawgY
ofJY2CqcstbWdlJIZoN+PKjOs0RvZdI7gTWztZWpcMewx/up2pP8ovZVcEO0NuzDQJoeMnhJ505O
tI5dKcClNVIlpJgVVdPP2HZmHl/V4T8eDXb9slBHyVvYlryygGkVblhUFT4uBjqFvj6z9tjjhIr5
z+jj29xOxKUMbFvxeXe5DZKi1b/WihGcQsh/FESRcFCkJSJHUEoCdBSr6noSq06n1PeqWgbYtSbz
dmj1H0wmrK8Mpo6sirrAbFvlYrO45Pw6y0ZvyJgvwHnIezCtlg5Pq13qQ8/2nU7ptsRg5KJjV68U
S+43JcLtTQ8KazXos33WjmF5R/UihBEgTk3o+Bj5LBULfF2MDYC16xyV2GN22XFyjPq+nwVjAabC
8UQkdV6XmcYfJ2xvL/UhyHLUQkYzaNX3UxeFK00MBmMjsY3+aYiD2Zt6Gq0neJkoO96Hy6OsM0IR
dsp9IJU/ht7pYH/ZladJkvHy+ZWWP+kovkGggoreeBXKHjdCSmTZXSjM4r5uR8sdKXK6RqKnmz++
ChEUMom/EahH+bYIYrsy+7C8j0a22HYZ5ZOYyikZ/cf0hkE1BMAOJe1Xn837p9ZCZFeqZKru8dNl
cNIM1StsO/XZkKCTpZLjd0M/bbvQOJVrvlY6jx4jTFzqYXT/TUU/Ft7Vo6mBMkqxTlMygjNGMLll
ynC4SpghNfhyYdlgR4I2TdxxmgjUMCNOgydpWemledNcN4Gc7FQ9ViFaGZRx5cSafxDBNWeT1Vj9
Oh+UUIfopdYFKGOjvcbYquI2NOQOsQyW4Ps0bBnVBs+bXVWx+A5oKEF+jOzRhGfWN2niqSMdGrcN
lPC2M1N813/2lk0mf+P0M6lQsIPxLN4//0mWAnrmffXAIPXEYy6F8MoWGcjnV3mVGL591lyBxQpD
2aLhhKHlaO+ai5YpJGrQPxTuo49N1p3dwrO80n0BZOadlHQcby7Hlztau6ZZimAEPvQgewx78QjV
PLGSVuzlXCtencvuKQrCceViuSJtBaQbYP9Z0UeNVwIB1D16ODyYpXPdakTmWhk/pUn3U2qKE4Xf
4+//+Frq+3cWxE6KMVzqH3pgpMZfIj58/rZelQHHb+vtzRyVYVRloIo48vguHLdyHbf1u1Xvnz3p
XuqCdPHuIm/D0eKr68hNfNk9QV0+LgmQvQEHIU3knJPxJR0rprCCFGbO+Nv7pMplxQuSYqLMN+GX
9cpEbc5hUyEpK/O4lVfY3tUSMdlkRYib5FRfLaDY61Ru5vxEEvtKX37zXF5/F/s7sTDtUuuDslOG
ZBpIRTXdB5lg7p7Sdm5ikMpaUjSfdRVYfYzDwZ1V4PjGbdWetQWjZUKpGa4nCBPrDqPxdVX1t7jP
08sWcqM/VVB0hJ4kd5+/w6M18vpTmZq99LmY/YQY6P0amckvierM8R7aveR34P+R45Fafn6Vo1XP
p6xQmFzUkoyPYQbF0Ups9F6Tsr6z7idi7VuRSbKXlE3nJZTdtoE5/D3d54/crp/SfN5RgP4jHWi5
3r9gQf9LmD/LG/rPHtezpv7xM31nbl3+hV/mVs34QiePWACvIH/hKPunuVXTv6ivLjVqeLDAILT8
C/qjaV9AD6CPMRBiLWcA/+hvb6vqfAFc89rBwy67VN3/xNrKh8ta+/dnQw9qqfnQBeSPwjDHafN+
LepR1gjLamvUyUt7dzbS+VsdZPWtParzt6DoAINoQd/8nCytfMhVFIjrcFAH69aKQE54WsF0kdWU
ZOMiRDHFusIHkgCXy4wrBRurLydOduhjIZcuEcRcMmA2zh/kpKZ8YoY5nm0qzj41c3i+JAmNugoK
kvp1JhHiuLo1dYPfasUoX4ZEzrO/pAOxP5KVKdBH7PRCh6B4llqxuqOp0uVbGKAxBzTzoyKvD6Yq
WNXsCz/1Rmsoo2RIHS5aXaeTk6m1DuatZSPwKwU43F5FcheeDRSmgKzCbcU5HgXFWdA4ubKFHtvV
a03r2skLSf9nBhgqdksOxTBL1ww5rd2CKKzbalLRJWcj0Abbz4a4esL/TxlCjDmyB8iBysi4TcxU
fm+k5nli9q04c6aGpqfQ5YDCQymawgsyu8tWSmYk4BTKtL+t6iqIvHAUwyZGhTL5cx44nTd2XSM8
aIMp2kiQgbsqaPIHUHEWCRMJ9KMMq5QYRhs7qBOzPJMuMRZUa8chXzvyoBW7QOt+xJEFJFkOgMOA
0zRq25Xop0a+GQtG5jVAP2MPBEQSuwNsQXHb5mr67EjWfJdpTB1yKdQH2zCsQPDEmoAeqZRpvNKL
IqBsPzJfz9WmwL7o6zY3ATeH6JVKrMg1Ire4mV1JmJPqFsWigB6THsKAOrDuPJWxnEA45HqauDy3
ytHSFfQNa+H8nAu7KL2pDtXZy+KweO77wrBX7ZRIj5xfVeynFv1dC9JW7KbAnXckZH3kabki/eW0
UYPLp+kYWOLABtQ3zWzY38peL8/hINOkjaYhZPaKFef5TReW1JhjeWBlwoEIyB3ipS4UKNLLNOnF
JeosZdroVTSNbtu1dS+DVnb6equD5u23mW0U0TWQQ83YMffOGS6yiXhlcPOgnvJviVx1NpRfrQrO
Kyeh1AecyZE35UwVcpOD0x392IwQYarKXHYeDFtmExpCju9imrUdlacJc0qGgWk67+Q8jbaqWlgT
cNNSz+OtwtiK2KuZBjny7aBj8WJDOHdZpeXZdlj64Yzim9Uyv9QSO2yeG3w1Prw0YysqFTrJUBXw
FtvJVn2zBLrkJbFSHQoWwRXdDQEAXbQwGqyh3iRd6aznSlM9p3eyE+Suj9vVIpdkBAkjMwhAjk3e
9LYwrvfa6BVO06wQMaGXdKbZ5eNTfkU6f3Se/cdT6u0h9X+PYWfpJmHjfz7Rrpu2Lvp/XHT5jyYS
9T/+37/+VvzjrEl/5M/vTrtff9zfMAfd/LLI4xwaJrRp3sIcdOML0Qj6KPop+CuWLsffMAdd/2Ig
vwAkuRQcOPGIZf4+73TtC8E70m/cOrhpyPP+5Lyjpff+vKMtTIsaPyYDVBZZ2rEIsypQm1O8q+8p
EN0lkMZ2FeNzVqYRPxVtV64iHYZl1lXlE+mvs4aJSdGYmurOVMvyRyJD0WqrfOboSY2rSQpnD5lb
BZxyNHeYgVKwP/ODro3qij5Kx6zZtttKVPYgOYfTph81sZ0RDq4MpjZfTNh3LhWEW+DcsQbPaqH7
YaPfTs1srgcl+aFZ+XTGCc1VZv60rI+BdZlwvQuw2RQg43Sbwdddzw0lwaEuezfp4XlJDAPzyjKY
EJhHF0Vb2D4227U1zei5w5wKatEDCxbiyk6M+syy0ydl0m7tPLsUdfyczeKJOYsadC0GHwbygx5V
PYj3bG0X8/cmNRokO9UeFzUTFmzQWfHMwLGRYnMvFY8RVPVVX7R4xY2yXA+OJa1mnbHYFskrqPrk
RbUDqlZjcG610rwVRvIUTR0ulqjYh1a/G8umgkVBZi16B60ilEkav/GTpdcLWnpi6ErE7y9rOT5U
wN3PRCaia5R+DHZui5lqPvnsxpxoxMp6cZNrwH45bnS40Za94QRI3VoPlMuxNK+6pJo2kznelNWj
3HK1Js0f0z4Hm4YWmPOUp7D8T4XJcOip3udTeBHMbbkCczq6hpFn7lBRwNN66S9FKIWPb7r3cqXd
RTDQKfMBVMxCndQsMg9YmJ4ZS5O6DaOmq3Eo11Y6jecNo7N496NsYA5REr/guFz1NUbhJqDJPQq5
3sm8HtUJ628jkyK4daaa10n8EujSeYJd2gWK+eg44FqdUEldePo31cz7YIpDt6YeUj6WsWPABygi
t5o15ZJtv9gOtqFfMdoAXJHW7OAoMN2r6LvLMeg6psiFeuVKM8BVF0K/epeGaflEQlPdirn7Vg7G
RhWcWUyj2RaVeCpRtJHkFfvIbMercswfm6BmDlYMKSzO9w2/Nq6ab7mc3SgNQ2fnYYzWTS0lq1jN
nqwueZ5itG66nkbkXBoDi7VmPKfnp691hji6ThRmXhZJ51FNMXtiKagR99vmybNaGAfFUm6p6+Yb
IwMeWQiIUkni8AinRFwVSN6ATRnA+7LEeOhEnF/GgQWtO8Br4MUTULfa2LajFPpamO/rie9scqIX
Y1JuaeyM7sJS3cAhejFKk4J6JKWermYsQgb5bYSkT+sgk1BWx2PiO9mwi0X0CHpf9ukeFds05tGO
pdXnXsRomK3TDgXNgSm8xB7ervvAMFdtCPvaYM2MYLddWVjaOrUY7iX0VrlkMtR4LdQm38xNQ/E/
CZAjGU24Kpxa9eJQM9Ac2Ey6SPgD6J8NfmXH83qeyc3zqPrWjmwIHXIYv6QFsOEwj57bwvlLE3p1
HkjiJcBbYJQRvDqr82lqUXbH53ZjsS1SVdXOzDzTfYjd+cYJeQCdnTY+yknDq5xc92VpfuBJmjBr
5F0ayzCQbUZM0qajdWSoHM9N9NyLYTdmyYs9pv0DWLnYZbpE4+kVQ/8Yr4Bq3Ikyb4jbfNOF6nhm
pXHkamr9jYDkqVblH/CkAd9rldjkZj6eVwFoXoWP29WTho1PL1TPBsvo2SiMNn3eq6tC2BKIw0Jm
folRERfF3TbR8hIzrzZv7TGovnVFlK6YhZ1fZn1eP5WFyUgJUWk0Dbvd67ox2qhcPrbIzW0+KQfx
lScl9bSVFRbZyH60lWhsuLoQzsbQu93ryfs/EIb8x2Dlf2NK/WlG7f6I6h/iPXf3Xxm1IX9BcYXw
mbEj0AYQLfwzo+afYKlfBCLOMsyZ4TD/ijBU8wvhBQJthfYRRc6F4vvPjNr4smjXlnhyGd4OceJP
Ioyjaipe3EVOzHRzUv6FQXWsNAVKqMVs65VvRnYHBD57KbJY/GAQjMXoFkYApHFqbTSo8OvcCbJn
MvB5ncSjvgkiZ35Uozpcy6iIXE0b9FPFyfc1oV8/js4O3v1FaYJI/n22b5Q5AxhHUfkStoLOE3Hn
nDs1qcsqLWidk1sGPyS96uHTtz3gzDKtXAZNlF5OYrijoRw9osrQb+gTPpnCmfxAH7Q9w9xn6krl
oD8oZDWeFNJM1mrRCLeuCfz4evQUzp9TWg9qqHceBXhpM1mtkOGcSrXjxqYpMVEtBE3L3m/tp9ko
Vk0Qk7aaCW0+EnUQqGVc7AwyHN2rLav/mdolREok3TVbiTlML7jDYJ3nSy2Chu1kPlLEc1wKX/Gp
IvaRl+fXg4QLsES4XOAD0YpgI42lqCR7tTpydHUF1REFvkO3YYlCpGDXZ89KSccu7Vda85hn9saK
7iqo8UgnmMWwD+q1Za1FOTE4aTxjQo7bdQYpcb0WTUNZFcmqsgg+7K1eSL/2FJKS37Oe+Q7eFn1e
1yifg4N0bAmpjxWyc5W0RRg3/PqkFwzabHRPSUS+eZMz3PwqIr2lBr5vH/16RmQBtKkWqhkyufeL
TVlw8FkNr9OaciDIBq80D2677DK1Mti5A7M9K3GKZXWEGeCqLAUNWBxtK5y9pnZUHw81htSUZlv7
9LMXPRGzs4cMdQG7ujz+MNRY+8knHJMwK2FxqzP+1kCNLUd/AbzMLg0xFZdwf9WbTpcz2c3AmlzK
sRp/xcKZ3EdTqvlVPTABwJwM1Y8BX7qfP7Ujj+mvG2Bvo2FJfXhhbLx/bGwrKJ/CpPajtB8RUQyt
ZwCD9WbCThfmOwSIToOb0AfW2pS7dC3QSXmSXFpeofwXe+fVIzeWpum/MtjrZYHeALsDbJBh0mfK
pnRDyNK7Q3NI/vp9KM10ZzCjI6ACBpgFti4a3V1VOsFjP/Mad7yy2himOiaMW/Rn6U7pdUvKoWSU
oix3D4H42rLbJ7SnB79oqjQo6GbfaZUiHySdwD1By5sOE5+HDLePoEf39MIHcnEfbz4EmGBELzV6
E0vRdXPZGhQYZL1EAH8wBW4T4qpJ3MGPdPOnpoMnceZLzLtXtx4j6gvVcgEFI2S1uvVyYrxwKBix
FuIdAs2wUHupB5lyXRXtJf7sCgvN+jEaLBID4CR6gbwpx+tXLQ64rSmaAM0wP6e3tsPcxAHulCho
/hvurpkwdake1YPtZmaQjD/Pb6BfilIvSrrLD+Ah0/halW0Eg/74B2BkKqbejJogsr1on6M5cJ33
RUiNdA79sLXCIJ70ZtuXsGhhM3t+ZTTcNJZDma8Xg58B0r9SB88LKqfbeUb3DrOLaWumsUfg06mB
Tic2sCH2boyigJXuxpI/zTYCr21av4qEvu8yME1acWe61NE6qSmPRZmhiYbHJBxEL3rTpor7boh7
HBXCOts6qQBz5nGRWmMMc63r3Oo9GxPeL79IjKaG34+R3uB9VH0ATtZfaxXZbuKwfiNA2/9f+8Eg
YfEvAHT5Yju90usEi9z9+P5v/0d8+fpvWzS5v3Q/2pe1nl//+u9Kj0VIhW02QRXs7aNKj6X9ZREB
mRw1zgHvNVW8/7QzsP9Skfiknb3w1hbY9D/jMP2vhYHMQ8EVh2Ka9Ueina+eOMtZFBdsngDiQaRD
jw+B7RVgB/UUyhiyg7vM9MqrJKTy/GJyTjxxx8Dd5awv37e8OKjwQTxcdZZdQyZGLXo9oJUj8G+S
xufFXvcQd2pySwirbJrBFsHcxcaHHCDS4/nhV9XQZXjanfzlLGwHGAnHH5nPCW409oQ7FqTVrULa
79dabASY7boXvvTVY/5rKJwZGEZHVXU1lJHnsY5RDElg4+1wD3wn0amg6M4LMzsEeoNS9rw1yafz
X3hiGZnfRadUtfgv69dcUAYB+KXwhTFyKEXoKXj0hMOFSOX1A+Hg8s0qUlKm27YWtsvQoEUy3LJI
ZOPkdhop+IAMAvGRFOYtOXX/7fxXnXgjoEChrkDDjUeQbt7xwnk1qFVoIdyY3TD6mtUVV0pqaZE/
h3olIAYpYe/bWeHseqqlP+VcfEY8HH+iUqvfX/gtSzxx/FwsvwXiIVQCF7TPamXbZALTBsAzKIaB
AMN20LJMHsLCDqIQ+ymDIoJfhe2dxW++gli46ZPK/hylMsKFDun68z/nxJY++jX68cy4RasmHrQn
qJ4AvGer/aKGkXqtVi0imueHOrG34KFBoiB3WILg1Yd3ZtbJaBTL6Wm9q7HJ3uZ1q1/AS5z8HmYF
zgxXIiTV4+/JnUnrS/ASaPuH9jV4eQNeShofsjmsL+ziS0OtNpUJ6xiPKRM8Pa1ZP3Jib+P09V0X
IbT1N2aOGjrlHE4LJMfjjzLUaDZbbqSgHmmhwZ5sbqTRu3+8FYiAOR3ca9h7W/byvS94CVk6dGbt
uFVghYZ6VeJmdYUfSHFFdbL9G0Mh62KRrJA/IGJwPFTMMoWweWpi5KL7QCtROcxuoX/AG1T8ae5l
ERay43iZAFrAjD0eCtfwtBEQ5IJJOvU+rihk2rkYL6zQ6yCbpQGzR52Ep4G34XgU7LtG1aAFSzit
az/s1khv6Sl4vmq36l7CTP2a6kN4OL8tXm/A40GXm+bFgvWj0xROKOvADjX3g6s0A/ZWqtNttNyz
L2z214d3WSoN0ALPAyCJ1YoB+x1NS9gtK0YttBu95roxu/ACOfz1w0C7yPq1+3Bbp7h9/EUo4ucF
sPI2oGGsHYy2dg6LkvnGkAXTqCnWBTmqE8u2BO7ISsM6IjVabQ4rH53YEFhIzC1yX5sS5X0/dMYa
k+Byum5Su996YXSJHHxi3ShkLJOIwjqIk9XF4SCiY3hFjO4e7D/fxuP9OsedCs6sJi584IkJBVy1
cH9cLl40t44nNKaRNEaQ4oIZqsYDDpP9WzrNblDVY7MzY49S+/k9eeKp5ZW1iDSJW+DVr6mpbZS1
I96wAhWGFFGItiuhBdnw5za5NFCEoL+dbuxKWF9qB4MQn4Zd9+Qhd/yUeA156fmfs0zl8WO7lAWX
UA1uGfTR1c2Z0K5wSL1FYOUGdW/SGQ3zn67Dviguo4a0aCqczTTatNjTVEsvVRdObDDuZe5s1EeZ
kLUn1VC2AAhjxu+9LtwZpVIHuWw7Svval8Ut+6rpqTec/+ZX2wsc6y9YPPfegmhdfbN0pTZ3XdsH
ulam23ZATiyrXAURqPLH+ZFeLzZDIQa64KLACQBtOt5edWdELljlPgAHI/KgcPRw76qhdyXszlAD
2UhzP1Vhup2n1nR8PYydK1ea/bWTyyYJzv+aE98NfNlBTZDuNft9dUVJqCJdrytt0BXCgk3iNG+s
XIvfNVaVXnhUXh0rSP000MHuogTOQV7dvDN6W6FiFR3tnSrG1D0FvqtACA5j3C+jqXefz3/aq9uX
8XReFSqfYEBJw4/n2VaGFLtDbgzMjb1v2ThrO68TytX5UX7N0NFp+aVVwIKih8Etv15OlBPxl7eg
S2BKFd5orQeHrcqgFiGRoGMYbAqB0RCYoHQ04t3UROnWycbkWtZu91goWUT3FPmS29nFufP8bzs1
A8hHL8orOqnsukpn6/mg2LiQUOUx1OvBMMYdYm7xhehx2a+rCeBiXkIghsDYYNliL17UhFpOlFsz
0gFZUsd+PMzZbYLJbxjUTa/v8axK71quVJw5sXED0YNg2fnvXMmjkOICPyeFRw8T/CJdjVUkEVH2
1CiftUEUZzo2t7DqmrCsfEk/9abP8fpMEClLN2oRxs/sUe+xleDWXCDrkNqEdqhVK73wLJ+cFlgc
zMoSu69vlEjHSgt0BScrrBLs4msIeMRTauf4PGbZQU3U0JeDml/D+pgPErte88Kl9uoiXVD5PNXk
pSgeoNpyvDIix35qxNg0qAFCPdTMBiarU3bV03/6OSvuyB6dtQvH/Bcy+Hg/oCWv4ikIGgYFrLVW
jd2rtKirXAahY3w0xX1ZdXduqASlgocTmjlokF8Z9sIjxPx33mGffmU437EoQjgQ6GHULcCxC5Cs
1zNB043Aj6uO3huIn+OZQOp2jFVhTwF96x4mW6vft7XWPM4mIYSSzuLBmZz66/lt+frCW8BCJnVk
onUgQ6uQZWrQi3FtGrtl66Q308+s3ZpjXWx52ooLEcSJ7+PJtNBqQVcA+bbl7784g4U0y97Fvj2w
UrzejSLtt2gPlm+zHMgAJDT3dqZfcEFZ4PUO59mArEB9Z3k/FnObl4NqJooejcukJi6zGOtleh3R
+j/kU20hjly6ySEEHWdscq+f7qnxzxfu3tePF+OCQEaMlcTVXlcoohpEFEXcOVBFH/oxmfJN6FTt
Jyly/cJQr69SYGFEJDpLyQyvi2h1Wi/xGLzXMbfC70UZJh/K3vh0fsO8HsSkCQBfAY95A9G41SqC
hXLTqVOnAHld7YdSxca3pMQT+Pwor7clo/zm8lNxI8A7XjY5xQI/v3QK0CjNr+zWRORQ0RKu6zY3
fJTEPfeP36HlcVw6KsszgcDRakR3niBpd3RiQR4dDNEo2JUPf8bSWx6BZZRfmRYqf8TTq1GQBO3B
IHPGlYy6fmo1/pwW2e787J1aI8J0oGhIL9ONXx3quQciMqL0GOQaYUvRpvZNn0bjhe12Yo00Hg7E
W1EXhq+5OlpZrw4U1lxiRB27tqpq7KtCCZs3Jlo/AYBB48JL8fokLa0nZg9RuqUqvoqVxqxPi8Ri
vMJNlGsjVRSPfjY6hah1j5dexlMfhz4LOlcQ5xDLXm1zPCspOLdKjwxKh+QJ/PxUjX6qavrI7ikv
7PYT60VKRRKxXFLLs3S8K7TIFXYzuR0d0cYjXepMv6M1czi/K07M33KWUNtZutU0145HAZdAdVLB
jCE1ox9FmJjEOcanjtto/3cGIj8jNaU2u97kSi+EodVGH6DZUr7BZzvyJZWu23DuL1xGpz5J07G3
W55wm+rg8ScpbjEkbqj2AR4r9aOB4sFWcZT67ViDXDj/Ua/74fZS1v7nWPrxWJisg9NyyLib2olu
B1HnwjdozePLWWrhE4yLwQY3rmmtP4BtKomg6rHb48lLzGdMLdxfJzQwSO0sBAz8Sepd56u9k9x0
Yze/GUsxlu+kUtY/hDUgwgAVZHICrNozJzj/KSsNs1+3EPqDxFrsOVo6a+yuIuI0BmE6BPTH1W0c
A1oEKtk9T1h5by0P6VgnDBFOLcxZudXbJDxMjln/je24TOjilkXxzFmFO/1EPjvpYggqU2v2kU6Y
i1pKv6d6ZF0Y6sRhXsI8Ah2wOkRWq50/QZqAGiQHjAqb7K40DEhsU6TUt0IvEOGIDewTzk/xyRHp
KADXgJmG2uPxZrFKHoIh6wY4e+14hRZhfxDeAl9FiES7M7I6fjw/4IkrBFE6lfYOMRLtuvUVMreg
lfRJwimuAM96aAVEun3Jc+XEZ4H3poEELoQYYO0o1OVmOA3SBBWZAslMZd5fN1kqDuhPiAcFpfS/
sVO59FFNorqKDN06pCkAjCCs2I1BNElgVVPT40Knl7shTSsQCLnyBb1hWEpUbuVTIjzvq9sTA106
+8sGOU4XyB6XEj2vAVWntaBmhMllbmCUHKh2pwFIz0pcuLkGfMOMgfkCtX0wSne4mfQYareNjlaX
jqovFbROtLyvH3O9UClATuZmxjl7F8sWhashqoIcntCwKcFg+jPiNxee6BP349KOAsRDNKW98v+c
SF/UDERKUGNsoW5KWxkPoGq1x7KU8tuf70B2PEcakyZ0R1db3pPY0aqoMQRqLNAbrWoQb6MV7f7G
KBxmnFpdeBHrp1Iqnruwa0YKyXV4wNC4uq69Ib6075bn/dWCm3A9ycQsWuzrG6OMJTBHNrpWRPZ3
mTfwPYs59rZ6FtrelVpEEMZ06rrvp7AoS5/bVr0fWjW/AlD5U5VOAX1uHHeTg/OAZQ7A7CeKHIcR
VPuH8zNy8qcS7ROnIP+OZtvxVTMmljmCTRkxoFbmq6lOwIVFIvWjOQwx/9bbTY9p5Nfzg57cWA59
10XC2dYWYMLLtKpB6GuovGoMii77KHoXhoDayE2EluL2/EinLjaUCP8x0urzWgqcqVoxUgmsOCin
NL+L51xeKISc/h4Ap3StoTyvX8S+s6OQStwYoMuAGGTUqzh4dDMnU/fSS8nNyU+Cx03lg0Yx6KLj
yUuzsG8UyaWWyQwduApGp2jV+sInnRplKZuiyLpU69cRbOOMPBhWOwamlEArJ9SCsnq8ZJp2auJe
jrJ6dzLsmRvNqNkIJHRv+8oagg6Zng+o4OOKen4rnKhKU0FbKrRsOmR3100PqZmTmkadZBtAZo1M
d0jRIGrl9RAV7kcpPO16NFy4HbWav9czS7kNuz65MYvJtS/dEEtoub4haJyx/13qevZa7G0AMOkp
ZiuDSceTTgIG3hZq/HHUHHyl7PInViFB2SfRddLBykSnNdpNbnIhzDi5xtSKkJ0j2HacVZaS9iHC
gvMIP8Zr6oM1oOBVNW1x4RVZSRX8iheXthb0al5+iuKrDevUyEA6FVPeisi5QS41e8qIX+95a1sE
4EK7u07ayNmmU1Z+VdwO43B8aZ51KnpfpoGK0IWNcGrTvfw9q7DfrDNHmqOUgRu686YXTADtDIxD
dHwpzu+5UzOMM6iD5jFpE3zJ47OaZYQldEJ4CCajwyvAnIKizqILl9xyStabCaTXUpJclJW9VSws
eukOloxlkBKzo9+ME4GJDBatpydTzYoyGLy8vlWnlkKVEabVJQ/WU19JmwfxEvJdMsTVKaZlGzlz
ZMmgir3iuhlSgQZFId6cn8vXkH66o4v9DLEUf8HhP55MvYmzHkHuBYw7xV9y3UJP2Jl75d00eNaN
Vo1tgRrd0N5j6R1/s/DOiaHPgI25mjtN+Sixb2rgiola2bf1aL8tlNy+ZGx26jldHAXp+jsUxteQ
7iZrVGjTqqSqoRqHYtEQVGXnPM6uiydEZVUb0yysd+dnZnnE1uu/BJcQHhY18XU3MUIBVM8KLrap
ypNtErePvVKlfm9bn7ROuRAwnFpspH2BghFG0RJavajolNujOnFmaBrr1wYigni5WJeMF06Ogr6C
QWEfgugrnWz8jFCtYx4hdG5RACoe524Qb8/P26lz49j60j+j5e6taRiJOeXE2fQImk6dK6QRC2Ub
ySynji+6z6Fiets0NPDvUqV24Xk9tWTOIvpgO/Bgie+O9zJduiGtAArBc1NwhkxEfN3UChIOhZ1p
aCKoRfb+/MeenFG6SDBzQPBpa2/aptL7gV80BlICKbYMMM/KkKS786Oculv5IuB0KJjCyVjd9Uks
dCxQtTEIw0K7hzroXdOPQei7yy5pTJ9aPVTscZxcOD6gTI+nMEcSUbG0bArcyJD3GdYy70OnKw+j
iJRtwbpfRUoin9GKNP7GVFJ8RRcAvB569qsjUKtOS5tUIWoxxuRDUtXY7xWleaGhc2rBqGxQmSIf
gomwutVhttjJgCp9gK5iFRSeLIyN1Cvv79zeCyOLNt4CPFzbJNY8xaVdk53O3qhtMaVfSLt1E5zf
GKcuRjqXhJPAeJi01Zw1ETtSmOO4SIzIuz4J83gre40aLLrZdiCmAo8nNZcXgC6nilXA4/BZWF5h
+v+rXVKXaPyoGhGmhEkiN1bZOI9hN7XvuR3tQziMw1ULDnQ/YxD4IL24fMzn5vP5bz8ZeeIGDayQ
RAvhplUYYM5aW2kjpyKXob7LNW/YD7Zaf0nbMNlPc2l+V/XZ+ES20OIqhNH3Jko76zHK00scjFOb
6uUvWT3VaYnuVxbPhPV23d9oZazvUk80F/rlJ0YBOM7jQOWAIv86IEAX14wSqyLIhrIA5ScyYLyP
ea1dWN0T4xC5EkNT2Sc2WHd/60LTa1w0tMCK2+IWw91hL+jzXAjiTmxdOr1o6i8YN/pjy533ovNY
qmUjLCPWAgw0BJemPX0riqzcC0A6dAKjxUQH0MP+/KbxXj/qbFeTohyKluh8rVdKj5syinMtwPFd
f+ozB3M6HcmaTC91vw8ncT2nY+OrYYy8QFbXl7h1J25ysDLUHkG2L7ih1VeLWMDrjiIt8LRefYSv
rWydUkxvUVv+ef5LT45EaYzAkV4QG+Z4fmGWzlEOpzeQrTvdNGbfbGckkN+qaOP8ecYDXAbG6tLR
hdu1GiqRaS3DxNWCCYzZZnRs6etVfMlAZ7nLVvGYS/4GygJFKdCfq6VzMRaEcGkiUt04wJk8u40/
qogNzHu1H7LoLkI8/ZJI5AmQDtHSi0GX/fRil9pZC+PfS/SgR1GPZD2O9f1g6t12xq978KEflXuj
lwXWOg7CDkjlansvtM0PeqLcYJW0sLQbPzKj9tv55T1xSHmmKSUsbiBku/rxD+uNHqQXZdeA/Lu5
mYopD0i4uz+/chby8ALqI7Im1Toepc2lQ6tD14J8XDCFWR5tE4AjF/bPb5zN8doS1AN1IdOhJ0+y
dTyO6vQSNe2oJ0aEO3lAy6N5ng2sDrT5kzGVfpa7IttbAxK3fjk28bvKqasswHPOA2bch+V9pJTa
4HdVaCgHnFA6612fCCV64KYr7zDpiiQ56WDam6GJXPW6KTy4f5M7uvZVZOhpvUuEcKLAjqKk3lVZ
430OxzoRm0KElQXndbJuMnTNpwNs4ImyAVpe0S0EykUEwOOd38hyUhL+cWXK9kUIZAtmKNqhfiJG
ECpqSsIeaHrUAqJpNTwdhNt6W03mybzRSjN3t94URvgM1PN7Wc0pdbsSEWgUgxsP8fXBlNHWlSLs
rjM51Z2fwOEoaZNkSsifUmFXqrNWFHr7TEZQAMMC3S8vqz4JMff6obSMpNy1GoU7fFJSy9mKATTP
ptXb2t3n2oTaRGVWC80lloa9H2Tq7FNH8fJrV/QtMskgOnHhrWiI3SA2luMN6sgo8geztt+GI/yZ
wBw79Kcr10ukX1FrR9WzRf/kvRElo/U+c9v5SbfQGaH6Ps74KjSq0uziPqEmRcjpoCGW6MlHnXIG
bCNjaO6QcK+fLas1kGV2xDUugnO4kVpSV34uY+NtSXEkA0A/Ncq1MhCLbby2nw+1GVraJo2QB9vQ
bHcd30K7erjJ9T5ykF1p2zethfJEoLkZBfGoo22NMbedpX4Rhs5tajuwtjEG1sd9m4zqRyxu02mD
m7Bxn0QTaltezDtyRWkpNXyn01vdt8c4b24bOEv6roA3UATIjjU3nhEC4MvifEa8pHewcdXCwWkO
g6vW/YPulDji1MPwLKasz3xH0pe4cWEbfp3YsV9st5QPQivrG7eYC5rcqkQHXhGqvcuGVL5TzcIj
wTKFvHYqFwoJIB4k16H+dlDDp7EYE7Z45N6rXespGGl40fipd90OFbNJN2bo3N2g8J95gZjYoBo/
x3LRjlNUI90PilB+VglFHeT5IcTsZFOyY1HfQuBfiNzbzuVcfLSKMlc2ZUQ5BuHRMf6cprV7ZSRJ
8aNqRfIoNSRuH8LIMT9iw5B2YHog8ON3HMcq1kNGiP20WwAFLrzOaHwZtXl7VaDtJTa5NSUfy0EV
GXgMGVaPiPbB9HXRlMz92UvEd8uJMcrN8hLD39Cph89dEsv60HRusbAuI+sjWiZy2EO9DWGwN73x
kMUjiuMOO3YXA9hRtl3uze0mNicO5VDi2ro1M69Wt45AttvXldl7yKIclXQFYy8/sRwr2sDqHPKN
4k3ad0EadV8ivPY1EiqWTzr+68nGgvz6MYEuEG1cp54lWyBNsmAE6SK2gLE098r7xTZNPJdgsfRQ
Y/fbdk4edc5y5DcRwBcE/uAy+G44lspGS/PyyjMTlAKSujRoeIm+pipu67C/87HxkIyJ0rx96hWd
FvWIa6MZNGqGQx9KOAMG3roiLT+ZhWdvXESben7/IKJNg5mACEiLymddqi12BUNRpfvJE5xOZPiR
ItbbAdMfIe1ebBp0cXhqECNE2bYMO5BjnlE+jaNrvVVi2ei7BhH5gla6LTHijrNEojjVNuUmBOSL
DfMCcd5AA1CeNKvKJFxzMUVLs82er4uhLdGeLxrpASruLaR5so2Ch63WfgWHV47Kk6rI2Z43nWok
Sv6+GjN3UZ0YQ53m3f8sG4h8aC6bwdAm5T3VNe+txVX0ztLxVgmGxsOfILHz67TJsQ3QZMLFojS+
aBz9Pb4GKX/ba8V7JyxrdlReKZdkA14hTpFPh9kL1hSVMhWYzir/jEBPDuXomQjeRW+ZrgIIVThh
pKXmQTWEBL0l7GojzL7zKmV+nyow30H8bjyTy6bu2/e/4oj/AgWWs/Kn/x1VWJau27+Wgbvp5Zek
e0n//QVE/E3/Nd2/TPJKOjSI3sNmILiWP9ruf/+PRQCOdirp14K1W+qy/2D/GupfxC70o8FEO7Tf
lmDpP1VY3L8WHBH5Bowe1OOoif37/zoStEAL9uh/v5SeAA5LOPQyXLJptFDAWxrfCzV3XVzAVbo3
C4H6sCbbsaQci3O3P4BlN4WvehjsiY2oUEHxQ6scpS96G682pVabBh81gbAxPBXMKTByqSbfJWgC
YIvC8LVeTX3il0PYFD5FLQEpNYnr0UcahRxJpFoU3vWZnTUBak1teWCk8ZuI0snwlVBFIgr/Zs0I
UF8Yrys1plXnDq72ZOta9MZN3FoGM73PzPdMLLZxlKFHyQuNg8OmrnkUFBV9AfA7Q21sNKcprzo7
Gbn6aqHeKaFru4eyzeNbAXGV68TUY2wRRjN5LHRnLq+kPjuxH6Yt8BVZVi4lLO6nbZZPyYM6d/dz
l7n3Y6WCIUTmCSqQJ8z0KQ2n5FM0Kla0NQV4hgOOIjriZ/yxvBThh8XGq/SxLgo/lBhjWv7QFOb0
Zkbl+3Ein0IgBpOm/rvHSbW2eVTmznWMEI117WqVjHa5Lex2OyFoETRTlXDSndDkVYgnURO0TgSX
hLW67sdqpWv3/RDPrm9HReUPKEUeyhl+CaqTsRE/lbGHqJcaGZj9mah0PnaiMfqtNIru2oiIcw+p
UcGmaprS/Goj3bTEz53+s0TKCoFQL33MQSChsccsBwn34NtQ0/LbVqT4eIhxnvh/ByHnTe0a5Y5y
Rv0tzjr0rUrwO89WpJOXh6LB8maq7y1j+mLapYMuLtOIS4ZV+ZZ5HeYi/+hkOblRblXQfCIE6SK1
V60t7g4SRpKZdz54zITu5/jA42vTC+dKH6hTkZr7niPpy49Zi95UWo3iQkLzCmQOPmbRrVhoQjQ8
AGIeZxomzRS2CKCYOkqSHbVMe6+rixUJBWVwRzwng9wkFUvUGOagbcYW92UQ0fbBkkZ9U2Kn+VTj
+EKqV8d3YamV76dl5vQpvmQybK5T+F+/dVGORO6J+t66J212Ezr/5J1BpDbkFmnKs/AYJq2L/Y2R
ZuMmRWOVzhTi4+JQ6+3nEVm88cao9czbGk07BJnIyyUqNhdfF3pZP22a6j+90eIpUbzyoHiZ+Rap
ubzYpIXQhI+HYXUDItvG56z8aafunUFacY8T37gr4wKhW9n2GYqDrvfDm6z0qa7n7nMxeJib6EOJ
uEUVolSE3KEWfigsRfkxRWH1hNJPfl/YXgUnrTHqHs00/gg/F3HEDwuxZe0LGjwbwjUalS+u9cff
1+LRdbkuaS/TaFMeJFMGNQqe/3jJU210BhnrYCyzxHpTFWJ47hv7fRYn+mGK8u7KUqPML0U8bRtb
pDsCM+dLrvbto6NI7coeku59qMVKkOXDdOPGSrxzmi7bTYp+yZvkxE+lyI8wzpLYU+VYdsSLcoM3
lDESfCUMQqH3H2NWY0txZd6Bgtb3Xmk3O5DMZEocpUvaQqdOBl1TRL148egJeqtp8jxBrDfBZItG
y74qM+EekBL1AvRy6neuMtB4KHT0/BKkMqe57TDQqgbicDSDq3neIoX9Iywi5dac9GKLeIt+PWZm
doEk8grxaQMXpCAByp2qB467q1aIm5ZjUdmQs3I35TkRSPVhrRy+rfuetwPmW+q37jjFm3lCuSK3
w34bDsbsN0727EWtPAyJbT4TnZGWNbpyL0Kl3WruQB8xcafD6OT9Pip17UmLwzj6XfP8o2DrbBhF
DPAPefh//39K8s7mIv3Xwdbdl14k3Zcy+XIUcC3/0u+ASzH/os4Gxw/MOg0FyDYEVr9DLkVzkFXB
4JFGB314lZbDP2Iu3fkL9QFozGxXNO7wOP5HzKWZfzk6ECVCbVji9NH/SFv3uNyGEAoQd1qZVMVt
gwKXvmq06BQBEQ9NPieupA7mjNggjYAJX8zJiZvq+L7/j0EWMhyFvSVYW51AsyicSB2jz9LN4kM5
kcO3lHnwyJOXpF1Ofg4IApsHf6HirPo3EfFM7k3eJ23Ks3qjSW9400144AXnP+j1MChEEfYCxeHq
Be99fJ3NXjmmID+fjWYo3C3qqP27aorR3Tg/zPGtucwbw9AEo3IAXIPb63gYHdtIDI+M5znG2hx/
J+Nj5CKoEvYULmOjMu8c2bjXxpTXF77v1MCg3IElUPXG5HJ1XVMZVXthqs/wpsLA0ApaTApitoFp
IZePwomONKedoqScNBfamEtB9J8ZwO9P5nnAKXRx5eK4HH9yhX+sLrT5udGjLn0/FqaEE2ij8c5T
oSvqoTNKEzXzMXRwjrX0ztlWhN//4YrxLzOR1xt20VWhlwFV0AVRvfoV9pTU+Vzrz/g7m1u7id7R
bY+wVCy03xfnHwy0hG0LTWIxBDbWvWF0HWNsVoxn7BybXdhbzRbRLoLFMYquzu8lJJ7WU0vuBkKC
ThswPfr6qxcGPK4i1Sa+nycjynH4S+KOvjsasxv0+Iu3CQJ52oY2jmf6+jSg8+xFuGiqNgyYTTvZ
VDZTe8DDre0kIWFJmf5r6IR1Qv3ZNr4UskvJ2LROlP5cNmUY2POYYeHJGZk3wzTj2qiLBPFZRY1y
+wZXNbwr3XDwACTOBUVrGbbaNxQwzXGbDsBfqVSmlMoNLYs6bA2ioaCaYjjKnpqS0d5QdpnvXGvu
4dbOE8wjK3MTinl9/cUtwDTctYoXlk+up8QfDTubHZ/uuFod9DTymg1agoO3yTRjeKgbu0fGQEhk
DFDbgK2s0Op6a1M0G33qHehG1xOuVX4h5wwxjryovoP/T8mK1DQfrkjYBKAiSTxt1wL77DwrFOdQ
J9TE67COVX9W7Gr0aQvW9saaqwTHhch0kCcOp3E7WOM0vEMPfDZu5tKeYEJkyfA5Vsr4u1BLy92E
AsCOSrUSGu8XTbhq9LW37fDNPKCreT/0xAL+SN3djn3NHhUmdq8qaYy2RqcbsfoWObcYHj3AAUN5
ApDT2im2WCNVz5nqomhmgm8ryYSkTqzkuYfXphF2gKC2U10L5IXMWpatcq/MliLEp7quktR40mez
BqWkSqto36Qq+hdYoeMvFtpvJWjdbtzTKRaT3xl91iU3BdbbjbrTzHTQ52iTWXFtueilwow1hw3s
k7lz3xV51ERx5yszFg3qLnISFt9XNCseaaVqkMgNM7D1yGk+hsNg9NQMTdRyKFwijmyGV0MN6RVP
dZgo3bt8nGZyCUMtxM8Zlituprpqo5w3jJ2ow9sB0eh+erR03ONx2TFqQ6R7O50sWeA4ouJZ/L6N
BVpZVOIhQVqgHWsDYySDoWiIJFHdXHlNSzug7xq1uI89NVNvhiG01X1rJOKnnCqSTssQ7p0XY2p+
VWkgRw2BBZzfmXb+I80rPfpZj6I379uJWvoGs5DaedCjQXno3DwJ9zjDKvGHiWJq42u4j+j4YozF
/EjzZnjiWbCih7GOFHotTZl+GqkJOvtBQKuQmw4gAZOhy7H6GOta3e/jGVrTbWeHsX1IKEUOG4mr
5LxJy0hLl/Z+82zj1dlsirktSWRnW1P8TvNKfa/IETowbPKx2+GYOc4BHSaNf9QccUfdeEPUR88y
TAex67wyVPAvwiPmnUZ9IHxIul7Ldy6Kl9YzsE3LeDfZNBm+e0XX2N9ahJsHd5MXE3SmjdUXevUR
1SoPTtDIcffuUrWxM3sTdinmLoPXFbAyB7WTSHE0FEXS9xkNpRxhXBE78t1kVKWVYUoSIW+rkH1a
t3TgZtYSuSxE3lPqG26dl1vXVnp3U8ohf2otO5MIh6ncOoOlN9MGvwpT3SZpSw1n6mv9Vub1HPs1
AhVP2v9l7zyW40bSdn0rcwOYgDcRJ86iLL1IUaJavUGI6m54m0AikVf/P8mqmRGpM1T07l+cFbvF
YsGk+8xrwlzdz2NJ0V+NIiOTqHuEE/0gpbePQ4fz1wyApTwIhNzjbSukX9NCiOAFk+QQnzeLzG8b
dhaxRWeqKo44x3DCFg1C20dXhekDxQX1JNSALC/2MyyXAjFMm1eEn/VWZEUcbVpfyk+0H4LPnaWH
dudnjZ+hV6XHBcIKRZCDa6FQTtl1LlrqZWN+m3VR8VWsCzLtkLLUPXxl8mW8RqsCV9PUwlC4BQGJ
gUDQfFg8n63dWYvgqV3c7PcYH50eV0Qr/Wq7Zfd9rm35SQW4/26i3C3/zH0qOttcFOL3EG7GbT8E
dbVzpgLv0XmebPA7drx+7Rg+FGwD2oZbqGAWEhtOl/weJC1thNYf22u9ZvgkZ+0iviByn39d8b59
zt2lXzg/2uF5ajpLbcNi6S7Rq+8KANDuctcqRzeXlQWi9RCrJpY4x+viGVhg8CCHtf7sWLP3rWws
hQdzvLbVVk5D8ehUtfg9V47/eaYA/50disy0m+le7DjmHBx6otGttr2MsXZYbU1zQefRX6jhgAXW
XAbfmwHLG9hk48IMrBNaGus02x+1i1kCFxmxU+2JFW1aLBrjw3jBfObAQ1MSb3RSTXToHMoUfTSt
Cyux0Sy/2UUeEIfpwdl4WbXc2Vos15pYdL1fcen+ay6q6UZYcnmsGYFlF3Kwtmgoz259y9JJ77Dr
dhGz9uMUE4pEKwpZ1hA1UJdGoPmaUzLZdGWsvqOrHlVbXyqaOwqNiu9rGbXuZkpyb9lEq8VeCBxx
woVmDbq7WqSR3Nh66Z/HJRDWJnck4zKBx6KpNw7OrqP1ZB1obQf0bYaoFXtNEaIH2gOU4sinx3qb
x0JW+6rp5pu8CmS4bQrRlgd8ravfWDKtc1zS1s0RehENMr/1tNBCdPvgo0fXUh9e4qK/lbr+14T0
Vdr6boL7v7FPYPKs/5663hTP6+us1Xz+lLW6wT8RnSAzBLEI657//FfSmuAGA74QxxeGnRzUcKLO
KqH4nznElWeldvbV/6Ssxv4sQdGMLOas4/6mLfBem8BkPf9JEUD3osoDSZ8aicm/fqLrixVeaz5q
PERlQ3lzEmrex61V3EdONj5GI74gP7yXX6avAKpMiRLYGLIVSEqQ973OSQLBeRLKHK9LXNB2o+Nb
O+Faz/QK09Nk/K/pgPsCbPzh4Uj6beCONFrQWQYZ/hb7h2p5XcYTp4HuVzdz9nXPaW0/9olneSum
HIOEAJaDA3WcfYZcXEkDPm4wZqudQzOGWtYcJDkaEJg8OmV2sYaTF28j+il/eMLHgamxdHYRtp0d
3dSh199FFh1k9n7Q8djSV49g5gPrgHuGhw4I/qjeTaKKerjM62Rh6RJGJPvOapzuu3LGVh3A7UXZ
MYxoXmJzZatuuGgLARWvLbFk3DUVvom72o9XBOQbAvM7HDwacc8+Ubj7yQL7cFv2mfo+cwhej4Xu
o29NqchtY51F97isp7f9GhXfawwoaOEEDsXsAHAHCNQ0SrCowdQqE3T+2Uvr7gM+FultR+aBP30R
VSLe5NPEu0TdDlQevi8YW8c3QYNRztYSHqIsFEDDfNloRZ6HuLOdfM8y6dRfWyufvO24WE05XKsV
0Zydsqk7dNskXRuHeumg0IHHPCUW+EhUREt0BNxQBJzzZeprb6+J2HxlxJyrst9MBc7W5Y4EpVt+
wz9tGW4D0D3tp3jp6Cpv2i4IyEnKwZb2U7TQKli3PZ6dot5GRQreEJxMsGjEne2gs0ZoPlY7gvVJ
LS/3DqKjuezt8ToatX/FQZcTSE7EV414KKxmiOpdD0h5xq91waQOkXTfN3ibLg8ifR9Ng9PSJplK
L2o+6DniBMOQbmi+ZGVSaho9PYz0Xa+tRXyrW6z5ElZevK4PPAASIQjqiDkAz9T4An9BY0pCQDbY
OdYNG9cJ1uFj5M2iuW+wXfmQToElAO0UstkRf45fgAUwiQYp1ubQj25n0be3w3bnFXMCpoPATu5C
pKSrnZ7CsrmQOHnEW+VgtXKA/jh+12Uv9H7q51Ietd172dM8NsjDYbrj2hI+pJzm7IOl7AJkjwuL
EmSOTLodEi0IYg8IS1S7uUuiYRO2ywTtwsri5JgmQXHhLUI3O3vIJN38JvY+RJUUjCb+OEQsYTF7
fyxOsGA/x2nV3TlhTYyNCPxQXxerzD3sZuyVZrft61w9llD3xQUOQeajtfIwQWBVuHehhdJdtlH5
EgZ7Pw5SlM5DRMkvyrWX3abIorD/08ZXp7oIOoBa1yKMMowWXGd8FngQYPgdFJC/p963r3qrkGkP
zsRFCeFqHOZ6mvdirMTokHEnSHYcUjVZYUMJhZr4dsK6Tx6N8mWGOFOOAYIQ9oojwgz5dePla3/h
riL0NytwYBBARQCyAahQgP1BbyHNZweDqA74lkJDHsugvQAIEpK/TRS1Nz2phr33KHEk9yBQEnHR
z83yqXIyN7tNWcjxMRjc2XnMlM/03ZOC+uUTFoQqvPAmBfYG5nMbDKQ3rWXV1rZPHDndAiJKEbBS
2iouqI4HeLL6LqgZOyyQcMdhBsp9i8Fifmm5cT0cxyXN/2gpwehtroMG5ae6Goqti0XR3ZqNWATQ
Q9WPhVPL/BCEvbVshrgdrtEpN1ZCegnkXjYznEN6xEGzq5xiVo/MygXt3TzI/c+L5Sr60c5UZ0VF
YpSwWX91o7gnrB97cA766wrvwPmY5o6OgQRSz8d5q5Wr6351rDZLmJdLyWoWGcSvoh1No9N2u3Df
TTqelz+yoW3FEANOS9NOPMshSAsPYvgqLX/5Q7ngmofP/z8+OouqG/TDf4+PHot2+sd+FtO3qZjF
j+V91/zhubwfuv8Es0Dj5myPZyhc5/J+6P0TBRQAyj7lBvhdNrXOc6hE5R+0TIDIK5wQQO/G4PUM
qeBXyFXBWINBT6XOGOX8jVjppX7/n3gCQXYKi8RdVDMBaIB5917HLmy3a1W22BT3Qxpt1yjd+upb
prLpok1muRVBuSuuVmxfvtRLE2xrK3yEKbfD5AnJhVI1W8QXf3OWuDykOnrO6qw50pq6dxab3YF9
Oo4wYEXp9+iVywPlju1Ulmfa798K0d8Nvl+H6fLPkVz0z3/cfuvFPw5z+wcD2LX/51WE/n9f/+//
Dsdijwny3+fj9lv77Y9XAbv5/HkaBkaG37QOqUMxqQiR/z0NHWNefJ53MSE62Grghy+uxojz/Hve
+c4/8RMmqIazAE2P6P1vTDuTH/wQo0OPg1yIUwCaCRg3gmznOj/2e5t1BMznx9kXB7fgJdn0GsEa
e4/kaBwRJbRDlnEEz0s6PFsq0MrfFrlbE05CTZiLJ3qZRpsPyGE8TChxOmnb7ObJRcJwn+HBVyIq
bU1ZAhzIYy/3N1Qn4mTcVnHqZe4FfnFCFEeWA2HPpq8bEA7bLAOmqjZ1hntGti/zpea+Mhv5b3uf
WYubJ0eBWXHYbZKhSV151Sg8Lro9pCs7ekA7GEGebbU6Mvpj7FBX/OwDweXuWgv4UbYPx87m0iqn
Tl1zUE61wecGTTa5F3grp9Gj5VURNnDRkEIxutYe3pDRscL+3A8OiBsFfQPUH101qr6eMy8Hjd+c
ihBQmtMo2mK4Jvn+YSgsKW+wY2t5CdU0UQe98UtyeT4S+C2PPfSOzS2MRmwZ/K8qHJCA4Wyb+y9m
YMnJJi/dYHj+YTb+P7IkJt+bIadB5dKvRNiAJCl6M+RjNQVhXS7jk/ZGlUWXZFKpXq7scpFhgF9w
F0753s00ZO7Lbu50rx8JCegaXDgNharq4v3bYcK/vh0Aq4bcSpcOEXIy1dczsMACx02USj+DcwER
BdXXzhRSYeGyWjgMhZS/C9DgQD/yB8slzZI3qpjb7Fes+TfwA5YC0gFmm6fBg+cE/YvXN6IhOJZz
L6LPMA66oLmTo2hleRzHiob9Q8KApPj2zczHGpPnSg+A3BDhdphaxRr7CyaFejY/5ILzaA7otA8m
50NUytWzPjSkRfFz5xHeVrcKlkB1C0bYCR/ef5uvc24eAkcoB8qwyUxDekhvekcoNfvDFPTrZ4U/
cx5sQok5EeSQmVL/eiRgoYR7lSCP0Klf6VyDNXw7lEAOwTVxWoIgseHfvn6D4Hf8Odde9jlswnlN
PwHkraLhMIlwYAxTrzYXjwpp1oDfjej4bG1LyGS4bbEiaL273tWKFZEXmVmpEmkykMszJDszLzIw
wxOSuE5UJh86qs9ucAzn1mwn1Gk7vjMchzVySWN05OUb9LRk8jUlpVP9xx6DbVaxn4NHajZJMMMC
Png185oeN97aAFtWjC7NwhWICcqrVa0R35x4/cy+s8qRUvG+EbFZlVZBMJlsUmqUDL6xw+WTo1TV
BCQ5ivMRfeBhNmsbgTJwzNv49C1yIE2XV/ZUFjyX8oXZWFSfN/xj3LaZeTzVmmfGFZx1rzoxcHG/
gzyff0+Lel5WuA8KEfhNF7b28Mwm2vKGW6wjuT2NESSYzLQGtb1zeqrk5AZj0pRetZkAmfbF5Zot
Thg9lH0BwO1ITTGT6UNfgfi3vnWnDbKOsoHBU8NUq/6rJErmqykU8r6/2FU8lc5NXbpA+C5K7DRK
NW4AxWuzwWpKtdl+wdaOu479tOe5kpIeyaMvJ7OrNaf7BEu2WI9tD3F/2nVBlOUlnUx3bNA9qYGA
40ZEQSMA9mbDXrD3vVi84TksyYTo/52+KsMSew0/BKcdVU1Zpz42jS2W/YAmucyOQVGryf00dwC7
h0MRhADYv0xyieMKCOTilOlVlbdmni3TnITztYuSAntMi0k9r/T9ZfnCH/pPeMe6RNqLtccRxFHL
4nizNPIwtYVGKPmpm30khrep1snQYvz+sudZw6h4ZaGsNJNmoSLDj64dFu7u/BEIDWIAl102k/UA
N80c1l7njozitETj8ijH1PiwzjUQ2OgIQcSssn4MnfAYYLkAN4xaC/S1R+BoQZEVGzsRKKA9TqY7
rz/aqhTZx0WVgQpvhkivtkNLzO2HaL72Tgeo64mgwrUzyrjA6X/gxpr53Z1muyNXZ3TuSjBS3Fbg
S4tKeVA0knlAWXoQ1n3vdLVNd5VmSzflX86nnaPclSe2cIHHqXiwYOYP2CyvLePB8VjyrGNUZLR2
M7/MbJuaVT670U02x6P4bgdUxdwLKFcuZyzdZnLdHTi+QYRXQeVje7hvGke36tgETuvBXXFSs6iD
3tKo078/0m+YydDWQYF4EXRg0ESYIxkf7h8jqp6WNnsSBboo1H5nH3A4QF5667ZMTsxkg8i8ohS5
iLLYTlgaDpCrnDJ3gmtv9WgBbnQ32MWvBJXfnm6UwwxEicootHr350BPF72L+14xfg4md+HhtezM
j1oMqUhup14G/Uc237hjv55soZbvAHSifj0qmP+59X21J7tsbhNHYY93BP0nSW/btJacLo1qYVtt
hjEt/ejWisvQvwSUDfnqF+BZA+f4YRVBnDXodsARoKrgz79dRXSxLFp8g/vorOOQWdtCKp0VeBET
2w7lgTpDMHiX8EympT+OK7Z17qf3h/dNtMIdsI5J0pjYMHhBhb0eXT2OlJD0sDxmHV4DwZeFpmqw
HqzEwUf8WEVeJeHjhePEWCNXZkY3ihoP+MDfvQ9K+oBKAWvi2/7TmwA56DfhMPSPp73RDYTZkFn5
HPuHKUXIutkj85WYBcGqJxyZ8sbEve/fxptwgywGUiYkbTA4Af2st5O9RLllzENPMCDCAti6Me1g
j15bN7duDNi3bER1XfoqirJfADF/GgkuTKQD54ypwFt4EzcizDtWXaX7xxwIdd/es1kAit1JTKz4
cd58vHYe1+7Sy6Vcn9LUCeruF2+A0PntpMRlJmBVwUJ1iWTfvoOljjtRNUn/2OWzYm17pwWWly2j
d1FPE9v5MYa4yHI7BzFNs9LOvsmB5pCfV3SOvfLgQNFiy64gv1W3xVxw5OVTYA4Evw9enun0xR6B
ZC4ul3pNBRqquQpGiucAnyb1CbReN5cfprSZOmtvRxUg9MvYz/0qvHZbaQIN1IrC4TmwYhM4jNFK
hXpXuxD7x49ZgkEUXW57nMv1igyJSv6mN8QH+4DYrcutQG8zoc+UjA0/rHBZzEl12v5Lyex7pqxt
ghyR4NwubgDNeKAjKsc2h4bjFpkXbqC2UAY5uFLo7nOr9MgZ47Ta54w/nYCdPa5TRBcbK1V+V7V1
w836XUCqda21SRPBIafQsr5gfFpXd23aTY66TamkchxNZcYzHgJvIqe5GftG09sFy57axSGNMThL
Notf9XKA+g9AEJII5Mt1guQXWv1n3gv+NztdmME+kE9CdrnWQZBzC90pZlnGxsVzvNBTBE2fDb/g
d9qd2PGOS+eb8wp+CQoY5HHa58bQs9ekgbRec74MIFHOR9xTqmqxuvjk+Q8cljUTBYKdSSaJ2cwL
Tr0146uJ/gtixIZmrvWIfdPo1XQwpK+aCw56EwHSjDdXHXsFmnrrnmaUaEMTaE0qrDlP654T3t47
kNn5AwICc1Y7yrK4nA+NdhwPuuBd5QevaSEQY6nb+ADPf1ORC+TtGgM+YCJbty6jdNgXc0c8Yk9J
oKuDkO20/EX96iV6d6aVd2SVXVcumxh9O9sDLSAnkils25njoVeUsdhGp6VBwwA2+cWkAfhM9ibN
GxlbN43OxgL9rkystFt2hVXG+V8N+YBL2xp0aSIe4HNoFV0h82nitrL1dZRdNHFbdwLSGlLAfvAE
3EDL4coqOZacTd3SjltgnAgPFALN60xfh12GCcRdA9IrWR9ZMbrTw65J/TTJj3YNNpvw1fUh2CL+
TCrbXDqn9WRH08T7bLK+oeRcSq/jOQnTAL7u1sKruFCUjSZROGc35/EGnGLCI8B1ZmXgHGe+5Xwq
WzPUSHmT0NfnlZxC6Pc37p92T0y6XXBknKbI/VLMfn2OIXnroLzf5R9P5wcVA0I7jydSD8GiJKeX
Hy4mE/EtJAeAVEWStf3+Pfx0eEBr49ig4UyDGgEZc48/cA2GIkKcZbTkg+3OtXqAfxRWt2tLMvFk
tR65DrTUvOZYe/+yL5Lgr6KIFwIclVsEvNGhfvvsca9tq4M7/oidBojEZwBHbW4Ym60cps9NHMxh
tomoXlXWBuNuh8OlzPKEEazLjPd1kHYQmK6Li+CsQAG0EYt/6aP4FNlHZrFXfiOxNHuBLhZUhj8k
0h8ZR8/unYSNeywCIikvS6u43cY6smoXhpqOi0d7dcxKBbyzUnVJ29kXhxQ9LhNUL6TeBrX0Ej9m
MlcElefbEqtIOPZ9DKXYEWok0MfxMV4tF0SMGuYBSxenFSWiZWMLFceBu0ZEXyLNp2Pt+OSzrT2m
vzifX17jq9fMmCIxgqYCSASs5N+UIsoQR2RUy8ePeZEmcXZ0mqRISipLbq+s/YJUXy5unSEXCaR0
Jx+ibs+WV6FzkNCK1vpzklvjnF0svWZR7TEcpUNzcLKF/OBCuIHHm8p1ibX2lsMD0Bn4w3qQH7M1
GBnAgY5SuRzd3h/R08zyiJ4jqiAIU9ZH2qdZD03QS4Fd/iLVe0OaIhpiYoWUYYwULVqQb+MBJxyW
JQvr+WPSgssbv5XKR4vwezGKmWXlgfphHJ14mZkgbbG6Zhw7IIDjrmBbiz9NKvP5N4plpiCAlCbr
oSe15QNohy9RucPAHvoPpYbZ1HbK0xfDmy/L8QoEn/KXfWKNTDYg4Dbb2DUyUWFTYN+RESZehmmC
TTNdQDHwsqfWMoc+kFOs4P8cIitUwbWjC+4k6+npjTtRUMlarlS/rFW9t61q9GMg+xz26ZZus4Mz
yGZI7WQuHlSPlH1/QSElkYCnCHJgVQ4imR0EVAOO9blqN2pdzSj3U6pfnn0qDIR0pGj0Kwn9t/kC
eXZoJISMBg2k57fV7VIoRFLWOXnw/ELK/jcKJ5V60LmXsaWZ0JBDMi8lLcuDcn2zot7fat7ucBSc
EROhohiYbOWnKB3zA52h2B4/sNhq/RScttTVqyOmgIsDOVckT2Lr/dvXxQvhRRyLppf9tqYawNco
Fl/7D7ZvcV2/F6ZcjsqYOYaE8thWoppe1C9LgG8qgBgx0E0wOCRDM6aa+mZLr/OiVRA49YPEinjk
Gaeh8YrtOSvgHMjdDltwCAVglil69ME9PsJtU2ASjzE19taDD5LvssvV4KwbOPVL/RuVnHhBrfb9
d/RGWYd16tKSZVhI6Wxu9u3+BCanmQsfWqtK45lkHM6LmQg+dNn4d0It4Oc7t2zS8TPik5TGYCuv
qvxOmj2TUpwzvrRfEg1CspjqEhiE11sDuqtgSHnR79/vm7I9t0u6id0VbxfR0Z/UIAWIx1i1TXAf
rKtiI4EvbWaR8nERcLf9y/lcLGi17AJ3dpv1aI9FxgGO/W5K+vf+zfw0sV0X0xps7syshtn4Jvky
0djU0dJ4aMO5YC3ZM71XnA8QTOBaItbEEaJdCv30/nVf9H5+PFQA2yLxxKLCg46e7dvNFf2QjBzc
Z6eJBmu6bEEVm6WMJE9abd0pMFVa3XUzOGVC/LyrHs6hbSY8c2BMiUiJupZ4NflL4BSa2z4XPhsI
ButMNUaZerMrVwQ475ws12hMRIb0Z0qxC/CNv95/qBeh+FcPhfkRByVji+CZqc+8DoQSfwXoIEtw
4qfCd9J3SfhhdnD/yPcFiK2+v5DUjHW7a6twqLKLonXF1G9DuzZhCaxCMEWbaQTAY20k6WHdMY+p
Cn7UvR+l1pbitzGwQoaFCsHGA/LgVocBxU+kU6ImD6r5MgLpXnlHH/O3cfosPUQgrf0pJnMXBCXI
ZfzcNGgg87/kGDM1B/EVtngYUAKOBF4y+2i1+9o7hlbhB+sGR3Bbtvu6ymHrXs2DnKxHjVKQPz2f
h0Ov0hT+9LyagROi7TyyRN/pQN6HGcz88SBP5X8KmQ2z+Vyyr1XOEbib6cV1MSkqEtbrTe115v4G
mDzrciSdRrRm2vRV7LfWZdbYfeeQbCiSjm0kHTQtN++P40+nDe1YhCupn2OZ+vPcDIMc496omh5k
CxjM3eqOAvdznaeJCdz6wrzDyKnT6VIUVfDLzffny5tFge9ngBK2Q0nk9Swi1ipKuin9w7lijCON
zflSzXHI9YuXTqKPhBB3UWclg/6Lx3+xR3s1jZEzQbEmoKlMQPHT2swnuDqOHuR9hm462SQck5HU
JvGyuZy3wZJqley4HU0KPFDZYQDhpjBH9lYydORu5xTYchdTnp3ZkPnHFJAUA9+eWi/nrGkFnm49
piIY4SZNgOFnNL+Dl6ueZ1bj16aVhGj71AQ4lUASkii+TnMZ7iZnxQ9mQymAXQPxlgJi+a+c/X7a
rg0C0fOoS5k2PfJlr0dD1RA0BD3y+/MWRdbnM+TnwN2jKjA8V2vOHhZidMhsWcO8VQ8Lqhq/yrPA
qLyqmmKiiKw8SqNhBCnLfdvYTB2cv7K1Vp+adrIygPyq4RpLNdds1QkacZfvr4OfSuCICPM0qGOb
ZiS+D28if7QnwqxL5+xT7gN78rbglMmL4ShQJCRkRAFBflv8qEk3k5jSgV4/e12NBqJNKWjc5D19
sV8tzp+yPnowvAITD9KC+fnIEqqe1q5r8k9ZkpmdZPUqj+O+olVJ+HsK0BZ6ceqht2beSaPQSqIa
/3LOcKzBJA/ydTEnL6UgXmOoUdu9hSBrRu+0UTaZ1+inqBTouR01eCP34wCNwG62om5MV/sUgA7E
zqxCEa5Eo+f2YQFmnrsKm4YpgZQokccmFxLHlqQJORY2fWQjDTYkLTZr28yK+mAn8H1gaQ9RMZNe
wh8BxHshl+GlnDQmJp51/Mbh9uLZMjm9OtVI3x/ut7EAi57ePbgHdKNDjKrexHzzBB0noR3zeE7g
mzGa5KErbJkeqACsuFcGPcv7VwGR2c/+s90EppuGbieMTPoBRrf6zQpz+xWXJxTn7lfLTlT/Z5vS
5Kqf6EE1FfCcfwN47k9f+krB4UXM/oeLMWdgcYcQfZk/jim7v17OvoIW2XGk3qP3BVoFEKcvPeQi
Aoh3LTqlEDO6C9QJTFmwCmzmT5b1OLlB6JnNj75OOz6Y0j5mxDx7VNbjqa4jHW81n3vpkwYpmJlg
iwIzOTyjDK7+99CdPf6tZJch26Pqa/LHefKTNL/2CUZL72paYEwiESkT81UcjRAANzFdCOvREfS/
xq1TzrN8gihTapiMpe5LaJIWFcQUyOrLjVr5bB4sQuOMP04zO6rvcphtFJCbZaQADqhY02pDSUwv
yt4o5YmEa576qy39I1D2wZglSf25Pb2IhaxIrV8aRSEGrqoD3cb7QINcFutVU4ownA8TUiD+cB0i
8o46X0ZVmQdo/WEQ8HnHKuedIfdgkCB5QsLUQp+TuGtdYPlgDjJJ/B7iqqJE7+c09EKamFugmDaC
6V6gJHedu+kwVzcZzVQGTJsaqn0JPa7Q6X3th4VTHjqIX/BvJsJWKtd5vVB7fUhpOoe/p3VsbqXw
2oA2GVooBtBwHoNKVxQQIQD4sGg/ntcx3MKQ2nOLU2fe7wfP0553N9tTjIpR0rgZBSAPCDpgDGvM
zP1piqHAnZwEXF9KQDuZIbeUeWSqo0s5bIRNLdnb5aICQE54ivY4MSt4/n9NIVxsTeDntk4yW/t0
Wv212XX0IMd833f+wEv0nV4wQ8Vce411UaUAaVsgxC99IjXajp1eFYAkI3UBXoLG2S6b0RPNbm3p
AkzYjClGue6xWgs5R3e9PSiVf8pTtxHjE/YKAVfvqYbzNvpoDpb1kmYtM/Oy6Acz3+vYN7+T3gpn
eSr6ybk5BykAKwiZbtVUDsGFVcKn3mfw7cLiQ4kvAPc4F0HPn/5iPb8cQa/WsxF5YFV7xs2PPObN
5sHVQQPhkHMviQT8cacBKFneZmwCoLuboe0UoaM3hTQxticwxhm1EZ/wWRinOJATkDJyDa7EDfts
iJ7wUKPQAb2SqdNtIMdYiXHheClMAw6hFT/YK573W0xJgODsyHAsnAprPwfbcal6gfPbnaTvZ9pI
YjAHwhn/ltg5xVEVpBxDBRsy+70+IfYCvoLP5dJ4fUEXLpQz7HN/tCwQ3TTEs2O24NUMGtui7rNs
yBs8WhFxCo912TSWNFXzeoJDkO3PDfyhbGua7ZtupK5HSb1o+zTa06Re+um6RqiiSf71h6tbD1a8
TSdmLBjUQUbrsIsnjSYsYvQ+Oogb7URL++UcxmVeL5v+oLygkWrTIe9J4nL+Xe5WJmE9dYLOwBs3
Tg24JtBjOn7QfQVYDWR8Bc/7U1smQ85deqcuRyfyomuuR7MTY6MVriZ4PMeQQmepVUBXbmZTU2Pv
bLrsQxhCcWR2YhU10aM5x49nUEgZoFk03Je+DpzhokIOkqjVHVbTiCPJ8cZ0F0gqWsWREsHKn5+x
LekpeB1a5TGI5wbeGWHkAojnYYRNi6TfenkKOA8hwSEsvwo4QH27dwXcww7tGwIY3JZPfYOEKbd6
QDMtcAu/cMKlFvb6GEWhBPUNs7RpYFK5fBus+fkUEntN2Yc26+gi7jmZ4rY7cCrxBvaCagSviKai
2XR0TQ/p7ryaky7vm3izCjaz5tKNhyooN709z/PNlAZWe0gxueVveXMIBWhP5i0UhTHXTwI0BqEX
BVkqX3NdGNwhsqzmCqZ7qB4iHwAQeJikMf+W+KnpRDhpabo2fTchv7YVFlHkupczFUcAVvNoviSE
nOTnmwrxp+HZdyeCscZvKr5qYB+hMtHGkcnMSvJeqvqACg16D2SUR6g0oDjLR9BeoBBEFv0CPiPR
4h5Lm9X+gZVCnx1CL9YHN3iKA4i9ji1rZC+vJWZgQNxU5hn+VKbSAq1mJQmxD7PbmzqfHQggXfaS
k+w/eDRjq8d+ARx7eQoDVVOZ1n1hACodLTewOvowj+iwNftz/6CagJgV23W2BF1jxTCgy/pSWIRL
Yh4/UJaBQcTwy4ruSi5sfd1ulA15BdzhOIfzYGvqGfN1phsT3IoSSeRxC2mbbcW30QrpYFvYhBE0
rF+qYeda5TjIithSOHUWRpdIqphgdlKuzSkVqaHFDLXza9TiktRJ1qvSGV9KT6cbjgYn5ramEY0U
yo9gJbmmbVfCvDgXpiraq21dj4Swebem/jbAEcZy4b16eKB8COwWrO4xXhBxcA/YxfgUj5fKN7Xv
IlIZ97WeXt7cJpKTuyoqlc3bCAxiYR3col5Npb2LVsp208zv3IsyQ+85eyjk0mfjJTTpML/MQSZz
xvd6nrkAk1LxSm3LL/lrNv+B0GBFJnV4lj1NWrvbFnaGzMLTiMsCc+p8oMWebIfqGgB/y405Hfur
e3F+mQBTfD3uY1pKsMNY3TFrfdSWiQbOf+6i+jV2G49f+sW2oeHafUD6gdZ+Urum1YFWW899qbgx
/UJctagxb9UURv3HFWJ6GO5OSUzUpgYDwn7JFDv/T1drwd+S7ppRn3xVKOBuLxCecyOlcqw4sy8c
N9aT2syr0/f5QaLfYz/CFKsqwqnAHU1vKnQNgqGDYNZ610GGJsG0rU5dsvNitIs2ktGmh2Jv9btu
tc16yU4DpjDC5KFPmWjS0xdC3nWuTd1yI05zbZbav1zWEjLitevrUGbrrkMI1xxM5wOjlgh9kONM
oEcPsrbZkA4Uegv8k0WOVt0jDQwIEFcDFeY13Fs9cIVud37iYBlxkdioWYF+vOu61mxJJIPVZMwa
57l9rl+2kYVlyX7AMdArdc+ZHEVzjRouTnrxdd1zgKljlGe02zaF3eTVVe9a/tDvamDmMrmbyEeY
k5MMzHiVcTjQg19OBSJrHQx8KgmYi6TlMS1HoEQLw/RkT9qp0Ak592qktE3R+dz9c/WKcQEkTteU
mTFx07SZ2mQwO/VKX4kxPmOQqxFl+mJrVfQ7wVTzjNzE+e3pyRI8MuoY9nypexHfg8QIoN0trbkd
p0R4JgDab0KOJqU2Sp0mwtuDWCNqB9fedw7Onz34XPTNMgKCsWirjcBGu+wfo4whs/cV/gtru0e5
Povmq39VrqkOct9pbJkVWaVjbxb0qTkxQLliE/JaFMEPRROq5Jtfwey/9ZEURDx9CrFkkJtSiIi3
6qhchrLcnpfZYi1wLINNsYyactNGlSMssfuej5GSIhXxspZlXEBNvC266n84O6/luo1tXT8RqpDD
7QykGBUs0166QYm2FnLOePr9DXRrl0VVyfucK5dkihMTaHSPMf4kK9hh2u8Fdxk251wv9FkT0ita
RDk09DsZ7GDodnHyyrTnb9sZf3GWPgGEY3YTZLS7CSJ9M0unu86bYOWGxSoT0mLrKraChG/LFqI6
+z7DR6d48CnJuvoDEj/ZsDpSK7mild6J/6crMw3aGL6J6O/czHZehi8bTkzjXUopxxPS11OpM80+
gMKVeKPW+aSf11TCsYGINuUuLRIdoSEbNpYSrsgmcujq481SpcyFnjRZrEwcXELvdGcwt6ks0KXu
qXg+NVHXGd5N1kFe/ZYsJkOkOBPwKp0dBhnrMbpK+0T4AouaQgxwo1nTbM/HTWbr509hnjTz8ojT
9d7n73BVkTdjDnyGQWdvQJqw3Po4pvBb2jmzWQ2JwOKvJa1h97pFexPGcEWP10R/wTEEb2LVmNVB
tSxr2RYGaA/dq95iGGDzAjhRLgMwfVzG5SKfDGXI5e7rHbuaFp+vrCgJhRradm0obxGJCiaXP/sQ
TOsPs1vnHIJzg9QUPFeBLWXpyOfgdyH926QOyL5u5ClAdpL6RSPXWR8LHpHsqdBCdfPYFa30+B4G
uFTqCfIB/tSgVJbXPK/k9Bfzfv6jocRC7YD7MTvsj3nSptDN3Z2OVRcEGwztbnIY1OM0Eo5sDt60
CD9RA6C5neAGclusLrMvTGjkWkkplU/Ju1Fe0bLEFDK4C3zsJ72HyvXkX/ug+/tLtsZD7N0N7Jrm
eo9hdAxvRX9vvYj0zdBvtuc2gngPCiIL16BmZemvrzfhCJ+S1jmNFGJkFScLc3zKGAvScnBOUcpO
dzbqeaYNiyr+6snbObg3j5lZ87COrRGUj15fFViTQqOPl29MY9ksidWNR2pae+gC/wv5qFLLqnFK
N8dYVV0LxDExli0jkXzGKXEn6YQ9Dg+GEkR3SisLVQUn0TKe5NGQ/c2MYBB4h+iNqseR5jSHwcKH
sKp7+la3iesxelpwnpdRBinT/MbeK+U/mKlDYmMG6sbrV2eGxPpFqKV8MSdc5UXtUQ2WzyBVXC7u
TPRaF+gyZYckNreL9vdyymRkg2+RjGwGlPH8IzVBoIAY+IOeGSRqItT2rRz8EzEH/PzoxjI9/HVn
/babAFIFBWDeTL61zcv9Zk6Wln1f12PjPC8Zx0xzKrEqzMeLU3BrXlGhyMoZ7AVvLdh2MyayD2rd
/foqfoRCQL4hX9sh3RNc7IAjRkaW/2AW9TLvLpJof07KRnixCh01S4o/oHhOJipshf4HKcF+/wb7
/zj75+NtqAY04YEF24GQnTfDhXk2VnJZwvXZrl3B56aOSEFSDRQEwJCKugv7a5PLwFJV1fvBsTf8
HyBTbCZ/mJMCyYNAWDCWXYwCbcw4frwZEEyIG069nGaUBV09lSOt99JdMmYcpnHG5AFJ6HVum4YJ
QLSMPKgUWz36cuAboR7pHhz+YBzkH0CdKX9PKf+OyjaKCyE25gdpNQkOOuhk0Gx/nZowqeZPpGJL
g6Z5oxljRb+6Joyjtn+DHX6669A8MNkEbwF9Aoh6g38FJv4QrjHYT6FTsUfo/bJI2QLoNQ98PF9n
KTtrtUtXChmH/CVvxa9X4I9DcZYAID1Yg+kjK6bkfIu55PBRu8GL56fUW4Vnv86U1hwrRxO4L8S/
sv/Wi4hwfv3BP72AHhaFFkkG4B0OOfNv1p49hkjUInd68lSVhS2SCwVbQ7iT28Fn0AXgjGlD6n5L
VLP268t4+/2FW8GRHiCnYzr/E1thWqx5SKqlfEJ9pKaWqc9jYISdURLxgiAquNTVsep//cnWj5JW
oFchdEDtB4oFFQjeDjS6OUvg9MbGY4r9DAduGZBZ6F/DvGtx4Rg7zt1XuJ4Ci6xq6DCFnRzCvLRy
lLtxkMSfrTbHkPpfdse3SxThBffC45XGh87x3m4M2GNCAwhi81GPVTxFrhyniCZNLdEFT/z1o0aD
Kt+X09j7v2xSx0r45wjUBiqGrIIBDWAtXL23myQhVyGc/v6xmAtMUM76nkC5nM1PeHt17nSZrDEw
v5aFL+WM5fS19bWbUD7gfNkhhGEMnRAbmb/z5jJ17H9h6Lxdytjcul5ITBqwpef+RNDhmJkh7EfB
03dRnFqorUHpxEgqzOmTwsyjOUCkCqUJYzGPy/z1cvJ+pDQB39qkDOKGzasMI+onShOlwCzT3O0p
75uSs3nuSB/vnyLCd+OXZF0xpTmRzoSM7+OulIBa3Jz5cMex+wABdJ/HwNva4rbdO7P5bxuPSfE1
NSzUTM7JH6wZqkU4UaKjhd4MQcSbJITjvZDXxD7MaBMkx4WyxR3X1XtXsYejyzMDIZrqaWmTrPMI
b75mxtu9woOImCJqvobe0ztESfzKaUGpuWCgOXuYdoVhg4b50oWdnS7AsAiyd9ZDGFKF6s3CL5k7
/YbZipfhrufMQT9fmTE7A35mQAYizcQRVaRn5kxqUsI3SKepui2cRqgOCVZirOTSltida+BRy7YX
bG2HccT3JIWtdmUKkpovv3561k9rCKkQ7xyEXCZZFr3nj4cftg2pu4AUPukpcau+PqUfDfE9h5EZ
h+hAF/zgLl4PKIRgTVGx9cHVKUlqkU9yjJl7Icz9HWd8/qQ0cPprV8BSze/maifE23ZdiAXov3wX
gc3/+cIi+4fewe6BAgmS0FvCmoPknAGw2T/SDLZe/Rfa/JScBIRAdEdag6nVcnttiAgBKSftqNry
0jkQBtO/XNPbSgvrK64EuTFZELhuBW82EZNsz9lgTT0uVRju6R+O149tcQevwjV+C6mzKTQDiNHV
nzabGAuWMKaI5nNM1sWIntfArZblWlMpBNNJX/xSNtLwQPcNwy/00M5wh92rNHgoK2NjvPn1d/iR
HkF9BlPFR9aFGTXGrP5bStm8wV8KgNoeg90Ye4gBQ1w5ycVYmXulp/+v6iAg/RhzfdDkQOTaP/lF
l11HT+5VjxpQ1BV8p+pzfAQymoXOh+hs/ws34+3zYhvDYIRkTQ/GmfNTfV7MnRA3lvYxS/OAzbKi
+fa/fP/8MoAo+iGIBkHeYmtGJP7u1zf7p8+HEo4321GOuji0vVkvZHel4xZa6YOWRixsatJT/6Da
qiwP4sNdZ6MM/jeW0k8XwGOG8IQyBCWXyRHz44bgMz72sTQY7mHSHTugezTZ+vBLjFEma6y/qkPB
2mdD8Mevb4B8wX++xESOwgmHucDBgmH325e4WBciBWGSPuRskPvnMJyG8CYd/JghDxfd47fl24iF
/+VFfRNbQHwHbRB2gDCRqAxZc2++N16uhBDgtPWAsijtpufAbZvtJar6fL/TYHqNWYbzx2j1gmrz
3ki7C19eWpcstnOZf3f5ROM6BBD1yPZhskCmX29XMu3SaD2dgJxSYJMVawghlknBPTscjz1BcSL4
AlUVRsSvb+vbygp6LAsbkincO6r/t01O7MXt2tiY447R7Bynrp0VwQlbANyMr1NdzB7OOEr75W3A
JK8TIrrZlB6bA/JfHvLbLSXkXvOYiZiw2bJ/akWWcowSZ9zyh+Cg82QJZDSGvlLZqTHgr7/8zx/H
zgV6hxASUiwl3Y9rOs88Dwxz9+6xJQkYlOW2THvdcqaAHd3u3xtc742cmHvMoBHmDW9y6JnWT64d
wxCT+EaNeK8JwPmhV1yTqt1fpmERrE109HP5kG4jSrpzX/uD2z7b07i35Q0i6djsH9wWnsT8qKeV
WlDlJbDWma0QBwImXsZMmTSzqIlJscY5AmXXB/zExxKPe36rHAwkUnFkgMQKhNUug/QcVCqydku/
EnAsjcFuEGFB62AqeMBmpaJ4edMscFaQVQKkjyTC8OOhYkw19SIQZA5jkNFsE5fMyDJVh9ZF14Bl
zpXIuKrZphoNLPz/MIdWDNm0n7PdPJdxB8R3RkYFKyhTwNtcGyLQ28lf5OdRtshYskcbx4fopqBJ
ao+x5NxO8pXEJeK7RGrIfRnQ60la7O3ywjVxuFNg9XEpo0PVUZTSAr5uSeUPN2GPMzve7b3Rb/7t
UKHIie7ybkdwroYzprlgaUcq3LLszo2XILH/oG6Wblb0dpwrjbEenGmwoFmden/R0xbmmtLd2cfM
R82GGa7JnPjgoGKVbm75bYw6cLPOijKnO8HQjuRmBt0sUmWNhTbuIh4f2TFk/ifPTrcFbk0o4ccy
ZCWhcWDCSQaZjDHb/1Ihhzmm9TiAfB3dJUdX5iVlNp6QankIi6qUb8lsNDuWa23Z3EBjskUQCT+g
r29aXqvIv6/sdokesikYps85HhFIAcEXvB1D6aObRA5UU4iZcTVU4KHYAyTOOe9dl0Fhh9L/K8Sn
LDiPAC4+wQFmKxNyYl6Bp6dtTEGsQT2MBDI9xMz55Fseg81rUxZIck78FRPMschN77ZPasFViVTz
o/IEn2T1/twVqlH6xui8TwofXfBFD+H1qMtWwLkeQ8cTtMTXqnQxpT+h0Cnc597sliI9d/tU7L8v
eATvL05nWMu3ChYndhkp5qXey8rv2V/A1qfpL4YZlvsCKD5P77HHqVr7xjBaY3sJ3H01xveo98Rv
xttdgY0LJPMDdMZ8F6fRQeHAGiHAXUD4l0iKDrQpzKTTDJhXs1jplX2LsrDNG9CcANxxv9FkAHZD
SbTfq8jv549BWIwG2JOasLPzyqylV7uALuCizXezP6rQtYiMOvaAyV95ZYvjxZ1NZuzJZZ9DeyAK
YTRlGSqyQmyAd7xrDduY8aJWzB7VqheIQlmYitOZ23bumXAx8bXYxcTNAyNAVSf4hVZ0+TnJuP3V
7CpvElfDNMEwMe/j+TkonGSB6KX5nPWactjqb6qWWLj5yMDMEiwbaebq7Hi/qGmqetULcjqMP2av
n51rpLYujf05nlfL9neoK8eDx2oeekt9m7RnQJ+XIhMpOKr4bIWaMOplLqEH92VoshNr6qoLe5ix
KXY2ifmyjlQXYGfa9SBJuvG3lki89No43kyyqwY5FELlh6uMOqdlJwDmlmmN3KF9RWcBO4E7EyW4
jk+0LbttNsANrhJNVZhj8s8iAAx+XmiC3as2+iH0VyDxHp4TG/x2LNOAUTtsi9QSkKWzsH188rLG
3/GbURsl0aEhm2i1Nh4vY9GkJum7xKBivXGKDBeWSqdetkX9vgPt6J1tC3/HI4yne4rzTZKZkUxb
JqtA0dTVo/m+to9db+AusMkHcOO5ZWqnRKjB5VlhL3QkDlk5BfIxFcxLwfeaVKAoMm7dS/eTrIIM
EyNxHG5qdKSxdufoAfX2oIaMU45f+3brYhXBc8WDVqghPbNf1mXdDXFJuGzbZjzTqDOIqoX0RhM/
nYn3FU2MBeGD+602cbTQLlU6TgfSQootOKvwu/byQN//d7EdAqCFeC7e+7ku5OcdNbjANk5uAL6Y
cionpcna0g/INFcZeth7me7Zp3zYMBeHnHIcc24wUtMs4S7nmp79FM14jMvVXH3bHVkas5sAAD05
lBmAVYWyKBrVvtJaJUy+m0kQaOMKJ9EjYMSyR8E6qdMB9P5s40lm9aUNg40yQf2JYGz5S0zk5dNV
7QafSBoHPcAvKJVYRwUbKl8unmr2SDSpQigKlDqHjrOynnIj3MzHzj+gtnZswy896qr0jwRwuT5N
jEmMb2TghlppXZaznOoalGzBLDgQ9Uh7cRPKSbFzgL6REz6GP5pNbOOLll9FIHQGMjCEeAzq4iSq
C+fG8OEANmdXUdgHFwswhk3tIucJM2O3xKx0q+KkvvgMAKfhOpkmZjzXURHX1bKNlA+BrgT0cY9h
EjvAXYY1LExAfOL2OjonXYO6HMi0coz9puwbeb48IS5cb8i6cNQLnWGAzOyLTUhQGp+tew7uj7pD
LL1qE+xY0ZLIapdfSP0oZ7aucSdVVGmOFxIdoRtFSyJbJppDWTEgZrx3Xm17FFp4+Mk+6+TjxIKB
GoPt7wj+PDYXskil++mVPVNs082Rc20BfGKP4SRVSlr1wT2BBCZVpat/I/Uhv5ETXWajZOUI3U9z
w9pupusIFYvH5CjgqgYwaj5GnUeRTVrVRwNOMACM2p1U8dSr8hB2iOwWGvlNFM6OdRPcF4X86uW5
ZwfHsVvEYkEVpGpQNajKFt6xj3venFqVDasORhJ3kk2eudddXvG9IF4YobgCqdU8JdBC4Z6ody4X
gnN3Atpw4Hb2A9yx4C4c667JbjIz9t3XSj1sEht5FcYcVwScDFI4hh8d3xTA3ZmTZJBMjLkmsxOv
YE42TBiFDkYLIIQDxegxCBPnJnkKkmZCU5UQCbmnNiYjLtX0WWPw2+CVM9y5GP1Xep4GVxAfLXbJ
FQfNorzg+XdD6XXNB3PJMHgnGgYoAcZbAaMWZPfYrfU7Bm1+7ydiGLK99O/0sMJIlrGwzgnGFKl/
6vL5mGRxShb1eZzZjJbzZgLkgtIrUqNTeqxX+RyMIE4BWY/lyD51EAd09VqQ/MpatDiSWTn6JmsJ
Iic0eliyTCqW5vOgKEQIUusxvNKErA0hN1mZDPl/ft1Pvp1RYH6IYRlICpaI+Nm8nVHsnr82GUGy
91VJ6MQTRGxVz++CF28KydIyk/+nD0YpRAvPeIaxvwd49XYUVxbO2IXNnt7nZdqFr4RTmAEk/xYH
FpwoOmOt6mvNUcE2/+sPfguGMOKnoQ1dcDNQD/cnFqxhhJhhVjWpd8vWhu4dg1WCSu8jPGagcENx
mILwlqiQ3oJHs0/pUNZnN9sc3Gx8ztTefiyOrWU0cR4p3sMInJb2w68v8i2SC3wbYjNM+wBzhUyF
t5ZHWNsDNrezc6uJSYqOuGq7OHJuGPma4dqWxg22My3pnad4xbr4t3Wc27a9bUpM3kgcr3pG+X1D
Vg0m81Q+QSAm87aDT6Qy1+vSqizxHcpKoy5Pk9eXKxZDVKpOeiWbXYAH9bZ4Byrw669pHePPf8zI
wM4t4lIRHeBPipzxLZJrQu1hbc72zeilO8H3VCe1i2deFFkdNnYjlgYdTlMZtf95X6I1Tq6Y7abN
e1v5yPkOFTf9Y9Bbxqs1salgTHUAKtoWT/OxmW9CwT1VATzw9GLiA2KM5zTdm/6pB8sm1KcK0tTN
0c2aovuol3IK8ATB7YbObplGUohqOhdCZ/XoGvqUAOfu3M4IDCMUDDaHu5wRr9oXqCnbujPOcOx2
a74lKBdyKpjO4LVPDWVgUd0y9B3srxiMwl24bl7lBC/FHnuIbAPXmIaCONEdRvBDZ8eQh253QnDi
Z9hYW0UDA1OnLU/kYGRNfltuJDw9WdJ1w7v1ImPpLxB02mh73vohJCNrjDKZGngGIQ7QaGcMT7c7
c0D7tl6cJc4M4l/Uvu8NpJoaf2wb9kHNeXB6nFlPDUJj47O7mCa+9nR8/VbeFPjf2MEtAXIle/2y
IQZAaL2PW5lcs3kYgAUOjkGlEBVSu6PgL+x20vw2oQXpGNoVNeK8S9+NC8tuV0acGk1b4DiTSm8b
G+/wZV6HoEvOo7PRyZ/ZGWF93lXYFk39Z3hDO9Ios4sws/hIZ5hnHW5JTWAO2P1ObfF1StfFfKX6
tcO7qe0ti+TANS4n8C0oDyBn2r1TNU1ZmJI3e+2LeNqKxzlsxT5JaRW0pamuBQweKWWC6tvmvRGB
81i0Uk3PCIFIX2uNxZvI66HCm/9WL1KS1+B9aeAvyAz8Ddez/rI4zYyNXR4a+cu/vGLBkdD+j3eM
GTBDYLZ2bKhdKANvgTEkezU8gta7m5s0I/sAJmvS5J9JagjwxWQnjN8RaAwaxQCtqcuob/HtsOPg
3VJihXpZrTVjHka2F47l2CM9LsvYMpubrORzWU7Y4kRulSxPdlANwzldXf/e5B6Q4wWH3k2Ke8iu
zPGKc0kujHmZev5felvZhdG8zwtsde6NFter2wlZRHZJm2z+Gg/Flt84XraggrOt/hM2CFlz7drR
LM/9Hnob2gAipu58OJyETjpx1F46krfGczauEFIv1lis1kMU1e2zEWwSkITaJzhNVbpcFrrB/VSn
YXthOtNE94mHogZPnTp4xDSgjq4LbOKQL1sEv5X1ZD0RvDkvKFMc+4vlR9l9uXqDf2JKlD/3VTRd
+jGzXtZqJUNv7L/6adq9GJZdPJeusVqnfSRBfTiBFsbVjN1XijHpI+MqsPDL6rl7Fp1zp68G8xEN
jvE3uW3OLf6G1WVDDHGF15ycA28I3/FdratJOiXB18w/PvuYqpwGCCAYdUX747hL2DtJgdvvZunu
N6D6LsnuVjm8n7Ou/RA7bf+UoLu5KbbR+zSGhkOahtlcm7wVJ0OGBw+AefWtSedwsZjdirVM8ITz
UPKuxdD0s9l63n82O0x/j4ex/7iBzj8m2I/dlUM/FidYiO6FtFCLemnZr/6au7Ce9ny9M51xemjg
Qr1v7MG67gRSXIvctbEtm0kKhNi1/d2GS/FbN7nLh8o1x3tMytLnJTCrAm5S3l3Lqt8fUFRFv+G6
Vd5bSex9CGFHu5IgSNJ9UoYPJuTX30tv6n+PsLW7hXFjnJmTxO+8fmo5TRi6nRkXGS5D09B9585+
/Vs7LnVzFg4+CVmz8TWxs+YxalomHjSNhJH5NjT73rldgsZ+sp3EuCz7vH8r+rh5TfwMbx7SXi4N
8ScMpWLr1cJB7V3QbMU7h0yO97ttkIuRDO2tlc7zXbqQUOfE+wafPAtz8vEa9wNOxeFKxFlV8ylW
fDXoXR/a1t1OOeFgwU1YFvF/YRq/RH4zvVocb7fwFInKxOgBkRcZL1VWmJ9dNuCrsRbhey8Jgndk
rTXYkw18AcbC3ueQYh7p/ILO9tKETf11IqowO6GMbh5ZmrQJUbvwntg14i5MyagvCusxwWDm65q5
xn1n96i/aHfuPLaTj02TISHFT+sFj5n91Oxz/jWti6w8L3YNe95biLhrYwtRM1ZwsIRnR+I6y/qV
DbVyTjb/yQkY5Q5iAGw7p802uj9JZZluPDSrd8XUTuwZ6V58xKJw/Lhw2IDGD/XthM3ViTCk+jcf
sqV9iqvGIo+bgJWUDpn5+TrfEIow/McKxvo5pVi7kpk2B5d4DszsRHhbckX/+bKQN4oogCTG3R7v
cLT/ax6cF5+5P97fxXpjTMSw7ZHd3dD4tMadNXZF9MisrnrHFyPwkPKIsKaxSqMboM14hgtgcySn
BvMdpGst22sNB/YEWGV+hUGxnpfII6nCbY3/GMlIbmvbZ2594qrKv/299t6RkOI+NPvWfUG2ZtwX
tDS8XO76lLjOcj9lA5lFjPiqC84W3X8Wzo4Ha/P837Gp6z5WcWcSUZcWxEESXvRiWwO5fnFs9PfB
6JE0N1EQfzPSKt3gRLYj/h42RmLX1Buyp251Jkxt4qG9tIUX1KcoQHUc/gloH57tod8wB+QO308z
ScNms0BN3/3hU4OJ23Wy8zS7YYphfkpAAuZTHVYxX6hhL4HM+wk5vvHRwgPuW+NsbD9R5jyiRclJ
1LJH837BD+0aOlP1GXkmU7Z1D7/GJHr+XkBpGE6NUFRO3IX2NyvKvZt8tXBlz+K+vE2aMPvi+tPw
LjC29NUd4A+48RjgiLLQHfq7XZ7WuI55NZHc3mDw191ndlZfMNliCuYW8SXP2uzvsE27M4Vv+LFn
koY9nJu8K8N9paEnex7/peSh2uf2ocu2Zy78r3zwq7+63aoBP3EJbAqHvbtzxiv03Ix/BUZ3X7hj
9Ixoyb2S19jfON2SkGG6ZO0l9wzv0W1X/xS05he8ddyHtVjRAJbOeLtEllDeeXcvWd+Wf+6uneL9
7TVkVBZj9K515/6zjwcRTmpFkT0biWGfOYSbT3W/zu/8yNjvTHaz22Xb4ncun51fgtk1PqXhPGPu
x9yzvFnzIqtviyRM82+KXc+UUBjFexbiFFHslniGZHt3jMIOyVhLRDHdbobDOFWkHSUZei3dLipn
CTX10LYjmtU2LMJP+qSZ7AUbCv2cGnuGY5EyOESXh0HqdcT9r4zOa5kse/YSIJyljs3JgOBHPOVp
RXElTanC83b8Yqb6ZBJbVJAMOjK2fFmzMSGE1ouqlYCnY/Af7TXUDsp+VGl3Ue3V7l969gp0gRUo
+We42l62aZ73J9g1Sf+uj4E3cKdK2q098db59XNeTSOpkknkjfl1wswvvRpD7xB/a9QMNIy43sJv
Jpar8T2W9VaFiKmgxDPIN1huOuD3+qO7dHH+5+glzdhiXzI02SfMPGPLYjBblLb5AOi7ev4t9gdJ
R3wzlrKYHS8Y6G/XEYZjiOVNVzQnjB8SdFrxknNwnTDfEDnUsIK4aYQzj0okepNFpXNRE6PocELr
dhLXIhgvWTV+w3C4mCBIIkjw/v5uQme3YfG0gC8n95vp84qRI9PexkUMyM7crdj9rxRkQXad8mUy
buG1FPUH7cpf7UDj5Dy1CdigQkkiCHAhPQhJVRwTszX8l55VaDbmtki7sHqVjGLQXaA9flalcWYa
MkbT8AKsfuSgJ1Rq3fBRW8hpRVcUu6XvX2OHw69/ppZiWr5oMZMCTpzJ3qv8vIfGsJGFR23JZypg
0dixELxT80EBQfCvOrASzRWGhiT8Vda5UMTgjou0VEESqfo7Dcdo4VWz2OJJnpLhJt/uYJ6rPkLL
IZTQdVZCsC4jW6q5owuS0bW5oFbBKkhpYDSGpK6mcEKeba2Iy3p6qJGd2RLkDMFoXJey+YSrdZcG
szcbd2B9Tob7TcCtaW7pvrfefh/PTd/8d4z8oM8f6IuRop1mEGCzvd8TIjjms40QtEXFgg89L7nK
rKixah9gGKZKLxU2wOLIHE1XoIs4gIHC0Dq2DOzAe3uGkYHjeYEk9FarRpouFDVmly6MezUEquZ1
vhly07WEcLSrFEg+sekOxmuYYeH4DQP3pAGyjIm9DVg9vowXD+asMBHS8I5mHavRU0NiCLYE+7Jj
vHJrNf20YbSvJq2da68rpI/AmG1s8Y7p8ayUvrNt77ChjaZgfHuqHWoi9HpKAKOHyI7CYeqmFQzq
O4dXPabvY1nAagaoVdzsQFJzGskDjSlYSu8xL9yW+Z+eOgYHS11LaeksZGzor6m15rfVgt6a2icm
PY9qEFtILoXwqpJ7bNVAgeDcJPKiRKUwlammsB9eN+VgOO0AJg2KoiVNiIBb2s79HStA8Y0c4c+Y
6TnL6RxQm3lrOGHceAjuNA6tRX9+N8/0KKsbpSbxdPiqrS8rvmDDq5ZxNlGGKlAzKwamUhlXsQzd
NmB4cvARomyLtgvOj9v6JWdbMD+bOPi27M5Rmlc3SEvn+QtdW/a1FpfhBbw8sopPZlpOWA6vTs+c
noTC3H1J9yQvHzMfc/ebnn7M/6j2ktEH2QdQO+bqY1KhOTA8RKPpCfz2fyfp6qXTMKMWYsxKFlfN
mdxRuxzZKLTQWWus5wPXJ6GJJVm3k+D12DigaYMsUfmY8ijecc9b631ZgtWK/mpSSunXwhul0e8V
dU2/tIc4Qk2BhtgUVgeSewGCCAG0x0/V1sTV19bGomw6MVBbN/O0uRgqZ2e1H2krIsWxwcJYLgcB
+7zfblUIIyYOarelHzx8ndpogfShblFfFC3Rq14cbjFrgfZx/VMho9ZAODpcd+UNvx82kQo/UCd2
AdGKjateXTnt7fBQyDsMVPjLJSatEA+9g8+k9mh9zG8BgE0bFZvzbfDgbVTIvEkG+Ki1yyiDhOei
YCB7CyRQoMSZ1V4vCeRq77PayjAmFmWdRsMV7jyoAYqJPSL0gkXx9qtxkB+cDqgjJrQHVpcS2zP3
kku01k3e1HbGXW56r813+grBTMNk9OB3MvgRzaBaJozN5PghP16+vLIiJvFAjh+t2Whqe20AQ2a7
Wkk8URuxD12Atx2JsBDh4NuLMoZkx4yLi2A187jUehkV7JZni5AXHMK39hd/3vCyv1s34C7cQAsG
wBX1fFPkfnDVqFe35ogt7ma/lJ2A0aDUPApB3dpIdEQ1ZICmO1llk7HTa92A8mH87rO6xYLrzqho
OcgWRbRQz02LoPTDVsK+BrN7fm/XJ7Ld+Essx3OmFBVBExyAwIFA4p4wsePVmPyReU4bHEcUv4e1
Q3+YObh7MU/9uzirB2e6YhrTlOU948+w62+tgbQr8OjIX1ccK/2KxX+Le1dholoNmObM90WViupw
xloUiv0EIwE7oVPhlKh432lMbFf0YMftBc+BFy1VKRJ9J23PZV22419DaTWT/ZvTu5WbXTxz3oLl
xrI2sQAzsYbkzigMvZkj0YJ859BRwAt6XlI+fvSPI8coBzlolWtDQgMqksiDZ601jZTE8ltxI5Qb
iDmCVADtgYbF0BC5V6Zyy1SHFyiZj3zaET0tQKIy7ZubvQ5QjGHc0bTv4HNgJnff4OzLpe0HJc4d
zV20zhXAc3khVrJhJLF0ZDA9k4lBa3pJnHQNiovORdBarijEt8L+PcfrqIyg3R5vsl7G6oWu03l0
4qckM9YdThA+qk33ZbDgUl0bwmDm7QJ87vItdKVDGKk8/6wyAmd8JfHkWF4HXS1JmoalXURQjaqr
HwwZ98p0e9l1tYZZGwEoTVymGBDYowghS9/Aos+FKuctpRCEmqmXNzSPUwHWsjWQY7btDxfQAfSE
W9gbOVY5OFEOOfxAPJBYLulhsju50YLcWtMkNA6taUIAnwK4a8Wedn/Qhm/GgO8ociXldap5OS3K
AR6z45q0Lh+LAssq57mh6CMcr85RRiAK5gjm3yVNtWO3VeTlxIh+JZNASgMzTgD8RgiT3KLax5CJ
ABOSennC4YrU2DjvBaQuJs6wEitipo4yWlMLEXmSJnQ3G04WDJfvjnaEYfEkLBUv1VG0cGFKJqNO
xDlCeOU9GMguuAItmvaGSsDqjSwgcMh8cwu7/1oU3uE3oEpbhjA9D1AxMpt+I572Wa+ZvrUFiIfM
I3Y3Y9zjnn8bRjEYw22GPOsQh9eUY1Rl8tooEllYmvKS6fuK9be8KZAL5DVc41HeXnNhO/FO0YCN
h3lZ+3apqrM62xilC9diYxi5XAPH3OsG2qKT44uq14zuPDD7PxqQARfIO73tZ8oOU5MsyZUQoa1u
kzZsfAfrUiMuBv9QHWnSDMJPG/N05J6pQ16/0+TBqe9OT5zfdMpwb7MC4mc442JcX26UK4DesA2l
N+fLi3+ATg+rFAlBs3UCRW8IN0d2XY2xuhuxPj2y2cNHRllHorGVI0dv2TCRZG+fTDzcoHAqakKZ
Y2viXZSvJIQGt72FdOUs1l17VN+aHWi0DslJD2lmsfNdJxzL+DLqRqslF8FQ5B6pv7IVLUh5vthK
b//9aSrmZNIP8vBNd2XedIIATgm1DzhHIL+fRIiKCT1H9cYUbzL807ZHMDdPJj5udXtKQLYY4zNy
MjEdUzRa9RycMZSHrrhNfZiIhlexqxNVcuuDPKJ34qMiZcGg/8T4QB6R5mhBnpUD2hq8NCRyIXQT
D2sL9VJ0A8qp/Oa7RbhicGDkI8u1VqL4VNF/e9zUqaDgbRp83ncWnbrksV0ZAWjCpaIRphjj8Ig0
10tReEg5kKWuzgFfDTSYUR6ZXvsuhKXB6eTem9sqdhFyM4WwotTh8Ahlq42QOXC/E7uRTkyH2M1W
IHMU/L7EW2PvMVXAXpXxBhbC87TKwyAoXLgqDRNsfos2I9deErrp3T3YElyE8tqflNp+ImiE3ynt
mlzLUcPoanGOFsh6FzH1hRg3xksyQLlRJGv6L3gtBMrI5j8eFZsa2iROyATz7DEdDIhd4Ljh2dCM
iv+AtjeoDJYtrgqHL+ey2sLkUcWuPrrJ5qTKdJV+q0vJj6IMU8RSuORU9x1TDRaMf4xGFA9Rm6io
Kmo42MGVqvQTtxUqZK52iiKfZuLja8qb2Li3VIwXxnf0P5oZo88FoLZjWqbWur53Ruqssrcd4xb9
xqlac4USwvfQdg2aDQLjQ6irqnyK0VZ3r9DMafkDNjJ5vGrcZWbtMSZTPiA6B8Bsi7mmwCsGYx8w
HE2n4hmrGnNfyHdfiX7HupN3scl7IaypUhtMQWg3Wvnm7GG7iS2XiQUR1F85TZF0SxlrQW+Xk0nN
5zwnl5q4iC2WueIocpBv4uuckMn0on02tK2D34+yv6tWIFS7vL7V6CjkOE+ZYvHUA/8g8wdrnNrr
U8g40XfPvkqwtGxqee+iTXI0I1JTRPUGRNSB1CVq/qUaIGOFOPBExo3lMSOenKUJ9SFSDbYokb+7
UvwzbAHS2vHSKVIiPCO5RYNTIMCswfegrdZXbMRFwv1dp6uIRPRiUuvrBl9U0fzId56P4iPymtIl
quWgR5jEOW7YSBETgIa1OjhveuTSJvkY2EQTrOZN6htyHmr+nlrIykyaILeRm4cBkzwTpQakTvSg
zDvGMGiTpR7F9fBUsX03aFDmantfdji7h8SfC5l473shz2q5jz4dVR6MDkjQpm1ZR5tiXeEx7v18
b7UVtcoNard+JhHHSIT2qfe9YGmEY6idqjplUfad13rUaAl6S95yPU9paOqkrOxneVV1q+T4i5QN
jQqC0ZuVtrPSWodaVW6NF4ojWAq5hYLKNkfxvyCXywkHDlL0Ze0tlAW5IozWRF7wP+yd2W7cyLam
X6VR93RHcAry4NQGmskcNMuW5xtClm3O88yn74+ZOlWW7LZO7b5qoIENbLg0UGQGI9b61z9Iy4m6
CSeVIAVjevxrWzdGi33zSJdlsrzeUGjPk2j2ePs7cvbB6FZf7QwqEe/lidVrr80/j+9ksEXsFqsO
bIyP2sC1j7viJV4zN07k+hMs8MjWPL1EKgH6pymtzbXMaIS9GvygsV9/q8oLxjv+I825rtnKOKjb
o8jmUbcGXrpwu9bSrEvhsTAZTlYxy6mSgoS7kohXe5D1dwqn5wfaU1nzKL/QSA5VTMS6BM/izUkW
Eiw4b+mH0eoUpeNjL/nIKT/VB/LY4vc9dMJwG9XS7NI7tru1MMdzeX3gjjDXj1TODEYAQwkRdQJY
HgqV7OM+HpFnjuDO6ZDugUqcrAsetd2muRbRVUoKXelBd1s390ca+uNLoUJ8/L64YLq8fY+E5+Bk
rNGe5E9NEc2KNzM1WvDyRwDi5KL1yC93pzbst7nToflj7nQsRR8h50fW/SrO5SOMTlWfc3KuGU/g
YXEiXT46CIyoF0yxKceinYf3WgTIS0fpFFJO54sk1oWwCTvP+uWqgvY/WdfIxbCeW7HSJaiy6NvU
CGqonUoLPXnTpbBr7H2k24PlIHGSYU/MkMJS2bNAkft+k9jdXH8L9aocJh8F45Je02rLzLcrIob7
Dy12Jabj6whesJO1lsVQ2yoAHNovg6psf0Wj5FWbYOt1MdSQoqK9m9GJ387R0BtnxVyU2fuCZfTd
0hjrvs/s3h12eO0uzDWTfLaB46FOnZdj3X8UVd2U16jignwfDPx9sKgMGN0l7x2OX9YWEwRzD+YX
9bdTw9ra5Xowi31VinG50HGF8dMy0WHUl7qiLgjZfqGbmG45ex0q794X4wT/y2ij8byxBrsEqaG/
k5fFgqMGAq8qsXeY27i4/+jLWF44cbaIZme2btcxLHHIP4t3ZjZqZDHFpdZfaSqdsnkDNxdGvxcz
Apw0zyqCMTXIOROFoZjWangEbvqlGWeoTk7SDoSSQSwzp00Zk/STeDG5UvC3I/YH2xe8BgaCelNY
lwE0Y730tCgdlHuOU1Tc2Z4xSDEt/sDMarzJSjtv7kurgNXiDpE1XqAi7csdRr56QRJdJg4xdhQ4
O6N2ualCR1VnNYineeVmbaldWCU+mA8Om3L1UAnbTsBANTTqn/MFvlO6jfppMAevhWZegQzjdvDF
zkZmThiQf0CGwvjKsx4tt47sZpbISqm3OLijDqzRXmJv7JVRfrYWyqtV4jaBtj2G5pyAQyXDULuE
GaPbt5BkeDJeY7pzaZBPkTKLwuqfIVQ855Z5CFe309nLUZPi3nDaljVILOyrj+Tvx0L5VOKfVAgx
0o3hgwPSTnNwKpHKcJUE7k/2M/opWunky35iU0+o19OrE5349EuS0/yS3W/VMJx+i5SL4p7IVGKq
8zjLSHJjdHjDeA+C2T+RlB8PnBPkeRqRBjg/Hfdm/LVYrAomvdj0JVA2/H+sTwiK0ZfFehcMdSOc
m8lcCs3Zpp1keBHHam2RFgnT71tLSlQJjfhYiP7Vs63F0SRrdrcW7UX5tqucoPgSd6kdfB1JiEcg
KQaRv+6yzsRX4jjePN3t/Ig7Hf/TiV0fz2MMwmxlotMZBrXZe8VJNm9L0MXeweZRCyfDx5Z2xSfS
k0dOfKxKQm5Sh8NBNnVcXFp9Ujn7eeqgZgZCJ3HvppZ9mKHzZRpNGk5v0U60xBPLsaWkQH17YxtF
sHzsKTzIJLMhUg4blGHgBVujS1GG3OuZnkhtX7ZZjDvcG9Xy61V9gOoj3eEianq2Pw0t5RyVLmbY
cRwSWrmpqwF36ikXVrXtm7qpPUhTuoaUjTjS62pya8hP8xgmlACWk+4wvmp2VjdG2d7tZuhJ+AEo
F+J6pN+lQqvFdYvCyh+semJklGWfUsSr7zHvTg+l7vQPHD5d5atFzNvAtQK0O3PERTMVdReAiDje
N0M1fhtiMLgDfV35JgLFvM6TwTh3kmHY9qPLi9iBL5tfK9KLC78lmLLZR0M2PTQmlDLPWfQx3oxt
X32pwwp/lhkOkI+qW901iJUv8EE1LzHxMApvGZNo3ulWXl/b1pR8gS5e37C7ZXzKiRkByuXGu6hq
tIMK2OdRjM7DQc/kiBabJlt8hhbNrpZVZfeBWj48b/nws8YLyt5QfgjX80wH/f6K8mI6x4w1gvXR
uOhVGEHw8NKq1b8wgkitK502r8D8e0zkJmKgXXtNE4OQS3uw96Gi0vNixlr2mWUtcYrIxQkTyGB6
+2UpchhIoW4buKUxv4NHkWFCMusIsfRE1FdEJzAtLlSmp35Cg8Tcri7PVB4bfiKN8TIJQvnREaX6
jOtQ/BBHaX8O89G4GSfJKnPtYOdWuoC/lJnn+timzqYDt588XQTNOVYb5SfONk6GAdHSJ02axS4K
ee9o9d71MO8/BvRDpFGPyW0h3HzX6Z27tywx7Qxc9z/ruR69D2LL3lhuGu9GbQneRAncHTXqGZPY
Xp82WLrU14VpsKXGWjT4MOzyem/kKv46lZq8a502mrbpIJoHuK+T8mE2AgCakTZUXpWG7CwBLpab
ukEHSfYS3lmZllbXTjc17Vb0ep77g1sYEE1FPOyRiY/3iUsv5hdhKza6GQwQQybzIsGY+crijL9Y
wh7eYDRbd7Kos12fBATH49R/ht1dCCeyG8fgDO5mH27Zl8o7p5/DS8xeW2dbUcG9HsN4/KpXXUj3
NjhM5I2kahufGzHujDX19FZMxBIxiU4csalwRL7isohWw2DZ1UOXP2QaFtNvE2cg8Zuf2DnrfOB7
zJl5X2iiCA5CG+z+nTtDZrKunHFSKAppvxfXfms5fEJTulm/JQ73GKhD6IWwzgAVkZPWR3oPXlMG
0tguM1AwOssun27QQ6XdlT4iITmDnlPJM3C0VH6ZZ3IIko3jjo71PkRnkfSekrxt7C06kDEKMOKz
8xsh9By3JBijWPbnfjprtrsYSACJ0EtuYgIBYBJ1dDTUg+eY/3C+Z808+nkR9OpqEolgEl0KIS7H
OWS0WwzoWPf6HC+3JdYjyhOp1d7GiYvGnRgDPXIbCIpQ0rxEMGA/zMjpSrIkmBX5ZJ10CGb6sBZn
LIPMuE36zFpejDN86leBowouHQbwgoKkQuT1M1c1TEhmacHkOhhHyeJjg9hxwj3G1PzPh+k/wm/l
Y8pG+6//5N8PZQUuFEbds3/+622Z87//XH/mr+95+hP/uoofmrKFmfDb79p/K6/v82/t82968pu5
+uNf599390/+sS26uJtf99+a+c03UhG641/Bfazf+d/94v/4dvwtb+fq259/PBB53a2/LYzL4o/H
L519/fMP0pp+YG+vv//xi+sN/PnHFTSMh4fyp5/4dt92f/6hyVcsF5sQVRNDEeJXDOzQYAsev6Re
0SEaq67FWg3pVjlNUTZd9OcfhvWKOSKxq4QfgLAoHCXaEr3Cn3/o4pVS8PUJK8S+wmHK98d/3fqT
j/Dvj/TH4BQcDJ+uH4JsbEmRa9iWJJ6KLMKn3hTO4oYaxf59w+RuucCfVc+vKzOZ001e9HUNB6TA
aNgLu9xEjkAuADMtWmG3xQB8cRIri/dZvM4YNjRVRT/fjlPXVMFlqjNocjeiMfraM0XefM+neUkx
rS5CWMnJaGguY7fSKM3gDNbuBKU4NwrVm55NIGX9IdTTMjNMbG6saGr8Wo8n1JIJWXBTS6+UD2Hv
vDW1sORIjuBBdMWVa0460TY92F5/h9agz27JiOutj8RAZTpRG5NR3toqDnLPdkBl7+Mc+7tzk7wg
4O6in+wtc8SSjG8VphmncyjEeagTiuTh2yXq7TSbzfcggke2R6U/NHeW0bjVG7cfRXdT0TJ+0upS
w4l1hHxJbTQIdnjHDu+TfOxrlOgr05QYzQR+TAhKTK9Hm8d/b3SfYLe69S1yHnaOls2Utr1TDHCJ
CLa5UUMpCLUZqkShsJ9T7dAxL8kAC+G8bJyh7m1MBTqr2mOubR1apoIutWoNby0Ke3vwMDLSInSy
VvqxddL5ygBBYBrcNdP3yg7a/sGEPVtcVwFo8IWM2/CthtVQuUkdI3jAzrNN9sYUV+O7yhLoWTyg
rxmpSyzgTt7nIjLMcyOHEf2trmj2ProU0s2NqmibLwQEXRs8pHTLbTQoKq18rs3Xw5hV8PedZvqS
cz6G264I0o760BRvtNLiLDHlYOqelnV6sI2Zt6YcUxwqXkPTM23iWjaBt0C4+mwVcXFHym9o+M0U
Dm8ZRZjpjqIOd4kUpdCt0oOJ7A3TbuftDCfb8PlSlnvMP/Xvg+50TP/EMNzFBuN5MmjQteEHIpob
EC8nDQEVC3SzW5VmbVXv7AIVzyZIjQYCfo2Qdo2JdXYSQrB7jj3n3HipiPV225J3tFx1haM120Xw
Mnuom6W1ZVTuptdJL6t0B9V/flf1orqKCNxKznOrmhYviZ04vGEgq4c+A/i4pSS15efM6WvbW4Rc
vouhcoy9aE1eGFFrhn2VmaAI/gwm9iavRumcjQR9WXvINHzSIjRXRp0ZN7s4ixNM5qMye4PJmlo8
mIqujl660cod9fayeJOtgsWj/obVSnaTyEAyuqbZE/DukLNpVUrb99VcOoeeuucT47hq4IMqXXPZ
6FZQG2dto+Au4/038LHpbjC1PsETSbAV46A1XoaAkFyRyazjsxGFP91/s4zvoH9FCKwwz30dRWWl
+dB563pT80wGz+ztPMHb3C5CUJZpJBguz7TLDHr/7DlOvdoopzGQhCzCCF8/RrXOZpqqZfJIr5Nv
2W7DO5Posolkub5xtnoQjObbFCP4cR/3DLCvMZDumQcH9JnU7gE1ip5L0e4SDYOCj8MwDdRkYGcx
65HABn+ZcnnPUx7H26m0zddJ1xEVNILEEP0DRwv7VeTsfVE493Ksy+oMyg0m6UOA77ifMDBTaAkK
ckXCWJ+MHWxDW9HHF1TgSQV2jx9MOxXNAee6od3FqpPZDlF8pmKPihmnpyV39IoStyyY2+PndYsT
SlvuWkkXD3LcFa5XQwy7xzjeeg2bnp1cn2xMAHFkHA3PTML6u8ISHiuAxKw+YK4to60jKfL2wCyW
vEw7SEGQHxBfQeHX3Y/4MZdvTQZHGZHX5DpeogNZ0I2oYSBtZygcTAwma2TB55ANcYWBD5x4rt3P
KEMG+FRXxA4qzPjbytbf95VS9+DqKSCYpqxuByqFN38wMT65I2zLJfIHdlZ8IDBXWmfMLJEJWKFF
81hMpbhLlQHZ3CoSO0HV3Qmxix2lfxkiw6KxTJF/bCU4mnGD8/+46nAqUn0aOGLYL5ExqLMtLQvU
+B4f7U1bU4J/q+fIzCHwkYEyMK2h65pmj7xkRi+eiNJ6vo0Sk7iVDW4yMWIHoJcAzVhHHTuhGkDk
jHkI1kjacO7g70cGWLqAKMEWsDt1CblMa744YQi7YOMGTZOxKWTNaGw0C5LwV72bMHSBG1GaDzZS
vXetA8ew9GbyRwMSqrQ8YGOhLK3VDVPz2TyUI/0XUGTdCX9MzCE6JHPRhj4nH7JnPJzz/hZgUjHv
p3XRobA0pDGGXoZXH7lTlp4MM06Jqf4mt52+Q1uHcH47MUuVfggdYblOWliPZyZq79mbldmHe1Qv
IwEemDy/xr9BkVuS5kYdwmHXFrm3JElBEOWS1ro0DGR5+yUMnfRjWg6LTqkcJvEA3uqWhqPjU4xd
RbVxE9T43+JQm8uLFkBVqW2JZVhGSg3ix+4e6UeB2JCBS1f4cohNbC2hM+rF+yRLJkP3c3JOI9OD
l5hWZxmNp8jAUOcxmLbAitF8VUzYgmytKMqHC7PtW+e8xUTG3pt6HvPBLVEjzBlMiMCJrckp1wYb
NgjH3Bq20AMUDUKibSEDXPRobjFZnqweIUqBShT+xTQjI1uHeWcs3ZC9SZ+xSb/CbkCzP9edNbdX
AIpVf4NX/4g+39DQQnyodKOyLjtSZ1Ep9Y1mX6wylPSWMV5Z+C4ouso8u0Gmc1vZhTa/xR1YDJ/o
iTC6RGJVLx0WDtMcn816WCsOtDhvmjdWoJhW05KHxvcSSmZwkbWjVmxNhMLBJ4CRst7mkaPeSjxo
r3hwavEXZRZfKtUz4dgs8NmGzyNe/+hnowAzPHIPbPM8phpI34KoRMN9Sov4pS66oDpk5ZANlwwY
2/QsEMkYb+GLIQlL82qwNgNFrn1IcaXFVDA0zPwcYvxYHADPl+5jzkpnFQo8ET5MSJvumrwvPtl4
vurv7Fwm2QY+LcIIsNsqPiBUmYfNOBVDzZYC9Ovrw9jgS+GMsYauMSvHN6NbWrnG+1vHzcExI5ru
oYskfxRT7TeRYNM/eff9o8bov9f13FTfiruu+fatu7qv/h9ofWgW/oph/Knx+V9Z+K2JMUk9dVFr
q8T3n9oeKV+5Lu+/y9zCthTZjH91Pc4r2yZO0CV+Vafp4ET7u+tRr5DN43lMZCXcXcSvf7U90nmF
LyRTBPzspANEbv6TtgfLgCdtj9JxPYZzyDhCx+0RG4Vnlnz0vkGTpzEjEa0O07cNhZR5NQg0GQO8
6hl/sth3EMI1OdSXoKgRP7t0L5twvV3N9WDb4Od1rbuz+ITxSYhWksK+6lt0Oy0Q/ccyhAeptmQI
zFTupCHCG7lPol6K1wo2oowA1+d41D9bgKBD8Qk5IXJ0b9L0ie10od4w36k4G5Wfybif7oy2QEE2
5r01+NMyWgNqOJdSpnIYCnWRHsDlkdkQ7eZSLHdz2qZAxW4UXttphy4SgWNOYpNhkkY0lEP0FVpH
Vu9RXYuIrT3Sqktpx8LeUHKX+D21iaX5clq0+KAcdK0eMu2hu4Jyq2UAX2YB8eST2SHbizZh1Cz2
Qem9nbyH5lhjjpkNapR3WjVPzr4lCiq8qjky3mZu5bYHKKKpS1LPCJ8p6oop9/jUbbEbO7grh9yp
KL7joUt3UPX4W5h9sdPqRbWg/uryDEkcjk3mOmqvDlOFKYvnZPkCulk2tdzLmTrPrxTD8b0Jkc7e
aEDVdr5zHCqfYdc1Kfw4Dg9ABQaKFtXxcl6jkiMqJ4HwLc4zK57OHFtDM9/osvmSphLAs85Vm2/r
OI96QZY3xP6oxpnYJrnXx7ASV05aRTPJGPGHZjHdzZVQ4W3e8LVdQFLo5ClIT4VOzycLFhcxVPm1
cOMypLZv9HGXay4pcma/csI9Q/ZCO+SIH4FWh3xwNrmu2cXqn+dUhxzbrHyj26JOkTlCsty6ZYL9
WdzW7gC/p63HcxhY7XVtOa22F/1kpnvMA/LpQKSK5byWubvMWzZMCdgZDtTY7eDo1gaCKl6Qrj4X
72x7tl8jYUs+VanbOeh7HLbkBQPlTZKq6nbRiN70crRRlxp1zBVEGYdxMQaLClagOSdeb1V27y9Y
+7oQn9PiPYzGyMRTqgq/r/KQYg8Zj0Od8EpTMIXT0xZe7zSRu4h/h32wnZlnGwW56/ptaWs3sC1h
+I+cMHKDvtgtzi2msR+npBr1LalzDc7VBkXMpjHLWFIWjm2wE/nUPqQLEVibZUA9wnLNtVuU9V2x
CXWir70M2LhFXof6e9PJygZ1z6noajt0xca1xwI8HSx0teEOsP+zEovPTIVxLzwnj8DnS4hf/F2R
orNZyB+/x6Ch/ThMufY9dZJ1mJjIMPZB7zLCmTBUzjZh1wHyY/KghTuMzJI3bpn3vZ86cWlclqR3
fsqaWqHD5YgfN2JinrI1qt6914BZaz8tIqPeaQ07JkSgstkTwhaUW0Wg3XurTJXcpEVbECwFueoC
Z8/6HumpHuI8IXEprbgwC3cEX15MGNyQ74iCKkxJjPG8wD/H4nZKKNt6vDtoAKvOuUeJmLvnWrvk
Q0YtVEr+z+RdG7djk7X2234gcOkmoP3IXjsAwh2YAxlrOQR7KgVYsgj3gvtxGIcp2JARpvWpFxvM
Kb5ONbsEL9ZSLxsGpIUV+ijq3cW6caKYity3skYYh7AHEfrA7MEpDlCka9PT0q5t7iZtbmipA+j8
F2rpy/RzBKRtwFKcqq6+SyPszXwIyNm65ZpDnYdnvJ/s3uwXzjI728nVyxxEX87zeJ5zkaz0FRw/
fCbwPDLjbVCYmjqvGFRU74NksE14EDJCJyqLDlxf7yzUjHGEX+/HfLSM4jX5RyixZUcD0nsaNWR1
NumyUx8U6LN+WLfePNj2jhZThycDs5avOSNc0XjjMtMtzfkA81KDZGXsSNilP4yPvWJSJU3q41pP
DymO/STdmXMPn1j/NBybzmGwaHdd2ZuvSY/px9t57VAxaVmb1WPj2h+bWCJu9eijPDa31Mg0uujh
UA9GxwY4OjbDDn6R4763jd586x4bZrO0MRUZzTG8I/RYvs2EnCfk7sdGu59oummNacBXEhgYyLEx
jzoVXGandj3R4FcTLUIbX9NmIFYHSqh5IddWvzHr9DX9IQCAsWIBwxEWAEgCIoCaDVywHKGD3qnj
YKtjDtLCxj/iC80RbJBH4CE4oRBU80ASVKfyE5rjwjkkg2Zpe4pkhWg4ztA2QEcB2JiOIEfWM/5E
mbmCH2OFOmzXH0GRqEBR7IFFZG/IWgY2sVYERZjjFO7HI7BSF00YQu4ywUpVWsq3ljQlVhZHSEYe
4Rl5hGoMJvbf8yOAYwWN/Mw6BtZxjhAPI50ovOkHOaKRPsJAaJmqq3HFhrRsKtNdxnNMr+cBJ/1t
oHDN7zwCzWS7xf+GZy2O2BMJR84uPCJSepyATllHpGoKV0+luyJFQMp6W3Gtwu6Yg9s5wbYeeZLD
HQ00INhYm/J7f4TGYtjQhk/SAJAZunPgM4RN6jY7gmpVTnjxrl6xtvkIu5krAjckjf0ZghGwXH2E
6LoEXiyEixW6UxPm+ATL2Mbaa/HlbboifRWqGggMRwDQWLHAha50DcIKjNdyqnrjnCwvhy7+CCIO
aBvbC+qqqblxc+KdG19fBmme1249xfeZW7eAkp0jcZL2ksTOx3fQ+RtcJWQZPCylhp+ZWMHNDsmj
JOyQcTkJgFXdP5SQbr+bR1R0gMqTbbIjYppB2B68/oikCgoZXD9WgDU+Yq0o9Tvbr44YLGI+mb0O
jthsakEd2DlHzHbBxqW8kaGRDzv07JPy7BXitY5obxCjy+cdBgM2xgI8uI/nGLMnTIgAsI6YcbnC
x/KEJKdN0xxQYoEwd66ZfqrgyHY3EhOw6o2ez11zpx2xaWmUzXeYJ0u9xfguIEJ8JCnrPEVUlO1w
/izI6YppQ4GdSpyPZxdTvXOMLWYQ8WJyc68zZlneoiZL9S2Dzsb6WBhpm93qDp6DdxbmIgE46Zg3
ZCtoWy2vKAWifeQ0QOz9Hr+LeG6bnasZPax1Zp7MWy3MWZfQaC9XE6DvoWbh/xEmQkWM19Y2D7AF
wwDg8+66agRDuzrDv9DTEqUCTzoToGrnlnzLmHEknkfQCAwqdAa5B0zuzCtO2GjZUPlgOq2Rt/Zh
IQv8NdUVcZT0wb0kMj1wxJnBysIbrsUoaTPYuvnJge2GqsEq9QAQGINnb3KpnjfM9537KoiMziN9
A1MWGZa4Ni5zrg3AMdZ4BeTV3PQFvgNegBn/PVXLPO3iKMqsDR4n9WfFlO2tqpdUYDxZh6/TbERK
V9pBsWAinC+t3yTl8okdsUaRwAyDSHFFhEkwaJzEucFz3RmYZH+MxwxiyFiZJlAarbzl9YZIvhuT
iQFRNeSY95aJ2bwn8z3tNlNcTkx9M1L9dg5ktu8RljDOrq8hQHi2S2oD3EqweXp+XXyR8HUqz+mD
ud6gvJnvypzkRRDa3vjKTB9QQYSjqIhrxfdik5UhgJtQMed72GQlnKfIXg4h4xhM5QtzyPbwNCSW
QH3afJxL0sk3QiciD7SiKLJNH9XmfRdP4lsSYMrglbHqmy0YDmWqqQ09AssSSgK5W9CNvGN7+v/7
9D+OFm3/5079jHTRH9v047efGnXbeAVKB55GJ+w4UJ6Z/53Gk6b5ShjrqNG2CCbAwJ4W+b+mk+4r
eP4migD0yOuP/92n69Yr8gPW6ARTnH7sn/TpQAE/hDFg9YewaJ2L6LQy0jXc52kUS6LmpNb1bY6x
THA+wAm/wItNBofJGQz3s1WWlTroRYgh9GmxPBl2/zgZferZf7q06VoEswkM/UhgejoXLWpA29QM
0HX3ceJrRTK/Hc2h3fSDwPv2B9zkcSr747We36YNHCbx+OJVc1dQhCf9Yxwe76/Eh9LGF3zMx13b
Gl/jsZl2C2HOHyQzvOsoTMbLf+OakmsZtg6L33z2aGGQ02jlavYdk65TGVP9TcNa/4NWpdp1Wldv
7MYxX7jmU99KWi/uU1eSmB9GEWsa3NP7tPpOgbMgO0cNDdYBj9m4QYusM+Qrpuwub8Ly9e/v8ldX
NDFMIDvdlEo+d8ocCT9HzVjOvjUiJjBEnVwAduo7gWz0vdDafv+Pr+ea9LmmYmqPVvPZquEcRdMr
65kZQ3gR0ZHT8UbXDX6uZ4bQxxdCNX6xblxLojHFks1kdv8sPKlp3TYGu559keKyV07zjdSyqzjv
Nc/Glwjo/e73t/cMNVs/QJc1SgErCBNisvP0A8ScOXSyOZ19TMHftSQFnVuchy88w19dxKYXFqTg
rKFFz54hWDoS6LaByB8wyfPbsZx7j1BZ5+z3N/Pz01OsCaJ+CMgAchTPboYsVyLSDAQDIXHE3d5u
8Bu4Yeath7sez0N3i619lF0sCd285f+za7OtAoxC2WH3XNk76zP4IQBTz5O8qIHN/GGYsTsLq+4d
TmNiF7SyBsQvlvOFKJ70hX3m+ZNdr0rMFnuzLdc1+my9LNhUKtjEix9PBX4Dpg1deRM5Ene539/e
TxdiJ2PvJt9zbXYc+9mjBW5rykhZi9+txuUjfmOvCaGpb/75VSDU2I4B+ZDV/2wLU442ZhrZe36O
7ONzmrjwQqwQu4x/+JopqqHVQZpQL3wUfnrNiGSC7VAGi2/1dvrVZE8lJ1LCNkMOT1yPpTaJE3bh
Cx/W8YT52wFSsSokJlX4rK75jCDe6wn1wxqhIlutg9PBt3WUMannpFtYt3tmIwfMRQ5j4m6Dqt8L
nIt//1yfvxhwjiBpW5YDMGev78jTCxNC2mpa2iIkV0Z4Cck+RIsMux+oeTBp4TB79NHBdS/Y5z4/
cZkJMG6ShklVgYzEeHZZVbhgGOx2BI8TgbI1G2MJepTkM1zfrCi1+AVP4Z8WKdezmG9CIBa8/c9P
I7KWRpTsmsDbopZ+ZpflIXDT5IVX4fkJpCxTYb8hSdlEfyLM53c1SN5pJ8OYchXXT7Gab5u5WPaa
0KZthMDqhRPvp6fI9QzWDbsLMiNe86cfngb0OWIM4MATd9vtgugZrDIa48aLscmMX1gqPz1DrkZp
KKCPUajhCvz0ar055V2M54ffImM4azra7gW21sXvF+Sv7gmVLA+STDbXtSk3f3wTqhhupbY4yocl
rR4KUZYPZtIWLbiBpvn/zrUMNBZ4V6O7efZ5YUQ6Vch51GoAkG3rEZc9y9bj82VAb/P7S/3y4els
/kygGEXpz24rVETz2gxxfD1MqgsnNVsCh/L2n+6S60fESyWpvTjlnk+6dIS9Y5+A/+WQyN4OmOoD
cibFCx/Rr5b5j1d5di824//WQK/t57auXYTJKk4y4NIsULV9qGfZu98/O7n+wie74/G2yCfU10YD
/sLTNUFaEjIIIkj9xu5gpQEE3I1haVyk8ZzuZGJDI+T9J4+gFeeNoQGtI5ViGNGPfpJaOxEO6fnv
/6T1ij/9RdRhKyGXpXPMvf1hv45SuCxzzspRZE7t1onQJR6XaoedXrRpRP9VQPN7//trrm/zT9dk
iLp2XGiVIIM+eTPgOS8lCC+EdAMzTozJFpRhWr7PVK+9D43yTRj041WXTerw+wv/8pW0TI5eneku
B8bTC+M1Dn0mt5Rv1INxkFW2bON+WIBWhXqha1i7gp/v8e9LPesanGLJ4nHhHvtonC6jSL7RewhS
EdixJ4384LQMPOtY07EULssXPtRfvqOMhxluwcTFfOXpfZZuaxCEyYfaMHXaj7DJ9yiyi39n0/n7
Ks6zbbTGwycaB6SdizFMFyZGgl4B4Whj4a25+f0H98sbWrdsdgTXoUl5ekOoxrSayokPTneHfaFU
+VmV/UuNwi/XJdN9zlXYywStP72K1scEeGGQhFWyXZy7xqLOiWYKPwDdmveltApg3cDaOxD+XniU
v74ybks24Z3rAn16ZVB1Meak/vnZmMJXiupSHmwRazurL6PzqTYb37bjZTeCXT7880e7Rto72D7q
rvX8U1xigXG4NnBpXF/uFlxkURtM4Qs736/evB+v8uzRzqodoeMuytcqiWWGVqKykqCt8eT21/93
N6Q/fZYd7GjlYI7pF5AaCKNLgl3bwTf9/VV+dXTgAoPih/aScIn16z/sm6qAAgSSrXwkca6P3mHY
wP+WvlQDbpqLU7YvLJFfPsEfLvjs6BBGI6wu1pVf21n2UFh6huNlFr9v0QX/G28b8JUDEgDpxTim
fv5wbzVyw35yORaHpjEeFH50Zw0E+ReO+F/dEGiKAo3jlDdXtcCPTxAH76iGE6n81HQRzAsZXOgV
SihUXNH29x/WLy+1Jm4j9aLgM54tiSYSIYPOxPHrwqmQjGnlV9VbOTzgqHuhkv3VTkWcxqqDoJb9
aV1kZrI0NAXK7whc3iBbrra5ZqUvLIZfXwXVAvxYyEji2Q05bspEqgkdn+mutZOGU13OJbrN3z+2
l67ybFeCjkMfgzu6PzcJu3w4aFu45vm/dRUCQ4ATGaRZz9cB8414Gtj7ynpR6NCgNco0iV9YAr+6
lzX1A78Gek2a4qerLR2CxVxwE1v9SshiwxaRvd14CZ35xUIDdOXUJUoFa3L72VVa3YIuPlbSd5PE
hbAwSXiZZFIiDw2IzHrhPf35aisIJGh2MYGhx3i2JSxEBPVpYEm/JribYfisY94ok1FoZ6JEk/FC
SfPzIyQ4BRQeKTfGJnxUTx+h1GPCxtC0+lqTww6aVeP1IZbHv190v7gpLCPWclTyCDmJn16ldeBr
IyLV/RLK+Ez0YWU0ntWEA+N3B3XvP14XNlA5OAVgGjKn52D9kNf/m70zWY7c6LL0q8h6DxnmYYsh
Js5TkswNjEwyMcMd8/BG9Rz9Yv2BUlVnUv+vbC2rrM20UlowAhGAu997z/kOR4pC10gTUK03GlyL
GSxbFOYvfquPz/3zgdA2OFV4jAVcTFDmp7OnRLWK89UF6DguxfSKOs9unAiul7rAsltgLfiCoZx8
6VLwuZE6GhNC7kpHy5cT3QykoQAvaN7S9IaNIijOmx2GcFRdGNi9PODf8JbuHEBhMe1xdIxI391c
/8c/D/m8rupwUGDj+0vtDE+O6JYWHy/QPtvh7awxwUSF3mE3F7W4/fub4fMuixIIWyntJJbTLbTn
0x3OL7ZS91hxWFv0rpjdKsXz0CBsCBNe5xEuMMf5L36pzzfgptfc0sS32Cbe9HMHa+iYL5ck9IVe
B0XsTE4krtNKMhijFkNd/WqM8vmpcmmnkhJPdjjdHHpIn5Zyy8vmBslNTEMnZWgM7cF8bu3xVxHt
f/0mXRXIwHbzge6kK/jzY6W4NVPbPo1DpXSaHPakdN6XitsjwQT8FUa3NoV//9v99cJIB93+Y4+n
J+F9epDpBE/0ivWYB3lqD7Kr8yM6K/cX9+P2+PDRf3yyKOf486ZGYDT9TsKxfr60rp26mimQiLBG
18VLqdpKg/6Tw8ttpq/dhLhEnWPcCPHwlOblxJRXL67KtnKvktGYETulq5H5DrlGCljFtL9r8iJ+
WUnZzoJW6WHp43F/wuZ75iXafY1576DpEKNxosSGwV1JVBJih+KbjXbjmoNu6fg9nRcgw00fyWzN
79AgdLeK7jXY6zWCdM9ydZXybLKKNkQ626cHCL0M6gpNWy5rp7WQM9hZdW/1w7Q34gwBYsnyFyFU
sh7HxGv3BEAvlyjK3qWuZNsofFXRJKbaW5U3iz9pXf5VQyNxJjunvJ4UCNu+Itr0HnUDq4RRD2HM
J/FbwiPwUyyvqDwTaPDm0t/NXgn+xBuXWgcsWWuxPxLmSTDThJ0Ci4abyD3RFnYSqVh5SB5aQXH6
pUumR9ab68GeKves6ZWq8kt0bAFJEzrimn69rDqBIc0acL6PndT9pW2I2qD6wds3fqBJzEIj1yjG
yoToXs0jsytd7O1xd0HitJEHXlGrz048zl9yk45IoaP/xN6sojPIvWGnpKnxjslRH4OZWTzxwPAs
/FZIEQKF6Um94Lz7pccKlgSY2rZvqk4S5zLNJ2IcLHz2VVDBE3J3Mb6tHMJuajmPqKAmKKFeo36Z
hOk8Telk1T4ee68KpauJlzKvG368rk6+l71Wn3X8xMO9Aji393D+uS6ZaEIwYkzwcHa25pMfAtGh
Wp1Uu+4SXhgarW5fOYvmxSf+bEdzci1MGgazrUtiWRbGY/nUl9pFA29+jLDfyEOclGYbNWUvccoL
DGU6IB/7LFFxEZ40kY7yqmHRsfZOZWXq2zhUmdzVXuM8FkaqnFqo/TD23aR6RDl5q6WLCBcxdE/6
sikoOmVy0IeT2WNESb+aZTCPwvu2Enh0vchh3aHbTLVA15LiYlIwKxKY0JqBqRLCcdN2Kq4w/A82
QXeks6KCrrMkmYN6qsQc9NmyJAedXHCoiX5uN8BmsIppKaDdwlzwnMk1rXZ15pWXiUCLQpguzn+0
Xp28hJGGq2iyRWZhkkMeBKhT74tAsO8uF7nMCqO6hQmf0GuZ8cXND8YwazxHkxRdkJeuawdVhWXq
dtRI79npmIesyPFQKt7a1lrxZGPZdxG/gkYcxRWAJqW6TGB/ZQOyWamjVrGSDpVw70poooVTmDiE
244gY7dxNwGmknyt1aI2Dk5SFw5Uo0RRTsLtuyvFJmCPzKNu6oh0SxY1ZeSJeC/I1IyZyeh06xh6
MMlcX3H6kT8MyCjeOS4kpch2k0UJDdZ4HrUC2bSfuaq+M3lWh3BS61zsCIiQ1+64mOYuJYr6GgeA
W4exjckttOaFUgvPk/1GrFmHfcsh2zKsWca0HVYm2AduQ7oMRtklqyNDJW4wdFWizKK0g8AHldJC
3WQg+Y4cZKAauqY5vcpkjjYI7Ih8MQtVv7KAz2UhacvKEgrUhLbfOozlUyLTUD9NU3F09MRRTm6m
JW9Jy+4Xtp2+IvZccpAegtva8/OaEAckrfH6OuWFagQo6sZnvFiFsydKhiGLIrrkxQbYZIYEqyM1
WlN0Dn6Tk1gTpVqRPtot8BVih/CURoz4lWy3GOa8nzBDpEjqVIN4JiyQBO2tKmKmxGiWs6VfxxpN
EVMqcDZGMUYSHqSNi9eo9Bk/jjvnYUbi1GaY1ib7gr2dHi33QKWdUBjDg1GrzDkvFlj1gYdkeIoG
tH9TaJqzDhep8QC/GrBcohn6PMZYUhq+q4gl0iM5RYQBjWlin0P9YMsaLanq0Za6cK3jUcYR0a5d
yiqbOt8HrfAuOToZ5iHFCPps2/2qnoy+XTcVce7lB1N2o4AbBK1wU1pp75KUjzUyces+lxUSv0BO
C14FTLaOs5sdrX9cEc1nrHprIQ89W8cNoRk6G4RAVU0cWmmAb4qJ6wkIonNRxZniTSlA0vmVNk2o
LZu+M/ykiTNCqMRiII0fHPsbN1mfhC77sBZpxLVjoTcWfIorygOk4L1Z5rBqWuMmxdph7dJGqSCr
TGJ+EyJnDXLtpYPIXjptv8PFkeYQSObJCWTlmCXasgxcvap3E+NGM+c82nE3fDX4i7CYyN6bAsOZ
icxJ2055VlvT+Ar2mS7wCMjmKTerAuZzD5KPoFgClzrLaQ1fa+btjqomh/RLqXvn8CqSMsxkG783
+CIIXrUmYGlea1p4fQFadbuCRoeOoSYbrlytxC/nCIVeBp074t8BWZKGHNOZdYMagrMR4uQrHnqi
YNUQW3xRsCuDOttZ6HRf15jF+tLW0+GB6DU4Jl6RTl9NZy0wt5aqToqm5P7o66R6R5TOiirxC3o3
wp4gRrmZAsBIW8i2hSrSTyIwujklBRrpfBWMSsMP6FUeUllyV3FFC0D+Y2TUeYO7QRAItBv4sq1A
FguXOGmJVP18xifot8zQv1kkYhlnDcD23Jd1LU2CLfD1nFIVF2pQTCR6BzxiGcK7WRkIW8SetCUW
G2nHSpAYeagjbb1Mx7jQfbSYmzMJ1J1HNeFZy6HFDLSDX1FpAdTddnjSY1b64yiJ9AkXCIX6C2mJ
pEkRWNQVlwJHHh9EpKlcIiJPpjpMEyJsbtYGZt0QGZ1I81dHzzLx1s8K4J5YcQBu7s0JCmj3QE1Z
roIAuH5Qil09qGuy+khTCIW46SY4h/FutPo21qJ4bidJVa9oLZ0XAFOkZ+KGVsQQqXJtoEng97C7
MuzXeczegNLqxZOj1Xqp+n1nTSxFmwWAJw34DZJWeyH9vM7aOCTfoRv8LKl6eRXr6FoNPgCxf0WT
r37cmeU763WfRE7TyiGQpIkSXlXRhkKA2RD71WZT+t7lCc53oc/NnUryqrEj7cHa10wayl3KgDMj
i47/E/IA6xcVYx021ZEf1DdY+JKglhyELlpTz73dUiXts8nfViIXpvqevPtx2isVqLvQbTmU4gOz
CjeC7TPdkG1t2mfzVChPo8YuuTMTRxNhuYIYj6aqaDVv1+TWTAiYmvR3wiCkM0I0li9BpbiYm8o1
T05q0mj1cRCABB7adkzxpGFBcB/JAm2R6AsnexnRAq4gh3p2P5DOq7crhqo1gmmgO0pIwEImLWzI
BrxebskAPl0R78A84okwdNzzvpHVWh65+ujdJs3SXOoQ4iGXZ8p4hmpmcwkMefq8FIbxnOckjd/n
ElDu3oTCdoVynxWrbbL+BHwHi4RDxJAZKV4JQg9rk/fslLOOv4l+RbJrNU3kfN8u3CfVbN3reunK
71pRLfjNuw4TzuiQsc06qE9QNHJnBmsg61dWRP2+qrWlDyw9bpP9auQbd8PQbAauqz1BAerT75vK
wtwjlR3eFgX2DyWMS3szJkjqsOS9jHGumOV3T7Dv435u1dxHsT5e46hywSKAtHvPdbundpE2R/cG
xsk7KFdtikTatOfquJJuMyg6O7Poy44aDlPhCdIex0I07Y7clewIO4VcCS00tNwAWeEZ0owKSp7J
77JifBKr9RivCJbVMnmxJqONumq7cNPe2IvmMnzvG3TLUzzxl1HVXmGryq5ad3iTBMiGNJty4mRq
LiDrQHMXbDyiu8ZRkN9LjI7foWPpwzElFiokLAD3T5W2LeuRu2Wl9Wu3X+j/7xiqKDsg7iTgGc1a
vQ7l2Dzmink3Uwil/tRzOvIlUk6HZI7C3I9jU4e52q2h2gIU8FNbR8Q9JLYach6nlhkzO9TSPL6t
Jhc1uMgb7dyNleOau2kI0QxkAzlH52vRyqDtF/fCTQn5xVjtffEYQJ4Rg6kFnVPjzx/USbmXWa08
V4R9301yUGDJteZ9i83kZnQrfOfkXnytwc9ShK7KRLIkbkx9+9nakKDMlRQwzdrDhiG5g7voMXG7
6Q6fwxrEeAwuTYtArbppOVQp5BES53e/zvVBGyTBLWTonuujjTUZDn+P42HBZamKgSxF8J+wRszH
rCmzgyaq/GllB4k2C2RgTk0NOWx2L2yFVgn3ph5bGIa4LFEsd53Dfpg2g3malozoPjrY2FVUMkPL
MxJl9r2zkKFJdJ5fx+jT65RWn2fDliswjkCOyPRHlRKbXMu52Asx6894u2w6gGX+pa6Bpvt2ojpX
a7qOMBvcs3mJ6weQWTWfvcigZ9ntWWxi+mIa830Zu+Y4jdmTh2nk0lAVaP8mUb0Sj6o/l5bymKpG
c44Xq753LbO/XZR+sXdw9ksq1klXD2a59JHKrWiso7EzCud5pNz010UlGcoVj+1AW3ct6zzSN3Lh
MjbdGUVotjB2Vb3nrMmddEf8GnHMnWf7JmaXA9FDkA4mkR0R7NnY3Kv1u0tG6qFoACtMhZ6FMEkO
66R+taWt3JZeER/0pFfO8gxmViZpR2B6yoCGzAmML6u7NvHb3mcZnrlgHIhHmGflSF9iPiyOZC0b
l/cBpQYJUjMOw9wenuhHQd8fsLHEbld8iwlrPQnGjuelJV7I5oJY6uKJzFHvh924ZGdTVROFlFTi
HtmvfqoVGHEY+2G0LbbNd+yqJQrZZtzlHCnLIIaQbmDlIX8ih2vjdzwyR6RYN0QKeGfmiOw1MO0a
6yFhlEAeCsyQKRr6zQPrnNS6Vk6wY05jCTAORG9xNhTWFzM2lOvV1WYf/4I8s9RU5X5cZ/Fop9K5
dGz9lgXDea9yk73BToxrhzjT3uweB67hhfJDtEFlleLrjG8ZK6Cb25FV5N0dCW79qVwx3xvqdA1V
yeC5YVH1F8L0aKfaxjVyDI5dZj89ZyM+knmlAp6HOFsCw6ASYV8ytDSoJEpon0JfxNzlVfyk4cFM
KaLokwXL0EkS0PTeBlFgauuhlA1bNowouIcia+d2j6d7BBOk1MNtWgsbZoyr3Y6JUGcSEw3w215N
VyEc4gH7ntmUisK61XS382RxanXbUj+zBY1bX06m8SStSuBPSWz9FUV2tUtNEOO7whQOQSA4ny/n
xKvxaNCpiH23SaYkbPi18kCyRNSBUWJd5oGX7jeNJRawZWJb+8Ub9HJfYolEpFUUnLcIUVZZQAbo
yD4po7Rkp5RuDw6OyvMz7iEoUMqkmjuzSmkUW22uFX5VtrkMMonL5ViQMTIEq8WXBz52VtiJ4f8B
p1DTUYS2LJ1rJc5sFwQnwBUoOcbyDHBnSQP8UrEOSzYxHoWSaMJnNmFnFIF6jwVGxfAizAZQVo55
+K0VSvdq931/XY7V1PmxYiZJOLJqfyNx1C2I4zQqA7O113BjorVLgi07uYsyW5gPtSQdDZYXObIh
juaWjYmzpbwYaKMsQdFPhST7Bjpt2C1lk0dEd3Z39SgyjCHoMRySz4qeW4G53QtQ4NxkEtk6ht9P
PYbVJOstGmITkUeBRfCuddMvZnxBdAjcXQywiNTmLJ8uPUtqCmt6MtBwshv54PQLfeN67eJHEjFn
9tt2yTbHYtJ/H9rCygNRjfJFFLhIcXTifgwBPurOhWJsRfPikNqzUQ0FamKzYKPRaxwwPrxzZyAX
umme5ehyDdVC19Qb6Rz5rLR8e3oiiapwBSauQJ+lbEJyGt2LEffh7dqMXgvMKi5sujvtMofOTC0O
cBRa0bHBVLUiOGgnIlaJpA+Wts/znTaMLJEZYOsmROwxO3sPDll70rHSVnuhdsphia1nwwKOGVll
khfRRBu2R49c4gNalnZcD6Th9H1EfNHyxW6M+B34yvYGdlPfulnWpec6h7o8pIjVdHo+pfsmGU2O
UeL0KrcgJrFbEY+uEyhE9xE2jPazipSMIOXApNx6KMeYTjY3YE7Z5yZYAlF6CajHNIobf0qKcfbN
3sTHaOqLUezc2BsvVtFSkHkj/txAupXT+JlaI6XUaSC5QSdVl+qxcgb9XrjKkHzPczC20VBWenfU
aLpdALuTw526CvJWFMEjRRkCItiKapMvY+dmAJ7okIgR67KlsoGoxmjBy1olOLS59jI3MOJJIfuT
2XfOAGcKnBUQja+1ea2GC/KQy6ao8xdt9nJSmbN0uSIbgQVwsKFL+TEU7CaKTau/HFIHEgCEkg0w
l1ba/Tg4ibPvh2U0QyR9uL1KiUIXogCJnP7YUpKdmlrjhw9JaJS97WuxObD79HI2H3omQMVN2+Av
vMA2B5AqSEGckkLnlEyBXWOKvzdLSfGzElScEcEsVdtPiHogu1aA5X9w+1Ipo5q1jn6t7RTUOUyu
rwVgGw7GTTljy/N0qKF9MuD8xhtfxhekjWBUpy1KwDsAbK/b17LoEK8jpddRZkE9HhqOAGuf+UsO
c/faIWaODRyvMliDtSrk9VJorXahLuBD+W17QVVCToBKb9woNkMhXxrmmIbvKQak4RxnaKoSUQUn
hceF9uAYDhOnw50lUKHVfoxpSP2Coz8lVmKeGQiceVv23YlG5thfdx1i3IglXx/vrM6lrooG3VD4
Jasqy+29gM3T3OelZZKuWSrTdBMvhpp8b4VaKScAx508ubOFto+FpWnvJm/UUaaRFOS9itSQIAFq
vC0DweVkcFt7gFVxfew45XqbA98mZZEnL2suM3p+AvyFJGoVZ2rFFAn6iBwmoQak48pFCyoG1t/7
zpxfC4tKDfupnGnTqUtng8sdZTmXR9ozvfdQGgy8WMlIY1FkUHuxDayAWlChVV52Wmc/eHNhAFmF
tOXdZqVO80fLspET0QBLI2E2DEFuOC54e61oppCunuifk+GkpCZhDX6j5fgw/VxZreLSrlBVyT3j
SoNJuQVlCwIz3aIgURqFEtKaRg+UnrfMNue8mmmTT/O6mzsful7e7GUqnCVSnRZr/UTctSJ9oP4y
9kKOgEn1pSI6btg7zTxy2lbYypXbSc9SBbBUKpT5AeFxnjYhEYV9pQTt4olp38WW8K6rHJjXWUwE
ZnJmU+QDrxxGE988k4KMAf/Y5oA96NkUB6Vse3nLdCrWd1ZdWONlaeuCQbw3NNI9FTGC2tUfutqt
r2QvnOYFAnzl3i2lCiiD7W5WpNx/DPv+v0vxfyFD+GHu+Ree0B3m4v43/wUA6v/+D9owy4+WxY/X
/olUtfXf6V6pcKN0NH5ggRhj/uFZVPgnZFaodPCZ0a79AKf+aVrUnN89HcwqY2gXx+IGTv3tT6Yq
/4RoRnc2hZaOsUn9R0xV4+ex9+abQGzB32cC7Wwg609qzrhPqKY4heNNt/RgzJeesk3JwjF/MGgL
km2yb3rn3ctjMsHpKyKhV6K2nU/O0EPt1LP7+NxtXW9nLt7TlCNUq70t5SHX/Hzov/QqWaJFJcgW
sHwHH1+Q9Qo12xgPYb4i/Gk1Bcb0zNZITmcb1ZZ4XtTG4kDsnOzRqv6Y8v+jG/ZvwVY/wYKvxve2
H9r33yBgdb/thvoNu6+o/xvAsPTNpfXvTbb3YBm7n3FYH6/4LyAWxivktigUuD+Bwf/nPev8DvyX
6nSrWxgxOGiB/tNmyz+ZiFlU1BPodxC8/9cda6i/c6fitOWliNbwe/wTm+2mH/hh7I+MjxBIA06x
oyLn/ovjLgfWOqsLegyewuorWWTpaTUzD/TOMN5NCpT0pV3na5SaBF9Qrf6x4v2/Wm15+00IRfYC
jzNmPOuTngf/ad9kpSl94Kba1oQeXrMunu96By7oDz/J9R/X9KPT9udHk/UCfb5nIwzG8Lppnz6J
Z1noTWafDvtvnZf3c5/bgYBLw3G79H5xVX/5UhHFc1WGBq4Mmc9nMZ7R1jPPNBu+amG76RmZKXT2
RrictJzFbuUt7206U9qOqBXvnSHmYhz//mo/myS4XBuDtmeg/aGDih77k54jG7Dut0XlMwTJxWHy
prQLgIIMFtEns2JCRtBG+kxL+WwlJl3sEXriF6M0+3yHTHx9s5kS61E9tSCp/v6zfdK08NFwXuJ5
wfWFVhu77M8fDWBuqa0bbaF21u5CKozZlaqpfiHf/zBA/HRro4bljdDrkMXksTb//DYNURh0rzAb
F0qdETfKAYYu/bgyvbZo2z87c5JdYZgF+GDW1bTu4ep6WBadynybmBSkN1mrpzdNU2PmbZpR0MaH
lFuGQ5Wrd3knnInubs2AZhKls1vXpLusPId+sDP1Ck2IYtGNHWysTXRH+f7t77/FT1okHYg2+irL
1iykfCZ7zc+Xh3ySWpKyytfBhu3sQnV3DU+aPy3VFHV9Ov3CsqT9izfEcrkpjTft4Ifz/0epceLl
HLTFWvlaqu5Nqyx8ZN3htvXocfHVjds74Vr7vOl8T5jPk2qfKLdhYPf72q4vMN0ETaeMv7jPWQd/
Wr/4FrAlbwYn7IHkGX/6kR1LUS1lXJCotFZ2J1nEoipe3omLoKlpbqzRpiv/2PX+7aL1+f6ljY33
iLfcHm4e9E+P1jqmxN2bHjyOwhXHVFcZeJXd+M88iluznGeDIDrAANR7Gzz+x697yOC3oVnk3im3
JtLUG0Fsd/Yvvr9/dS1sAGgAESQaHK1+fpdlxgk8fkD+xjI5ahZQG+E55T9zE2zXwvZG7xd1Gaat
baP78Voar66UuRU8ilnzUpnG9FVrWvPt7x8IfvLPNwNSe95Gs0lDgJKvbRf7g+R+1uwOOJn1rfUG
1nkVfVFxwPDhyXdbA8wySjV57BJGsIfENBU9LIvVsSLWwUQJm4nI2suhN4R+CcOH+nsgKUlcGpXV
d4fOzpckmFeCvI+92SduwPGKNAmdNBCUVajDrJtqnJvyDH6Qa5xDl+O15tAs8pTG1lb1LaC7g7GL
8+HQGXldhDUxpRKDJhk9a5OMib+WUmWigAUI2imZ9nvEPgPyBX4Q4GyVNRYhsbnza28h7Q7bfqPT
USvnCQ+WnJIrOSbGAVrOXD4SmcqMjLJF6c7LtBrW24HBjfoQi5Qj6DiQURxNntZ+8xB4MWhrYegG
am/n1QHypFGERQbpNawXFT1C4+gVdb/QN1TX2C3VDqm0m+wXc20fMb7QLhmITO5pjEvrikFJoUZL
67rDKV7luEKsY1YWbhOw5QI1RcOEh6R2wAykEAPyirX03rVXhlq9lXraTlk49/uaucSQF3PdbfZ6
P9Rk34nWHHwmDQo7t9ZZWsSsY0CnMGrGQSWuvN0lxDUZR7SpfD9FZ61Hl8Eyr6E4/SoW4DboCM0B
hH1hKc1OQzFYhYncvkELoHgfEWOZ3PSAwys/Y7u+JOmmnf2ErxR5FSg84grFQh265uv4PC+yeG8n
Y+wihy6ax9TP0x7aseUmKE3zVtsCQ6/4Y226xXHaVdQWYBj3OnQ6ZuxFvD4ypFjUi1kQ9RdpMyzC
HUVzvVtMUkmOescifNLdpZ9oSRtFeY3cr2l3WqEzoiH4o2g4WwzKk9YSwBYpsqF1JlFkPrvGWL3G
GcFFPsfRLLvAR50wY8oR3FxqYm2e1XnEl1wR75odWvBPetipVfM2Gg1sPk/PxkOmFSV8hMZeRQDY
rzuKNa3pgmLg2sRP68Ik31To1dPlq5xgbMqy4QwBFosTI17eoM5m4xVKi6tA+uw9lVG7kg671Jm1
8gzC+Tjxgab8NKG8eG0Wdq1ArIkGm49WRu1TwyBGg7skWPfoHkC4FE7ysjiNZx5s8oLaqFoU/dWd
i5lIVYzBZJpVHGxChHv9JT2E2jlKcinaU47Ic7y2Ss/iSVEnRP56ocd6kDStOwcqeEADdKvnIFFY
UjuLkhpCXWAxoKl9fZVKf2lRdc4E4w2rcz2Aonm2lUbK6xiOXPygoUrITsoi42NS6VoRDHLMGgbU
I+bPrph1O0BYYJOg3Cnzcz51Cp0aUHwC1rmjgQbzuvrr4mXTjZEidkh8HcpbH7kTYk+/w5qQ78yu
t+1IjhLAQSOWYt1jOcUfSKxNX+71tLBEmCVaR7STOjrGwa2HtSddy5XHjIS3+ny1SG71bdZMD5Rl
uumFhgQY1owHGXFH3SI1ld2o+3pZeTVTjbG+LAEuQkw3IWH4M+DB9ZqYLRd1EOqLN6i2sbY34U+n
6PLm9JF5Cp0rGRfyLTN650IXRiYig6bsGVhtL4+0muCQoM5deWZrjX3PR4ovYqApBF8KUGXM1svO
IJeyaQ5Z2Y48tnkLbnu0apt0htY8Mi3wptBWS/MCw209+U3sVBO8E2KYwgw83YocTXonEs5Ee4Gv
hNMQ+X6tQeSojO/Q/XDFY2Ukbx4JS5eKuTrNsQJvMAWmW3YQpU1vWPdF6a0yNCw5Nddj3K8EY9nS
RNphTZ4d2PbClKdiRviCJHU5UyutygLzA7w5jmn5RUNSIuCPi3YPYg5IZ/kB7Mw8txsCGPBVkBix
7ffOql2tH3BPJiKIMtOVfY2wLVC/6WBq6Pq6yji3PUU5Y5II/Wy0PHlTVo1e7EDnIYxKPnCikLwY
w+ofmNH8AznazsRB8ix0T8tGJEW2q2x4yYb4FucDWjrOfa9yjJMbzPQDbDrNCZDTtFCoBOUH/JQ4
raGjIelYX+HNMWdMmSV1+MrGPvct7BV1wBxTuV4+wKrM4BU1WDfeKoBNpmPNB4ZVQQM8BB0TGnLo
/0C1GkbylLM51ScTOYEWwPNvyB1H83OVfOBeYSOLu9jO0BrkWpZy45RDdl/0s0sTU8bfq8HLu0Bp
aPOeU0jNrm+gEqz368aW7T4ws1ZhVF8WTnAe45WOWMqUhPvctz8AtY2SuITjbdzaYYi7c4WHmknC
xrVlTjxxYoxH/aHE1OYGLCXu84rC4sZSyvpBFB12tEJPkUvrqi6bwBK1OqIFQoQUmVhk3BtH5uWM
NmDD7pLN1sI24wu5JN5GTKf0A9ILLI/wAMtqpm/VaNb8Eh803ypWJEy1ohlQchE3avhVPfqx3cP+
rT44wHBzWEZ0beMDE9i+wYIHbl+DEZxTDLSPtsfqAyvsfCCGzQ/csO19sIeHrAVETOYVUOJZboBi
klCBFZOqtpGLabf1zknw/+iaLlqyuIhHnYWnTP8DdAwdYXCPTSesLTqNlDZW2aUzvg+pqcFQbcgq
IbS2yJDvhx8Hu3/UZfqfCVnXNnDNv+8rXWf9txdSQH47duVL/db92BX9eOmfXVGMsSRD6bhDqM3+
bH3+2RUl7OD3reVBj2fz6qseZ+I/e0yKbtAWZVHB9QE05I+K7s+2qLLB3BjeYeIxNzgZhpp/EDX1
c+VIM1SjYKIWt01oOkhptiLuh3O57fEEjUO9XlozRTSwY1+FnOrXMzNgJN2/8h592HD+b+W/vR99
WFptYLg2u/uH1+WH92vNas40L9Uvqc5pwqRmGemZYDMe7UukiF9VNqudgEG2V+LrqnoCuUjYSKMv
v+gDfRBDfvogoGxs+EGUpvT5XPuTX4hiGUJFJ4i7ZN7brCzicZ01vlbN6VnTwYqu4z2Ux8kXZuoc
2tb6nqA8qunohOY8WHhYuptBePW+MqZ7R9BMmisTCIIZH/pcFbtEcDBvWlRhY0/yZp+M2XF91m25
+nVGvO4PN9+/6KARG/dTgcUXi+ONUs7aHGUO5JJP1aK0mrSy5gbh44Z+DwY0XYtvfLNsInZRLOqn
YdP6nMziSDXQ9oeyu8kSv7325HGL7TMPlhLY7+JUkeQEhRebnhutetSSpMqxyWJ4isblQlws4jzP
SB0MSk5ACn0idFkhldrRbkLDCRLzFklEixuCRb3e6W/W1uTZ2am/Xk6bmvbAeeQrscGLs8+6k0bZ
gbGzOaKoWa68+ovNRMsQ32rtZNuHAQn6HFnoLw6othzIC2UISd1T91q1H1yIxIj6STAKsKk7E1SD
XWn7SwZQOkgJuclCeTtcI1akZilvEBI8G8+km5EJ4lyjsEQmleS7qnssXN/LUQCGWu4r50Q071+T
iHaT4vjao7hRHj3XR4ej2ru5QlsbLd23uY9GHJzpxWoE/TcwPk0Moz+szkjJ+dqoB8sj2wseKbjY
PfI6S/NJ2Llwjlbo3GGgMAY/fu+A0XJkw3Z0lrzyq1l3HVeVo2gKmsp37g3f3sd7c5/SuPHTi+xx
TcJ4OazNkeQZ72r6sosvvPPhLL7cYsnuxVm/K8/nJ0/zzQv4ngjSR2KqXknPdIPlhEP3GN+WaNWQ
MqbBLC/wpczz3rgeFV+bfC/EJoD+4bncK+frc/VaX9AyqmSYE6+wI3VlP33PGfTelOdT4J17R3QB
CKf8JJBfl6O7m78kAenTAXqj8P+wdyZbdiLZtv2X2ycGddE9cEqvS7nUYUguOXVhgIHB179JROZ9
8qNI+Yjbzo4aEXLhgGHF3mvN5R0Lvql0U24LoqGgoKJKe8vfAqjUb+QX5zpGgNA5dZtk11xM7KrJ
dbrNr+wm4oF+rvdOmB1JW2/zUO5Y1L8Xx+ZlzvfBvX8JSeVq3E7H4AddwevgrqINSUrc9fKVz7bb
JrTCYcGDVbo1tvVdfWcXYSAjhRSlCBGk0ExGxdw6f5Wd/rsM/g+x0z/NRL90B09N9/2MYrr+wF+L
nxX8sfbtcNIGsOAAPVJN/mvts2xyQ1hzmK5ocFAWYvb9d3sF9OnaI2RORjFGGZUf+tfKZwZ/8B9Y
SgnR4i9QGPsnKx+ZJ++mTM9k+aFOy/URjMAcO4dKjSoLht4kXCmg0X9wzEpe5ktj4skTXeCR5UfI
XTglen4kQydddhrZaUgq5y7sO3u4SBZvOvaG9QzZBBFm5qs7UwyfZZNFFsiR63rM5iet8qxHU+s4
uTVSTfvWytUOH8tyCXveyTZ9O9zCKCOv1+HgcrIIWU22per5LUiWqMA1tyi2Tl5WDCs2CfgwwXKQ
r0rGcddfSd2Vgwx9968yuhEXP0pnVTgierQB71mAPbNNkKS+hiIHOcF2VkRVtZshr0CJRo2dKLXG
R1GJRbFDt3+yvYtJjK64aL2UJaCdc31T5QAQrdjh1K13VYVcOkmc67KbpqPPAZGvCzvPhgjtGs4l
yMYwVVYmt3WRGcPq3JgW9xqPSGqSmcBivl9DHe37WOs4LTEd+M1dEhOX1A/KTk7TkhmEsyxpOUwQ
LbwsOXZWGzxavYz1iR6r29tUXdEZXDhFRcKdoVWfRaWUd1mKtr4WQuElT/plvKGrxGdPlebJ5zDI
DBPkSl6Td8K/iyjNQ/BRB85XSyYd94BRuXzUXeQuJ3fRpIVZ2ciTKtmlfRfnwar/q9pdr8Z4TGHf
+nkQdaaiytAlqXNscz/u89D0XFc7BQXm6naj02midEEz5DWhDYBbp8kd70KnwYSQnkE0hHnnlgqP
oqwprPkGpXjFRVukm9ANd06fS46UQ6dDPneX6ivHfyMPOyMemebgB1g/gMnDrU7bKgmXacaHMmUO
2oupqHAPthnNAJyiy+tg5sA7lVoMJ0SYrH9GUEl6RYWcSH8wu3LNIfTseE0DSb6WNlpptL7orDdO
VgTUJKhpPdC3ou7B0ZplBHgVRQWapLIJUz33ube2kRe+q0gQ0KT0bhy7JRVmZQre9ImHgQ7RDY03
AwWxiLCuZsd48u03z7Yqd2POsX8BcgG3Frgogpftpi3yba3Z3iUqFBMHk/CCQwmunyWlmJZ7vKWa
jqUEpAABjnZwVeg+ZpISocqx6KwMTfoCfRty9TI/dk6XCmo9hfzmZ+2QY0a3ve+p13OgKz2lv8Aa
nZ+sdsWNY90iUj6FzkbMKZKFOLRFUxWXZo14/IrEPIsg66YBhI3dvK4vEqJrho3gsPxjxXXH29Gu
8jQcBHyjyEKtVx8AHhpX9piA6/H9km4t+/ud1kqbbQdknSVSxTzql4mvD1MUd6ATeCBuSz8Syb+5
tSEekwE9EhgQ1ZQdqqj38Z8RCvsMBX5pt4s3MtqWIqge9dVb4OLLuHb1mtLcSBLeLqtrvFB55uq4
tdK0E6Ht6NK7W1pPldh1rPbZ65L+hwzQNOwQ4quXjCCme3pKGaupsowDgF28EWkzKoxu/EPejtAG
dYPUtT6MCJUhA80GsW6mxPRH8kls+/ZuIWGy2FnmpalAZcJ6og44uP4OrwgA89Gzk+1/z6PD/Gfe
8coP+s/n0evsl9gvY/2Jf+kc7D84G0BfsFiKiVrUOeb9tRKb/A/WwCBAzQA8iODq/12JDesPH+Ko
hctKd2lBrWe1f63E9h/r4gn7AIUEnT2dn/onZ9Dz7pClo/CxIa5wPfpDKH7en0K9skdVSfG/HPOs
VftZV4jBLLPRgyPuwdm/brEZc8IasyK9glc9DJE1lB2fU4KmJ+yI4XNDqrndo7fqQaK2mJLpJiCr
hF28k5FSjNpM6P6pxbzOTG6bplmiGzXx3UZGjxV7Iyod+2xhel1+8GY7xxyo5417Zdf9pIfzWu1G
whxPLhJMGD7bwKBWxMxqNPWGAy/1m75scBtIIr6uyC7WvpDS5eLflhPfLkdwTjp9kADEzXD5Y7Ul
Mq92q9Zgd2wTE2ZPBQfiwk+8do3iYtdsF1O1hHls5hk9xjzootlVA0eBnCb2ZshSgV9jdBt3u2r+
yG8XhTsf7NouXwKvMK/t1G6M7ZCUyQ2zW/A1NXxnDUBDEBybAZuY2aGehGeUaPZZSsN9ifFDVZ8S
4ObOJselWV3NZhlUp2ksCAWomRzB/VHR8I92iYb6AXiJO0RLy8F9W3hL0HNG8/wFtkuKbSJ3pP/c
NL1lPDhNKpcrJ+/kJXk9vuLtabROOZnK5VSKWPQ3fc8cdzRz6a9tBrOgW2epAWTMpF5qMiLkTgR+
iip7hJL8jONxtHdTwDJy6OMUZ0Diitwir6gX3yC5NsZmEb73mrp1jBPanG12ac7wWUeU5VC2LAbO
j4IqYYqf6rWPm6aLQAlO/b5bCodoJ6NqcH36DspXn7SGi9xxtIlqoJydXQdCDz28nfVUMGZ39Da1
rDj7KogE+d7pXTw8nZD9YWg07Xs6ahAa1JRlF0Bn03ttyPo3FDE4YxOEFmlPGjmHaR/Fc5n72QMy
U+TH1lCIHUFgCg/70nWgwxfT+mTiGTKwXejVDM7Dce6lPYI4GXNJmHCWliwCY8kCsYnNqTfxflfq
RWFa0EMlZP2KLjcjl9oaQM0sgADuROk6/G6GATLDtBqcYmU9LsSeBHr3IwW28Bpji7lhv258y/Ql
L3d90qhpIz2UF5E7xoC/3DGbvlBfMcVGl7rZ7WM9lkDI5sBqNlLVy1fW/faGxUtSFRAdOcrFCCkA
/1nMMdmHBUiWj5nlzclEt92zTzWbLEycHi+2Hk+zTnzrYiwvZZHEr9VE/WPfVkRYXDi+XNd+iSXl
oSblLYVEG+BcGQezuDVyx7yP6QNeGtoyxORwF/p3pCLmsktwt0N/GHP/JXcS925wh+ClIdSz3tDG
8TKKEdaAeoAI1xtBDvFq5TBjrPTASchEHfzkh9nPesLKKHw2x+W0mMTU+kgdHKuZkjBWqnyaYHoH
TGLpIp/ypkw+y3x9P9gpM5sQZ/RJkTtPTHoK0a+xKV3VlJvU8gXTE5FfV4GfV086AvqEaKF8fl7m
yUpvSCXo0Je7rizuO2VjrcX05RaY3ZbkQEyTmPYuWQbDNulcVW4dcnbmUAr2+ZGllbjgGuF2OiUo
u+RcEFdJT0CqR9C0FkgLH3xtVCA/RuKI2DQkqSSMu1jvLsi0JtLshojPqhyzK4LmLXaFBhXsjbGQ
yYjtg97JDv7o+FnTvQbLnzBx3pBGzH5QmMkUDSqz2KBJjI/8mQxq43q9e1P29fSt94fuolV0iTdJ
4BBuXMz0YiMyZKx7Bqwytli4oSagDkinbTYDCYwylEx61PLB0cO3FhLZkN1bNV4IP5+2nte26U2c
kqTYgRGjxGB6yX0mqhHhZ4y5szYFc7JYm87saKk7VYnoq6t4cWtqKRW2142Y80RubVYf7HsLHSLc
DtUQbN24qr9kvmBQwNRUFFtE4N33sbbGVSE0d6MSJYDOsFbZ5wzwBeF3fa37EXbS7NFeHaKIv6zm
FNOV7LcFbpic0lmLaZDZFFU/awYVvFmYjr+BMwPGnNasJqIyaYinanJ2flg9SArG1EFxCXWRASFA
6e0z1dQA5bUsGHwjR7oUSnflfE4HAnDJiYkz0Lz5km6F0aaQWqklfldBxnmLVT7/7NMv0eujPeHm
np5jt+KD5nDRGd+noaqv5bLAeDWNhUpWz9lrH2dm8ZYrs6R+7DpPkHqWz6U0u9dUYy4Mccq5341e
4hDA8472v8kDqpJ917zZiZPu1eI1FyjOli+ZYcqrIDYExr+4sWiziLxrIoE/k/Yyvr17uBXGJ3dN
OdpUXlMEG4Da3ktMZASAh8Bc7otMW94KbYAM4zENhF1mD8SB5YvE1OoFNzaRwmvxCfgbpg2T+pQO
aYsgJE7/R0fS8d7KqaAKtvDR4MOQ02jxoYzuY5FoehEWXeyNmzK2B7EjoruVFIK7Cb+wU+hXaSnS
116R6LZRorVsSpXl7N8l1mKUdNk4BF33w4BEmBbXhAsD7BD2dtb4MbO+FoE+4ERBw2LIiwl0n7pd
Fqq5NJTcSfqXScC58NJNtDFnZVFLXD+6ZTbg0sLDyhgo6CAfZKF1OnW8pNKN40xMpn7XzQJTnmd3
nMMIkwGQC1axvfJBx5QX2KzdbuMtufFK1N00fSdpLxGXTRmXWsQMXDEzlQHa/HkqYvgfroV9tuT0
8y0ptRzkBNrUnhAoF6trJGQWx9GiBj0+9nKWoEmWQbO3NNTr/HGYxxq/fJzr+SHOpgT/GqmmJjYK
Z+bBBIM589qXfoy/SNvuLdLca6QEjWx8D5FNUI42bAdBkFi9IzJ91H+Igmlso62dk/3s5tpEZgOx
McgxHL+y/csgG+L5bQiUXlz3TBDdbrAqv7vKioT+c6wTS3BMg8IAi4MBkcJMtOj1ihHAo+xdJAXB
sPgukybBQGyXybemo4QTAZDReU25Uw1hZoO62MKviKeDiqVtqU1FpJv9XapBlidsUnNxuyr2lhDR
uK/tYQQN+gkH+yhCfWbsHkqhCRdl4FKQa0blyQqthUD1Z8jJZraG4rEJZiA76skfc8oDMOImWhS5
KYT3OZgM40XFmjL3xNfFb7r0LXdfFzmBNWWCvnFTxTq2eHNhMEfDWMlh54vRGw51ifzxyDOnLznr
Y9aHbgfX5CZn4ikJ8jHlD+JmpiufaO4vHjojb2f4c5HtCFPtzb3lj8G8nYiWM6m7G9jGGsdNwP4t
HiYsexlpqfi9Zm1naRBQ1aDbSS7J/qJk5WmWMZOYYMLa6lpPfGNOAP3hjBxnmVX0zKYBj9P2ZvAk
nzmAfguuCNsOwW4NUQTruykkvBFffxOWTpauEXC03bgFHfStK01BmG6dFnFENVLhO51HNBhsECgD
CEfxvZGyzayHPiN+ojAGwZJPVTw2NrvpncQp6ITUtLDrgJlSqDpgAN233Zy+4ZTJCwgfrsQXpOz5
AgQBkh4yBJwhamoOspum6znf9sKd6H8EleufjDThEXeenn7SjJb2hXQTQscGq4OoUDuSktkocIDe
WhKa1hEpVqbY3s6yubDJUyNxMo3nhqqOxhk7mAhVIj80X+zNKAmRvyLNkbZKAyfRvCiQGRFfanVa
usWuNmbYOI1JizSdt4CQzcU7BOPGR+7EP1ZGOpBBGDc2pQvUU3MtwwSls0dUfTrNdEaC6XXUFsza
0HiaHwl28gAzNIHL39qytecuEonG4WLus5aQctfomwX1izciKbCSwe1w+46DVFTxHK9FSMOxI6B5
4zmIKPByKvLetjMKczOsRD8GTy6LaLxb8Gd11x76iPwT9BnMx2Hllch7UQHnVv/E1jMnODxB9zws
/y3hZ39VDtYo7/9cONgmczv83L1e//q/6vfuH2hCaSViAUAWhqb2f6sG1BOYTgGUIGO3jD9l9P+u
3xtUFAyHwj48xlXczQ/9u36/xo/b2IC8temMv8D7J1WD8+o9tknHpYhE3hHTvLNaN37uXPva3Bid
7SYhRUS6aNaBfMZTy6qeC6qnZb8T2eNPD+Zvmqz0498Jmv+8IrJ9snPQ/Frumey3rVIf4KOHzcfz
Sa1q9hXUg99f4s827f9vS5OH5UGk5o9VFG+za+Pp/XxXcwm0v6tjzhDsofqbMrYgdLQX7apRQwpr
69eV2YTV/PZPr4vCmDftrE0Z6rw+XZefr5tJ6poFSlEskqz1cbPXOkwfiX/hWlvHSrakOd/BA9r7
7pffX3l9Te9uGLaAa6wtH2pMa5jP+wsPvgbXD+c1cDuIAgo37cby2m05jo+NZU0RK8y/unX/UST+
y8jhkmA7TR6xaSDGP3uP2cgeIQGRiS95/tYrNZ68nKpDKrXbUfeeOijb932VfxTg8zeXJdoGv5Hv
oLbGQfT+TtF1QpQiNGXVUmIamwzzWxHLHupScZwA0VjByZ487fX3z/eXQeuz+XWoztoOJqJfXqww
fOpCc5KHpcbOKpTGUH6aS79Su99fhy7f+XtkAJkcLtEm8CrPPkc3Kd2uF8hQY6oi7Nd3FNc2jV5f
TPTbf3+p91IHvhEfLDQGWxqHlCet8yHjJiNWCGHmYe0Nm2y5ViYf/PLBRX59butFiAZCe69zjD27
n3Ypy8ZYBTBZR/2cuOSQStT4V7n6P47Ev70TgmpwY+BCQ+j/fkhUqqIkNlIP7NIm3mkjO361tF+t
XE+jf/7MCLRhNqfpijzk7EpJHrCvAyoWlqkeMnciQC9DPr4PbujvnprtOCwXuF5YBc6mLw8GvW1C
oifDPX30nO4Bh8QHl/jTKvB+xqDEyFfEhpBX80silTaB7tAVb2bs6XZxNjFvYcU2h7FrHhZU+kk9
BUU0A1ug5BEUhy6gY2vCPbs3uxG1pBoojyh2Vh/8Yn/zMtEtMmCwrFqY586+70ozrKRP/BzMR4a4
MUUeA4Gl6z4YmOeg7XX4s/pAk1/r7y6ok/eDBqMpsmZOfyHMjW80qtUuGfJHTOwOiYMOIEi9+RHA
GfjsUNCgY+MiT2Hb3J8yRy8uRSKyg50r5yhsdqSetN4GCYF8Ki1ygajgff/9wFsH1tnbskyaB7h8
aTPwub7/bV0PxGhgEz++zA+l+u7F12Vo3s3W0+8v8+fC+Mt1aKMB2UfNxff0/jpGsIyIKS3Em6N7
QuY97SZ6wtd+E+dImylyk6PbU+7YzCbw842lOk7Mptx2WoJdAsYjSPJSfDAp/jrls2+iRbLuiLAd
n0/5FCZNNuB04UC3hOSnJbcqGL8Ww0E6x6GatEMtYJ38/kn8zTBcNRJrV4cNWPDL7IhOmOkerbuw
vW0zgUNLs/oE/eQDE9/ffOqsKcwmCDzQUZzPKCprew6MgroISeLJZqjiaVc1fnz/+9s5vwwOW9Zo
pkhWTkMHRvL+veaGhqi2Yvy0c6LdBKkVR3Iy+w9u5nz1Or/K+lv8JEtciia2Kk6OYdEIE/ZH4lEr
W9wLE9vFtgR68cHAOH9J59db//9P10t1MAjjyF053ZVtXCzi2fjowf3tJTDTEkDCjhtB9ftLuI2O
lSjgEkF56dJ9x1GClvEjw+if+Vk/f3fciW0DXLfRqiKn9M9mI7OgtgphZRVNJ9Nlb2ku5O5WfR69
dLzW0ah87fueYvIC2o26Vr+KXpZGLv0H0+L5PPPn72Eg5lk/N+uX21XlbNQ9ZYow6dP9WCMB80n3
3qS6sx1MfdzmwUchVH+O8F9unY0IkzHiXqQO75+w70yWo68OVNuTam/DOL6raHigC+eQumRj/hD3
gRPNRWxHwqJfAh2TEIH0tgA4irnleqnFwfLuDMMVj/BmP3D2/c0AoJJMEAPTK61f8AnvxpizQOfK
aCuGtBf7V2plxQ5GCkthHCv3g6f/0bXW7+un8Sx8q3HMnNl3FhlFJes7EOgdiecf3NI6Zn954j/d
0tkT18HPpzRbClRZAWXRuj1BEQaUbd9g0rmfUf9vhkZ+BT9aRv94GrLZdHB6Za/G3v3sypS9B0ez
Ooa5i2uNyktx0Zn+R3Pqr18TqxcEARzinANtPtv3z5E1WB+SzGRbU6UKfFZ1mDn2AbTUQ/oKdB6T
JxpMhyCuT6NM90DePpiYfjmAsnUn1pvEHVr7dOL9s5kw0SoKzD4GJpUk373BvkZy86A34F5kld4Y
3fCoSyxpmbUxu/j4+4f8yyg6u/bZiB2aMdCLfqWQWq8TDjnaCRuFI+T3VznToHvm+S2ePWSjnRoB
l6gLxTTTJpIHUL5fB8ocG1D0J7dKthRvj6KUR8vDjT+CBUUkMO5//2usI+bdWF5vFumjTzThKnM8
G1GFJ3o963nVQ5HfinQ8ZZq21Yz8wSrjbdxU/3iC5HrrPIAak7kSvf/7oeV7MdxXBWCPYuCGKWOv
VB25jCkXGNPY/F8eMoFr3B2hnfgfzvToqTaOfZ/wLsUUHNI2O6XOeEcb8VTb4s7Ig6sWChCtQ++y
zQDctbO/piV8NEefb8DWV+3ZOvoSj06Web4BKzJvktNgiBCHpC0fkXsyRy1a791ohbC759qSU/tQ
2lYjdqocW+f+9y/5l93L6q2m3rX6NAjgOXdX13SElmFg71ks0yVPOdmMbvoPKyjrYXtlWjgeBQ1K
cmcrcJNndMOV3oWtAhjhUMpt01t/CO5dvXmhDfLB/vJvb+mny5nvx9FUpBbxoXkX5qQFoDkTJzXK
h98/tvULPPs23t3S2aZP+XZKsWHp1pXV2bhTF021tx3BGa5zwgc3ZLBUn1+Pg/Gazkvpy6Lqdv5t
xA4Y87JKtQ3ePbQSPfSGyJFAVd7kgqlwQ+/V12hGa0W8DYa4eWg4ejokmEjHAu1NU4e+dp87Lg7O
vL3xyfdMIeH7Tnmd5Ubtnej65Kj2h9lZQHF66rqcDO0FRpp3YSEGLr70vYjTyB3s5mZqOLRsVvw5
XoU8pwlkEBp1KDrR3fpkmbY/aj8zb2J97IqnwMCYy7Qhl8tJBfdeTjRA72nek4fi9W4y08m/zEwg
Z4cZtcxn+iV9s4dq0tx1Og0nAwAZ5tNlVM/6ZI5sSRZ/vkFfAknRtZytLsz4LWNhfUFG1OIcNbzr
3HOgARYDOqWieHOcfrGPeGlxVLSjQRuaKPNERMQOoIHsbL0gyiNJ3P1schINa/bzYh/XoFdnghG+
loVPSCKowhMyYm/arlJCip99Or7obWDiMYnry9h0E5/OXrt0p3HIrNsCEkppDin5MnF8gsoIY7uw
ITaKzv2ka8XSHZzZ0C91o7bvAlXBgc+XB5dkp2sB7uo4LWlvRkXn73qZ7mKR4+k2+sADKtyk24lo
2OGgQYxEl+CUcxUOsplIA7GHqCJE8qZDYXI74KeV28qBpyl5o8gftUU+JHFtPjkDwmNKUoBsI+U7
QYXfoV4ujKKFSC7MigdXbREHScwLnVA0xGkCTdV8In9mCBeApehKBOaLwntxm7J/6/SBftrYXRl9
YiKyWqJUn8VttbrhGZmYgEv15ruYIZq0wMGjpzUtd1HtW2c+mThAARjY7ve2mmnKu5Aai3wpI3RJ
7tZbvLYPTTuxrkW16mZQ1d7xvoYbDLC6cRWI5ZujA4rUeWkJetuS52zXbgM2pzlZQf1GOCrag9y/
xU8+c9IdsNUgXyNIxgTjqdufin755lmZ+zkvrfrS6Kd2i26WXzAr2uPYuDihGyy3IQ3uo9mab/Tk
OkJvphStSZFt20QhOAo2Wlk85SopNwhjj/6owTWUiMjTH8Hco1zSSQ55UU5zMze8YyYmZBGz9bhY
HS55MN0nr63GkL+kHSpvnogfZsHXFmTHcPdhb7fSvMmCfuZ00szhIslbqpVu7HJjvHFZ6cLenY3D
VFFCKKeLUokt0sRHOPwjLTSi5kOiVSl7ocsWloJpTZjKpncqGapYvFp6lyNOK9srFCDLia0TAU18
Yd9pctEhttzUPsXdF+joFxTmDBw2oDiDFw+w3xRXN+WwPFXOC9jziRyrJ/r3en1n+qlq8KLLGsZJ
Jg/wl9Hna0VdQIeiabLRDWE+SP3NXsjS1H0ZuWkQ+WX6eTHNrwkEXkQlOhIADX81r354LDjrX/R5
Xz71sZ1FhoAeTI08LU4DU5sY4YlL4AwS4Ntrn2nuLhN9cKwSZoVtgqRKL4yrDkh6gjdsRj61Snl+
0Iy86EvnRCbEbprRKpMRQ8qrvU3RilfbsXRQt+jAvEMLEHfoD81zMpZthPeRoEQobcaUd9us6itO
sj4/Dw7ITtOD7ffbeqGNX9kbWw++ONLczTnZBCwQgI5hXENfy+Un5RXwCDMul0elUQ7fAaj2DYeU
Q2+428Fut66Sh1Yeclr4BvEvEyoKpAgRCwFMiWYaDmPrWp/EZKiorgkPgloM0FsfT/qcnDjsdpwy
lzfXH0JCK2gpl94z5M/xGpmgihIkK/gL4dbuCOczvhn6NLEJMG80xsXJ7uzlika2K3ZZbk3mxl84
OI2wb1/7XLwCxrxb9LI8wHFOSMyi53zT2gMScy03uq1b+w9WwpvuHTu9yeWCRtWflmUnu1jcA11e
eN9WS2bCbOq3plGWISkdxTda9fFxnOPvPvBdZE+j+wySvDwsVoreNb4cUu25duyXvBnD1s/nDbbs
W9eq1dbrrUMyL+LWKUZxT2gWUMaAqI+51iY0e0LBFUYsFSCoETAZT4Bx7bsqoA5pKLBNmzQQiN88
1oeljD8NSEpD5Bd5ua0w0qtTzMFmH4zJPlZ83jEmjDcbEKq+zQmbSR/roZ5xyxRqr2mVdpm4Zezu
l77yLgaowlo0+6BS8ObbVyWGRz655JJkKsgocI5bHC5DmgNeHnwkPobx2kv1SR+V255oKNhbOU7x
a+DNNK1jpS/7xXFuS/w2nNgrlDZFew1de96zrY00pYg/NSK/mE++7eDcbrcDljszw3kIqALMRK8O
GTpsSA+oHKkyYgYPSWrXP+Vl3dgnvaw7+75PLOtHZ2Cyd9tJkuDjbfXOvbJ0bHCNBJzZo+yfYPZu
YqikIxYaKoctpIMc/MOxBLTRg/Skp74GTN13cydPZdqR5KVbGSyoyc9f/CSdy1OfqhmxkUNKVUpz
fQOYU5V80HyiTizM7tg5SKmt7hkWqXPCLmyB2EEfF/p1XQYXKoG3L6hQANhHwxMOPZrIeqaSQznW
3ZDWcUinZHn0iTjjBlsxPC3dNFJzWlv5YY89CT+lt5DnJdcIaOM10a36FdEAiXCN0b4wU32l1o0t
qRrsPgpUMN8lpjYdFrcS1yW6J+LCYl1lIaAa61qzyqrZGAlAHaYY8liibi5MhDk+nGJcCAgrlNZc
KW/Wo8ax8iet6IDXVmOuDkiaPEQpFVk6Sne67GAKD9J0lwTJdY5m+Ivo2mmvcL6Qi5M4uB3M3kd2
PBm1IaMxC4QTYrD6FMBagc390nutG8EK9nDjj+pyMLWj04oHRWral8xzhj1eGrGDcm94PL1p2g7Z
NF1XbjXfpjWOikwPPln5IK5aTzuoupnSSKVOtffawgz5W8mNoRr0sB4ztUZGI/6ZNTzObJZ2p9fV
U+/kdDvE1AI5FkF+NVREFuRJkrwkZsMGJSZnYthU4tAO5AptTGf5bM9E8Knezw8Q5A8pieaQshGf
+xxQbofJHy6JFMtfq9mqI70OJp+SkbqL7Xjvjc0FICpxD6sIYRiH9WhI7eJQyTS9BHF+HIgbgDqM
ZhUB2+cul8cJuRFqw+IOndVj3db9TRB7n0geTDZJbe1WJDqVQeXQ8KY4qSGIq14SQrsDYgPGYt+y
PoTMafF1X9jeAXnRTVClD/6KValmyf5wLEYdX7Fb3VvGOGabgm9pA13J09Da2vcwh+Eou5p+suem
u/DNtH8pZ3WflMadFatP2mztJw/88gHB3iaGNORYNRjmtk7cr/iMrHEbdxYsN8KP8lsL7S7z77Fb
7BFEQIMALne0GLcv+ZPfprQWn4bY7xAN2foNyGf8g/3SPsqlvZi1seqiZmrvswwTszkMe6sYSAXG
6PS2wG2Tcade2taDPYqSCsR7aT+nTq5I9DW/ejL7UVULPGOyy9ttkDnxqfPkVZab095Q3AQ+PH2X
FtkztH7YMIWsIkC4xSaGHraRU3mROI1zk5C/soefIwE9sx3v5+w60QmvwGUUQDmJAg+Xu1hg+OaZ
UsVGa70ob7KvLqQkd2y9t85zKRagZITP55/cDG6T7+44nIYuvWxbNtp+yNkPlMJqLifDwh3UBHiq
/bQ/uIZfsw77XRRoXg7Pj2mAwHQUZG4Vkk9zOytEq4UprrzSLekYEQ+0cWAK74OC8y0YMBZuk9bv
eGE5I9QA1cV7V7no543hTeUNBV+dyEUUsgqgemENkME8DiWvMgEhD/2YTAYQ3V9IdQhgXCXfXBOt
vowhHjRpfx8EzZea2LztqCdLdSm6DhDSrJNVY8ZpceykIa9EyyYLapK6CUCeRz7g52aXB2TruFIH
A5YVekIfjnoh8up03LYGEj+Eogc7Yz71VIf5alVwvpkkFB471QbbkQz3FfrogZrKLWbVKugoTAkg
PWaBAQFdKKiVrP9Wr/a+Ic4+FQEZdgBBk92cCSbxIh1JrOmkfUDjDL6MYTBumkI9E/NabOxGu05U
8daYsrvDsVGXO2sKypsMvKd5GJhG0zDDpkL0EHkuZuROokkiPpz66zIFgThxao6Ti3Ex2/pS1eYM
d6oWVl0dCicL7lHtItHgiJmoSBr+iJM0HqoCxZrs4FFhFRDEiLFmDldFNXh0w2IVDFHQFvxusxEU
7n1H9cZaI3dGIwK7FRyVskrz1CI1028B5dRxqKUYcQ5Y63yQNPmgRannGnDAZ2v+BD7FRDqIYiyS
uRb0BD7RkWoH39sUQx1UmEN0K8Y9UY3ZXkdALvZGauTdxpJe+1W45BBtANLXbI8cvXya+9Ert5Oa
5yfq+4W1F+0c/EjMYoTEb3vt5Zhb6a3Xl8ND4Cbys0TTVm+TZU7VZZsDg+dvGtqXiRzRap+nnf+c
Vsv4/7g7j+a6dS3ff5WuN+cpgpmD14OdlGVbwWnCsmwdgpkEMz99/yCd20+iXNrPt2d969ZR2dre
IECEhbX+AcmDCqn2hwQdpI9cOyp25TqFHElA4o+fcb0p91GcAMWPEmMOPg9GXEYfZA04chPXk59c
pn3rxdeVPZvuju2pZksqIHzAYr6sKylOQSPfjGW1nBll49IX9ag6dIglcHqMmAouWigeu8pG46Fs
wi9VOfT9BenoHL2gGlJjlrkhVjtB351OS9LtSPCgslW7cYZ5wBJ5zMbwegZke0UN/sco0ovSEN0O
WKDVboQBSxUeMC6xo4rVfSJGeQl2ElQilRm2QdTMyWN3znSfwAUZh5M6ujPC2yRR57hPcBHHToqt
oPaiLScJ8quI5slrXM+gIj0mcXOL04odnXuBZV1yNY/POU0HDCy5xaIHYX5yM67FU2zCpi0UXMVT
uexcdxsnGFPkRit2kdRYdrdHtsBK8PabFxymy07sh8BGyJ6Bvs6T6MJO3H1tzhe2+uL43+cF9xsl
kkMEK/Q6TpSdf4KS6UWnYDi1pcfCvLvupFt9qkuUD/CjRN3j62iJ+jAOKXQvwv14QT9eXC3RFyjX
hldvnelihs28k6lLhi5VzUGmzgMJD3i7OFsmm1KVl3WbXMrG7K46bnVIWNQGo+SNeJOJSCVbYwLt
DHn3ZJgW8xFTZ9gWibtEPnYtgbrLuQu4GQtvpiA1qAskZewb2xLN59Fq7usL0MLqEvJuzmlZ8+0q
3SIzURidc2nZXZ3j9Va2O8Dke8zDryFXxSXbOdyiQx2NUhxyM4s+oCiEJ2vSyx03dmQZCfak8WAB
S/VKyFu4VG1NNlm0g1EsqrdzViKLhzjgAF1vmXPcUUCqAvbWZw8+S+BNa0qUZ264NPk+UV6BRFON
Reomi5NGwZeTn2azsI2Do7AxvipcdP8t63u4YHDix3kGmxbo8iYebZCuTEguN37p/Sgzg6RLCZds
o8jHl5dBlnTqYEy53FusObDjVgVYKZ/b6zhrIhI6dgTgR+JwCr2czaBvfAcY+3SRAUwONn5Zf5sy
8wz3TggA6BZOGIvFzPhrYwbh3PTyrgFkVu9H33lsHfuk8NsvXcMt7LQoOumTsoIj4lOuvBZlCcuA
s3mfsU7uiEnjmy6sD27uwY6NUKg8swQpKMyS7A/B3LbqgBlMg7QWTJbpDusgB0IYtkiJCCKsaP12
jwnd3YT0mvcAAju6TDPMPiDVu1ubk3mr5c+h7hRoz+Ulmn8l3l69a1xlWSsOlVTnYzVcD9h7kHkL
z3uk9K9709mXlSl2c4+X0g6j46GOd72BjQsYL2hJ2OUZbnbpaxYOUjcw5Wpcj67qRsG9IGz4IaIR
HZGZSPvcLwuLfEIG4o5kwmRAzsinD0OZsSviy8k9zK/+znOZp5/KYDFvw4i60Fa0CxI7Zm58qbJU
Xk6Gb5YfsEqeifJwlzmDzae0UJ3VN8bGjxS8wgHX5EsbiBU2fjirlUQLklmW48ySDQS4h4zsBUoq
S1beySwczxbpyS84RaTlZSutytgGWd5Y+xg24vhhjoY4PVms2Z/PRR3fET7Nxj6EedBtnGly/jaz
J3XfjPvhYFgpbp5xfRaWVvczcrzxruXQ/5Uj+2ycDIFRfFpyvyMwHSKxy+qs4faAm4TeapDwTBYg
K3g8noTuHP/Mxs68CBEFOI0W8PvbKOsq1PJyADdnWkNjPweC8sMhbf0JggS567pwb2p0uvFz5MWH
nHdoCtbcRr+NCdIb5U8Dve2aG1Trs8dD24sBG4mDjBa+grptZhj9yeJFVLVlXZMYcMtEfiSGcu7J
iX+026U8zQrbvpjN1v0wFVyMRG8bO85QVCPjLs/v0oGZRV5CIOlcoHfgcD8rUncP54os/ClCr/UY
IQ2krKUxfowjIB3DxJUMOg3CBAgYswPMp39WVWD6PQGnPPBjwLP8VUlKWM4iZTWqbdupXUL6a2YP
98K7aDpS9VlXnXRDFPU84VlmAOhyVWDEoLILYfVDtUTDYuunVo2BYvolk94XLq1wTSQXA3fAHe79
Dq5LM0/tulrHVwCMM9ey2hJQdmzkoN0wfs1PEPLKrou5qo9gZdaFS92KC+AHDoXv8p/VMGLT1kmZ
M4zS8bZ2KbZIazaHxQ8OZeENZ91glkeKieu68FOLunbpo0sO5mhV4YKgNcOrpJZYFh+M+SJsna0n
3SONrGtOuhEKoyhPUncHXKhf6gsIA5FlCXBPQwWTM9LO3Lr2IQQwnzPt/bf0u4ZCyqLURZGwQcfm
dUN1jjy4pYEYDjnk2IhOUBxW11lfNjdJlB4pqf+mMRfAAjVQIYBermFxKaqrVpB3NDZwOyT0IM5u
tUmcbR8ZvzfYBQYQzXMgJ4DxHcADqwE0IanGQMyZfV/DD7A5PHUfYYLE4VAq8uWIhrlnHoY6fzya
bHJ0EagTyPx1BxMVxrEZcS/KW4kbUduYX1C4wUY0w0UuqlLjyID+Zo2Bu4Rw4KEYpMkMr9+eJEmL
WArTJMxi7JgWs930jti/36nfN+J5ILfZQ9y1DL9rEi/ARldbfGZxKWgyd2dLZz7yxn4zN0Jof6bG
q6Ivu2ZQ9FRY29Fm6MrgQzHclOMvR96o/PP7fXlaOC+LucwLmmEXhBGCTN26uGpCls3qdNKutZTK
0uxzm4w/OP3A7eTnuL9+BNRzsM28ghQcbXz8IyGxXVp+vyX1dG+VDLPROvM2xEXIH9s/nz8sRHCp
lM99oIarvUV2Rdv0RA3kn0RxWpek7Ie5Ls8UKJ2tDc7o9P3hWEOYdIHZAhDqM1nBMLur3VOMPjLm
NasECfmTMEa7LAiuUwVTvJ9Px7nDlUA9dFn+9f1m36KGNV0mROvRZOfGo0c/14vtzbOWbohCylQo
up1Bic255/8dneO2ufkwbR6h0OCE9lNtzmG4H1kyb+eZA1I74GbmCHYbrej1sumEyKPJfMWmUxcn
nFo7xL23kDJvoi44snB+25TjQrBgRwihPbxuaiqbzBp0lqQgJY3DhgnWRSiu+EfOQL3KX89pDiNQ
qRyyaKYwc163U1Jqw26MPdxu0h0l4l3XY+4lUG5Xcge5X0fnR1brG4SzT9CC0ILGC6HyyCb0us1g
9KD3+UQVvXBsJI/ESSexmeT6RZnevG9F9q2t2tOYmkpjclfOyBja3U2KUNaRR3nTe0xLkGWCEAb5
AoGY1SgPhsBITiNO3ITe2p8qFFIoU25sxRUxPy2PEXberBndHq4BPhQW7SO1WjMuNTZTVRYVi33+
sbtYNs0OpOGX7uT9NfImsKEZvbNrbD2eQP5qK0BZaSB5zD2TVHy5gWLibwFN3dSucUcAnGzx1d79
z1q0Xr/SEFv5wqKAuPXyX/j/bofcoHZDAcToDmlx9ITW4/Ri1gJdRKSJwxKGWaDPltUMAibV4I/A
6Y9S17nwomu7ReyB+zGpmSo+tTAcj2vjINGYe+rnH+kj3lUF/187SkGV+VnVs0pi2f3nyWN1/aN4
bNcf0u3896fa/3z6dfxYaTXCV3/Ylx2cx0/9o5pvHts+7/4lSqQ/+f/7y/94fPqWu7l+/L//52fV
k7bi2zB6Ll+yJNEzfPGq3+gifnssHt9+/plW6Tp/EfYhgwsFjWsCXlH/olU64q9AQDtippsB/9GH
0T+0Sv2hf2iUwvoL5gsnKnh4fXT/kfYS2M71pAAiB2ybyIwtBcLAajHX3TBhEomNKboR0jhBV0/V
H7ECl8inwtqNkTzI8QdINzEeMcml5cYF3ol+sXwAOoIxCVo4SMMSexq4QdhlQxYqXbp6l1toW+z8
oiy+zcDoETWV8fwFtLj/LUBThARWlFVfAkpaLuWJsRQ1zM2KOtq2j6su+N4NdgXsJMLofYAghYN1
E+/CbJ75Eon83b3w0CY5xAgv2CSSWpUaf2d57xQ61pUwDlHfk0kGTgUjXXE+G8CguOvGwgi2I0pv
Ga7maW8fqNLIy87sjfEqHxOgnsA6rPHg59wO0XNZgvajayaecxbPUtrlZl4UoJp6brLqR9CZAfuC
9Gx8GkuqNnIPfgblV+VnrkW+q8I14CQdizG6lH3XReTizAQdPnfs3R9RhXTmHZI17mSiLmFTayKD
hzWyvEhVWhWgE2Hsf5+ndlL3Khsnsa3VVJDQG8sIL9BQZuQZKFpIu9j6MwIN1wsJC/kpXKLw+1QA
DzqLpmqQVyCxPQ/zceh0qUI/38Bm9hDThdTapnyZiLdxsNSFg5YAmI5dFCMneFA2hPqip2YVMDNy
iOIqLm7DWaQOeLcIL9PlSWAA/NvwN2J3sytJ5M295exEWUt5b3AoeM3JgocGFa8YhgUCGgPoKLtD
qhFdfooUZRNlP60Bt+VTt05LlLqKrnOK09QLVPI3NuuGdRs7MSLyiU8NyoXRdR+Zdfej9D3oEzI3
y11YdhEbZ5TmF6B26/SsQhysuPLlSJ0aqXT3K9GpArkQLlT7y7EQ8SkZnjmCiolA7NKH+acxmilm
OmHzCXN4MHeerIC7tKNHmdCwO/QShnHfBEV/b9Vj+LUj9f6QeukHS9X+FzNOwSt4me18qmxV/LSC
OEBjz+7xMbfgYXy1G/LcH6YUbS64a+YtpjKASYY6/LbgR3MVx5Zf7txaAM9t3LBS5GvKw5gYtzYu
LagEVPnFnOQeqabZ7b6PSIN8yuXofLccRV7NktQkEaHCFVnki30IxkAgGzMW2wJ3zgvSZMahxQTA
pv56FskJ/Z+2STRp2sSpwP17IZ267wbL3UHpuRvyrt0HveVdeqiEbgvHUjcoyN8MLfgv7FOmv6s6
VRczJsr7CinJLYsj2zup2WcoGCOpvQ0nF6ES02rqaRNlKI3u8zIzvQsfYSUUCMh4Z+eNm/jhRZLg
pId0EDWQwxBis32dm2JK97ZXy+Ir8yAdf1kenFo8O8bIvB6GIm92hRsb3rc4JQrZpDOlkS15bHL9
g6SwtiuXvDCulylqly1ireD1OE59qhfdCDu8WjL5N4AbD1WiyKtvBm8IP05Toh4CQTkWbUnPl9tg
6qyOb0qq+xBvC+8ktYyBh1DdwGQKi7LcK3MQJiWRDkeKCsE462M7drLbVin0PNLepvV1FNCZ90LY
oGKskWIWqzzNfFzKq6T8UbQyU+eZM1bpKUVQYJy550fFoQBei3QWgEo5fAEZFEwY7g5EdciUkvrE
AhU2AKm9lswjOB8vf/QxTkk/OnVT1+icVEqZqESrebmFzN4Z2xBDhvxClVC0SpQjbTfe2MNA6vPF
CffxOY546eK3ir0JBTm8wJZD0NU8P2cVpfnhGI6oz6GTipAFdXmZXXhaRFUZQ3+OGcOvP26OQxC2
cYhEvvuG2Ox3gQ0FzaO4Qw7zy9Q49oWRh9aFwsv42p5n54jE+io6JL1g4sFFwC/gnnJyr6LDeBlT
s0EjY+OHkuxrF//AB67eeIO4nj1Y69ZQHGlxlfZ6bpG8BtNbh9pvEm1JbCdDSYuNVSEF6mukKOOw
VWbWHLkF/7ZzDpczW9NOSG28DkRdVA6HPEUQl7NmOpDGHQ/4rPV3fqCQshdpck9Cwj7Gsf5dB0mS
IiIBi8ohmfK6VZRv42V2e39DAns4Meqk3Vvkwg8thf4jsb3uwMvQl+QQ13z4OyFRLuaG68kZU0xl
i0evCHDdRcI9il21HU7/bE7qVkilBJg5sIMQwL3uUIkNVTb5KCepfJAPmU72h6Io992cDx+oVkWH
f6M9fS+EQcJ1V+gl+eJSn0YxIlMpuCx4fvNOIudy0ifO/BVKeQXCw6f+/H6DvxtGxtDSaxxa5rqD
gE+szPVJ0+gSPH7aPlYHu7pW3c9/ox0UKbisMKW5jb3umAvWcvHtAQXmQjQPNaI0DwLXsz+e9Qwa
WRhusKGPcoFeFS+Gb4mx2oJcoGUnQvvULjA2CKu8vGm9bNo02KVfoUpc3rzftTXDSucpQxwKtRMe
uPan8P9lqznaVgG7cLSxCiSUOmOy601BzW6PC1K6RxM4OWE7ALlTNWGzN6saNmGNjcjn95/j7eIT
pDDgSupcAhocqyEO88pHUwc1nriMvwQmWEnC6XgTBrM6e7+lt5MGxgWbiwenDEmFdeopIDZKKrEY
my4uwztK1OKwtLO4fL+Vt/2x9AameebkR57Ual8OK1g6XKZamBN4mhhbEjTtTrLoL+cOVYX3m/pN
h1xNqiUZoxddaK3mzYwKnQsoZeOqqLoIZvFLotp2ZG3/pj8QDUmXIcwLdWldREKZU4vCIVbbGBEX
nNihIg22rPtoZXl3LBX8mx5pPLVe2XDVEYl43aO0pUobhyb6inPz1TBBPy9xlhyZB7/rEXdNslPM
AbDOq92qdhvbgJAabha2J9T3+r7LLrKhXLg7VW1zLLnyuz4RlJjUPn3ihPWB7c0e0x5KOYjAtj9Y
kKH3EZpW+/fnwtuTU/MJYSvB2OQu/2R1+2IPSQBdD8j5IN4+YglllRTONpb0szsHnYFzFWJojyBl
M5pH5uBv2yXOIrMK89peM0W7aRBq7pFBbPB/u8vrWWyB6lafSuV2P+G+DLdGlRzTnvjdkGIVipMD
k997s2fgPo2+ZxuGSKGqAQnV3LQfrLEpd++P6e8mClLVNiI5VMnIs76ejTn7sqD6Em48Q9pn1MB/
EZVVJ2mIUd6/0RKvhIQLjQVrjvSQmmgkKhEC/hDtN67TcBKdpcUNZxDYLb7fmH7s1zEI5yaJENRZ
TXZDe9WtyYtVL7yWxiKcAfPF20JE/DnGdntCCuNIhvrtq6IQZ7KDoPsDtW3NPEz9SoGfL0NyKwM6
/VOEfKtbhUe6tE5Kc5jpZvD5NTlCdQ3l9auSEtIhOOZgM0fLiDQD6nc4hs9WP+88oypD4PABY5oi
B/DVGAK17BqzpfRuG9KvDzPLA7+2SAL97WPYcEcm0m8HQW83eG/hb+Wuns7lphm1Nr0GpN1sATSY
h9mLpiOD8HYpok2BGTz3H4d5+ZRhe7EFBCAZ8NIrArScM+MSu4HqI8DWbCeCtr5FVLD5mlAc+zMP
YgYe3SC0HXwcV7loWKvjG4YPNvALcqMYNwcn0p0xBQhzefL+lF1l+jVeQgtImAgZIA0fWOuwOa+N
zJhaD8ZAqX5SHs/wEckzMlGJVTTNTkWWa1zLJi2cS9dNgKW83/6bJSN4AizDyJMStYM3eD29fEA/
GAbUtF8X6rKPF9IWjhITSHnAwZulS4r9+y3qb3y1SGmPJUp5jgMWH+/VIu3DqE4k2/ym8aVT3jtR
haYv0XTsnOEGApf5/ebezFAEBahdoyzg+rRrWa87aNV2F6DI5m5EN1o7sE5Q+KrpWNj+ZobqVthR
OeC1YFCwupdg1DIEtcRkMgfldQDfLk5cQGNbUVkUObOi/tVE7nDk3b0NdLGToxTHnsddEYGrVasl
sttqcGBuZtToN6XAVMITn8vQvwYMfucWw4ODOLvjD3eIFPXHWtf38dcv0tOJCJJDXNohgK8WCJxo
UBxzDrcGG8QDXLn4rGj9BSa2O330GtJoftOln5q2H0+M1mpPezxT3OHnH71fAlKBAzyPwR0X5Qhz
NQYp9gBYaizFNvVRcK27sduSC5+2f94KpV02AnS3YJqv+ooy+ryAkyy2OMDNyCXLehdoAuT7raxm
kcP8gRqN1g+oHzQC12U4BF9HNiJQCVprKT6UkRf+QIkqyLdZ0qve3CiJTO3BA7HcHOG4r1albpp6
lY52NOzijfyGa8V1IJe6w/YnNm44NAaUXm1vsg6G6snOvt/Rt61xrJlcqkEtCE41vWhfbOge2bG4
nLwODzUqEBmjDqA1S/ti4/mQqo4cUk8h4ouZSucc6j0sFC8IqdCtARKTWMDzinrYmjZqiGwFQ4i3
J3J6/ngymOnUnfcpEu07OOfefNeEPNDeK0nKn3ghouDXjgqRrN71FEW8HwowjL9zhrZrdr4Vizsc
IgoJKy+BUfQpK8fJ2c5SwMOyqBV9n3MLA9g0E3V48CKxdLjakEaoviLW7KQ/nsb1j8qA/zvdQrl6
vphib8qB92XSPf76j9vuR/fYvioj6n/3XBY0PO8vQiibUjdZOPw9TY6eZ5MW4Vt/cfzqBBYQK22T
8t91QV/8xfz0bU5IindM5H8VCYO/QkrZ5CoFqh9c9P9Ia/VJpe3/TVHdIqoJnBzoaHCOvLlc55Al
SsH2+BiIqOtD0nRObeRbEzvt5bPr9nWGy4Ny2wP0mXZ2dp01uXLawqE3H/D5dkpji0ZF5p+HRCr9
LguhKJyOYZG3V7lb1BRPYKu49YMLs38iUqValdrbGDygePSnau5vcjn5+Q8MZOroJ45ojXeNjHhT
48QLM4ZHcWpXFR+kMLux3MW5q7IaaLJbFJfCnxseOS4KMV9YhV2mfxvtUPFvXrzSj8+j8TL//Xp7
BHlmArwkEta7PaNurnYNXxQA4T0ZPEY4eKTNaVc4uXOasxSVf7q0McS/LZIAefJ3bqKbfywXuJK1
oX2wEdRytWAlb4qHeb1rLakdtCj7JL8QfwP8gcIjipNyQ3LZaNKDmsYYA3glu5hqv+EYS11+HB17
bq2tcBZvtM87D44NaaeqsRF/Dd2g4Xfvj9HreI5tDpClxh6AziGByLR8/YwUZA0Ltxbjl2eowbR2
MXK6PkYngdNRiypV53nfM9eMju3oq3ej29XyKxZ4K8oU9rrdGuNqvzLs4Fc8M+ewGjdJMX+VTgS8
bDOmSZ+AWITVhQqsrNgYj5ycFOtfxCK62yAukA2muq4P6fVlPXaHxKAabf8y/Nxv7K07mp77g4Vk
dGdYbPnIhGAkJK7srJn726w1TRyJWpnkDMr7L+DtkwBuhZRLZZm4KFwXaSSg8DydTfULTDpL7jAL
bxHZwVVj3zr7JACr/l31DAHi5oDYvO+Vie4EHLWkArH9R+csw0IwgZqly6GuBf5AMrw6ZztMAFI4
IbjMhNAF1EnVoKE2742oaMP5hIvjxBR5v/+rC6tuU2u6Pi1UZNuAJL5ukxJwill7ZzzIRPkFlNtO
6gVRTBAAq20/ps5CRbNAAga2VAiAo8EBz5T9bVF76byF8aTKWyiohSp3jVsp6wZSWdk+vP+YOix8
sd9y+yAoQEtUY8t0SWG1l/QjJFKzWaaHSeGJY5Iry0zejzkhOWcgP2YPxm1tZY1eNN1Y6R9JjYb8
+0/xZrC4BJHnsU3yVzouWT8GyvJtN7de9VDie8kenrJ7LcgXzCZKNhcYQrLvt3Gvsh9g+0t2VH1N
E+5pYKQGrlJYEttPO/8s+VdlsuTDhTNlNTIPRx50Pa3xcEZOnEwcNQkuxt4qzJ7ssazDcrEfWrRi
jGKfdtSQ+o8NF8Qa8lkzNzyc4RcDv6vmpqhmyPvLbNyOdY1jRQj4KgYzuMD7KmQDnGBTYooWddve
NY38xkPCgBgemauJLdEyUqg65+ZC9KVj32hsjiHsVmBqdipuafquhgYxSGNOldfTlJlZNgMAge8+
rN0nMzJwgSgTRH0Y4gi/YKUgN/glPu2eoF74Xf+0ndQiCvjVNHZaVKIf7eNr6Cn1/HJ2krsiGEGP
kyuNXrur2ZlNWVtEsqq/14pV1OztNgucK0tIG9oc9h8MBwTVfPmMiN1M/bKXitL7lg1/9G7iZomM
U1U46fJZGX3rXWMnqAOEyaG4Dwuxd/XrqVobOB4elL473NSUzZfPS+5l0PbRw9CHFrQwgxdUlfBb
so1NoX/5jKz1xLuzXTw/ow1ghrgLdhgE2e3B83v97rIpTggwmqfmgcMaM/bI1ZTyFVAoTZ4c/I2O
DbraLbIfpD7Kpj6EgxLDLSphS3epVBbhKokoqFXg5hIV02nscLh+KwPAEJ8HYAFMMixViDOGpqR8
c2QLf3070VODUjD44cDWiQF7nUa3o7mMRVjn3xeBGRTOQJaJhA96O7hMndl9M7JRvL+81rsREmoa
tMy5rQH2b1psldnKsbDHb/bS68k4apRViTCCj4od973G9b5Hqb0wCUf8dNv4ymdjYZ6+/xirixJR
Lt6pFpwTdEZNLZq3WhTgo2B3hV7xuXDKorO11qNrPFaNbNiNZNaWYo9HT5V85AZKvX5Tg0SI93EA
dgdhFN8fcbHrrLi5yKPAu51slQfQ3GA1DjdIYZsJ2Jtlqi6YRCasU+hICdngyBN6sUuTeQiWiuji
DPwK/nXbbIDf8YGcjl9jagSAazqmEbhCbdNFDijCDXpNb0lMrU6rzItkOTatfz/0pUkQ6yplEcQO
i563VDcc51SKcWLaTllo8yPuniJbSKZ6Stt9OlrRLXqfekpbEMsKdQoe29ZbZLO0yBs1qN61CWon
gNXmHXRGHVOLOShYnb5oWEZHXuLrvAzFXF2ce+ZPULoAdfh6Z9O88aUC6HUfdNJmbSEloB+gM+xe
L92ndYwB9MyzAVXSS5y9Um8pqm44aAyJxtiFmFz9V1WTtWiIhSn+9cmIJlOD5tNYeddRM/GpRNq6
i3OMZfAhM3xlH+pADXa7nTkv6O6Rrq2iTLoGkEEXgQSVBLDuq651mPP5eV9hJBsPeqfqVMPUWlAj
qn52ZpChHDB3VbN89q1Sn48FHiq8kMkr8njeL4UnuvgQ2kY/3hOlKoZjpEbL7LOHhd2kTIyQKYY3
TK13t55t8zQBjca21hGR0CCuRyZ/4o4lGIoidhiKDiIgmlxu3qcsCRlaKX96Hh+9FWbPd3wQuCBu
f3MLWu1OAeEC0RW5dlQPUcVdh7piXByPepdxN+DSxe7wHN5aEnERFMuR34jLY9vC6lKhm3RIUFPt
AJKuFdhfzyhsOolaYcjftb1ghnRzR1bqhLOf8XHS2qncfTQa1dRuvNyeGfB8iEpCFjY9RmlUU959
9L0WOOgh6pyAzYAFOcCEqfgU0FcWfjeVHFT/vLa4GUuGcsqDkrXCKtKvI84m/SKMNBH8COc0HG7M
qqh4EjfLOJsyr9P31Pen3DMS4sVZTOf1IcAmAZ+EKGh9syEcbI3YnOY7KWf0kDZdn1EtjkbQkNeQ
PhyUJBqpvDrYUDkPU7lBgCJpECDq7Ql/aKId4wJYp+FcRYX0beQ6qyn+aSa5eTpia+XtMr+s8l8O
5oXqBg2BQv0Y8TQbPziDMKdlF6Q4aNdb4FcOVdZxdIPhWmEuNFUb3OMKcYn0mQgRzlKh2JLLQpoK
dY6g0TbO5aDgvCJNMbAY4EuOSC1Ohps66SG0RO/celS6nZjqlejH/qQGESci4rcoBo8pfSKzrb/g
vrhwrWUq1mfYKEeI57V16h2G0McxCivsabkbvcpKPvc4eeGX6HQkvWfupxWQzbhrw12YWFRpYzeP
T33I77umMsflIgpLE2WBUUjrEBttIM19nWHWej+7Q5wZ92FlTtPdpNGsV0bblcYNJ4bf/3KV56l7
LJnjsoLPXgnZokG45BlueWQ3DkvlBMgXhVmFOeTWV0vbBA8CmnL5S+KdADCUqTI3j2HfjRArsnxE
pesU7HADdYZ7AMzwk6gwMu8aU18jy04Gr7baXD7KoLQ7RnmCtaacq8WuBqb0IlRby0/kpjvP3Jel
g8TMGWUO7EIvS3fKmnifDnE3DpeIKcYJSgdOATr5BiFDuznzUgcdywNzxbMzBB4Xk2M9b4OEMn5s
OF7T7WSklnQ+G+PWkMnJmBScNlv41A4b7FAnPaazRu+57RmTYzSQa7YJW8R1XxN1UUme7WDCBBLm
Bz/QTdN/aSBNwg9QVg7NLVXrNA9L34TWcJ4iGxtbp2IyDN/fzilSNkjZlqlANsd1UAXENNRFE2K4
jG2XQ+UHTg/AtbapK0M3/jCP9Vj7H9MIC7v84GdIctdnWT+HASp/WnyFgnqIVlVz8FXnyuyzH0eg
Bi4cHIUYKWPG2qS4YtdupHth2JHy80uRNInIP6bpiAX8HqL72Mb7KqHqA7HDtvQjzYMBqhxmvkSw
ZWdibY4SRNmZhlt+tWKrpL0izcPwvgc4jFMBV29G1gr6hBNkKzypv4TnJ2TZNA22dtbOkS2939ZS
lLZ3wLdLj5iddxk/qlZ2xm2JbD77lDNA+vAh03UVE2ApiTdOulAVfK5+7qrs3IXha1Kf/3GWILI1
bnIpuGSWItGvR9SOtNwvIp/0OAPyTMklGb2heBVGmQXSeWwaLjTNQSUJkdYWBPLsI0oQSLc3eINO
3/SfuxSMcsl4GXKpTrAEdsR0FaS+fuSEN10vtx4zixZsftU84G6nJ5inDP3m3dng7/Aj1kMzDIKP
csQGzcgzDCV1CH/7T38Ugk3NAwk3yd+Bla6828x1otDegj4hAbSpfSkYi39mD7T3kK+EC687F3Xz
02D0zBrIwM8xLnJgrv4TgKkMfbZEgcx+Hmrj+eP/GuTnz5EpsLIr36oLHkCUhhwessSrE3WSlPZM
pxtrmWgrthDeMm+5gMcUqd3nF4UKTsdU4+aNLdxZKULA+huBxM/soX3VV4zSYAGDjsnCkmODSRja
0QDMBTlCXjeAbu3unPux2Twgu6NHsKpZQdql8alPmO1yR4MEVHqjOEXTQd/O0U3RvX+eHl6U5YyP
5yT8i73r57rzkzdL5mkslG5GOtLjLxHbNH15vwDs6btzemrr4X2eSEs/9zwlndTfIhIQyyN3M99m
drVw1/jnzwNqoOnIH0CHV3hWGKaLjeHZAs14qk9inUQy92OCBOtwGaaxznyARW0eksG3mgdYIPi9
oDRAxErn1UCw+6Ell62/0Br0D2eIA37kpamXQ7G4+vnL3ovleI9KQx4nhzJGUPQWR22BIlrWzr7o
LtBI0nMlSduw80/+GfIwHRSPMyV2xpdwAlQ0ntZJxjk/iGbxzHsitzQYdnVjdCXqJm0c0bibyoor
U5fj8XqWkzAgZcNrkv2ZX8V6Ofecr/xdNvdeGhwygsVpRl61zafqFFVgFHm3+KjkxbCJ2pi0oQiR
XMBhtmtafhA0ojVcND3/RYaCvJ1rjoJUUUMuP78ewNyTFBhVSuvYElbDZ+BrE7cAVHD03B+BSpEk
nmzEABGCUxKXXnwvOGKL/WSUUdgiysJRNX0zvSllv4nzqsrw1nlOJ6cduoPpoZeIG9Y/Z6d1bPu0
TiXDcWI/rZmmCnIGrI0wE10+2zJAV/Me71Y5eqfdc9enMG4ZIrueloweZTEmtHtvQXbN3SIkrIdP
TLWeNeSr9BR/zp8CuR0ZAdFbur9dkoBI2CgmOJ9vErKPGrGwkFfGvyIDD0PKYvaKK7sWik94s9B3
2MHtW+YVVTrusItwc4UITNkAbziLo2bhO5bn1FvEtZysYeM6GSnKSGRcfYuCuxMewDmJCfeiyDy9
njpnTEjCx+icsFXaXjRz5rUzO0164K6nB69PbJ0qsPogIxePMGTMP0cxiV5+GwnPIuN8jFqlkuuQ
sqfm6PUcd1c+lkde98khjTVHGBkBr5QHb6zdvN2RugBvvcE0DaM2NH0F3eEwDHn5i+Es9MorC31s
FC6qdlRsLSWYfM8jmXYVmWgbu2J7OB8Xt4j8T9nSj8atIpgmq7DUTeiha0XU/90Y64URSP+LuvNY
jhvL1vW7nDnqwpvBnQBIR5P0KpITBClKsBt+A9h4+vtBVPdtqeNUnR6erohWhESTiQTWXmv9DuOB
7TZqa43iz3i5XcAqp1+lsw4EdnevbqCyzni3Fzzdzq7btSrZ22YzjNr3OTeKJdlxolkA9UPF/hvX
lcrw+i9sJGcsafUU5yEMoQmKzZb72aO36T6CKZ8682VIfFYTh76UkwgizVyH8stqIz8id5zTAWc3
zIbIxQzhlQR4t3GXiyIwo4m/1NAeIZug/4x/vpPPz7JrCxbEhJlYantbP8pNVU1b/QtUulUTuv/t
4cVmdPsKJCJcs6Qwt78j8lnjK1QK9bCPEovtBAa3KAy3r99SUZpjSreYnNdRGe2u4EHdnspAbP/y
85alp6QS4VKx/dPnCn4rp+QH9dhdomozAGz9W5l5KcHHs16zsEeOlQTmCSLe9pSn2rqtAwdwIv6w
acvGU4dPgfZg6+APZ/aW2ysvc5DG15+/yOkDjrSOW0V7+JzYalR83qaeaqV9V34WrE1ex4/s4NNx
N2jk126vsXd7245FKjrIt1nnSu1B5k7Lex5JX+ZWys10a+MyXPC0B2+qtpclfzxwWlNyjoQ4pG4P
eWtuMGMMRL3dk15C0EceOtlQC7HLCIHl7v28IOyBt6JXwhvi59qDoRWXmWlV3t/JyX8b6NnlUB+4
gwnQw03u39bK2Qh7mn21+ZARZM2r9tJ04WmYG8psp9nbE1RNLF4yXNi67bX/zXT3Kwqw/Xp3w2rg
10Ez5sH9dbDt5dJo8+CxqvosjQXlabv+ACrVf5SsAgfehgIJlw+CB0mMrJx//VWzX3Z+Qiv5j3sE
k12EXF2b2PYNXh/b3R242fahyrzgE25wLuYj+1kc//pt/7pCgHXF/YOUiDcPHM59/hsslEyWyfq2
SB8g3VHGcmymKNHD4HvWbsX+6W+v87//wo2PDOAOe5zlYvDbXrHMet2ohJ7cd0vNQZGWnPgnZK2U
uZ9P9l+/wd+YUds7ZHerw/iCUmcAR/32C5eqQNE4Vu79z4oxZ+u2tFdIOB3SOOzBn/ZFm6z9nZwt
VcRC1ls9t3pKg4bfPufR37yiX+90XhGjlI+kg7QylDigg79+/irQtdlTVndffT5UM30dz/giy2Tz
pvannI8gs6XiyQwsDgdaCy3bXkjRWp1co6ljst/jht84OFZSWlREqe/4cp6PxDjnymKejOZPPKv9
LLN//SZ+/xj54Gy4Xg6IiYHbze+rJ87dbjQXbTpvPEwu5/qjEWoHp5Z3SvOl/R8pDmBE8vucjbuz
/Q829G/XzFvoRuAUy/PPY29JIUKGekNlbcJ+yNP/aLXm6Bsx32ezSOHmUf23cmDNCZvoKS84brYu
mCZ5+zS8suK5QNC5HRh/fUG3+vL/d0ubpg74yeYJhI+yxWL8ts+c1brk/eqUR6/W+tKJPCE865V0
5+xvH8F//1V8dD7YBvxohszfS51ITNx8Uzc9frYik8N2hPvI7AR//PW7+knF+Jc3xq6QX0XiJjoa
SgjOJL/e7boOLuPl2XDoV1PPUJ05y8ZGkNC2ZfMdezMw9KgZUnarATnqK9NiODrpaIhLTmsoOGnU
lC2bnyvTZveg34qElPPmqOgNnOacLHmJJy9pEkBOL0PXCcagvjDtutuJSq7mGOmN7mK+4Pdoyytc
6gzYbLew67dKV7oMI9ZNUqN9Wq7LNJsCKDMSv16I6noBVePIoOHlIq60ouWj+NmgeBrfloXlZ1tB
h+5zWLg/ytjnqFHOyNwf5kyYlG5Gw60NmCcTL/VjY/rMCbUp+QJaLFd6mENUWzOHen6r/i3gKE+7
3uIalIflMApjRUbcB3Ueu61XFTL8x8qj49hE3vHZyPy4VUHWZq7v2vnbIe51E5slZovSNXEPbviV
Aj8+OgUdtCJPI/wGBuYp9vlVUT1ZtL2BdXYVpmrtqXB1bVsGDFPPnlV9zmHBrAarizNMj1m7soHx
QBlCZOckqUSabNJZF2FnwR4yb4MuaAkaSTse7u7RUcG0No/gDRuiRQ+om+65GQdAhMe8ZducxpCQ
oBPss74zjAIjN5rO74rRc/AvHHeZzVfDWdTon1mbJe1dHQRFae4K8h/0TbfFvDRGPUoenATrRvHZ
Ystsrvgr6hqbiSmiNUPBEilbJfNVGQzjsCIfLGaSkrTA78FF80wfDrZejfO7q4tSZTFe3C2595hb
iv65ZvNCJhm2Pxvk9rMWdeDhqXvlC+p2sa+zyjUlXfSPPovF99YnKuSK/PF5a1Q/usHaq0pGtj6A
EYOzbE/gmkElS7HTjlD+4eE3l+igHynijf/Q1oFW7UXupE6Ypen84KjcKWKVz8khtyfrmOvWeiJP
bDqyyWjuvR6nZpzVs7OXjxiMdvbUPybc1Ecb/8sh5OnL3lFgVM+pnjfxEhgJs2hljQeGXVZKZu1c
+q3+2pQ8jvXcIlCf8zb2SIPg09W1fl94i73DrlrerEU1os7urHHnKx0FXTm44mvWygf0Se1lb2vp
pYAkuXM220W4Lyk+1TKIMzyn7rw2I7Epb/OPnFieuMraNFR2jUI/wQ3ZX02xV0kNCly3js2P9lUd
2fgM7Gd+5IkUlOy9XzDwN1WWfMDXrA4w5qs1VEHh4PSqNw8tqgoig1jRDLi6N+nTTOjaW6XVDqO8
FI+zb+Y73RxxLdeDDE64pllXNmu6fT8O9beh8JI7loc5fKXRCj4MoB7mGaM17iezyPJ9SyDDzhjE
eD9MNgsHSkE8qEVeWANW+aEjMHVPPAyq/ed8MgN1goEgvw6mXRg7rCLxi0tzkakQp17/mz9i9xFr
idZfiAA6QmwbEKeXiSgtB6z+0hm2hK3Ez5o3vRjaqwU3usvBxdmU2ulsGGqKKfJCO3ute+V0Yvut
XeSllZmxT/X7MOYZXw2Sh4yNfNpqL3Pbzd86TcPZIDfWt2EoGhNGQQt9cF0H7tysItQCxlQv43ad
y+XClSnZBrrR5mdleBRiRqpomq3KurB9vWov+qXr92YrzUunEkvIpveLM6uvukySs23w+EyDJN3H
6wi6I8pk8mJHNdbO9sb63CKsfVEkeuwLHXg7xfGthANRRl6eOkQhSct+A5luQsus6kPDoiA0dTHe
LUZd3g2ZIqq3HMf0qcsQ1+H4LcywW+QS4VrXFmHB6wNx9dm58eAt2YovoD/fBuaQVVG9TsVbIdo1
BOTBEKTJu7BtJ+MuAEQ4tWbvRxLG74Wd1/bbQKDKVcG+f9psdOVmtDCGCSarTKQyvXIhF+dhZZTB
Gz5Suh779Gf4qxdDd+vObrmn0LtuFOSrdxyNJruFpwO3Y876J7Op28MksZwq2o1jbCVPM3Py09qJ
1cceG2u6ohPpN8UFOWSjJ+WONlA9jH2AwLS3OxDbMh3JJZqmkxuU7aGjDzXC1BuCJ9w7gndraa3H
Ajnl+7RO6zcIz0mMEax5bUMsOOicFDHhIuMD/SVxiEjtrrR+KF9XvakP+AaTclazTj5nSrc5ywis
4KDMffZBONscPYCZqB3q4lA6sn+C22Xx+ifzwtCJIChca3hhL9fdBnXWHw1VBQ9C9OtlSgTLbvEo
uYzBIj/Xtj5e9NKeb+sh6R97whO/WiVWuCGuptPZVoKHh53WjWGN8nLpvfmUzwtWDo3060PiCjtm
PIZhydojOK1an1wlSdbfrST5PPmsTl661SeFJ82wetV673o1tBEOk5vvqyBxrkC4DSsaRVDB7lfY
Butw0fZrqjW3JSv423Rp2i6CGaLv+7noXtpR2kSHOOt6RaY9qneWb2wHRPOYWiuu6Fkqlp3llf7R
APOLpna1b/wptdjM99qHlphw0K6UQ45VECmx0OvGnmSl7V+VjjV5I9rkHi1qWAVtcjVrbXrLlqU6
a7aqv2A5+cb3pCx6c+PLIOhgCukV5yUooF/idJJfBE1rvkotkTOh5LN+DdVHPuXmNHWHDKtAOwoy
w7tEgENMV6ALzIgFWRUxOC5h7xN4d+wHq/BC3IaCKRRWUp8bDbyfpIXO41q7+jz2V11AysneWHpj
PhE9KG6sxdbuvDrI28jFEbjZZUHb3xdpPokdkK/KLkVeNnms9bUDCTFJDO3gTcOw3isyHmR22FoP
PQ66pamakqtGIGd5UTKT91VkeHQukSPg4l+zLSkGTDuM9HH2VjKlMJh2r6DrYfmLvj0vL0cG8fEL
JmrrppHT+paYJRqntIZWdJxG17twzEWvC0KsVGJOeL51eiAvTIqdfiIjb1IHXHLrPs6mwZEPgZaW
BQyctAr6sNcwBygjzQ6Wh9yCNYMq1a7uGmVo62Fm0Cwi3etM/WoOioXomp49PrELlFPcTLo1bths
XRTmmEe4ixIApWFDVNxUSnOD1eLy1/oiYvY0Ai/lULWmI27G0S78MVZu4VYmC/ah4XnwgTdxrFOm
2NmGrLKrMgOdDUXNmjdaRxyLQ0sogB8Pa8hjnds4YacAhddlzpo0LpZ8OVopSuzY9fXMYyVW9Map
THt8vlvpePiPz6DfLn4tZ80JFi8SRWIPoWeXFqs4dnZfjFbrP6aA1sTqW2UemiYxrF06ZaY0I1q4
TGuItNmoaMQ9ZO690uzGozGTPp47EZV05AsaXcuX/CtFqPPdXdZWbeiknbEEu1J4hpftWnNpHOfa
0CZXPgHmCiziO99+S6fpdcXS5SnN2tc0aPFJZ0wQDzPcjl3iJ/1B5/DQKRJuD/zlrZeVMqtzb+Vy
P2V9ELVdu7YhCmfcRoRwxENfV27c91ivSz+3qa/TKL6OabLuMdgBxkuX5BqE0dcjgxw6opY4bOzb
YMisBw8CEd7HE7se7gdumBA+3PxhkEFy13YEKO8Gz0uvhqZuHmQ3jOlOLumUnNgap16oiYW4r6bo
YrPuKvyzE4cpVDfIRMyay5IYxWuzXOxLswW0bNIB8BrlV4PSJJneaulhKr2YxLFg9FeJWA9w4Ni1
htuQ7eLP46ntZ5wshllfog5z1ch2h6kNMdBIUA9AiJSnweXN7RRL7odNM/ORgHt3hwJ8Le55KOeQ
yJD+zCnP4Z+7ZRXnBf0FLyG559TJ98TIuZHEm+pLkafGK5u3BbdrIzg0eiD2XusVtxqSYPyT3ex5
S9epCphgKYPb3jOT4qWZzRFbfQJWXiw96S+kSYQMFmUkD0U5y9GLpDV50xjS7u18mSKGXeumYCy5
mGYj/0p0pvdaJqnxXBrWfDWB3MZO2zUni5XxF5bvZrnVNPwKLLxmrt0ksehbKY7bTWh/JTWQQUzV
4kcqijm8NziJ57gG5QChLJMb91RjVNhEQ58v+LBXa8Oy0Jsxfbcq6ghy6rxwrqt2MN+zLBvxjqx4
DWFReZkflfxcHPZd7olMtc5JuNL0iPeByEnyEMf3hWib8U8EoQQ7li0C1VcO3rkn2sOfp6M2lm48
toV2zDvHfNp4A3tjnQiayZXW3jjOUrxLVIgcD0ye+0YmsKGaxLGugO76SxI0DWzTUlqaq2WQ7Xtp
jlvcE2tGTNFwiP86jopnhYeSOU22bDE/JlCrKQSRm3Z1MVkXLKlTKFP5stLMQxv9hjJ4SvbCy8ZL
G1tVZlnakTGukk5zdlon4Pzq6+R8GYeqevHaaYnKAffFStc6/Sxnz3gAXfMDWEH0cKQZzFl1mGmq
Lqh+9bxbuoxEpW4JaD1hcWjYDmWzoUUy2Zh4SuhOu+vbCYUBjBRuosjOBDkPhFWmkwuUIsoIx3RE
krttjJ2ihPBssq3JH0rW53qQdXlD4OY8xEwVSUlJC1xSn6LekGmlDppuFrV9s1ksobA0utx6q6CN
aqTeaf5SJHsAM0w6r0vElU0QMW0vNtLsNRODjDZrNAfHGPArvwolbG5b4UemsOq9VH5iWnpEPFpg
tLfVxHbIwheIVDe572Xb5c9pWtokxGCI1AOjoMax6j6clq5xx31Kr1afZCY18X3ohmVydhn8J0xw
nA6s7SHRTbCXQwtRaqzjXtmaXtwWsi35HGwNupQkR0KCAUzQ3Hn734QWeDrXcShqRWhMtjjPDihT
9vC5rNXaDXAYq2BbjZpGsrSXAaYCTMLwBTa0gudw9T6wz9AX9wCveuV56wySiF9kO2daFpI2ojAn
AZgsZqK8esrx+EVmLBR8kvCUvpz1ItCVjS/hILsSIzqdgBfQCqdoinfLl/Uk8IAdpaovLcnbW0PM
JE1ziCC9WCJ5sEanzd2dC1E1ty6wvehUAw8pH+lxmB1S4sFI2aMea2MTl7CQrk3IXLTubUDFJNmc
Jsq3D/noCaVatrATm1SiVOlGqpm0xXqx82rXzjBuAnYHdeNfrbR+xB5olUtQ0Gb825IaYneBvfPU
atkHcD/xpfVl9aTBrhlDs0F8FtqSZ2cH20R8kHtDlwX7PevLXeMOQRZPPTyVJVzNDvBxdaX6wbK/
CPJ0wiHRmY7sgfOrRk+sqDRdeV0YSuH/bQnIWlMAENxq1QMeDrN36mjhvBA7OmWHSz2X9aEfdViM
C1r6GnHOVH60q04+wBYKhqML56iMR2tV98ROzgsNglbt6ECZEJOidZxD79qjiBPhL+9Eei6KZOl0
7ox7gj7wzsbWsf7aI3Tvw6GYGA3qVZuYRvrCyHa0Ez3i34xEw49UW7aNCx21WUcYxaV7dFrEDu+F
NHzIOWYX1FGi202zI5loOBpD471UU2UbA1axZtpELBRzhwnVI0pE4BMlY1N35PgM9QHaRNi3sOwi
OB3dRINkmPCKWG6dUyZvEdodffj1AuBGSqFVejuvxCFbI60SKrt0EFfArSPDFSdtJYfYr50ASAo3
/gO6BT4Yb0m10IJbd+zaqisiycLsfYWwwL2RBHdS0xveJ7lxrtEut4oPO7aDxA92BdyKbxrkJZaH
RZteaZTh4ZXhcs7uvEL0W9dlmfmRDsa96G3Pyd8pkZY6WJNd3BMAklxDk0w/0t7gypPWtkBXSySb
kXXNl7DN9fnJXxx5O/dVxltAxgY67ImGauoJxAoED93jdI5wNSia+WSwtMjjGW7Mn7NloyN0Siw5
arsooCf2zkOXpM1+NGv92e0HA/MreIhZX60w9IdVhUiO1BlNpZnHphwmRF1VDUE+yKdgOqUuebBQ
xVfooGkyL7xcbBOgRjANR9h/K3MPQrS5h1oIC+N0siZKr4beASP2FtMFwqUGfATTWg3XlmzlVWoa
kx+T29J6e4gQ7eO8eCOs47HmXcIG8F7tPvPTUNCA33Ta1vEOmLARhaMplSMsTgLoKGWHlzIHegHz
inXJ7SrYAISr27YucfQQ7GJLF/lu7Ra+J3Wg00EbEW08We33Get7gmyGJZpHR714VIvpchnrHhfW
bvLvB6cnNWjUHKdjIMjZAgmzuSZn3rwkoaL0oAklSoS9kQSXmpaZ76rKy4tFa4dbuHpFBAfMfEMV
I2twBi9AYe4MBIB7s52rWM6qGIjA9IkllRlqcOovKUmXhWEqZz+6s/NFS7AJObO5Ki2WAY1QYdUK
4yUPYDwQgmX05waGib7zZkcxFAQmqoYu0R2xIzYjI5aWZKuIc5Oujv48zqye/Buum3szWzNraMts
krNfCeu5g2VBxrqsXrA2bp77sWnCLK/ZPcKohCiVTtzyVf9CRI1OCjLx7FhErqTWSuQ9A3uX1zqV
xLIVPNRxn5fezSjH5mJ0OrQemLpesRfwjlqi+1/YGOfeZp7lvrfmau0WWx/up16Zp3JoRnxVJ3/e
ujV9yzOqWfF4w+AfByur3XglN6YPRR4sh9rB/PQetWwe9yy3CO4bbDvqLEJDaV+My1o1GdzA2XjO
ErU84xBBSNJAiFUKMLMTfpV8H+AWxsRmjE8+7f7BsBPjvYGB/qzzLU6oLVw4KP/PaG786wWQ/9BO
I0+dL98gKI+3rdQxxiN4Vzd4DtbbINUwAusNWxw4D7A2JPUHk04PcgrffTV3Zv9nwbIj9hcGlQ4v
yzVcMqP5ovmV/VBkli0im63+qW3rLVAXpmVpWV+VZPvf70qyETss7iXt7BSDgaNiemaibUR739tD
Yzs3I5blVPnB9zduUt+hDIEksGDI24E1ADg2N2RYbhrB2USrYcZWoy9jdtJlJor1BJFbjU9JTpDM
V6e2m/JYNL4Y7Sixe53kOH9y7LmneJWwWcC04EcUgZG7egzxzlhpG31d5VFfur2+nKRa2GKGJAU6
e9tGdv/q1vVIUcEgrlow1fWcbAtkm2p4CrGm3DSF0GLDsYKOTBsPqwpjXNCgHBq77UAFzdrmm95p
yhtiAE2IeruhnVVJ0tmapyVsoTZNNhI592AHDJIW6ap3d5Plj4wwubW4ff+l8edkKmKAWJ+5D8lQ
vhRnIuYH2cSY1pJNs9NbSw7duyxJ1VMhP6XNVUQqNy1ZuLYZleGYoGcugoiN9fZObDfVg+qQYb/k
dX9KLV2xQSEPruTf4MJ77nKpjQMD82WhhqRyo4W8B2/a/w0896tABPAPAXWAVhaQE5oexIdfwbka
27OkIBfxq15gCfET9Tbd0gF+6i2Rwvac/akWkS7s3sSPs68gaYYVOMoQjaQUe0/FD6Drr1/Xr+gy
LwvHCxe5arA5v6F7+w0zzB2FNCnNvY+yaTegRXwSP0QZVNyIWgNc9jdA5a+Y/PYbkXFzNTbtMJDv
ZhXwrzYULA39UUcv8U18/sbpk1VjOXUPND/gTyMhwU36oiH5yAvAys+P4j/ya/gf2Lb/zywd/heZ
u28BQ//nX73jf3rCb+b0//e/ouzt4189HLav/rRwMK0/mC1wrcT1hn4ZdPmfDg7WH4j18GkyLIT5
gPf/NHDgeyARYOYO/VCHYqSb//Rw8P6wbQMuI3+3GcjgffJf/3hRP4U4eOH/t8IcvvUXON/DShAy
E5YmGHjyHySbX++nhp6dFtO9kBo0O/o0IxHzqdfYf1IyMyOCcyo0GE0+6Z2PFrbid3kC1rv6AaVJ
Jl0ZZUu5Bo+BkTr20XWHlgR4YanycpX1ol9urgf3preuc+SmRRDsC7tj/V+tKyRpwuFF3u5heJr9
E/4jwUibnRvmEqZTkVtx2qYO2x5IMaqEOiJzcKWinweIpzM5lxHywl6LF1efjnaeJjblsStHEbbw
LEPopPVtlrf9oRa6xDvZ1g9DblnZYdZYM5gpxlTSZn50S3I5DNHo6XnptVo/25B0EmIBCc+9ql2t
fF6nJiDYtBoN99mvq+wtJZWSxO8RH25oA+ata9rDLlA9Lt3n1nPQnlTJk6zZmfjAXV4/cOKujqH9
afEjUM8QMHw/S7H2564E+HpmcZe4eFsE6X0h2Lj1ES+0XcqI/qqrrvTGE04WJamwbmr6xuxe17BU
R4+YYKr+sYCwQrVnaCYWeSqhLxK3ZacPaRaMzr2jYbXx0qZ9o/ZqzayotRa2e7CtLELv+uY96zz1
fayU3YE+SstzGKwrl9MUuc+QwNgNXSsROWQrR177JGIVN8h/aZVxSDJvOI2Q7q6oEbKYPEhDPWFF
PX8rTKPEjzxxmRURIM7Q8Mw0bR+7PCCkmHMu1pXvHnV7yu8QTpXHWRlT6IyKoWUohmWXJya7STUL
pFSQNW2x7PPcS2vQqnY7KyL0FiK4DrosSAqQX0GzyNxoDkkXZpAFCNJLM0Cey8YKZjlFLnETTaRG
YBkjhGTHEoaYvzbIFkB3aySj0KuTlusLV57tBxiuR/vWmP7lmCIxipGbLeqUkiHAfrKZXe0SrR2J
akvi+rdmMrryYl3IVblwkxbz3Q5LlCkeMPjv94nvyero9WVXnwb8R74QpptGubYuBD0vw2EaA53t
d9d6Ewe0214pIUiNFGLYj5CmYK6izDhLK8Xlf8HA7zrJ0C3uIU2qB9WrogdYU0gGjWa6YxxTN4Xr
ObFZqkU7+0Mn7/AeAStfBrMu4WRW6RdD0+qjmTUO16rmkdgNaovVnCQpH3bSVw/M/pJHaMy6U9uZ
9t2Ckupt62tfEm4t5AWethLiXs0kBip9Xck/r9FNh2vVWO2JbZVga5mXGbOnRUcPM7bEBq+Q5fin
mzjZ46I6++yz12BRbXbJMJ4UIdyiexolzhsLoie2VSuz/mhn7GfCbiQBQc0Rz2U3Tl+pCrZFjjl6
Ty8g491C1JnGrVgk9ycEWM5f80AWM4nrB0vvxsXbIYlN11d0msNsXmYDsN1DwOBvQNHGu1uP2hRS
y7rDQ31txAnORQ3rh+2zNRXAMGXiZUU8CJnPVzrsnpbur238zcq9DsaZEAnSC61AXJKU2xlj6Lvd
IphnjWW0933d66wDMSSw9+jV6qCKFo+Lj1WdXj4mqc7LvLZgts/zF2ZKX6FJ8XuIgmBiZBmgDxnI
KiXwl7UQgdsmG+DBq6fsqUmrkXT72nTn7M2GD1p/CRjI3Je1osN99M1qXvaQnJv+Oiix52R7PKz5
LoCrxWK1mWUtb/tskXO4ZUv0ITohEdegYh5LFsd9k50jQNDLzjuKILcPo5VisYXu4DXbdDYgK6zI
uPpx5gCnW1OlPUB7WMiprARDrCjKvbtQF5SJegP8u+yuV6frL3wYL/fkoqexmlZ31+ebhGnxfYk1
ttTro4da6sWySOZGUA9upVmrjIHsxD6XE7aquEUahwXM80umHO8mHRXeWLCn8CBqBj22RnAJhIv2
CT6ldiMJf4djaJbHxK3dg2pT/6S3M2HznVqc10lJ9E2zyGBUzisIxCCQMEzNVUA5x1ejW9Vj2W/O
RUHljDtMLaw4wZWAdE5zMQ8m028f2soM9nAxi0NuZsaTU4r7VR9XEnSEvGCW+u7amvHobVsOwH3o
zTV6pFOQtaCiqnDFJaoY55BY3vtolF3/StCntLD4Avj8SCpraK7bvFmMXYmHJ/7ynjd8WcwpKyLE
h5Z6yYXrA0/WdVOnJCoLm+VLX9npR5kPxZuDdFV7duFtplfsf7FjS4pCS2IeEMakmVsmHODvT1EA
7uNHdj7Ud4un2kPeE3+7gVD12S3XhYGyRoIVQqSr1R6UiUBxQ0/9awxABoQYJbUU/cFIMMKgoq5n
Kl3SgBRP1trqFqKKve6sWupBvAxlEZzcrsK9Ybcq39qDQAsQhcxh1AfsrazWf3XkqsfdbJsQKHk6
70hl867Q2bv3IxM38eIgSeR12/XyXmlgJyzM27d50VY9kvlY7hNtVu1uU7Gj6/d1UB7sfN4mMOA8
PdYZxww4cV6uX4fMybJzgrrE2ysxdj6qzBzbCghSV4JVInhySvAHPrfZd7XaqTpAB4TMSYGUUtz+
aBz/owb7f9Y937TfaugS376N12/t/4J8JGOzhv/ve+jzt/at+tcm+sfXf3bRvv8H9g4WtFNMXQg/
2CIWP33QfP0PNN6cIub2f1jS8C8/85EsnWbZM3V47Gw6DDrpf7bRpvsH3GbaZySqJtp0PDZ/a5v/
qo3mpfw6lwEi4MdNRf7dlL7QhKK7Kfojerj+jhNM3mRZIk4om9ed42vanW42VU4g8QRtLgeNDg5m
P2iHIvXkfVNqAcFsTbdLerDhPFNUZ8uU34XI6RO5c99nS05Hv/Qo2GlRTN+qjCxyfRSA0LOE6Zs2
M2hWYB7gJYJ/JMVwzhrgd5v6Wka2YTWRKWcklSJJH9aqXgmlN/Rv5dwEcWGrHlaAXnpHq8nLOxgV
+UUzzfrj2haNERYM+vel8A34OaP/POmOeSpEVb1jl1m8DKVcqrjTOuw+YKrG8yj8Sw0+JAEyeulf
c65jMTDQc7A/ry/YgHon28vzU0dtvk9EqjZsrPuTJAvsVMcZdVfEnFJ7sTHa1h5QvfmWF/VyR3wR
sbhSZtqLB/kWYUWftOcuV8ChOlhSkQvndkRVSeeZXg7wbM+jcJZjl8zqnuO7ehYkVD3lZec6oVkE
87EDuwFLzqz1dWrG8ZJ9Dzwz/Fvy58Qru2WHKsI/lJU9XkncFF4XjubQUe7w3ZKddi5sIT9KTu8r
dIDLEMFw8lmpZZA7ZTkZp65Y/T8XtzRi5I3WhVraNA9NSVGnhkD5jTvYY38m2KAOEaYJxte2U+Jr
g/f/acWk6KP8oZTBLgkngWmmuyXTGqdHl5hWy+53/TQ8GLUvDtb42KaBxZGc2iHZU38ulXFEkVmj
0kyRz5ZJF62tLO5Tvb5r7eBkOI81TIu4cGZvp2iuD14pXHhkAVNQue/SbPMOGc+WAeDGiBanUKbv
m1wZR4AwK9aa7yn+wIfcggRBQwp6ShtWF+u7q0A+AnEAFO5jGAVFOJWA/HPF4tW+H2ry6ztRrcek
1CDXpGg3g7e5KPSooHtWrvO9wEUr8ozFWlAz2frHbMokrv8fdefVHLfRpeFfhK+Qwy3SzHCGE5jJ
GxRFicg5NIBfv8/YW7UWrbXWl1vlcsmWLRBAo/uc8yZb+YTaJp6QafQBiA9fC5PwK3nQtWflnU4m
3TKqf4aBLU691uV7GFgcL99MFRBa7yayFJyNJeCqNnQssvqGaTilcU6ll0i7NM82luRUbyqVQGiX
d4o+NWEl5Y854tlCfhi1zMcq87YZbXNX5JGbp5bXVzYYSzVdaKISF4rvGbQjd5mnb+K+oK6uPtoq
xf3dvg6ro2dy73fYDyUMZPD3rhYA6sGWdxSFJ53J601ipX5cG692Gn+3lOw00g5iG2/8SC3zfLWS
ckvRNL5iDZmvLybcyfmaN79G0IYLiflbfCAfCNVVrnDT4mwlTpCQmYZ/DyLhjvxAvUzv1sS6XHvR
x9YhVQVRJNTCMdv0ihYd8aLzYCb6JZNUf1hpM0ju8QvQGmSUhjtYdrZtFFaiybTTx2D5Wab9BsjE
y2MkkaOA87rD2vBebatPAERBBi7M4nZkOLegQOf7VAuzxItEwbBMYXo+5zAeaYN3jjIgOeSre7Am
1T6LVWaBzD/MdUlvbCt6lIaiOo+zxK3bV9iISGlHKv2BPTZnzpiU4+Kmo3ZfoRKsu/hiW0MTptIs
X5Yutj6rYUWAhiYSPeDs4wCpHS19fbdIj8y8COLau740jAyS2ulSL0sM049mvbwwTx3fZ52XpsxV
dxK6EW8kqAxHGYE1YEuzDvtG0RkPN0p0k9eY1tHir8pjjY2gn7DF7p2E92sItK9i1d6lWqQfa+JU
P7RS1s4x47pd2rYijBzYs5gdwmKj/jcGqd/U9EhbQ1KeirotILs0LLdMMlzboFQ3HdHdrHlDzOcy
1zQEuW5+EtuFY0etexCzdW+15TqAu/pW2J1Pcdz4WDvOe4VB6U3VyFZQzPrgKUN/tLW4gT046Q8N
cPAF5cK+qqzmDED+PuIZea40u/asCbMn16qjU2TBmMb+2vooygjMRhsr/ehkfKp5pDI/GpLOrsCG
ljnA762+zEtFblqcLSMS5QdJTIs3x8qljJUPqsEhTIxUCY3EVB8mqZn8sqaeRHa+UkhCpz0UsCD3
UbJaL5DC7ttSFopbW0P0DlsIZC6DxjplYjPH2YH0CJhCHB9sqbTwYb/anDkO0aPoCBZ3LsXGRu3v
K3GvCz+diaH30a4bphclZvetMStraxS12A+Tvu6qwhZHq5YquHMZqjZfXwXqTLaxwgcsQzKco8YF
mWeddd2tkg4Df9C001WIlvQopBJmLXP9avQYyBzAu80jiG/RdOW3ums0SB4ERMstQldIOEYwmNTP
Vnmlbhd5yKsoOYwr4WWIM0MdAg0vkVefL0GdqNKpm7lR0MhxdRULuomtVW/oFNbKl3V5zb1ZOM9Q
jDSbMGqLo8FJQRNtiblS5/Q9IDt4pw4A769NF8QGNFFsJK5Q2G0FK3aIoSwnkN/APgzmBlnlQVEN
ISS+dDm68Fn/tOUZNBRDpSAx+4inMz2KWnBIr611m0raxGCBvPiwMCU3Krub5ppdk1KM7RHeQFos
c9UzwWW9zuDgWK9/qlS+5nULRUX9LlnDFJSx8z5b/JxmZexqtGMujeq3Mm8Pdo2ZRKlJhT8X4sc0
C4DcThLgEoMIVMHuN+lQtnEWVLdo4El7hDVkWgt9p/CcKfZGS5F8vTW93lTzEIWG42nXtEbJkG/W
AsJ/WuyqZgLOk97wSqiOK5aMXkrNsF8m4OFk1T6BA05rPBZ+pYkbTdK3Tp7dZjkI7twzgVzn1q1M
+QNhdgbbiVg2hrBgpPxCEVobWFr/ucjmcZ5PptG9TqV2nq+NRa1J7c0E6AYG72KtUP4YgOXa2PbZ
i1IIdC3um/GwB8fnPpo83Th2o/irJm5HBFIXgqwA7iSmSbOK2KXZW8tDhJ2maypQfMz2FtR+gt8/
brX5ThlLWqXoI2kj9RArZgDZAorYkPsJlCG9H46YN4STbHlxMYXY2Twn1Th4aVU+KUbprZbM2OaM
iO4WT56djNPsTdaiR+K1+HRU76lcIoHRkU0NZezn2noxzPhA8M+xL6zzNEyVm5Q6rNY12hpq8bxK
uRPa87AD27/FAVCZtim9/I0+TW6rj8luYqyAACi+sarkqS8k/b5a7U8V056iu2cuClltyF9gkbJD
J9GHw9w5kMsDMZmZNxfTN3NNL0jm6PxhxnlSLpgAl2+2SLND2xpeLjNrXJX1kkTGEdmLgoRX82G1
vixkYJ4gYXT+9TEZalaEZmm0t7ou6cfcvEeU9GTP1c6QCIRs0+JOG+fPGfNsF16IjJBAWnfC1rvv
Umrs+zjTmJ1Xj1MqPwiEEa5c9gfWbE7RVb7YTorXUUMnvhT2dcCch3peC4488GjTWM+2WSmuURPZ
NxRZBdcut72uhK3GTAIeshebeh8qhlDxbONLg1crRRujTDD5ztomyKvsKKqazpaidpyrOzR224b4
7VmyH7RRUGlA97kfFTBSkczUGCQEptAGE/jKI1bCtnHGZmIjYmB3tA5INdBVtYtzUJp1o+vgscp4
NuNinzvGLdwS/FOmGEpGWk3bJkd/5cest4UIUJeRcAWXsuVlmJIHxTBjziPpAR5EFg6LHxlfVWhY
aB3UuYJmbY67jtQC+prlBxu/VMb7hVoUQHa5wdicmmrdltSmZEiGverAElHkBg1SLHkWaZOPUg7Z
yrCMg9zUe8e6TryzOyLKF1/Ri23BNNkV9j6TZJj82Rap0Ld26ugUBuM0EVHvNpPmqatyigxY1VNW
HziTDnIEzD2vrYfE8CZmE7ftGvaosk2KgtjIbDjJygm6BFTV5VJlUs8bYRLnjiofq4rplbU2+8i6
avHJI+r75E3qy9tsNdxJxOwbg4t5Eft01zyYvWCsKKOwO04iYhoLL9TIZNqwSXxjwXIOL12ySYvc
lZKxDzlAPw2DgAGOx0O2oA2K1fgozTr5evILxRT0HqArH20XhY8ji8Dqqnt84Y+w1RS21Tp/mkyD
hYnRGHtSxnJguOjinbWDGhjWldTunO47+IXw8S/AGiVZ7y3OFi+KniRlurFMDK/L4gExB4VrAWta
kTlZzKb3MJTBuSRXE1/ExupV2JJ8VHk6v42mg/nxTSoNMy4ZcbCWiCpBct1hAA5aVFui720pgAa9
8JPMJpl36DaYZz1ibbMVpvo9B89iL5jWnZbrntTqm6qJH+FPUoY4bYiibtjZmKiCDV/zLztEJEJL
+MQgkRjZqCIAMS9VrsHAS4cTDMQPiGUXS1mvJNJyY17d/xfnRunUGPopSecmvDlXwhcsTNKJOAce
RDkd1Ux56VqKNNgohzobfszWmh4bBs+urlbfFv6TIVILnIuiDjNCdSM5ysukEl/LYu7vlDidd7NM
rK/e0yMQ9poxinbeUgeRJPKM6VzicHOxE5aUkspgHAY+HxnZWRbmIXU73KW4QXoYBGUeXISD1pjd
bmrGzse491s5Jt/XNnmHFd97cE9qRqiIJjSze2HIiIZQWCfIc6lPH9H4xD5zG02+MRUAKQjEbEXZ
APlct+8MR3rATHfZZlFDSIpho4htfnTJIHzooPMeRX+J9UWv4lWrxBvimZlszzeakO9482VgEhMT
GFeRJwZHzBsxaJV7GW2xHZW3w8DoI1dFwDwj9gaChXwzVXeISdxqapGLwabs9TkUXaNsJCjHXjZM
+zYqt2YWPyhd2WzmNh02vVoib3Ksy0olkE36B7RSN3ZOWWx78Wh/xBlbnDNkP6rMtl210wMF99qr
8mIrHPVcOoRQL5TUFpXXotf8UTW1bP041Y3iWgANcZLu26yAJYM/p1tmiu2RWeUJIRJKUgljjkUf
3CGT+VBVK2hwjs46OMGJs/qpZYz+KnfKFgkQd2rRdraFH5lLDdN5gA0s6SgsplQ5NJL5OVryvjTW
KZCm+KTLBIH2YoUHlwYLb9Xt2mfshoydUIzJT0wzA0mNXtlqj3D77gvVafD1+kMlzhC7E1A9u+RU
R+pLpc7nsRV5YArRH5LIvmka+RtD4R9jnZYw6RG7jvj/kAY6X5RKUT0rQ1BVklfncq6GMCjHCxS3
Z2XSHu2EUxel66aNxiAZjQ2GCo4/NDmQSxk6s/5QDmOgNtj2in7gI012eLyddUjsgM2PGYGmelaf
mZaNV8sciG9V+lAsxaVT288ogiYGYXyBrY0phZ2RHR5LUoh52qFN8k98Gmov1qQ7TcrOcrOy0ksF
L1cy5syRg2fl7MtZPTre5zRu0jchsdeuS7ayGxdXBFD0H71CfFVp6GGsJtSjhhPKq36LHChoY2A9
PfnMlDSEX+fKyjw9YjS1ySHIuQ3jFXes6U6IBH/SUvVbYXMSTNgOgF0UWYBmkOhP09pghiDvijlS
R5SuUnIxC5COxaF+oHGCaLi+8BN72lTelejuhhyHlbbsTnDnMAAd0vYZMSZD+N5mCDTAXrbXMxnM
fdBp5n0d8xBXdUZ8SxGgJsZTM880HmCvhWDoM+YtxKwiSKL0pTKzeVN25kOnWLfgsbdZOtEclCQx
PMLttP28rJ7TDh6btPzoDefQS90JtUAwcoiGRJSg+7bHIZAk/bWsdF+y1CwgD25jIndq2OiDgqVo
lU1QT/UON6atk2k4D7ZaUBJIQH0ZN66Ioxs48Lg5m3buD5acPXfXzQXzosgwntOidpUpT0JLanaQ
NQ+9ifTVTu9QEFTeEiVP+QgtTpExndLzfdtOR2VUQqG0lzEeb2lh6yMj/hPyIzoOgfpPj/MDcwGe
a4X6t+hDJ7f8dhWhXDjnqWDf4ez0LFXq3LnJZteQ6+Mo2SenVTPq5/wU6Xq6yRakeVUVFjrDWs6n
XE7uirV61qGhheakNL5hZQxcBiz/ciX37Eq+xPQIGn558CUjAfGdrYd8Gfl+7p9BW7apFhKg5OA0
HkMqYvazYO/nivKDgVjQZ/IAq1KxzsLIgVxrY6PEEaBLZId2R6HCUt9N2glX+72k2wfLqU80njfl
YHyP4HwnufJAyGkfyIX0lNSMsGAsU9Qvz2OcblVDpQZo7k1LIiymfgYsfOrlNMPTZ9G2Yr6XHSqf
jt5/jLAITpUFBezYvxWK8ibJ/V5KkkCT0MEwPe1RSJlQ9kfN5x/OA2aF3posD4VYTlBwb/ikDtqa
P04TUjRhiScM61FCdXgJLFA9KvtYIyU1zaFyo7VRLks9qvRXi4cr3p6PAtFS6WGb/xTRE7i6JG21
rDlnonvBAgGKqtWhtzadhGzrqNkjZ9vnCWM+Qz+lhnYvq8XOHu0r/RbPq9yfM1KzgZ+xXDFyD9mw
W7S0duq1V+7e4NzCjjBlN1PFpow3srocjaViF+irGzUrCbFTaaE7ldI+NrrAagkllyn0YdBhdijS
o6XR+5ULHE/kgAmOjrgx39gVOtlIK3ZTpnzIifSkDRUq+AbWP3jyjzSBudI5rG/yNxdmCcVyN/Zj
Gkj10DwzWyQ1M/Kx+cXmjuo80WIf3+tXaxqgoJcpshWRH6I5w1xi7eIjlndbIxc3Jlar0NhLf+lq
yqwJfXHZa9u6u9eN4UZJi09Rj8mjKZtdqBtWt11XXgrktgmyBryThdA3t+vbLjAHW2yckmbVzsa9
pVqDKxX5AXeXbWW95LQfwdJDVl+LDzyCglVneFYm6DgwLZZQhE1d82gb0WtROgqCCU47+d0p4gd5
mg/2Vaiz3hWkLkAa8uXJ/oyp1HWQCWx/3tSi+6hktA9A2rPRB7khPRudtTNVM1hFsbXn6Qm+/g6b
5O8L73YxKFeGBEXIRaLPG3RrL5vFRcXl0MWd4jDaMehiEzRWv81kRJcDHlIB7kBQ7TPGqak5LXs5
jfXb1CS2Bc+4QHIYTC1PmdqqHgNrOEOtc65XxJldcQYfobxFye1GjI462rtwylCy4Av/YHaMoW1U
ltSBaN9YcH6rqxsoQ+9wAihjccRwCi2EHvpoRjCdjV455zOadElvNJwWexEi/QVghtwZLow0g3a5
VVP7Y27uuhHSBENRlItL9cHpTUs4xNlEwyE2mC1j/yy5RDa/D0Ihz0oYoSXngVAYjlzJLSwW7D+S
DdbWmpfU8rFnZfXmfE8DdzLYJ/ht0zwYdr1z1DZwUmpXArrigzEVlt/N0hvhD7do7bxKSr9TUj7Z
AFJwfFkzOfXbTkKO73azGgW5Kt8k5XUG2pluqkWmj86VjhKAIHV+qDZ7E7yLLRExF+Dr0VMnxfBr
Sd6qTL8ZE3efA7MOgmtQoiB331dALnMx+mlZqxc8y9ItHX+zR9eruAyiqXA5L12pdpoAhwOvo9X2
ekU2N2B20Gwmc4ulb4is88p/ZtoCmYgKRt4mJEiEWYtpR6q+aSMfzqpJPqLVvdEaBpzXFP8ABXqE
X6g1dctiSvLtBCF/S6YA85xsNR+q1hlqL13t5oz+29gRI+28Waqy3HZRVb8byF/ABQDMyVBVlDEc
TZBopI+J7vf5bLtane0ZEV3EIhzZR+Vqzgz7Z/OhaOQJ49WobG7FmBUAg3I0DWGFtmfHvsPwQCXq
Nk2/lYuMFNzokWTXia+Y2Ye8FIdascI5K0sUF+utIiGTnaLCxzegOa6MC77h91WdcaeK+Twz+xKj
NKJ2WBilFXaLQmWKi2zTDAXvKla790ye4GiV1MCqJ3dQmCIlVf1aqdabUrIyBKP5TAHSmO1mwr/w
VC2jfJ/AD9+Y7SKH1VorUF0yDCwaJUNljXBk3w2ZDY8rRtdI4xVE1tiGs5qhx+b5BeiaUkxSFPuY
yIA/jbh6xusGoXdR1XT4DwCBLqgdAgtXUzeHgAAZcBXD1qCPuBFFnB8tK5XvLAJJc0/YxrqL1orW
j8o+Sr187Mn+idNx2EFWGb/F0BZ2poWEKHPa1ZPjPiDzhOZfoqRs2pVlUy7iwBMdQpvzmDi6bIUU
gyl0jK0lMho8gLopY8O+ktpWC3I4Mb3dvJGNtDwtiHUOkWTZcCFRQXzOMYkp9HN8Mg7q4Md16svU
08eJaZGsSNbzmLUi6AlQ2RIDQHu94q21K5G47/uO2irE1piTyEiqFD+NXlcObSyom6ZyoGaKi1BF
MPyWryXqfpQ6q5t0oxlqSCZ2kVI2ocHlEGWOyIoQFTrv8Tzzp+XZeoSctIYgtVZF3kyuvs6lMiMC
a1ToMU4XDnwiSFCjqN8s5tDsYwZB23wuX3HnXR8URao3MPP6A+dVdFiXdj7a1DNnZhjLLqvnMtQw
lQ2UQmfKYDT6ztTG5A6ajn5KxjkP5JwR1FTQxLtVUusYLBgTsJyNwoXivcejaqfgy8FEna//GymE
Fk6b43w2asm5szUadk+G3HmL9bcRNHO6TLgaIQAcnKS71RO7OAml1veKcLpXx4m65SbvDTnborYs
D8zY+wjJcir1r+RdDN46zVSVxCGVn7HUaBvYZNEcxhU44NaOYwVNWgOZBwrnAvxY7YuK4MCkmKTU
L/NhpbUSOKx4SPuNMxuIyYwmb+2jaqIA2hYleQi+1YBmiwnPwVBlfrFZdSm6kxvpLgK/r1yJsIot
dNDyBuuD+QkxW/9sM8sN2kIZcf6d4h3ihPm2s2tto9pvpQ3hyOyVxHGnQXHu01Ur/VnVIMyoZIcE
Bk7Jlz6fUK069YBKtO7KfDOyxd9FItHOy5CaxC9TlsQHfRK0giKdmbXbQpikJFWTsyu0aN23WoKE
fhxxSvJMm4lMaPfDWcWW3quyMbm1aSM7KJjSEkxla3lalDnFd/5do31kOMF4+pTU3aYr0VZdD4YB
oxYyO1j8YsCzQoVQlafCeBpprp5bshgZbliLuBn1cT4wZUNoiO3IoV7m6G2UeoORCPNzImJW4n6w
jr/tLEcL6pwpPpNqqghS74kBGPM7x1zIX6T6tvexU+gv7Uxi6aTDRpQr3ONaq9W3mr0aYV7N8xP6
r3tblpML5lZxiLExE0/2T+sVwkAsQqGbOoggfkD6ZFbyWepWJKpLJ6yjJaxXvWjlHyOzYpiSAqTP
0EFQoALQr3XoMTyEcc4un80mOitFZT6sWrI+lhxKZo8QA97II3ilcz+lRFi6k8RUuFmuMN8iY/U6
syvAWYTc1s+QIRAz6HfLUEvPqb7ogSiwWTJQ+jDeybDkKDVzeeZxlweh4xviSlKU7wkf071iYYxT
mS1a+CFPDku/Rgmtlq69yontPK/ADBtDL3EzYjwVT1aMetgynkfcuS9QNGQLwhvPFELhpASo0cUD
GibjZoLxEuS439JSGGuRgdtnDxh8MdluwWwxxKVzTHioWQY81JdDBu3Amkffgjztw3jhDEcyhF38
1O+XvIguvSr6hyXB2B/OdglddpGvHhg5Pe3crDWzI6gxJsEd9FTIEYNMmexjk6to/uaqvnraV6s8
eWsxOlDRWS+3nd4N3RbZFW4p+G1N55XMaPRHVqPfLquGp45ULcIvZWtVgqpp6DbI+oZfps76gT5v
COK2ujDadpDNEErnOqNKupAWMQnsl0hj7wNBsbpWYHBOaWgl83SqF6RBEMNRytdT5WEEZRRokQli
8VOlsR6mugClx6U0haDPwfJuitWqA02nNqrLnnmrBEEUpbCCvFDgPhRqU4qZv4pHyTNJag6qfvgq
t0s3Te9GrqiXDJ/hFuG4reMJnImX7A+oTTPsa2JOTscP9FueVH00+y3ETKiWLLHN2sARUCUHD69e
QhSGd8jNMoju0wSgIoPIWs+qIfcHfdbinUx1GmiGZvx34va/4s39H4Qp/48kJ4qJ3uh/58vdvhff
0+lH/xNl7vq//EmZs7T/XGNDLYPAd1kzlGtc2J+UOZJDSV42ZVm9ZoPgJ4O85L8pc9Z/MP0kQIG/
oVnAM/d/KHOS/B9Llg2Z/xMyHavKUZ1/Q5q7aqP+x28RthyAJ1dxCB20EO19TbiFIrCkZj/INPFs
tVDhCIGRB/gOSlFonoXF9V5xfuPO+bOjJNdE1KCoeByjzL7e4Be1S4SVVlU7sewPLbQ0xpGjt1Tq
EPzlNfwi7sb65WV0w5AVy1Qx6UXy81eRlgKvRCtFIvsYALmcUIEWbXtmSH0AWUVPX/n88mLb6BDo
b1o6N8fDeEjOfYQ2C8f0o6SQS3djFsdG8iN8aGjSFLpRZtG4h7gU1mvjtzNuDD4oZll7hcJfAQeT
fVCOuN2wCYhpTwDV1IH7utf5GmKZ9/y79u7UG6AWSQpQSPZrmDEC+Fg+WrzJmdXHIf5BqBr9dN1b
zqGCMHh1gxEB5JQmD6xpm69+9Ju4mr+tA94J5uDM9CzT0g2VFffXhyW6tJWViXVA/gEsbphZiXDi
PVzHO/QBmWes8ewtq3n555f0q3ekW1fVExc3/2a3i/obM7eYy8pJPTPXHRXi/frmNxbK2s8hhH+u
OFTl3BhCQZYen9pf727qYZa1eoQW3dpNnd8Sw3zlVtwKmtF6+tBNt4HebHbvZQWgfVSM05UI3eAH
z/JfPEQWDKf0nfIARGrP5855zhlFVPLJwqnM2qfdKZ1wBlij3SxeF+3RBB60ptd4PM75NyCff35o
v7wdG9EZvFpFvX5FP99OB2NmJkEEpbFNAsmpLrANKbIwiQ9ikb0an5k8G4BpCeEhs2auCbAQ58zg
H1nJ8ra2N2NzKuUwIW9tfTfSTwlQv9X9gvjzrn+EHVB0jCDELm+BDIjfODq6z2Hh5h3IY34xxzB1
JNf6Xarlz/TdP18T1tIyeyGLULG/bAwxpcwscnP1sXXHs69dw3S2Cd1BNoxbHrIctdV/s+6/xDn+
eU26UoIc2aRV3fzyLDVjLWmSEYvFunrrpO/o66NjYuhk7jRw4Vsz8tJ83NbMgWB6oFuDy+P/8/u8
fls/7cEE0Fq6aQKwERUMGfjn10n90YD3mrM/WhW0MfWAFWRQztWHWAZ58++vZVsymULm9XN3vtyu
LllIO3o2EDuNFn8G8CATJrSjGpssIf9OMfyL745TjKPPYaHKytf8rwU9+KoaXEgdNJDXtnNr2M74
LSB5WoruKYdClOV9YGf2bz75X2wsXBmJLsc3h6xx1Qz/JSh+pj/OWywXmCcnlF36kG2WCRD7n5/m
L67CwQ70YRGXhxfslwWrj7JaXbMnfcI2OpdYijiICG7+zfr4Kg+9Hph/CFE5yzSFhMnrj/GXm8mZ
nVT416y+MxWYpuJ6UYzM90dIPsyYbdgTJ9iyhifN2DNIg/jNJv2LswGCBkmTbJygzMr19/9y+dUR
xaCbE/houfKq5PeW3hbl4AS9sIfyERupzwr+zVV/sRmgMIf1cRUOyOrXysQpeiCvIr763c05voPK
SoORBXL6jnMOXSwo979Tdf/xmHHz1C0yMGS6RKTAf71PnJoApmhN/KweUeApgk08iVBhrYCWjUTk
wZrBKfznJfSLj98Aeb8mxbGQHPP6GP7ycHGdqfthmhe/VE4Gqjc3NhfDn5z6E0HOb5brL6+Fzvj6
3fMxml8O+UjHVQnMmDDJpgnFkkrQF3BNMzNc7Ihw+s0n+KurcSUiEqhx2W2+PM5oSEnwYYFgkP04
LSpxV2udYpAzgfAq+m8e4/UT+LKHEo3Ac1SRUV030p8foybHs0o2EDtNKoSH1zzD+iLRf7NC/n5L
KMctRUOsrcsk7X7Zqcd4FRgxcJUon6BHFW/E431b8G7RVS39zcn0t73TMbkO2eg26lJ8/78sjJTk
FdBvCz9LjFbhv9piO45x4qG5fsJhA/qRsu56yBi9mdz885r8EljPoci1MVRAYIPRARv3l90zwcxq
RPh3LTCgS3fVY4/gxJt1wUi6FjD0Wr9cVOBPUYZT3HcYpPSPbYol9z//IH/bA/g5iDO2VMNCu0+F
+PNbjebYrHpBhyvW4bvK1xE0so7zZ77JVRBqxLvjb576L2+dcpRCAPkyqvwvrzhr7bWcJ1xctHzE
egVOtWidi9mCG2PSBRKSqpdr4hWZb7CURkf/ZMgWDO2S/+4nuV7ppyXNucKjp/tzTMXUnS+HiyzZ
inIdifuI48YgLTE2iVXpRs5a6am1jdMSX90/EFHjwVo8zLOQgknG+ZwJgMS47jdF598OARpOmkSV
fB1ZZz/+cgjArB/TVclWQPAm9rBEue7GXotyH+MnEzpYggth8vnP7/8PI42fnwHicEfVefe6Rrf7
ZSGqsYmRTWovvqyADJWfEw1CHL/UzQ++GUbxBuPwMKoCCfG0GTrrU2ke9fwog4RPT+O4U6W3BBZb
C3bZuJf0ZNwUYhsLh3mvZ1UMUkHgfiAFmvmE7Z1V3EfoZJWgUXd1/JQtr1PyWdoXkd/O/emfb035
Y//7em/XjQTtm0rxbHxZaatkErFE2oaPbk2XbyS6T8v4vtjnUsRh17+2leVN5ilaHuoCRTNd64Od
70UTlgktjHHsxBNWam7cXojwg3X9Yo6bwXqxm21FW1tv0GAvTti2GxwjbRTefkPQeslB5mGDY55j
EXTDru5DA+QvY0x8YGUzUcUtTC1uJ3WvNe91dauL8HXOt9BELNMfzYsGtpf42sv8WqjhODxPyX1R
HFVwnJEMOBdtV/3NSF7m9AU825Q+4+R+1Xdahu2m54xuabgiCpa7RfEwXZPFFlMZd0E41u2x0VXa
x9rZGsTbVA/iA1MxFDNVFKQxKjD85Hz10Upd5rbJeqQcL2AAmUgMAgereSekzTa0fRNfbESpVVgh
eFfEoxXdtyNK+QPWhpQvkr27lqLg6K21tzv4l9vptcdM2nTzBOIZEiB/+lAORoTTxUlWwzLfYYUH
oa6UbjLnmC0fpnJOojxMh906fSuTb3MVkKReNbewXvUuhF6DqDtzFRM0XnuXzdt2l0Nls2nGELbv
22ELfBrpO+jw1b+LRbpu3HRPJFJDS3FkmZb35w3T5nQqK4uiKamRHaACxOw6zoJYKp+nrFA9m339
N2fi305eLmlS/xoQQzX8cL50FHmE2XtHlKev8gu8dyadZAB0Sb/5XP6YCn39XKjMruYtnEyK/GUr
aME1WsLBFl9MEGnoWzxTvWgRkZcu2mGTN/nWdA/LeDfr3zX9R48V69RvbagsqrxLeh/CYAXtDGr5
5BOhJzXbAbqjsxHKxiLtVcHyyX65kk6rMZiml+TCBDq6k/YlTDKCcYPkQtOiq6Qsuet+OMB+v0U8
lZhhsh9uB8PHhxRROPxjZ2PcYilyjwESvtOk7ZDDgbyvvjBSwO6zhaN4nIpDM25LLQRn3mkl2kK3
+JiGBzu9r5ASLp9rGF+JWdjkIffz+egbunhy5TBRLTzZeG7Wj6HeGtG+Nzwm8/ZyTPudBHcqxsYE
X/wtkCw6m3m6ZyJgW5gKBMO8GVd/Ereo6daKT8RN2lC3b/r+1cCS4xKtz3XxWGJxiD7UnZQ3u9Td
oRQ3g7K6U4uVgPSu21u9OaGE965ama49T+VN/V/cncly3EiWrl+lrPcow+gAFt0LRiA4U9RAKaUN
jJowzzOe/n5QZlUxnCLjpu+6N0pTmsmBcPhxP37OPwwXrvU2W76//sWf5VrcGXWOGkqUttj+e7yU
+6rPXdS6+N4CWWMnGb8hLsr1xrGv13AJT2Qav3uaYXDG4KzjceeQVpcpSnvs7Amp1Qla0NZeQkwN
f7oOSfDSS0887fmNjpIvtShcrXSXiPWl3BgpOQ2uy7LsV8+LdiCQy31kuaCP1+zWHlh5InPng0eD
JOyM936L9Nrrs7vNnhRNpMnkso7hMb+/yiJPrh2pW1d0Hfi98wqFJcuTdF/S0DwRtb97ikcZW9A8
4jIu36haHf5X5jVQ/irvezKhKoMLzKlL+G8+HYNbpoButn056Rw1EZi17C7iBuU6Bwwr3d0wlvTt
DBgmLpYgJ77d80RoexbFIsShHAobUlqWNqgQDWOz7NtKNBepduXrlNG47Zz1Dj41JZQ414vr4PXv
Jf9ID7otFfPNDG1TiLLkjR3LsQYrpHFvldNnlG+w2oTbvX5F+Ec78QPliweP4jEmebdF2m35Uiik
44zCDMiz/WT4wy3Ha50BbBWN/0AT+cwMr8YEcrGVLIfXf6Kc7G9dAY+fRm/AIr/8lZk/WZKo31vm
XIfdPoWzCjcIkFZhZAKO7wb/nPb6qrknHvksDimsuOjGcdshzebqL8WhFevG4I0uhXUHAVVck2/1
Mdm707Jb4C5gydyhu2oCCRsaKACrcSI+nn9V7At5MHUdslsuesd7XJJrUQWVoNr7gEPcFEnIoSJt
wgiG1bT6716fYHnl8mOJRQ5pilXk0nJygJWhCDdfqr0+v8FGKYSmWJ55DfD6unfpIXvel778+foz
n31Uk0ssxSuL70l70Zd+YS2glZHIQon05nbXmCjwuKFTIVgA1amth58obyUnFvCv0tDTzQ2FQlIf
ig5cAlwKgFKwoIFK93YIi33l3a8JeGI/0MMbr33ALRFe9+aVRcYI0hyTDg/R1Lq+hJ/GX0btfp2+
wMFftYu4PVv1L/H4kBr1QasOCZxYp74Zqlv+XKo0mHyuvHj7tIB5YXzX94PxwBigQBjA0TjsYf5k
2z9FROrMAF5TPbw+uc+WD7/T9ShEkPBtpWvpd3ojkpyLl5X7pW7fhxP6yE2NuwyepYh4Cfitrz/u
2cZADYeVs7VR0MRD/fB4tcLwXLBkAM9KQrBfBkSJ4gZH+KI2Awx2f4KGQOBeT+7H0r5XeLLB40lu
6Upb0pNXJEChqzfJfkmzH/FsQJCaQPw1Y4xWkU4W1a07D1Op1T/x4OczzE+mIEjFnOTANqX9YTCT
DLVxMG4GClCLHg3UzV0uWzie7eri1En2rBnhMbfMK3Qgai/UXKVoyZ0JDn+/okiWdzSq0Jxthbgo
uhmpPbHcVd18KP2xxCh2iPYi70CvRqdqLr9K48fRwz2CfijVZt6FZszxZ7aQzpuxBoP0hWBvkV82
uoYS4IMxko2aGhw0/K+mh+JCxz5l1Oie0mFNLjG9Py9z1BkOazUcQENd91qwZI9FdYNHPI4cILti
rHK5mL2P6Ux5/UEXWL5dcrHnHlpkSGRBBqiafZ8ewuaR5gsqywQTfxKExoiCNwWOOrpc84/gKXGW
ISfGj77mYTchQ8c9uejf7g/xSZzt67OP0KSkl3A8GwDCvQiV2ZEy9F1izBH0/6K/zrmIIDoNr6jc
/EHQDmgj5y3udOgywbk9saE927i3ZjkwAgqpFrmaLHCqh07SNytXAQNxL6RocTmH71OPH93ZRcKu
XQKshg6vh9zzlc9J7HiO+asvzD56/LuhyjRp3zbwofp1PwwA4FecOXaRTVnEPmn8+CtrOlp0FqUu
isVAJP6lLPS0DD6VQ7tC/un3+lvrW/VuEzz7CPBZLEEWvQ3dfbgE/FX7hrgsXQ+n3VfDzUjRpwMw
uwPE09ln+gPGUJczFP5iX4RvGuc7fw4zyKc3OSSv5twzDpoJBbwFaW49zsMdyhVUQ0yHEutlHcOM
h8AclOa7avk82xcZLmuRT4mchbeDos3FiD/BMGPFJZozbBXtZodTZBpjOURBhupD4MDFatB/x47p
AqOPzodvfYGsM1LdRXzIN3vy8zDdWcD5yLpDDEnOynso7Pf9RJf5LP/gfkK3DgRCnO0W7cIoL+z0
3LfPERFDMGyuz6k9r3c+VzpQjL+KWuZ7Ee0rcdHWuNDf1c6hbQ+wLuDlpfpljXahcV7qF8t6V687
aH2Nf95F5/xPAJ1+eb6a50t/mZUHOCFiOqRfcBKyoivjM7wLHamUG/Nu/mP6WVyLL9Aib8ofDXWW
zEGt4E3kQaW7qaBTDOMhsx7C5VvbPNTZt6R4W2g7ygDGfQ1iybhCagyEJep+/vf4dj2xQz87lLaF
Y9Ke8tFipash7dBabiwYESAcqXcg2zu/9naWS1FnE/1Fxya+Woscyr9rRnuU8cXl61HyPIH89Xjw
JVuTAzCNdBvAT3b2zMHo945eBhWCOwvFymmBVtGlHl/LoZczZjhib4L204hf9usv8CxMeb4ACkDN
x8Vy+VnSzA9ORRux1LTuqsA6Zi+a4X2+NlRFyvnEw57tQ+TlFHoczibIEOyLx3uCl8Ru73ZWj2RV
G12AmLulQo+jobPh+nP0WFkM6dKMZ6//RnO7wUmbA88FLORxLnq0Ao6fW2RJ07aTwAUwdcJzY8T9
xsbG46zErfmcXbu4hkm0YSAMNDey+Q1StbjIQNPcPL7WfUGaFlR5fL1O1IHKwfxRrKV3Rd5mIp/g
jPGhTzTqi0mP6kZYTn9397ZIIVicW4Zvg33fVvCTe81Kt3HUfNyeRq25bp3hghYcZEtyxqHDwGee
qk9TeuJ6v32J4xnjmZDESOk5OHz0iY+eKYra64AnN6RpzXqOUNi5QBoVou41jRyNbbU4Bbd6vhDB
UFDL9k0DNSraFcdPHMPep4QCJIrCR3+Va4gBboYTg3Y3Lc2H1xfE83W49YJ+dcVRIfd1aR0mVTXC
xG6rvcZZdN7oVOPcmc6IrwWpO+zLyPdRGYEM+Ppjn08qa083OIGh/VHqlC7GftL7AskGaOEmuODO
6ALgNvo5Zg1LkBv6H1kKnPz1Rz7PCJEz/yVYTSuc1qMnFTdKGEcOTNpqD7XVgjhFlXEaqWmKdQgv
S1NLKMTl01VWF9BWBrM54JkDxxXNoNdf5Pk263M0k/tzV0UPW77HASG1UGgGnK5jNTv3jkklB+KT
nUApbyb3rGEJzyLez8769vUnP19Yx0+WZh3A9IBtxvZkd+/OXhiMPq6HonPcIEpPTPepXymFTU39
2WU7K/Zdo31ZPO778WABg4S62N+t/Q0imM3BcGgDvv4bt7z+OFz5jWyrbAVUyUB8HgcP3A7Hr4eY
ImBk1BDc4VqnWhmduL/9biZJ67licFCAipRCFFuKNMJDBLPcwigR0hH7BRJb10bJznPiU2CD3yxd
3wZlxMJFrZo4NY9/FE4Ejr9WyJakM7RDkf3EA3K3jID9J06OKmyCipw6zhEkpPMY0RU5dTqb2+kr
zSuv4LABWuDzQTYev0LU0qzkcCz31filRooR0gd+gOAZyxuYIBDR2jG5rjT08XrbeLQXDZ0kGgF5
jFxZ1hvTTUthAwU30QbD4KCjlpJzenFR75DmATOOxt/rC+H5zsacueYGQeHqxbQdv/CAQJ1lAItF
T0N7U4/Nzojs+oCv+x719QPlKgQQk9Y4cUI9Wxg2/WVKQoBxKbk7QsqhPFhroFBS2N4iGQ9VnX7B
ymkHQP6TVWSeysMsEn3slSyuNVssPDkOq9Cz+7GLs70PO4PTO6OnkRlYftXnHX3b1+fz+S8DH+lT
XxcUus1nUGNwS/rUxjQ85qj92jZdeVF7/vlQuPvSaMSJj/e7h22IM3JRa6vsS78s7Ia412Dg7alf
XnhCnDshIoMm+enZnIifr/+yZ4cRaql0+7Z8jPPWlqNr0WZAbQatpYbmwcFFvZjc3ntEkBp6szte
4sIqTuxSxqlnSoeRVtCsGTFu3HubQssosvOqFv0vMt8fQ2cEVC5oYzfGARvweWdg2RvFpn+VkbrD
rfu0rlzOkKK2r93Qy89Kyz2BW3kWPcwJYAHqNDSMhC4D1eZlCNn/MKjiFqDth9zK35j916YKz0U1
YFGXxfceYumXr3+J7bMebTKAezBGsUm4WGUYqxwv6ALXFxS5c7RCCKTLXFu/GkhKn1hbv9qo/3mK
RzXIEi5IferV20KW0VQe2KMIt84EMk1cH3BhB9gbU57Wi+ktRpT117IXbxFvNS4WbUn3g298h/r8
x2Kv11jWATaf1voS97pHNt76ctLn6qw2rPdda6UnXvX4EP3zTT3i2iQSgNbLu8lQ2biFagi1L7W4
RY39rm9CnIrQ27qsueP61uc4iW4SsdgnPr9x/CV4skkJnYo6PSDLe15Oj8vIHmgHERNJf5HOAm/4
ebloEbg+LFWLOC+o6M4BUYz+DSItcxygL11UeHO27Rf4mB9fXxjS5fDX+wif+sl2rIOddKQDd061
ydXbLN3jnYt/YbMpyu+1yG0D5M2DKaqqc2iCf4C80bEjo778+vOPw/Wvx1M0smF3kCXLCMokHPRx
THn82IFqwNPhgzZ3kAn0+2bT7+1GJBdef+JxAP7ridzSnM2T59lFrZ4Hgc03mikYjoBQc1b3PrF2
Kx5PUF8RrmhG99IK8bb49di/RTr6vynW/Qts+zL56P1jUvb/uBm+JY9P+Ue//tWf/CNN6P+kV0kG
xDXpz0L2vwhI4Iv+yVFlAHSjcmKRAnDu/8VAMux/UurffJ5IDACTbKHWIfkU//d/GRYMJBSaQJEC
tdx65X+Hf7QJgz/ZPXkxDJvYOm3QIyTXzwoY7eL0IU0/DIEXhBaWNEF7DX+7g17FVzh5O98K4TTv
kZPsb3KjBfC1UNk535RJEsctf+SJY1dnlCXQdFuRJt5k99fH3ovim36ayptV6Gm+x263QV8pjIc3
5twiBOrb9wh9+Y8lEvP30RKu7xA9ApJEHow44wLXu/FIhs46C2NXTE7gxBfauJRB7zToWXjl2yTT
h2yn5yhczf1fNfi/taBf1ZXHW+hbVaPBEsX9/7wZf7T90P74BwL03T8OQ/n9scfH9H+DFv1WL3t5
ed8/4ozQP5ZP1zYb2b+5de4/qXptENWtrsL1mPX7J7duW/Qerk3UxVjflCTYef8lRw+5jn+ykQJA
JSBi/5+VjeETlX6kaOCCcKBvzcq/IUd/fBj9pUVPRiDdOYBIxlBYShFUNLmpycYYH6/54ck83P95
7v8D9vk9Fn1999//9dLgWwr6JHkWIod1HzK4oRUfSQsfTLs9VxvaOR66rywbO4jCCWynHHBzQdLD
RzFDcfTtBz15cVBiCZCCSgSemN8ggn5tJSdd2V6aFCktXbAw8mAmi2AYtS/F7OxAwf29G/p/vqZ0
iY2ntMvCAVPqyrTf53P22E2D4reUbl2RjSDiOhciQI0Qa/IpxA4X9/UTR/JLk7JdjZ9MuIXYKZ4d
rJQQVZBd5FaXbGJir7RWdCmxsWrHXUYswtGoKqLdNDg/G2uoT5QrXnhzXcqnfX+ahixnytGIRrOp
0CBGlafaWy8NLkWna7YDO3toB6ivaG8hPHqX2AjQGFGbGCk+uygWozcPTuAUw+dwRCy6th7Uhpbi
s5rWtitqhsZrOj1z+uamQFpGbexttp4slrzNy3w1OyQ4ahTgVhNfpbbtf6gNLoVnmA5z2IYV39Mo
v6d5c5MUzb3a0FJ0skrIa7Y9K1ow78i9/dSF168PvU3rf+5d/w58ua+02rXoTLzcgtRCp6lH6eFN
lETtNdvv7etPeGkpShEaW7GGETc+IhRlLl1du46m7yojA9Y4/pyr3frrpMdOYEziqnXGxzrqlfZx
0srjoccxbhxkAp3ARwYeXDmqFINhnuhe/H5GuMgdD07214S5Hs4BgL4bsRYXRXOqTfHS0FJgIjSJ
bOAW9zYiWLFpXmVgz9VmWwpMIxwSrOU9J2g0gfKwq3U/calOH9RG337Qk9CEqo2VATKiuEgvn+yh
vUMXIFAbWgpMU+DaEOrJEmi6+X2F7o3CsfFZbWwpMuNsKZ15iJZg8ubl4Iy1v6eK0ihts8/gs6VX
iyYa8SfMHXEf+g4KiKd6TC8tFCkqNawq8E+f7SCpzYfJsb/jvnMK/vvC2HInMLczKxqSAVvFxrm2
c+duzMYTNZCXhpbiskATS8tB2AZDgqF12Kd3+eR/V/qWMhNt4bo04iZpByXXkTNvHM/ptnIh/Xdi
//+d0FIuOl7eJgp/jUjmmf0EocrG9X9qxao4J1Jgdu1U1VU/LkGrTz9qrfsYWV/U3nr7Ck+CEoy8
sfops90aWEJWwx3OaKeqNy99SSkqjdSyax+ifbCZqF6XiRg+DGYVqe3fshKCaBfNzOp6DibL+5Y7
9vsi90+cmC+9uJTPthX8DPw4lsAUCxDL2LgqsVFUSgrpBx3P+AgE0AIDNgfhMJ0bnYmZ0bxX+phy
WywLAVMNfr0gmAqhBHE6NIXUVvfmvPZ0neShszZthJPV6G4GOU5yE+M/pfje0mmZRm0onBrwV51k
SAfn10aRqJ0Mm/7M0/eO8CDJvW2VZCX+Hj6WQOjlOq3a7u1KcRl61HtCVmLgRagYDjF9ZHRG1EJT
5spbpVl4WcNCGbG5T0rrjyhVzCFcKTIjLRvxj2SBZ7Y+Bviaogmdn2q0vxA9rnRgppmDd5LVc6TV
/R96BY9u0PUTHM6XxpYiM2/WuLWBvQFQmlE5dK09houKh5rMh2gqVzeamkMNUbF3fRT/MWSnGmsv
vLeszZEa7RjGzHNgkcy+07pk/JTmrdp2JaTYbCw8CfDTXlDeLj84s8CaK1fbrOS285xWbudGxXbO
091cRu+H7ah9SpkRjcum6LsunwFAW1eUMdFpsj4o7YMy1zaGrqSjhzYHnVM6SG0XH+JsVRx7+8JP
DswILz3NQJ41qLxkDbDw3uV5VRzUXlyKSzJBGhI+rkxD6/5MZySackxtFAeX4nLqkSONrIQ1aI7R
mYjKRzjPb9VeXIrL2GxwXtSZ8djob63MCJwuUcu/hXReYuBr5TEacEGyaj8wovqGI5Va4Mhdrbhy
Oje2uwWs1ajvQyyYzhoteac0JY4UlSPip73D7SHwyuUdSteoJ2fZCWGKF7YTGb7Y5oVZJwZHA0on
SNc6Yro0i0lTC3oZuuHqPW4PIUu8j3U/iCZMqRatTO7V5kU6M90s1aw6RaYMJV79c270/mMYTpNS
/QfVg+PwTMVsFF7nzAEy9g+6SN+5vVr4yOS83jKGdI4cqspaj1Z2YuFFqKlV2xyZ59O16HW2K5Ni
1vbbcoFm25Yn7g5bpvO8/OM4UmhqZjoi6NgsgY7Mez3qgd5PX6ei2BvJSbrSC4+QQhQTuwwt3GoN
5iYGVBYddO8Uv+yFlS6DMYUT+kOk8faRibOTVg8PExUVpZVoSxGKzkqEE1S1BO5Qa4GNI/XZ6Gg/
1AaXctpMbxeRVe0agCv/mLbTl6ZWu/jY24d+cgKFbh6bo2mxj0/597x3f3CXPQUffGm6peBE8Bqr
1XnFsLaoPldmeK/HX9XmQwpM3Llm3YfuHAxpf9+lWL+tp1CBL720dGrmOpJ/JVonQRd14272Owcf
AsWamC2dmtZqYag+EZlrsryPyvq93p+SOnjpvaXIdONmI2wiVFzWxYVdCmyHarXNShamtItaeOwo
ZtD0GhlWKDAyVH3vX6J+Txbg2CPh68AbDprGvNJD/YMPTEdplfzqsT8ZOl57w28dHYrMOn4iab4S
/Ske1AuzLTPvqlz3Jh/nHty/3PdpJB7XylXcpSwpJEVCnc1NxBy0GkJ0tnBbNJTtB7U5kWIyWlM7
y3SoiU49X8+e/naFzKw29DZXT6Z7Sdo6wSdoCQqr/qA1XRZEw+iopRGWFJYp3pJ2jZZVsFQJstzm
hRb1armVzCEXvZdUesHQRmn+kdjze88uTjG5XlonUlQmsY/BgUPozCaQcEH90fWGT2rzLR2U2N4i
VgV8KcAC+1ter5+9TUtfaWzEdI++JUT4pJsz6tT+kr2pIlD0CxcftbGlkzKHSlCaYYWTz5AfyhDb
RSs+sVNt5+Fv0hNTOidxZirXGnfmAHSL9TUZkXHHtQwbeqAw9s6xPcUwkpHpZrvkGpJfnPZW/nmC
gpj34Xe16ZEiNOzNTF9XlqPOxVvM9sOKAIva0NsqfRKhrt7NC24s5D9x/y6bUe2ufMWhpfiMxDB6
mL0ytD68iYS/z8tGcWjp0EztBJOehLeuk3ra4YtIfalSK4vJROYW3haY63QNkrSe92m+zJdlpS0n
suVtXn+3HKUIzbto9HK3ZUfUlv5zOrfdbREm3YnF/sLossLQvHiO4UZcOEthfIv6FJOpUTwqrRQZ
MmwXzlT3W6ZcF8XbYcbkcULdV21sKUhn2NWz8GlnUueMz/IMYpzulGdqg0uHZ9drqV6xIQbu6N6a
WCRElqV2vsnqf1ZuhgKyBL27PLxBNbXGZCr7oPbaUmROucBjw49JaPP3pdc8Fr2vVvGQVXQ57zvQ
39Ea9FPpnRdDmV6Hol9PzMm2Kf1mhctwe9OG6G3VTDeGHNDuozif3+TO2r/rYv8k3/ulhS4doktd
lVCdaGuGDWpVo159G5ZEbXP5hVV+siX2uigwUqO+bOr9OaT2g2mdKpG9MDcyGqiMkWBfK85Qr0ur
S1xEd2M8n7lCC9W2FxkRNFStyJMlpVRbZe9xXn9YF++70nqUqYSum82GHZc0f8rBubQtfMm1JJrP
1UaXgnTQQzuqc2rMedz98BOn3WFJqNgElwXREOPstNDnoqLHdYNIbfkQ6emJ5f7CSpSpLHCXIfQu
20pM/LdT3p6HsBzUdi5dOkFnLSqrRbC9+BoiKUYsvk0CMyW1GZfOUDM1c4gBvHgRLwjuz+mh2LDu
aoNL8dmjgmBECwXsMEUMHQOb86ZDI01tcOkMjTW/H+OMtVL204iuAPKNo6UpLUSUsY8TonRyl250
2Bwdr8GSwPtk1J7i0N7x0HFttaSIMfvuYjxqrYZEoqlUsH0mONN1iL6Mgj1r0peLqCyCoh3vVWYb
tO/xW0+oqC6FyyI09XrX+HCjs/Sj2tBSXivyEZs3zOaCddM4QnsKuT0zViq+ow58/N49DkmzRcs6
aMPsjdt3d62jtsvasrhxlMdOXpbMdiPSrwaJCvSet2pTIkUlSDov8Rveuo7D85mPmXuaUuka9t3x
hBhZuVSVO80BOhAP5jJcg3BQOnaeCfAKMc5uWhpEpL0ewi67G1L/oDQhMhKoCrG99pZyDVzNKs+o
hFyPbq722rJajNZWgCITZ6GujHHWjC93XL1Xe20pow2LDqUDg1gPAc5euOEa4906KW3dcJSPv2SF
uGdf+z5bt6Od14t/gWVXoPbeUkg2dTX7OIXSPbHn+m6cNufyZlbbSjwpJOPVSg0bkCsCvRqsqmKJ
kfOs1OJd5v9zgcCR2/VI8xvjVm/L67BqFSdFCso5ptvbtBZpmzX3GEiKny4ypGoTLkWll1oi7RvW
YD05d33SXcNxOzG0RO7+FzIXRZDjdWLpXiz6mrKhIzI0hP0hR8O+NBL/ChXR7v1o5/qtu87eW5wU
d2LJp1vDG9ZPsW1O180Qddje5zCbDuNs2cP5PKLcO2FV9gaBfiQr2l6HxKm38dtl0rVKCdmKTO/x
O/vulNVrTK9HTOENJtxXkW+c+IzbGn5+M8HE4HhoOsh10+tMtYfkzMdWYzs86xoP22yzrE7RUH+f
DyLJevyQqu+7GYtnHuJan2wzvHbq8kJpqchYIzMcBeIu1Yj/W/7RRAoszPr8xFp56bWluF8waK9z
qxiD1f9aN+Jtv6rdY1HxPp6QyaA/3WvM71LgoofpnOmlihMi5cf53MJ/MOY6cMvspsabHWlKtdRE
BhkhiVOKcKZyPWmi2JtNgse3O6kdDjJDGW0g4qVba5xhO+TUN4o3pB81AhFMxuMJT+Ip6rOeWWn0
ojisIXJOXmaeyGG3I+Y3MSQDjcw81A2MOOpgBoH+zq9GTDuXXWa6hyJv/5792b/3LRlw1LlhUwG9
xNpz6pFwm1DMQchvbf9iw0L5i35U93++7mluGO2S4xkKFz8pO7PBOrvuF3Se0Zz2nUUNbfjMO6Ty
087OnLYOuhBx0tztz6s8+aC0BcjIo2VFQcrMeHN90M4zRNfLtPmiNrQUp+s4GcncdEw6no/V0F1p
zSl3sRc2FyHFaaFFCY4xPhtX3jlIRbebPcQMrFbtzaXjOWwdreLFbYCGrr2fqGTvCs201BJQmaTf
JJHoCwGm21qmTyYO6HFrqLXDEWI4XohrtpaY98DKWfX2BhUIDyFVW+17yuCjJaodr/RQoKuzIQ3G
OOl2+ewoDi4dpXjDN0vflk4QY0p91ifrbetUavcUGXwUufY8uh6TMrXI1Y/lpZt4ahuvjDxqbKvJ
MixwkfnXsIaauuls6hY1IiGWKMdf0y2svE06Rk/MLEBa4iqxphPb7gsRJMOOqiRc3XRYHEih3qcY
N3tvViPK4vt3/NZG57qzHcI3jf0BAdHI/xG6nNRKoSnjjlLYbIYHc539KrqEe347WopxKeOOWuSH
MiuDtmm1phY0abGL3eKUBM9L8y0FJvbG/VCMtQi6dfUu9MR8P9lLrjYpMuYoW80ZWEbK4HX9cRiN
T2s5qmVEMuQI2bq0nmpAZOuUfGgEPH1frdeBfs3xOkkSMepWwjoRJcLGy2gfbCdXK+lhXH08uI2r
vFl0cLfgEK87q8sezEq0e6VFKKt7YMiZRWLT0tAj/c4rdTSrdcVPua2fJ72CicPBcZpVBDNlrMu+
7fG66mJTbZe1pdDkY+qjHfHiczh+pLL/qW7Fg9qcSGdmPDqLiSIiQ08uytz4kSStq3Yey1LxnpfX
82LnIkiq+lpf0PxvXMX5luJyWrw07dIJArtrRMHYZm/73DTU7kAy7ijK5nwYK+YkW7XrxB2xM7F1
tWvtM+CR7gBFH3hx3VszHAHj3VJpajxw5GSOV6GbREh54PqCUM+wE2555xTVvdI6kZFH/eCIIkpG
REKn6iZctSBz1QDMtuUcvzUGe6FYwTAHDdGJ56R9iLAKV1solhSYfZTnXWwzJc7UfkTe59xsC7US
rYw7EvWwLLY1OQH0nPKs13bzWFeKS1AKSxebzGwamRNvAahbpPrHEQ29P9S+pVRqCqfOQ0OQb9nO
+XzmZLl+1ta94gKXItMztHKcM0j3WuPdFov/YVJUIkAt63ih6BDwqqIYRVAM1XmaJveJ56kl97JX
m5a4ugbKepMKqFFQx2bTh26KoI7SjMvgoyiKhz7dlvhi9wdn1vNAiww1giKSasfTMmuG21UL725r
H80exyZfG9Q6j+jjHo9tAKBP+pwL9xLaj3NGeXksfDUMvW1Ksel4vT7521IZkFr7kCSOONf1qFY7
7X9JJD85kjnTZt3RUGgwjPnOsvPbVbGBIruCGDN4DIJIBFo7XK3LdBH2tVreJoOOukavOisdRGDn
Jo5yUQAuTXE+pMDU6bIl3lY7wdyoujCtLjm0c6N2L5EBR9Vs9ma3xiLIzeg6HNIP2ZKrTYmMNyqi
MjHcPiG/d7Q3VpYtZ2kW/T3bpX9XmJ5JD23Ex7AkRXGTNTn3u+hyaVtXbcYNKTDHColls2bGcarO
8bufk684yPpq2ZWMOYqrlm3cRvSlrmN351hdcU/vLVT8oFJs1pUxx5HOrBt47BxCyn1vhqxyvirt
hzLyCGdyexrAMSAZYJm7zssQ5l86tbqBDDwKUSmcERYVQVaF32bXwEJxWndqLy4dnbVJnyqJuLKZ
1aZOr2fl5qty6ta27aq/KarKiKMZr3HaKGyIhW2h+5+kEWTfwrLGs1mMtVomJ2OP8Ltp+A0wTrMw
vosxGO/1Tq31JqOORJoVHBbbLtA6xq5oo3GHCcuqlsrJwCPTrKj91izJPCY9zMIm3w3zaqtlALoU
rHXJ4D3OSEHWOldJLz7MpftZadHIsKOsiNyldZgWaxT2XYzU/Mc+m+L3aqNLkZpCs/LzjCVpec7n
sVzP67JTQ5PIuKNUy0lasDYL+naodnliki3WlWLRU5dz3Ll2I9a5CCDPzruwz4azSayKcy4Falvl
Yz/DCQ+GcHD2tYkNje2tsdruqEtnqdaWpptolFfi1Lkhj7kQjhqOzJJxR/mUaJO1uTE4W1XFiLOO
zr6h1pXEu/E4n5sQdcb/gpqqEPZZYq/mGVzDUOnSgnnD8eB2voZZGZGI+hG+1qFpPOaVWh/OktFH
SNPGK87GXLaW8dpAmy1cThEXt0B5vus+c++LNWf4a6n4xQHPgJ9owL5TiU1Lxh7lsx9pIS5vQSbC
4uDGyTecMU+JTL/03tbxdDeRVY9ObrFS+vXSTwCQGnb18/UX//1JhEXF8diOthQFkGY0lOY4/liv
ZXjD6ZQcqnFU0yexZBjSjLGd8ErmprMhz5uZ21/5bd8qZY1Yoh//AM+fRVKWOjM/hHcZsm+z8JTy
C3TLj4eOm8y0tJWhPd2F9+Z9TYtRCUSKkcXx0IYLDA7jHT5pp9+OFPrcsD7lkv7CcpE1iXS7zsrB
pSuhYftzNc2rd3CyUk3/BDfl4zePUeKIEQh1glzzPs4lhRDUddUEfjjHjgcvI6dwoO7QUMmX/LIy
wb5yl+nUloqMRvLT0C7MbWvxE+sxyqYWCqPZKA4uBelkx16V9Awee/0+6a1rLzsFLXshRmVhojoZ
oghpVjuIMvz/cHU2u29zqXkV1htYuapt6p50kC5z2IRmx1OmKE1xfNRGbL1yNYEYS0YmVVXaNqnJ
opytZcGFVkz7yHROZLovTJAMIaqAqutFywY5aWP5bom/ofm/zzthnxj/hYiScUS5W1OWD7eXj4b3
om4u0RRXSl+Q7D1e8bYdakU0brXF2mzPqsa8TD2/U/ukMn6ojYxw6Y3ICfq6vPWr9SK2vLevnxsv
TYkUqYC8i3oWvHdSphagqr45ow6oVFrEvet4UrAR9uelpJYbAlgLilK/KrVVDVRlyVJFqdH0/VTx
MYequsUm4o3IfTWqJ06rxy+um/aoVbaGHJyf3Ak7unDVhOYwpz4eec27Ve/1bVP37HeDU9x6pZsp
LhPpCDWNyOtsmzLxHNcu5n3NJ+wi1JJ/7K6PX3zW2haqPlMyTsv7uI8v/apWK1oiwnM8tmNrNb73
vHg3r2dhW7zXqkxtfcuIISzEkOaY2A3d0tywsetBQ0ZQqbiAwfLxe1t2WEajK+zA8xCdEroWDHW3
qn1NGTFkxA1OUCUrpQ3jt2MxvKlj40Ep6GV/Gm7OduW0xCVghHf4e3VBCkVo//rgL2ziMmYoywrg
CABWKBKbn0IzPoMLd160q9r5LKTQBJ0dj22LQKiI+wXNhbJ/V1tTppYqypihvmnGOuz5on0+2/sx
8gFsxZjvvT41L2y2MmoII4My07epKbLmHQYfl0JXa1ig+X68FLWym5osJISyrA7P0ti5j0bfU1uK
smKRH5FAJ7gRB2OTX6Vl/nGN1cBrOHdJ7z2DWc58PudQ+PVZsk71bnZHteCXUUOY9eWt0ZLL1ZO2
b/rqeikttU8pQ4aEVnGbw4knsKq1PLNwltqlzvJDaZ3IoKE8DV3dt3hv089uo+aP0raUak/4TB9P
dyb0cU23O5yX9Hu3clZgjpMaIh73q+PBdc/SsBgmeGpDuy3Kj7Ndf1CbEOnUZI/VhetajOyLr2nr
/phW96va0NKhORq5PbUIkgaQ0/wzK+vH4P9x9m1NcuLYun9lR78zW0JcpIg98wBkVmXdb76UXwjb
bQsQIIEQIH79+ar3nBNtuj0+keEOd5QrkySFtLS01neZz5Qog4XSjyPScuaY1NFbLp4+oQt1tPV4
HlOP7RFDbp6TStsQgXDuCbA9MC0EAP8sAAvbY4YqMc9r4jAqMoYrcD/d9y45L4DvEUNTCE+00NPo
sCUbsNnT+GjX6ay2LdsDhkhVjYwzjHc9NT4zhsFKRXfn7fbRLpuNuFP9BC+WA1wix8dGsfaF+6k8
9/K7pRnMisImBuPSdCyvVXjbifMK8fAO+3EajrN0HQX2AfHEa5oFsDS4hoemcOftD3vckBUBpOBg
+njw23IXWZhFV/y8OLvXK6JjtCnORrTkXKAzvVVfK+bfn7X097ChLRbopzKMeBdWdzNJyDWnOjlv
Ku5xQ/NAYQW+4sZdkt5NAX+G+PjhvPve7Zkx3FjJ6ABsnic1k2ySgzs16dr8in70kzRlDx2KEy/j
pAT0K7Xz+zbsKnSguzPnyh48tCWATncV0IhryQ8Dk3flcp5sG9tDhyD8GvTRgN6wGebwKnElyWnU
+V8s/5/ktXv00BQkalrMCJxgWEW5aAz7JsNa15mYqurMJ7tbqJUbIegETxCoACw8G9Ilm4NU/+IL
/Oyx7jZRAos8nDWBgiDtEN3qAJrEIJycR/dkbLePau6hM+IwPCifXXvFvoih68+78z2OyNKkqWuL
DugQjzwnip/GRs/FWatpjyQi6H/C5xfJrbdJMVewro9U8it/75+M+R5HFMNOg1fkjeGgaG2yxtbg
Izm5nBcd90iiztq5G8IBlg+uPhLZPW/beVQeJJs/7hlmpsECNR20EkuuMll3Oiv9efqqbA8kUl0r
KYIuADnCTzlvN1tYXp/7RHc7abKSdV5SGGEkqczFKO5Jcl7DnP0FSTSgPKwURbksaSX8sZPfl+m8
TXSPJOqGRSm5AB7SNWLItrZRhxZexhfnzfLd8vQyGcTKU0SWaKkyRurrYHLnyXTAjubHudK3KvWS
kuTQQ2j6LuqlO4yJHM9b/Xs8EQ0tPINXiquH05iRer7Tw/h01rDs4URbvzYGSsoJUHJ+vUq3iWf1
Wo/n5QB7PNEAx+mGdW8p+vg1bMTHlp/nPcL2WKJh7RM5DG+oZF9+bpPKonRWnSdGhQTox8eJs2c3
wNUaNTO5ASib1n68CZJVvDtvzHfLU5igUyP6Q6AHAsxCpvgS2h3mvFW0xxKZBP5ufTm8tRDYBQRL
D+6XDMqfxPI/zMD/hE8sDe9bdM1wCHVxebt10xfOSnXeqWiPJJqQXCjqkIsyNwQHot13q6ftvMX/
FwQRzFGnclQosjhRH5pkaIDeEOfp0YCb/uN0UcOqRsFx9b6zhWoiny36THoz+wuGaKq0xx+UnjY6
ZQ1lr6yaz0LLgPv+441r7ZRIHA50ZiLXagg/c6nOHPHd7klhCSTitzoiLcuHt0sn8XI8a/nsdYuE
FD2ZBkTyaRUFN80t7NPPq37u4UMt65MgXjiO5uU85StSIdGS4bwwvkcPadu5YRvAs+lV81D2w+3y
q3Pc26D+DR5k72MmpRXJ1mzIzGtGDrCni784G6Cas1WLeDlv1Pf7py5JEOCIdQDk4VRaprIaddBz
rg2j2h/nYUCWzqiuwhOt1PTYqo1eAA7VF//56m/L8K+jE+4RRH03xKzscThvy7W56c1YvsTjDIAl
iBZBm4k2TG/aNKLfV5Ow84pT4R5ZNHXl3AyzxNHadjfbWw2mhDbbL2L827j83TfardsxYfBoq7Gt
gjxMXrox7sJDI/gITugKNbnDsKxxkPXjZnVelmkEwUMW2LMmQih2K1v7TtiaBwxqwTLNYbL6fphi
9otnFf3km739+5+2GFKDUjx3eFYmTD7ocVI5peV50s/hXvyIubGNhCzZYbWLyrY0CotWuPSs5Q2P
+t2twzem9h6TOG7IfWS28DLxQ3RWYILr+o8XhzrzWooJtz748TQb4D1LetbGG+5xR+vaR31Am7eO
DwpMmK7LI/DC7S+U5H+y+PbQowQ2vMI0lh9WEBv6Q80pf0eURst3nmpYcmLLJMMx7VuPvofr+HjW
1hbucUnE6hVekSjhCBfFMAuJAnFT0t6S8ybqX7BJ6EfCyAOrIGlmk/WGLllA1XnxcA9N2oSdSFq2
6YGZLnyZI9fc1/PYNOfN1D04idVEqqDGZEqTKreSb5k19LxWGbzDf5ypoZnCRUoMTLssTeErdmVk
dV41IdwrJSVJIFrucXEqmuFIgu7ztPnzcEPhHp2EM1YwzsFbYKt4edH27y3T/VnpULjHJM2AlZjK
YzsohX3UquvuqSL0LAwePNZ/HHL7Ftxr2cLGlMzIPRP+6Y2H8583z79PLcI9ImnV1LeKCOD7qsF9
gRFRQzIk5gMrJtP65//8IT+J+ntYklWmUiTA6KhgfY8EespoT8864IZ7XBKxoBH5GWGZJKPKuxrA
5L6Nz5zte2BSQjqhV4vgmcRMZhq6l8cx7JpfDP7PxmW31a6sq5MJFlbIXJYvYaluoJL+i/hF6R/F
ib/JIvbgJCn4RuSMQjSYIby8kTaxU1bzJgwyNzmZZvXYJU+1dKrKaaJjfdlrtmpzEc6Tm7fM+A3K
qoCrNJ7i31Zg7ZuIVqfapf67r/tUZMC0qkJK4U6znkJ/rOJATYXxPTCiHsbjDuLXDiJe8RL0UD5x
dZqViene661J+EEs9doVzTaXKg9dX36JZ2/6olZqebcSo+QtQGGpy0o+VEPu/eyeFj9v6fdQdWUF
WZ9GjVe97pZ7D7O16K6pFE9uIDG0yZsthlT+tQr6SsJcdBv79+gJpcu1Xxqtu2yh8VRuGR9Hs8Ke
msCmLV2nDmJ+sOXh6xGGx5sCalFTwLpYW06XMM9U9YVeUJb4YH3oxQU8y9swH+1Yyndw1xseOo10
/H7jcdtmiiV9fSVI1JC7vhkpy4VBjfEm0FW3PMTj0K8sqyBWEmNaUS1QqmrhodnlrWrZfONGsdaf
FhpSc5JeJY6C2pOM9WPA4H1yU4WbgxYOdSTVjy5y0qCZRgGezUK3zPRxdKS3J+RZkmfdqrmFD0vr
tyM8P2GFXMRj2dpDVEkdf5r6YBnSbGxc2PrCktRyDh1qZRfo0LtOia+LGUr6Hfr34/DCUuBRbkwb
L/19EKWBuB6XQHT3jm8zHgCfYbSewUt37uMcJGq/vd0kmitdngJrXr3MjYv1vWxi3kR5NMAIyWTd
RPV0A4X3hL9X4Yh2gLNqK6vLhmCUgdyv5ZFXW6lNlgB78yRdTJf7qetwNEz7am7ypVt6+7vQSzm6
wzT0UFxn42CvgT/lE0POA89SAhLqOj/3ZYNqL6RzWvrSlhULC6MlL0ZrSFMEW0fx1OOIwDutj3SV
k21pNhTNu+luSMPhTs51BKE62YnXMuJGXiU8HZF/21KOG75Q0LTIyIdI5wnv3gbHXGiMAi0YXUZb
TCquP5BNa3vBRBdcoU40BiieVR05+NFED3To6GniMxvyvtNNmFHfufSomVQ8ExFMfjM+tHAuFFFc
6myeW1QMW4juv3Z1v/iMSy5p1gXoIihLxgsO64IjhLHSVxBy0Ukz46bzvprqtojKZfQZ5Z25GM3C
Pi5j4uPMxsYowEdrvhRwoJXuwsQR+72e5gD+lE3ynI5Ca3j1NltZxGkk9aUeDGrn87jJjMyxeGE+
tkUvkmU9WohQVHerFMExgN5+fwLoy74OA5VXtauqz6GiuCulIMKWt0uysNMkylo/mQDGSnlFoXRS
bG03iIyaToyPg+fqsdVgL2fjUtKHtVS8KmxDCC+Sljfw0+r0SYvNPJYmQArt46Cci6m3T60dkkuf
wveoWFm6jMeg6705TiP1ywE5TawyCCC4b6PsGbklldJVBlzA0FzLzqGzoUHbWU59o3Q+lkHbX7Kt
7O2BaubtLbCap54v4ze6SYxOJ5vCBrOUiDMDOylNp/d9FeHlqCMPU96gev9YgSPNs5D4+GGdh1Rd
wRUnRodWNjY+smjlz2qgyl1H1oCgUWmzqKNzWx3c6LZx9hIuIOt138LENuMGWjn5LFm4PISsgXIb
G7b22I1+XeHHS/z2zvR8vUhRub6po6rpC8pA+4wjHDVvxJa0JF8Tr8Fh08retMmS9N/Hpe3To4xd
umZC8THMAt3X6+MgKlSoJds6/B2BR4q+jOIUPuVxqQrf9TNwGquotycdVwsrIO4KvhNx4/YUxQgZ
EP4XRr06MUF2GT5lMyvqvlpuS2Au0Xbk09oeFh8yn/MaAj2ZcolyF3XbwnE0i9ncZgz822vKKnac
u2Z8Lzwc5hY/8vFyUMBZXo3e+/Fh6XpTohMA6GXyaLRv3C32ojK+tZPw77wwtD4GG+iwFw0PwITP
1cBgVgXrkOS7TBMLVq8grARJq1biqnWQTDv10ExVKmvkwEzhJmgT3U5zLWqY9VDSXGNGDbcVr2uQ
jZdOoicGA5WDHyq6PPZv3lX3LG40y50y9FOUQg8MRZZOQq78Tc3iHTfpULXXTPI0LiDuR8oaWggT
LWoIaB4mLb83Jpjeo4y6FaAIYKJXQgx5kEJhDElblD626CR8SKyev4qtXYeMNi4VeSnK+GRqZqDn
vqy3kSXuqW4g3prrEUJtRjXs2s7z3GfRortrnKNlPoHclFPTklNke3G96m0ixcIT+MtxvKh5NbYy
nyKwKh+UNtXaZFFpEl1EGvP+CbAdG12ObCN9tqaWVMemVaLJm6Wd42IIXfJKS5Gg3hlM65ZjVUdB
pkM30PdYVK4sVqGC4Ua2WwVhs2bTR2XLOroA+KUxGaaevW4jC3VtstHmVDHYuuYBd/AmhyBaeqmr
ZptyCASM1SVXIr2Ft9fgMl0H7XoRV00dXbF6psbl4zr6aclG4i27N6pKo3zpYSNTCNXKx3aAR3lh
LKlfZDjaNiPlwqbcNu2U9Y6OczYmiVrugkakLq+tUCfdt113vabp1l5MqQrsUxjSzeUASaAJwyRS
EMl9zY6cm0Bf1k2T4jzuoi6D+srvHZ37/jjGcWMLEUt6pVbd1BccriLDQS+kLtqE25xFM9Ipq2L9
YYbn7JxNFntA5mn72vJRXNfg6WZQ+Hxo1AB70Zo1ISI9iA2qqFbK7TFExpGtWIxlxjzFJj0T3tyt
bdVlNVELgUPzfDkpGR7ThaYZ05Rl+CRdjKK8X1390RuYubI1ZpdrPXOcjU2CTiSbsI+5qIEuarAC
Lfw4EdfFV6WrYpnPq7HudtrGcs4TK2FzY4YqSI7MDCD9SRCvQpchiZHLiZI+HfJ26hqVreG2qqPh
yTTcsblyLp+mjslLvSkova61qNKrKUU+kg2Dmd13H7axyKKtheHa3Np2KWy58LYYBhmSvKbIHaCK
vZLxA6/KwBYD5aUrtIR9Im5otS+oXpg63yAJfDNC622+ZHE5/744DtUQHZWkzheF2XSdpIO4Q51s
Ky+CGMnVRatt7F/EOLYx5nK4kLyXk+8ehmpmH01sQqwRH2hkKKIMhpxDWLNDtzLUdWEthLcuWABu
+JGVIqInOPS1ogA9RconCUYKuetEvKUZ0gF52fU0CDECXTjd8ZCUXVEtSyly0wr6waXBqlARqRPV
XwYO3odZXyNvzUVcd+yuRd+4ylVtwYaYV6vu53BCc6qKQK3Pkg0AqstYVKq9HipOX1AxndMccbO/
SEPK75vVk6loElPbp42OyxPum3xhvIRUnQYVvT6RDTryGaQ3+fx1mz0PD/BYRvVk7abFF01a2/Q9
KJ/JeJng6as0H1Mq5BfXTfCr3Gr0zjK59uIl5nptIFVbJeQQwKq0zn0wkf4oe2iGFm6cnL+G8o8b
80j24VC0DvpiOZJ+clPLfp2R/dq2v+6gPvQB+hWcZNo4KAIOZloh95ia9bMI+5VWaP0vS39pZwTo
S9tOvT7YUYGzhHudBVy/m7gCZA1b78GxIWjvEcfV+qwdmB/Xm6+COgtXr7rTusYiLMYUTjpFCXN5
XtApjKJ8o8kQXdZLyBFv5rCCkPI0+emSbgkkJ5cGnrTv8cxZfA1/5278ZnpsoRdxEm3DZxWC9JGz
hMr1wceVp49sDlx1gHhLyYu+Id0xiVL6UYd0uqsY9v4ipIOLcVroJqDS0eCPizYayq0QvXbu0ti1
YQWPmj44iQoYqEckoszlsD+sx3e824y5VdDgQsY19ysOpNU0HgmufNeXGxLMrqtY+64J487dNH2c
io8BHOj1xznsSHJP12nhl55y9jIDm2swz1pzr+cxri9HuK7EBdJqqvIBKuz9YXWiD3NA0on4BrwN
GN1ZTbcFYCzvgpsgTcrpKjIoRudbO7QGK8boLRuaWABXmQIIlV5h1guMP2RVgvualGXwALcepANN
GWAF4WE3VdKC5ILndGSe+AUFbUhSZTSZHAGKPBpfoqlNMOnA5l31q9GuWb4KSAOWXydV0u13MWPm
2u9hiIVK3hz02hFHVMGTMndtSFzmU72ygx3ejLvqWizXTtmxKdoVu1emRonDrayn+nPUJcnHFbZK
b7VSI0kCE+8UKwC1+0UeXYc90xcswP9LSLMrt6zXZbQM2j9Q+A5WPhczU7MpEAuqHg/VcQhVNDg0
6SJsLE4vU+VDiKWhMyQOEF+1qmC18jaHOn1IMuAjpEFUWKHdMOOw/X5WoAKjNAjCWJcWSBsJJLiT
tAREM+Nz66OPNGxYikxD0yCPqraW9zNdmPyGMDv0xSIwl46VG1J+4vFsoIEfi3UUr6IaQ/vkKlQI
nnqdmja3cdJLnDKkg71ryxD8UsTR8hBTKmsB2M3Etls81qS+3uCh8Rz2Sd1c0JnNw31gGQ2LGRGm
udJ6WJ5hSwkfTdO7Kno0tZqRnaJWQL65mEX0kBIQvi4BNZm3fETKPT9bb8mcxVvXtVfeLuV8UVnK
0HzYwu/AWywkW7RcPxNAu5+5kw4g/cDYEXqTjvVFq11krtNlqb/1vS+tyWwIxSek8FphFlIYz6nj
0pK0wbfkUGC35q4zXF9iEbqPFWlLnrHZ8csw2fj3hqQ4riakTePco4RtD0zVaXs74amYJlODQ+0w
81On22xrFoYn4bb4AZ7EoCL5LVozgsdbLHaK5iKMh/AhEVPYXzM0URhyH2xvmWz7eASsrnUhBGEt
Nj34EQp2DAcoXR6ECZn6ulLZuwPUHm0E07mKCqwtJNi5MSOq3VNAAPlf4za+DwVMxx5iuI3onKE4
2OcbDsltUW+Tra63tY4t4ltbsQwQVlB3a5w/pxODrPatd042GRyKFn5jIz/iDBVoVtsMXp/Jh7i1
/He2BmR6JdTa9b5KwY86otQGqc9QxyW+wtrH8GcCZqjKE9iDP+ISQ3wz84BPiEOUOgw5tL2g8toN
jbokydLBxtpxnbAcigL0PSWoPGUrBACeFU1RlYHRRomT5ppofsJ+A5JXBAjLCfVOncBuSjGBeg6I
8TkJhrFGAxdhDvIb84pjQGJIVAylBrrIdXIor0fab/CHpmkZ5jji8aelGkSaEbHwPjfc1h8TSFWd
Jl2OYS7Djr8rHQeGdTCiehnkkHxQLlVxTomqP4OUsz1ziPfjJhds6Dj5RCKbKyYekrmsP6XEtbQI
FtWf8CH+gXkWHBBY1aOSzRQiWVqXLncltxexXCdy6hoPXGvEMTVyo2LYSDQzTHWOG9IAeYTEsZHY
5xycjJYSIfMqGBddPcs3OOYnowzSnBD18eg7yJKyeu4AekbhnGKXQr2G4+hQlyi03SkxtTfWx+TQ
uADiKjWGYziMY6P4E6RKyZKnQYioW2LX6l2BpmZcFqNDcj9gggUUpbSgHbN4RRUp39aqgxQwqiNZ
DLN2JfRdGKf+3RIqdylbTvz1JHU/frUrKbFZdNMkrwJvO3DTCK+ZmLMGRIeHlTDW5kIN3ZBFKQuC
Bzb46nZiFSe5nEx62vgalCfbr1Bl1qqU9btOwtPsoeR1FCJHpfOau1rKR5KGcPMR1nV3sZ0ZbCHa
UvvbFYfqExuW4dqXYeRynJ2g/RKX2EgnHMnUQx9F/Avt2rYuVIrMJNNxLZ5BDFRXaFAaiAu5eUSW
Odfre9RoemTQAeiHONo0eroOxjRBu2xc/Aeil+VUBuPGslaUzZ2Zdfe9pWk69KhDUESL0rdbd93N
OPBdzyMXTeY26tbcqxXn/LhvA0j2xHhmF7xpZ1tlEDepy+c0loZfB01QX7VGtUs+RmoNrsLSOYPR
TKdvsHZTMovdVKUZ3SI/XESQ/nl1fF3nHHlceV+HS3gTleLRuQqQPsiQ8bVA2NxuLatNeNOi9fgN
9Ob0kYMW/uo5DhdXfUXb8nKkLYkvSJR4dwHzjXHKpmGpn2KQxh6jqayGbCxT/woyWfox7Jf+Sk2s
P5B+PvoKtZa4/7owLIkssnb5SFDpzIBZQLaGHioipyZ3EufLe4b6N3yYLBq3hxnp0/uKbutpwN75
CGaDDU5dsqJE2ibl8hiJcLuabRrXmS9FeyXNxVezLdnk4Zq1RmQp0otJgPCfJ2+V4Io28jlsZfWR
ckyumtc9ECVR7C7g6Aey1AhQmcmnTuFRNDCHufOyDe8SufnPJYp877q4tPfeiIleip6+F8Rnfhm/
x3J+2dqWorA8SXnVxJsyKPnF1XU8VNUJDybIjIX1BdANS+eLyY5Ll2H443dlsK1zkSB5HnMXtDUQ
HKixfWcbZL+wGhhq0PDXE08Ch+b7Wjh+H7Cms9h1vLQZxbTFOrW+fWzIss7HzbBIHarao+46k2h4
Bb6IhNi5GUN1vgseqQimE2VkguFGufRfo3jz37ifDUEB0scDtoSOf++hT/V7FM8N3poMs8pLxN0S
dQ+U5lGJrMLnUKJADeLT4l6HsO/CbOkZKObtOE5loUXajFko43JFcujXG7eudZPHqM+/AJvAVuij
BL3EodQun1AiNP1xTgb+DQsrvEyS7a4PWHcnGqpu2TbOKksMc/dDIuQtwnX6RXWwiP5FL/xn7Rz2
Y58OaruTNXENsHI6hycwCn3OIHhzXlc33eEPWoLSRqh69PExxYMZ6VYbBq/nNeh28ANZm3qYG7S5
UE65bGaEIxou5xl4hHvXB5iDsIBDyfswrzSHEeidltFZ+FPEkB9HPKWgP2r2dt8bAU+hRsFiK+15
annhnrU9RVanugXMut3YknGARKkvz+vp7mnbeiMIWg1o28FkX2Ctda9THCTPepp71na39QkKFN0b
U0EFkCXlh7p0v8LO/gGS/Zu24p62vdXT1NRzBCJuh/rIpZNkSbNAVEF00aHe8tCjHuEzLdDMz3lV
p+8CiJnMBY0hyp0Nnapc4aDH8Pb+tguPiynD8+S0wz3te5ijWluYBh/W9S1SGTiH15sLzuIihHve
N2XaVyUStgO0Nim/rBOyXYUW0+8s3GO4J34Drd6gtQJI5bIkT6S8CUXz8bwJsVve3jco6lUbUFeR
zTaZPARJeF7M2zO+0cYE4aNHVJKy/GKW7pWO/FfAvp/E0z3l2/VpW7IK145l+cHyLW/S8yz4wj3h
u7Z1GzcrlkgV9J/iDh1TOX86a7D3hG8IP3kGZQAImvVwcoiXhKHd/u28a++AgWwaKoH6A0jZXfht
QytPDHQ9L2rsCd9oUoIQM7zRM9PgC0zipoLKNjoPhLYnfOMMvXYsBkET6jdN0aBU8x7N2uG8bSDe
bbws8ihV27dJ6Gh5Q1EUM2w79+K7fbdCvrB0SgOM6exd4ps8NPYs+ZhwbxQBrUi0eBKQp6JpfY8i
dp6s1YfzZsoOM8QndGUDCuJUOXr2UKsqypZNuvMCyp72jQZ8IraqAss+QNNwGYJT2lTnKTCFe953
vBAiEmIg3MXQBUCXDPsFKjhnjcue9z3LtUw3yHcBeifezwO6nygFn3nt3ersVijzo6eCPX0ML9vU
Hdqenrf37Hnfc7INZcpx2+gaHJe++SSU/nzeiLxF3z9BckfIZybxm7BeytyWL0z5y9ra7Rc4pJ/E
8L1RBPeAsMgS8o6NExaG4WNBYUrxix0zxS3+TSqyp33HqBhCshdcmHZxOKVIVsJIdSQrAD7MAIGA
AmqjzGWX0PXfFlr//YNDl/3X/+Dnr9qgOgVvpt2P/3rRHf77n7f3/L/X/PiOf11803efu292/6If
3oPr/vtzi8/T5x9+gFEwULKPgB34p28WLoh/XB8eYm+v/P/95X99++MqL958++dvX7Xrp7eryVr3
v/37V6ff//lb+MYN++8/X//fv3z7Av/87dl8rv/6+m+f7fTP36J/sJBSLjgnEHyCcgfQwcu3t98E
lP+Dgk/FCex7YOyKl/32Xz2A3RXexf7xJmlBSSpSoNboG6veapQTcC/pPxISEYBn4oSiYgti2f+9
sYf/ffD/+yz+3kwNRDzcwJ9mSJzgcxhNYQ1DwzDlZC+9bjyxtWrn74hcfAb0IppNbsWCnvY6Cbtk
abehE5R4SANTtPRuyjreLvgSRt9KgUP+a9mXjl0k41urRPPNqw8yHQDrsTiwVoXyG4DsMBByn52I
oDowDjRBCYB5neSxScc1n9vYJUdab+H4DGSKAJSuZfohSCVlFytwgPPBoXpgL4CGa8ts3QaEvDAZ
SJv3W5d0IKoEKVZRAkRM3W18QCvTDA9BWOGACTt1TwsyNOhIV6SBE+jWlO6tWmmCdxVg6n0uu7oc
LyYe999Zj1relCVhM9zVtB5eeagSej2tQFuV1bhaFDh60WXp1Oo2n8vGoOLpkEgf0LsLWwCmAEM6
4CI35SijEFFu8U8LMR2ayavxrwEaJbJY7eyC522QWh2beBbJlV+XBS7qqqlfapqYg4Qh/HJRQZ+V
ZZqPGMcxUD3gPNM6rJ/wbhyInAHT9aUSOgkexbAadxzLGLVJUmny1HQDjW9neIz4I5uA+S/mTQTo
+thyeJ0IDV0ezLYvs8rP4+9Dh+z9uep71mUkjs12yR1Bna9Z1uUVteu2PVYIVzI3q6y2B8dgDHfk
Q6CWLAZgSWZbTUEpiyZaXcVwwgDODQ2cO0nYwJ7SbZjromxqfIupCc2rdkjVTmopw0f4TMY61wgw
V2baNijog92xHr3wY5QPcl6Hu6l6qwlCwT/yBZcglkNafibDCR6ncAJlpNuugD6rAWUjLf/oLJwo
/g9157EkN7Jl219p6znKoN190BMAoVIxBTNJ5gRGCYfW8ut7RbKtm8ziq7T73pu03UHVpRUDEYDD
/Yi194kmGjdF5Hij/qArEQsY+AaU1KMU05+MpF/Q1meIYz7NaZn9gNFAz1tXbmJ9O1tj3QoIjwx/
w9pYaKBV7merlTwkaXtzzKDkoZThAKiw7vp+zNoIUMTRyPa8RD82Xg6uWkMM0vOl/BNCH5gb3Gbc
DBRB49F+t3UWH5YsFh/2kpRZQbdWSb9rU6PDaqHlh3F3p82PL2tm+5lh687S2lcY6t1WqjWtCHOA
yXgo3EG6J2lYvGyDBWUYMHCDDx2BHXRkdctyu9hmvrrhz1dxGLop1dSBJz6i8ap+eV7q2HOP2sDd
LQtqDeIK3uLAYX5zsTg5V/jUiPtbYOQp7o9B40HVPC04OGCQlfoLF97U0nySfT7Y74q8nOL9z+W6
2W3sfRyh1HRUGvm5+Puy6LoZwf1eNpNJk6bfqupK5zMkkeMXOfBXLz/DzcHBuClzgSPMS7yPdkfX
4lS5dIODZBX0L0BA7rgnThqkenU/GQN4sMfIxne+NRvAovQuvyzGDEtdxfW3jJEpTFCws0udxB0G
P7Z3GvuaV7lqhiJKpD0dk7L6kYxLF22V7Sd7mp75jUAcdfYDMFMQnbob12CKB4ck0fRmmoix+WGZ
sKv3ihwF0patn5ZGiptamNWjmmTegUIm9TP9L3VZrGnqhCtlvRnAabRDmoxl1NV18WTGjTq13lxf
e0yomYMyabJbZx4AcNZMOkek1VIEyyr0I+ZhD1IvncWTStMkdM1pGCgfz+MIETPXftAlglpi4/UC
e85qTK3Q9wxudF2oBNbDTreQzmZqB5QggXcssd7ndWfoyF4n79a3yvrKkg3PwDHG9+MCQNXHvXex
4i8Syk7SV2iG2YsSr0vvwVzyhXso13dbNQIkzXW+kx4ziVUxPGIQnN2AAv8wsxmcxKpRcW5ebNDh
Y581TlNZxx+WPHsYty45De3YXfHrC5qZ4/hpURTY8NaNT7mac9ANJsg0OUt3Ghqnj0SaVRebywud
ThpCyVikFdaNapzQAuwGpbKmdt5tuYZK8gr9Y0S49cCOXSZBQ+m7CrKmbw8m1mb8gSj1u1m1KidW
b7u9l/SlYr8gqgw1ZwJ95LbMrjblJpqaTT9+ZRxPmiGhgseIVDvFn+tNOUerrOznsezOaKQh2i9p
iuPbLo7N9YFeCLNS0qQ1gsLD1SsS6zDIULmZvQOu8W8oaucnsy/lgZ1kvCpn0I+qd5MLEoD2CGq4
PU8rJfRktMdy32rIkyAxs/oLRyMV4Lwd0mNWZ8OREa9dlGx0EYJBYjF7kdKUEseizJA3TSNPLFiw
jflm1Iv73dfTj9jcuusEajRCdaMe6avFn6SZi2dDLnMauX3zZaDDgHnFmsZhZ8YSBEVMYHesCy4F
QHaZZU2mLs1iau9dd40jZE5LCg01N98BYvofEujylh2etpbk3bvxHH/4almDeBj1NEbdbKFErBmV
eDUyiL6JusIuQie25V1jr+IzpGZ7lxl+es+GWe5Qe2wfcmv2LgepLXabJr6WyCa/9pTuP4xMjdvb
fT/cwd8C/awIQStzraPSb5Lp0xCnFfuHUF1/gwXF9n4rGyejByjZGGgXNNMxdwidP9VEZElgF0YG
35JbVc6oXyDKwMym9VrXsf8pzzdednubUJo6XjXvDNcCMVDJWPyQw+y6QTY3/ZPsfM5+tgNZhGm6
0Ra3460OdDowBVaX0xjag8thnM0soqDyK0fs5zRblj2nQf4h9/En2EPtT5cuMJuIGlMVh37opQZe
nbwqrNt6MO/gU/sj8Jf3vcyS+mLTbO4Aoc7ih4XlFxstGWHpcLPXtNwpgjF3DBh4PcjHSVlrH8hq
pOSKH1zNNndG0D/aLV86ZChP5kWlt/jukW5eUkRGP+l+RxCURzVVS84Zq2pUxFwW47stRm3uZ5mk
cZQUq5pCzwA/mtQy7OclTrZQNyChHHcNe7dlCLqSDGkvTcISNV41Xg0EkcddP0Z9a/vG/SxSq4/q
SYlkxzQcqw/IVwrruU5d63l0xLrcjmo1w3J13ebgMefQ4Aww8UWq5qnVu26bmvHWJ1JKryy4o5z3
f7WHC8hdtfAkEJiQ5Kr+Y7q6zR0nspwu3JRh3QH4O9ABnSJOLppVzbdxHbziYNZC2Yd8ccd6LxaH
4wOszDk6GUjrIZsGM3C1Ek04bZJhufPs+UbQO5AOIKCZb0FNuoUVpDis3XqzoAeba6s5jE6uLstm
VBIza078aKxm87ia0oTWM1KfTmqDFVtK1/LoxEl2b48L56rbuN4PgqMbvwSy5h7arbiwnJ6OvPCZ
ThmoRvULSzI1yr2BAPhyzmvnkomNjXswYbbzsEj63L2sy4X1b5hIFFACzF0aaOKMT6JJIDTcbW5v
cs5QD0yxvnNjXWaROZoKfrgxCTqWyVmGKDYIxYLKcFcnlPnKy16Q9+zK5EyYbIQBnzuQv4cCqTYh
OBTZdWeN/vfEEv1+PSM8sUe0xYBq37jJi7J5VlaiOjAkiP4gbkffgvGniBqA24M+5msFDNGTntpB
vKX+GmhIGvdIR22cgnlKHRl4SB/yfWlubXuwRWJTbNw848qsMtlG20iL/YLEZ/BDyljpk5qAy5m8
WcmPM8NQIsze1i6YdSqfWseE/tzolRId+ao5ZcAHF3YDpxqqUvD6dn7F19RObT+hyq+uVLVw/1dn
8PKQHre4Qpeuul1iju6jM+T1J7dopkM+qOzZTR2Ceauol2/2YLV3kinaK79Yx+5pNHznVDH9aT6Z
Bf6hoTeO5nPcJ0UfzC9JgC6sxb5a8/wpS0ANd53a2m0/bXMtj4OcIV9wMtYGqUo8Q75Z8Q/Hm9NL
MzWXE+e/pEkphyvVV3UWAvCNTQTEtjnRqAz4ZKK/PtSb7WwftNVtT6O1jtga+OP2IKZO9EyfLZ1L
OJT0m+3E9RC0yyJvZ8kKC6rCtULzvFl4VgeOVbtTf+zspHsg/J5QjBqCvtGcHpv4nBDqGiKGG59f
K1vWp14b3a5BGHPSjf6GYKmBZ06XEy/dbIWFTCb4MbPkIePNddRpnJ9VFPrOTb3se+eW7o9x8oz7
UqXds1q0ekjWOIGAsp3IFkZphF61ySwwGT596/P6fo/nxdAB7JnzEQFY1YS13rQTVelctIe2WwXV
+9qhh9zTjTbO+ZecLZ//X8t2BRRVOrR1PexlLioXYX1Nl5b2ax46lTMdJ9utLtYhXQ4clnOwklPK
QoghjOGz0e6Yy61J5HHIVPchFSJ5BGL1L+3OZbMwHfu4lcuR6G195xqt/dFjWuwWYBqkLy0m0jso
XpLu4K92dWsbTkdPWBDaHBZ3GU/LWvR7vVrT4wIacRAJAXxrOvsafPddP9ijfqEDrrZCfKsXC+qN
SUMmr6iCnJBVmh2HaeMdidHCYQmR2vIiZYDYidPnOzPrk2++0U7HVVvOTrKpVpGqDf/KzETnREr4
aR0OXqascCgGfc8uWVyXcix3c5NCRRQNq5OzXlVJQDtY7ec18z/WqUrQOSEUcRqL0NZ0ZFiS+IVt
NnW3JT2VnXbm6Xreiu8eTMl+gqk6IdcoLt0M+HeKQXA40Nxdaxnld7B4Z5eKvn2n4C0QeiV15+2z
rpy8g8bV8cat+/6uiuP8IDAvveiMJCl2PUPjAmMUGv3XlCB66pCxJoAmm7MvDIzlxrgvdJjJOrsw
h3i6o8j+eUua5YLwYjjmkBFXxSjMQDrSfWeXffE0lXpqd4vsUs5mDvoPM8jwQQM7EF7YwxBCqKTz
3ilS1hLr8wTZlkKRV7P64sIp3yPhHnj4TjwFTaeL4dKai9gI5hRKFJ1ONv1Ah0biYhHVsE+qHCkQ
GOBhNvz1i5jd4l3fNM144fnedNsLoKQAtRzbvbFl3Tdz0R0Bcz5sBLOD86EbyAndbrSqQ8606S+M
i5EW5O/k8fauSW2AMpCgsIw3YvLOTaAFl3R8cGUJP0ugnoXa9OLQaZJ65kRk3AQgJGrUfnSnPXMK
PrmonS6rrE5DqG1GLbZz5u8Xw3g2F1MgqxRVaGXZcgmMnpwW8g8cQ42GZsPK2dplwxTI3IpPAEzk
BtZQrcdOONbjMghIFPYFL98BPVvM47KsDzj4xEOIb8pCOUrlt8lSt89eUvkQe3lfv2d2wvsOr5x3
IHCiO82dwYsjcgTo77tqKr1AqNEcECtk823qTkb8bvUYrzJ1k3qqMJJjyLc5H9Y+ybf9ksyuT7Zi
rlG7ZMU98eC2hw+120BYXvcFYUL3ecyTjopZO31d5iHvItigHRPnisNUFu6ByNOQgVSze4EEqtn1
5WTccAC2X0bLyG9RDbRATlNNCrbN9rVN6l8fjLWLTzP0y6kmSborp2kvRCG3SCRr8YX2dLOGHL0K
rVl5mTtyDSwMxo8WDo+nZdz0kZ4+xx/B+hhW/ii/g4BCyXqCpC0aBGKlcPKNbjgspr/diW0aP7be
uh7r0e6H27XL132th2eO4/IhkxV6GBrZt+WqTyO/9jACuiWBRLP03UXR5l1s2bCZF4mQ/bxry8V4
3jqv/ShRFDaZXe5qip/h4oj0I9i6eQ86V4ZAPzYFNDP9pPK+ORrJSL1QGA91DAGaUSpbj8TMaqWM
YRBtkyfXgTH75dWEavVEOlkdnC72nw2A0ChPmNyW8ZSGevKhhP0YZFZvXnWi1jPAktrrCZbWuO9p
r56IeTxeBece4e14QdEvCTXH1L4zDPc6dof1qk6FoXf2NoAOqt7B6WGT1koI4I3pjdkp6xNCOfM4
93UXY05l1JeqZv5qNDXVs9AOMVyx/rDKZd63dpE+2YUzEljFaTQoL7tYoIev82Tzb2xRPG4G0X81
Vd9ELc33Xk9Xct+XffWuUDNipaV/GtxKp1eGrIan3vWMi7aSwycmaZ+lU05e27cZccTyXHkyoQjL
FNsiGpgGOUbkQz7lLuZkW0idS5ffSKmvam/TraSYKgpOnkibbf9elD4RoNORvgTruRIUu6nZHrQz
UbjE4JMoVQ21aQRpYZiPeIKMUTvppgjwRXAvjcrkPyCx929Xdy7fc+J20x5xMLFUDXmMVqRIKA9M
JCNlZDVd21wOMKM6qjVBVYAd35zusIdbGvCTUWX4fHdsM6h3SLp4pgggS13mbzXI/lQxB8nwCChN
WgOvAZUWqctsO+q79MV6IcvR9I4AyBpdd50MoYscEu6c5uINIqe3xgD/7ntzrtb7UtmO7ynLN4V8
bSsn/alvrXr7LOu+uk6VMx6S1cqijaJrlCJvONZOMd4bce6WIdyp+UY76ZVinuv7gprBOfVwpRDi
tU3ULFHA6TYFaC+m8lzjMubtKIwKrnhEHnggAadiqebV6gIxGcsYMQ1xGykVrOcce4xBWqEL+BM7
PofEbkGKgAE8esZd6p1FZjWbWBPVJsN9I1XOWt7/0pv5rxbIv3G839Zghf1//Pvff4IUHLrKdrGD
li4akN+7elp4GgkWxfDNtHBvLVFUUQNVabp+jUtwvPeNdC2Tw0uxisCwzS8Z/Fe/75gi1+3mbqTE
RNrSYvEBi5uf4tFYi8uxTmKkKQwMMCI379vltt4s6aNSzhzjDaLkFWDEUyB0coVHV0l5/ON169DQ
PmSl5RaBbcW5f9CdppRvVIgZ4G0pMO4wlLMKoj1AJJI5yc1F1X2+9cYyP7k9LhyHrUP0HVkvT8Fo
Db+4feM+/97XfPmS0lKmR+DGa8L3/P0+Ow7nhWDwI1xhl02H2DH8Ghg34XsRe9wNGuGAwnO9CbN8
4ya/rApVK9YJ48Zsn3l9CaTmIjq9UgH1UPP+8zd88Rv+n+ao50vLPouHeJ1sz3Rt8xUJ0ICQFooR
YYHt4oJ1pL9byOciQSy3M1be8M9ly12LZkRW+XVi2+jH2Td1dpOsfg12KpzEO57VtzS0bJ0We3ph
KJxmr3e3wOsQezXZuS1ESUB74Tys9pPnxTCzqit82FUmB7j7lgB6iUokueeSTisPDIUqUVKzkH6Q
OmX3jsnc8ihtaZ6EyyaNz42e5Xw399p/rxYHdIwRUk391hr7vXN8vjmo+Um2PO6S6yv5qvlN40I3
cZsjIRgLNd3/3FQRr2bLwWqoQd5wLgDNw+96E+MEutU/JUu/FTeq0ssCz4ZDBdWPJSc8LNqKd6lf
HF6juF2s9bJMW7Q9wTAPvnyDG3xxvv39sbqCF8A1lVD822vMaKO3Ugr6UsHEN9E3RirJzsYh3eIw
Jeyrd5VXu851D0SLEDlN7fVyU36SX3hmxb+75J3vaGD0zBiuaNGGleW5zZGdMc8uTX+V7r5keJoR
0Nm1UUnmI90nWSb8VXvBAZkgr0LpgE5hzOTnxi/z7UThKPtIj8Jc3//zGv79PBC26eOoI333vIxN
tqVXT0nPZ2/3PM6CUs7VOQlIEJYtBRK/srnw046SBgYghEPuYO9W/Cjemkv14tf7P3ebb8BN9j1e
IOY8er56jYJuevHWKuspieu0r/d+YrnEwZukLPKzK8VtFu5Joa38mBr1sASF7s47q5XYXz3tNVVY
nNHgyKa+HId2Qbl1Xzrz+FxlnOMk0HF8MiYMQ3eeUu7BG/MCqRf5OupNbzPKKSjt2NidFfvl4Z/v
7ou79K8/jg67Y0lpWZ7vCOk79u97GHNgEzP2h28kV+01xaKqwI6l4NtT5FDXJMIjvLYlnAvoR/25
MZGyR0J0ebwzpcRmalbVYAW16at3K8XdaFqz7MFelmGlLWZ5D2pcs0t/RC1zY8ZelYU0oKouMs3Z
uk7x7MVlw6LyL1cnyyPUjwgQmE7b7xiY0t27aK6aNxDqFyfTV78YVMG3hYtq1QNb+P0XY4QmCq8u
vg0QI2yJNG5Ig+r+XP6DSqhCSfVs2rPG6usCZCg9eDWlY9IKMjO8kfTyhgHQKz6BL2FKnPYsjKIZ
IGI7r32GStdNiYPW817BcX6qx8Z4yNBIiuCMtLVYVvjr49ROCGm9oYjT3eytePooVaUpBbOhZ1It
vfYsYIia+lFpmQ1oVk3/RjiA//sR+8UfHePs40uvacvr8axXeTCRa5Ainnu0bDTNJ7vpvffeSMsh
YGYSBciXP0WW1dBvMFEGhWsyYWKdGDIv9j0D4eIA6dTZ9qMnA/X6OncYx4tEFBsIq2/CmU58Esab
k6YHho33rOipouBYkFdoPnJ217BkFxk+Ik7lw4qXJqrNrOnkWImxPTq+a+0l5AK5sBeP8Q4X9nOu
k8f1snOyoq2jSpTKPVUrQpYA7DK/WovGeuwVEGbo1aRvQc48FRTupbouzMa3wsq2CrVz0KojCywK
n4Yfd9dAPj/SMXt5t/5/Y0LX6deu7usfw/8CTuhMWf0DJtSl/3b1ucqBz35SR2e06PxXfpJC0vqL
iNqxYIJ8D0rhTOz/JIWE+osYhU1euD4E0TmQ+i9OSP0lHU+inVaSv2XiEfLfnJD3l+JA8AkUTckp
KOBK/wVO6Byr/bIruNJDwuJ55H04z/n2a8iuqWIfscK47HB28O6Uv7SXg2+1ddBn5VvmtmcW8G/X
IndSpumSZ7+eHszpxaRTQfVA5OymlMera6TX5TGemuQ2z2zrjS3vT7+NKEGeISgyutfEpkAWnVeI
3ndAAUk0zRhOlGVeRi6YxRuX+j1zFC+3URCb2DQ5OTZfe/azkxk9dPu8o9Gqbi2j776M8Tq+FzN0
GNl/HF93lBSpMGddL97YSf90cRrw7KI0qRz7NcXMean6tTVQD3oVHj24WW1BhQ3Ju4xRFtemZ/W3
pp3JU1bE2ddfFvofcq7fU4GfvxtrBtPjZ9ikjq+OUQJnx/CEvewgAMprm5Do6DQ0+/75Kq/PrvPt
tRDRkHP4rB3XPj/pX3hNwcBZbyXCwKlsyS9qcuIrHFmyQ8OghIfuvKSS9DztFlu8/NbvRxoW5bDe
btlE0+ifv8sffrGFA6TvKpcUTb729I6Jt0hozGVHeJ9HBp3JcNYMq/znq7x8zKt3BRkZL7/FL/f/
Njk5sWskX5Jnast52/Z4dFlXW4seHYjOWJ9d5Zci2Oa+0vth8ztsLByZvLdkgXXOP3+V39OFl0ds
uXwPdh3Oa4DH3+89HQg1pQPfhJ6Rf5RTmTy51D0vjXFJvqbzpDmObHX/zxf9011GpsqmxCMXf4s9
pWxno9mKdWfGGQ9XJd+tVSVvBIF/uggPEFMG0qG/X0QNjaB9703npkUc5D6FHvaj/4sFYxNhsvsT
0rMRvYq7utElrcvPC8ZR+nLEJyscYr/4l2QAL08J819m0+Gjy/p87d1q+yiaJ6tddmjz4wiMoDkn
mm/NgfnDWsA9g01OCgbLW699kokpJs+1YszDeolhqZVgOwGOVD+uvmNG3jIYB8pMwxsr8A/7uIPJ
pYfSmm3GfJ32OXmM4VTXcwfntdy7RVWHycSeY5a588Y+/qedhpXgWohzHZ7V61mRuB+52PdukKkp
Xn8BsabzWcrazSI4BdM5i4Lb6rBYE3JYo5hIGwYjG7ugtakWfpG1lb813OMPv15BBCtSQJ9l9Lc0
LFsdNH7OsOu8wbooSTz2Vj2qi9m19VtFwPNa/H3X4fGdc2yF3R+bz6t9doDew6EBYpWeBx4azYFT
5X1qTBeWmVwxCUgHXiZ2ZaNxmYzfcv7+2+voc2kSPZICQenjtb3xNMYWLioGEAo6bZAWoKAa55I3
FtPfghDf8hyOEa7huB61hN+3s2lRnRjSZthtKIGhy9oVJyzLxFAwmQ+ONHb/vJHZL5NMfrunPmcW
ltDC9n0Yo9dzjqD0t80A6toBPWGkVSzF2IYwk3Tbeo2uNdRS298wxurcAP066nmrYAL90YShzgJ/
xogmSDCorPe2b66wY+ZY2cHS+uNVUVp2c1TDVH+NE11a0SjXNd0XBSREUOY9qQkSFSbnDSQSkBj0
reHvUjqwgahjVBVxpQUS9wxftmggS1pCSvvOnXY6SqFCluaTyAB5g0LG+mOJG4Md2ilHcISrtU72
QyEJ2nAWGa0dbFFvP2LtuKjA0p7MIlHVqRP5k53p2yrHje5yq2pf3raLTwINCswdmN1Mf6Ud7voY
N+eo6bLJeOopOFy0Zpl9rBY1ghVY2QMkF44HNmY7QzADGJUP1ZSlPWYwo+0890VauEFjiIJWgZzY
IBpwC0jKxGJoxdD7SRWO3ly8o0eb0wOv8wbNJnxGKEe//VzEIKGhSd3ZBCLjarVuYw25InBXxGcM
z7M4Xb/3SZnVYWYW/ffYMpk8PLLlmrSqXFTqsWrTKwQfG6gnz5xZ0I69RWs7ebkKcsze6jAft9a9
sWHZ6svWc/r6yhPNBpjly1VRagIkdAqUwp1rRlAOHe4marKnEKChwSQV7z0/El5jOfAejLk40avs
zRMlkurZdwbsS6iqJmCVVae+JHWPba3V2LnYYZqV7jsnNrEWoiZ4YzuL+EBlEReRjkJutjNzFsz9
BPSYXYjBNu6kAR0P+4VyIXCWSk6R7M82oXlHxBEy09CkfCv7ccJLsk1xmQPgpiCmxuLQLQMVUANP
Nlhsf0iNiylvXcHXX8chpGgSX+NQs8aX60TAF+LZSAOLmwyYMWdutlc4IdSXzmTA09tsP/QZMLW7
zZPE6S6gzjy88Lib73GAWOoL+LZh3Tlb3g2XtXDHd9T5tRslpZWC4wuj+ZDTi7eZRpVoc1cli43r
eJxeLUXb95Ghx+oHEcD6gU1PVwf6FP2nZK2ov7dNLHDWs0fH3+s8brHyKWWGxkbX6ddBCmAPTB6H
z/A+nhVu59AaXqnsfuDDLFTUF03xAEjNZyxNCw+qM9Dzo4CW3Hu92foPCx4dTthKma1wvDzaXecO
Yrndlm3DrAnnJQusHqBvr7ymMcIG+hdf18GETcerojfwl5xcTGbtFhPBYHCh5E+19GcWMpvDHC42
g21uBkoD41eRtLp87BeljED5Y/OIbaG/fNRJ1d8tkzRxSWU3ZM/QjAQOyibe4r2B5z9CjEVr3BRX
NrAw9z0cQMbRO9OOOh6uXOz7Pzi9A3lLWFPI/agS+6dO8F+qJvwfSwW/qZDeNd+rh6H7/n24/tz8
LygqoMr55Sw5i5t+Ex+915/T4nP17deiwstf+VlVIA76y2c6uUMq7XPEnBuGP6sKSvyF8ofS5llE
5NEB+e+qgm3+5fo4BhDFk1f4BHC/VBVIXjGPQCyEnImPtP8fqgrSZziIZ9LAwkLNUxy3vx+yXl+0
Ga9Lf5xKY7gms8fhIt98L8gcXeo3YrZXJ/r5YvIcGfEPsgWC098vhqtGit+k0x5LrYfIiO32aKSI
37ZhS46za2AG+Mtz+EPS+6cLSmzeaKGIc/XyHCX/ko1m1lg7HCTd0VaGVYMvpsaNaase3KuoMGOb
nTcu+CrBP/9CAjLz3K9xaNu87gXgla2rjC3rWI41Lpdb7otLU8vqtp+SNaRvjpeaPTbfEi+f3ri5
r4IyKuMshvPllenTinidvWBxENMqabmlGeFS5uM2URj6rau8inFfrsIP427agkTVfHVHSwebrw3p
wrFdpuEiFa33VCaGvedwge3/56f3Kof5eS0fF3JSWoG8BwXer08vbmoQrGFuj/NcI85c+mCY+ofR
YQNno7+fq/gNpfOffpyi3E1QzRp9EQr+ekEH4ggFVNkehTIwdtdaH81lNg6r8L7+80+jPfUqgudF
OFe8bPo1KA/53/l5/rI2QdGHxAc+OeQSks7OC+MTREWFPkQP2x2KB4KZKRbOrsZtGUJeoxDIiF0D
RV3hm8EB8VydlWMdBrRn3BFf+dDolDD2ZyVYF5Z6G+e9V+bAyIbpmGg3+nV60DaDQ8IFfdK2c63W
ekjafrmxN9usg7FN14/zFK84uQExnMMvx7rL2z7j2GLcyIM5pK6HDV/h9MGatLZAswXqFpRpUbWE
kWdH7Fy5VXwFVd0nxwKLPnqAQ7+dYfzNvrN0YgPy4iDV1Qi+aOfwvWwSuLOBzkSoekH3xcCInzrZ
2UU2s84cPLZmR8NsxbJ3hD3kH2xt52sTrKSiON45m54KPDeLeqjQL22dftcKJluWIU6EzfxhnBHh
emgE8ni+JBRVMNZM1dRlNLlw25GR49IYOW3VfpKE8+Qblj1VBBAtZtJRMedj8anKiiQzAowEW2Dp
qsM2yc5KIa5m0+2Nd2a2mtNVTdmgxyFVi/RitG3jPdVE16H3Xo5bMNUUPxEc1OOtzb1MIwTvybCT
EhEFQ3uaBt1ek3XPbWx6ZG84WNd1xT0p7G2fDgVj3XwY4fLSsFfKvY6ZbSk2Vw2DSFYCzf4ynvNy
Di1UP8TAS5G5dLAqdIyWZ7ewow6djJDRK535YAI+ZoxaWCk+eoQBpB6TmY8f7cVKH2vVi/EpqTa7
2cND4dKcNGvbk3lhnX2p29KT1/hs0QTMdVulUdUZA5EKnDe+Sr5Our1IEnP9AovTFpgFVshGLvhg
93YyEo3BIsbga1SX6UR/PdfLdqckCrjHNUH6EUFLFdMut4EmLi0MmwREK+3/OUANK9SzpWfboGLY
OZO60rPppOgRaZGHm+e24wGfcq0uzFiRruhFxclNXzogi03seCT+NKIXGegixiIz09YCwa3tys7C
ymnSDEQAHRr6krbEYNc2po077uOafJfrWo5XWHDM5lPlWaPBf2Orm3EogCDRtm7dfWEp1Z9d7wRm
e4lXPQJ9JjCVbek0+xEHV4f5Rs34wcnpckdWZU+ase55p7H5hWtoFlCWoCliUR0pWhj6fhIJmsWF
16MMHXOc3ZNbOs61pm/b7Jyy69t9CkpdRHLxi/Y9q109JvCWToDZ5PBYp4mJyzHc+IzXDf51DMpA
3+hTk1QU4Q+FMvW3VlY5AWrOhnjTd1CKCNIFwaPLngvbXLRedef7DeZC4Bg9AscFH8fAXG13g/UE
DF6OzlQiEAlLKCtmvS85/q5T6RZ7d4wnbDETd70Z+jxroszO5yzsUDKVmIZbRnaMrRmMMNu83Aiz
sixjkIASn2qn7OfxxilWTNM8RB3f1/8k7cx629a1NvyLBIiadWvLlp2hmZom7Y3Qpq3midT8679H
+6pxghg5H7AP9sXGCU2JIhff9Q5dMkHIHDS1xb0l+1XpLTIWK3ZltLXpYsMNd7X+tpFxU++xTule
KtOJfumZ1nsBZIC52OpGGZsb14VLHSjX42K6ZEhRgtxQ/V2jraoDEQntj11HRCL0ZrI8NQmmuhdo
95YeUUFsVEEs5vRizkeJXR4bktykhN4plEEadm3llBjbiE0JQYdV9bdK62RJdECsE6NETMNAxz1u
PFwyUaduCxWZR98zwTJHE1XxdqKFnmxT8iynjcXZZBId0SZwZUl0fdT7bnqAbQy3KaohCO/7Iam0
L1UKe3GL+kneJH7nUdOkvp/jiId2j5ulmz6ZEKJwUQcHeHH6WP4cFomXq17PrkRDa7UPPSWTtRnc
BDNaVONlFVQcSc11rLpkNxlljipUS8xk6w6zsjYtbdhjahd6HyYLduKBmhdkH+6CRAIzHOax4v1o
zDrX+tnqXpKzHCoj2ZpKHzMkf2nTb5bGhGFGl9O6lsZYDdvBKJaranHoJi9k/D2m9Cf+YJJX/Kox
pd5XuI98p9vVhJx95bMN2/5ZKB+7TOVPGTqbIvXWdzZyaJUqs6ejWTuFBfm0x/nJ0ARvW4BT7Ics
QgbQdqP2d9KVd0PtHatt6k7pd/rn3vcC2v7XTgxQcvMasfq2JqWKuKEoN83QSOfuZSw1sIa4dGJE
xSXsXqjCUcajrOGNlkab/TFgCkSbxovhJJi1ar7hQ2lDQE88+2FRY/Nj1uOdmXZ10Dedt0NNH0MA
zkz5C5lTfuUJe5+DGhNOUiP7J5fQIxqhzb/iYoxZ9Ahvuqjwtp/2Rgf6FJWJscFe0yReo9WeYLc6
T91iXzkIma41cs9cWKgkJnTKLhHAZVPQG7j/bmWFXBRcKkmuIHOPO6n15X2ba8tlaS3XhlH3QamM
+lrQ27QhShnLbdo63cEu8GJ3I7wwmyhzue1q5pNRit1oJveN17i3JeiItzNRyf5tZyO76SJRXui1
mGzUA0Wy8Uj4DfrFLwPw8Zrmev7IooAl5Jil99VEHREQOHFXYrZ3YYkBd2qlVZdZ7VwyhfjCxLWQ
HXdxv2tLY1/XVsnfJBbHutDQi6OQhJOK21/Ryz/t5BkvmpZbf4wegt7enQeP82x6Skf3b1YPiMyQ
EdyqCmFy6Q5VQPhD+8eeE4wUR5XN/taZZMyV3ZUeCtWeFr8NHXt1DhcYn2odbPao0b8QX5wQWGN3
F5oHG3mTjosX438ttEPho85BmIh0PrUhHZmoOJIw4Uv8kyKnzUO8/507l+fypbYNPLWm5KXMdNxx
UyvuLkssmq8bZCTLrWykf2WRcbA3YJJTKLW46m6KYja/tJJqnPMoXtN88ngXpSKqDnDTTHqZPU4M
eyxO6gjLBwNYK+u7jMgOnejVTW+1jR52Y1ZQfjR2wxeMojEZE6iL41Itd4BOfKiYIJQCnNKBq710
JAxuZT+Tz94JdEQYy8Jy3ERwZR0yCdwbVMk5pNfUt58bw/PxjKzq4cqqpv6ZHAfloep00SLX9Vg9
5GUufpWw5uRB5ZgvgFEaU/MlEXG99XJI/Xex02roThbCuG/c1pVLiOTYT4+aRbMQMRDRyb8TzVDm
ETXj9EyeRVk/17PfX0ytEApERBNYcefYMSCm6ZZp2wwxaSURFfYeenv3sDYON7GWpfj5mgBwYY7B
bLUZ9TJ9xs8b/4XcsJW5tckjmUicYVJbY0rL71ED8IoADNfbEuJLtwXaaf+WXTxcZ9iRX1DrNPdm
n0hxr9k+h3tqWsXfCSk5ETlmglko1sVgbYi+yltdzf6zgSw8DjCGaZ7WmJgdgTDJmsVh9Y/S5i6+
NfBJJ8oHSqy2zbH9pvYeO+QiDibjUPpZXNXWKiBgcWvI0hcLB+K7VlXDwccUIIEY3YEit8Q/RMqA
r8gdb7sqbvj8y3b4llvZ/KJGz4X3XbjFla710c0CKMkOSGyl3KJKj6bLEnAXK9U+jbKfjm80HSI9
iUu4DwP6xssy7asjZ7jsFLXsiRjPt7DhozLvQjwh42e+WKpdWXb9Ex0oL0gKI//ZRviMbHolo1ug
bvYVfXmAhowEVKa9edX6A6rTTGv9+9qbFBCtGzWPs9e3YtPBvt/nkdVDhZD+Vlhdo/ALGMfDXIsx
TOFCHUvcQu4Qj+t80k58UXb2FOgaVM80hXDk5NlTDpFn4xvZ/K1NBwmo1udXNJW6TY2BCYr+9SaG
aYLxiB9tgXKM6gLFDTJz0VNgE/wNf8cYnW+y9BF8GMXeHw0sQ13Z/p0q6fAcuP8cekHJW4ExbnqR
dE8lqrpHkxyOyq/a4yJrnKajS1NZ1Y1XGscsSvf25Jbs40ifNZ9YKy6HAYEel3EkrL/E4h1F6lDP
En6As/w+LSATaV6GwbK4gczGtrMStNwqfsqrIt6SgAZ1tsEvP4n0vT+3Gzup3S8YPO6jCVrGxpqz
ICYnY5ncPnSM8huVuhUMmghj3Uz25IKobexFez3Tb5eeDciOCZtKiaD62fogzsItL23gXoFi6zEZ
FkxbG5xbEWUXYexT/VN0tUfUa7ezzn69wUnZQ5yhkXdhVf63fiDfieh6DXC2uUlkDiEUpmSbqunQ
GuCWMeX9dQWItjMqe97049qi4eHQYZzG+7wTmFe0yQFjXvsILXYMtT5/aCm7NmWVXHiotfY+0ort
MI7GwVJjC7Gq/Yb7/N7L+P/ia4Oi05XVnmjBif6O+aASPuysp8qDpCCW777bfhFWy9WtGOMX/vy8
E4Wq15hJrH5l82dN2ZlU1N8iVPU7GOr5lXR9mJSd2LbwBCgOlX+Rkyuwh0cA/7JOfqHeMI6u3drI
DOkIVQWmLLzUdIc9D8Bxo+70anyI4b3vyW25nj3RXXdYmj90xYQZjobY72g1BmIWmetfC1ANM8gI
PYCO2tQjbl+9ecRavXeCGZuJjsAimADQIVFrI4Efn7DraRMGVMkTOv+CHabATSbyzS/52BVfzcod
gpGyKOXvLb88kf/RrRIfGk2pmFQpwZdD2T9rnbPxomivBovLovLaH71v59cT1+pgSQe1R2G9y3Ak
2Reo4rJtrs0B4b35Mj6zR/UbK538nZUaMBjdmUscnKRtKVuMLUoCASFYXbto/ghRNQixAGGA1DFq
f0wOByInx+bL4kIhdNqrupzvM7PG6aUur0VFGUv4Vee4R8DBB27fX/Escq/8unzM+2zY9GYDk7JD
Eb/mtnEFARVstCfs43fEWPXfUJbU2Y5wpeZYaBgQm435lBG2tGU3+4uX/RTUnr/njoGL9eT5N0Sn
1A9iNIoLsuDwAEcQyl8uCNOrhnzvkAK/MXN577QG7wBq47AR5Vj/dqGx3Lr9QCUXa0+DlUSXxdC1
X/Hz1Pd9HB/SXLExtnIgwC22qrvJ6Kytw4V1Y7vxA+K5hzbJzW8YnT6SU0D2xiDMC7edLm06Xxuo
ph6Rccq7cwkd+A5iVL1UeXLEjKX5UrQdG4xg1RGyfRlr8X1fxD8IsEFZL+p8E2HZcNTcXvwQUemT
5ZG5YqOZU/GDMY6yyiFsqV5/UbDA9yNFL4FFosGmTZMqzNNl4ook8j0nMnr8gYyixzwth2Ml+upX
rtulee10+L7Qq64jH3wg8tygSEi8Mp1F7HMALAMv4Vbs8jUsJuX+dCO6XCGDR0oWNA4+1pHnlT/s
jD819a19QNWX3/UDNCfqfoyCuuKhJ8OBl0CU3y+RQjwVfufwULPqa0G6obMdG1mEUbyCxDMF/01D
96yjasrKhFuFwZwml8geMHmxj/0RpwfHnF5cAh8pqmPedOU6F5Uh5QFHxpo8MGT5JDF16mIuBtRt
hcrGp6GVpFRSp9m3rd1VmLj3SXmbL/NDDAhHSBgauR51Q7t1sKVbCG7QBK1ndHLh3MfoveYKiyc+
z7QkbxKizE6XtQwg9hMfsqT6XVfjUb9x4qx8BGezv5ei67/E5aLTxq4TdG3zuARqmfsHIJYRQ0en
ajnZfbvfc7K1ZJ40LTEw8BlRMcUdrFqY+G33E1+D+nupd3OF+NC170xr6gTrdynzLTlMGJ3XRpRp
OBFhu+XWMbE3DVGb/WaYW/0e26s82lqgucsFTXefqgZKd7rTs7J4UFVsjZveNfFFdpzJr7fa4jQu
IkNspNiwPQuDCkv4AGgUr7QrK5TB6YLT9KZbIsPd2w2o/ibpMQXEjMDMxIZGAG4xEbLSHZKwzg/m
vCMkDHpmsX4TZXkclUL/atsufvNWk8q/EzYAfCHpqJywssna2ah4NLjDToRPoJkRNw1xD+1mrocR
rvyEX4WhZPKjjQX1pMhmghFgQUyAs1y+Ym4xRnmf1kNdcQMe8ehiu8AKtfMAqjZZj7HcptWJYySZ
KrJWGyTg9sDWFbYnZMbZrPdxetIipy8OFqKJO4XaA/JyjKh9o+yhcze9YWtkcVcouzcJSlVnvxKk
6C6MVP17M+1zh4a+XpTbZRW67FSf1LemVS4vonGaYYt3kFcc07Gx9L1uJ3lYuBOCwcnLs+s5jyIB
kzyxfxBHNmrbWBIYdgTGHYloJT+l3VSt0nuEVSONRxgE7rDzdBzm+K9u82tWdnNtqUnC/uFJu3C1
EvYYE5EOBAXVdL/yNAKL8sibfFxmutGB5fRUNxPJnOvTsC22nQUUhzwD9goas8LygrGsieKiLT23
ayzPcGeXKC6ovFswGn5EtmzdsXBvagFOuqvaWFFVgrdSg5jgho9AifJuhAGhsSJArFm6aTPv3YUM
swgQvQEDBoDYOLAkntpBOhMLWp+6tfyol33dSXgNadni8t9jnpseMOjRHp25SpHc53m2bGpVLs9Y
m04VUWHCxDKCDfyFOIek2BUSfy7Ya/EfPjry5LShKVoAdiO5yHspZwTCFjPwSizFgm6U3VctsqyL
2hjEVQlRlJNbM7FTWpbGe2qldC/xJ0J45Kt6PKJwqX/44H/bqFFP45wqfE1aN5LbEVyEWFsD5zvk
vs0hdjp6QoNjJSKQUV2Qy8abawIKbvCmbEj7L4tldNoXTxcLCWbjCklVfezYO6o2IFq7wPoFTn3q
GAEUqOWXaRrJNXhY9LtRjeFQw9VTv0E+5hPzJTpuLjO8ALxeSO35bnvm8MvsCVMIBGwFjnG1tLzU
Ze0r5CS2EPWIaFRuOkLySGnXNQ/vHo5WfT+MkxC7xi/cFypEp9vonVvewebLCaNQLZzSvPLHe0ev
SVUprXZw2GqdYT+Y7lAfZrp+LMqxIQIVCkRGdRpbunPrrHtWGOVZUWyTNOeqTP89Q/KC+VK2wTen
BIQQteCgJU3Y2yldy556iTb6wgEjfEZ61t+3jtVkkJVt48YGY8YtJW4GPhvdJ1amKRZJpRr5ib9P
kx4n+LxHHc/lqFMvRAToxzrK1nGxUCQD0ev5DKPZnUmnIWiUAFMnqwSOQcNS4wXmpFcc6VSRfd/m
0JBGzhcUB+XyR9kuAlSJfID7YerUzWEcMnFchDL+ug1K5I0hxr7/4/aRYx8lmqHpIvJT94Cw2F8C
Vr3NVT6b+r+SNNJ+P1TNlOCIv7B9Fabe3krZ6s8gwf0vvuxIYh2S279J+qJV1rsIrbgZzaQwca1K
r7PJa4nc4wBi28K96Sv5dPVzwj6CnUZaTpK2gl7+Bs6O5q2dN6AIzCq/zEtJFjNGFxRKYC+ls4kJ
2zNYAmV9gzLeLAJDawA3ot7FNKnSm+mX4052FZRpQyp0R6e92caWWO4raossMIqpqjftYmLWKyK9
xeeFS+nf3My6bwmxuI+5Z5XkrumJDX5ooOer04hDMeUzf5JZKvBGHJ003cSGZhEHNgDlbdymib9D
ROKcM7UMCAHvR8sIO4IgbuwsZuUht1TsZGXR6wj8F++7ReP2RWvNKgt8s1rGbV0BR6HYppzaSALA
enyMBmWGLnnK5d5G38wlzYp/Ftlsyz0kcXGFMlhGoZs13pEJmYxim8MfEpfbhzjHjnA70t/+Q003
6FtjLlJC72bP+wm27185QDHVpqlIrAjsYSLX1vfQ2h0oRGJA/SYui43X+u2+8EYRuoQEwd4SMKMo
UOuWngsS8qdl4sALaHwQR2uv/Z/QIGt52FSidugkDNgeckR6eRo4IPpmoHUk2+3heyu1ceeCjhy0
vZQwFaLtkc+PlnwerNh+YXVV83YWnXyquMvcV1HLSTOm9cLH5zXj5aSnOAMmLj3FXRnnk3Nhtyal
WBnF5Y0kEhtfCrsTC5ikB+A0xR0rzB/xo7xNvWnFVYYufmm6pH0exm4tzCdjXPYObr+gDEkNa8fG
QunJypBb/xdMmt3GdIPHn0S2xt+ABXkQTp8Q1DJBzXiJC64FD8pSXsbJiuxnM0pDH3dYeeEvnykh
jX1dNYMK48y1kr2rCtPc41TXkqqzRjJtpDVwsNaVGRO2KZX1nevhpAVVPg/ONepusZpHpVOqcNBK
hmZf5lCkkEHCr98YDgglRXfGJCVOAMUlHvoDjNeB29ENpuvq1yCSwt77EPueaSe09V52/RztYjpn
LdATZ9mRQ2J2WeeF4VxwLya0DVc9UXFZ4Ayh22EuJWzELv7RJkazBMRarncWFdOibA1F+ZS2xnjt
JvYSB5TECHOXBLCVctk26tsZRd0AHCqibheXU/F1bIX7TIzi6OzHEh3L2g+mO8HTbKtDb3ndk1/m
Y32VY6bo7SpIVZRbTV2Vq9ch4a9AmphSrvQt/8hN1IiCBdKoCLJZChYFYrH6JkKA+bszh2G8Lx1t
8ffKHVS6r51U++4YiTftLVyAODOLZM3uTIh32jssrV9JUVtPgoMQtWwtnfieBgDfucowG/vqQhSg
yp8M6oRUT5abUp8HwGwvchM2DhNOV9lFmKgOaFrRrODgQAWvS4xBLTrBGFeKeWOwui+ixF9+IWLu
yDhMcvtRem3W7KumRHXWZxJoiMuhXuDI71fZBkvKlSpJCc1xFJOxI5tEZTc8XnhsZgcwPNZ0RdFB
CvGjJBATUnw1gUfUkzR/UnwSyIqRx/qoYw2zTX0astt2tEEIo9jn4jz1c0xP27Nm9N+FEbGh0Gc9
UgOoZesLCsTAJtm22piY4Rr4rDjGZVbo2hQwo+aK7KbWYzFm+QMJtzRb0CEBzNAtFt6mBSgXe/w2
opCrge/gcps69yYx896uxIHgcdAyKwraRRkvcQL4wm1/qfYfsyze0H+gVXANMtH5QEj3zBOyii00
GwpdzW2tH+3vjt7PTzg1Tk+4/NDgTHWUuh8PeCIF9oA8EajiiWK4BiYNp5yOkoaVdDWtO1iR6H9i
4oTCfkPbVWto+tJQ/GIAFfBhC64+YVqZoDQVWlbtzLzf8Fj4GZbuQiDTuU79J0n7l1piribbNNt7
mMli+Moq14Km99odOF51Rv7yhnXkm9DdfYZybcNzxfpT/mGxEJjgzFQX3YH0bkdt4i7K7sD+isPH
D/btjFDlCYgyOqIpPC9OqEBOW5faKPQOGy/OKE/Xkq1wVBkOaZp8+R+GQr8ET48aF5rO6xmxw3b0
UNPuoHdVFdB1NR5VWsmN00bWt4+HOtUwsF7QDFFX8W9ITsbptAi+c12075hV+bkd4i6mh9jGqH0L
l4sRRz/aAZ5Vl+5szyDw9kJ+6qAupNG4Dx//lLefCr/E8rBK5PdQ+J68x6KBJUADuD+UZXbU7fpP
Uo/fI1RM+0b/H5aM6fjCNUx4XYZnvH7AtEyX2I297mDEUXaYMFY8aOQhnjFPeG9hQptEIOLYMDD/
I/v/szClRTHWZbIDh4I5xUfWX7qVkGfm8t5jQzMFhct2Sfv7z97in1GSLKPm6ZPugHeVGYUy9zV1
u+Q2XCHRUOZcEvFIo/fjd3X6MUDYFBxU6+yQKeDv8foBOmjcNdVMesh1pvvr2o6TwBSYknzXzFr0
/ePBhMlf+0cVARax0u+gqCJhxXDHX/e8f6ZI6GguPU9NIQ2/8meFBSPnuqtnO8KM9aOvo0GZTN14
NJSyX5p4pJArHfMQVXm2q7BcvzIoHe/P/Kj1e3/zo6hQ2WfRw+LCcvKjdKiOQDET1jukPSrS2B7M
Adk3KXnzlktEs2sSa7jBCMjDLIm2On5Qqy13eu4TfuddmOx/7LJstjQcT4+YZclcO1VLaE8qDkUa
1X/LLBvv9M5xbj+e9OmK5kWYum1C+jXIJWDqr+eMAXU1Qm/D+Z/uxrZWvXEkddI4I097b0K8aN9f
ico6aQSvR8EhRdcsLMXD1NFBIochxXhsKf05DmeuBskZjud7w62DsbO71qoZez1cbixQEcUwhwuh
BpBQYjhs5nLtEWAQfvrxOQ62Q1jNrPvOKdN58rVKcxe9Cw1vgMti6kAAGH198ujlJTlYsYGZQjuG
832yuZWCsp+baBcS3Dz+lU7mHfxYn347Na3Dz0/Id9l2THYB1z0VEprjSIPMorWqW/qyBRx7Nkuc
VT49iIu4FR07Wyh2WycHb1cTR6NhYhu2S/MnSyt/N1td//lX4wqLP86Cw+NDP9li7M6YoQK6xEto
AJykkyYXVeHLMzXEO98PVDYcs/h2Vq+WdS//dyMDHYrc3hpCeHHYdXl5dcEebX1+AXhQG1zfNlHJ
0UZ/PUrB+d1o2CWFaq6Nu1SUBKkiONeuMngD5xSrp8cPqw0DLVRrBvpbD0ey14OZVaf3ZiqnkEJ+
AEKCf6gHRjUb00Xcz8ND3spqPHPkvfMYubdw6vARWS5L/fWYrO5cQjvBRzVz5i/YGI5hNuM4+fnV
vboqCIfDm+roVIy3pHUJ6Esbd4Dw3t41NJ+c/aD0Sv8k6Xt9hvzPwGll9ZM75c3XpQ9wgdVo6DrT
8GPU7e634Gb4kg7uciYf6e1mJ2ybqBdWhomLxGkgJOA2ICBgaFgiow9NIt+3Q9U1Yd2ATn32u+US
griYOgERJRrK12+p9ZEQ0gzzQ390MjxFYc/is1X/+XiUtxPCscsGykYJYFEtn3xSGMiqqnVnEUa9
nmGiUk2XRus4W6zv1NP/MhSbBFsePhz6ycbaYY6ZN5EtQktrcKRNS/rD5KgHWMjYZ57d+om+Li6Y
FSJmD0kOTg2nBnsAF5ioW5kIayKDNv0g+gn/sML4KclknXZD3X2tFngLuPPkZ3aPtx8XlwC+ZpcT
nkLcXIuxf/YouPNOFhmRCAmiKx78JZqBrnTj0zsh9EoOQn+9soGTnWwbdDx1exKxG5aAQIdqcYlz
NOQ5tc87c1k39FUS89/V8GQUa3JgTRQJo9gRCRh53u10RASfroo4/qi+LQpBKtRTAzmopbyu1axW
QqeF6js65F8MSTZ/VvnioqWnzqOLjc8B7osnax0+b6HoyOphorC5JAA9D6zJxAIzz6tPvx8ODjAL
w8HwgGPxdIsda4x3rdle275xIK202us9ptcff1Fv348F1RZ5DRuEaxinXxSd98b2hbRDa+1KxnMH
qSPBJvzzo6DdQYOF4QlHxkmBR9whTDu/s8NeZEQ0qOZ3lGR68PEgb/chwBYss7jtuau27OTQ1XKa
4rFf2SGE1e4mNivvyvRrcgPKYvhcfh5llm3hULNq9tj2+ERPXg6Rog3NGBf//pUBunWoXMjaMM3h
0wvbslGjs6YF0ACn/OutAPHrCDlztEKjnGfCTlDak+3Vn3k96195vddR2EEvAcRx6dQ5J+cEInKi
pMSaRjB79qWytBiYOkFcrZrqUOMCfWa8dxYdDjQOpnlrOcnN7fWsTCktNCo67sqckgh0vOVAAz86
s7TfzsoGhkOfBjJFzXN6iWFb4/wjOzHMJdL241hHSIMg30R4JZTDPOxgnXb5mZvT+tNfP0qQNhYH
a4w9gnXyemql0Q/4qi92aEy9kPe5Wnqgvr53ywNBfxkQdixVHZIai5zNA0+3bsulHs65Aa5v7PRn
UKAZForOVYl48kb7wvFg6zR2WDpSXUDVEje2Vkd7HAumO0sM001rkh328Qf49rUCRCA44SP3qeFP
i8I292ip5oUdZigQtzZU9K2oxn738Sj/BeG9npvnrGYQoHOrq6m1/ox/jselUlrWproKUznC2ZRo
7Kc97OFV3VN50RcPkzdvq6VWRDhWSv8ohN+Qv8ySiK5j4kIXxJQn0uYdpoeDxOG2buegQcxtHedy
6r51XTpN2yW3nHiH7B+Ogh+PFWn3boZWY7AXZzgKsNf+zHp9+84QA3J48Q9QKjfh1/PKO9Xa2WB1
aAGVDJAVXMYlFfXkzvqRq7e37eM5PVOMvv1GGBNnWCr5Vat6agg1p2jPG0ScoV9myz21vLYlp8f/
KUpv+I1xpnnm3vDOeBSJ/xlDsT70N+PVS5YYs6bCnjt/0KMM2w81ppGzbtsXHvTJh48Xy9slyUHA
DJkcyBy90dfP1HejsmenVqHiavxE81oeG7c5Z0/5dlaIizl6qOpdgQD35DSgmkccik99mLay+1tU
WPAjQ4y/kKihB2lMHspnZwVkTEHFGSccCyjj9ax6d6D1G+kyTHG0vEDp4oSOHcfnYJm3D883DeCm
1ahMp5VxMq0CBH9J01GGdjcVTxNSmm3uxdmZHfPNKI7BzQG7PQA0fJRPM8WLJplyA7p2qKs6vqRa
ASyRwjl+/MjeFAeMQrULwoBLEGf3yYaIDmdt+aohpHdaHJDGJQffS+HPFIMTfjzUexOiScEWwL3V
QfXw+u3gTCPJfDWGcIps4zEvXf2otWUdfH4Ux6LktbAEpow/XQMKcizaTvycdZhdXj9Y36a2lN2Z
Tem9ydDUAdfEPRWA4aRyg8fSu43mYW/OR7ab4hQ1yBRVn8TpuR9gKAqEQdMBawBhvH5kQ533BPUU
Q+jENTBt1OJg0sFt+Pwjc7kfWIxjELR68mKcutLdTml9iCFKf5M7qj3gGn/Ok+q9J8YytqnYeDls
Pq/nMlukrc2wxsGBE0y3F6mMmxgzxf3Hk3lnQa+Hu70WN5jg/2cH/M8pGC0aBd2UDuHc4qV8AZ/G
QB8tZzgLKZbtZ0Z7Z1IYRLARcCMFYTptomJ4sghIiX244Ft3rcHd2WcT9icfz2mt0F+d7KD46O5B
52CXsh2cfqQ6GiGvrPtQo+LO9qRCiGyX4MhdXU9xbdwWsT6416MadGdr5HbzSYc5jkLqRW7Fay8H
E09nfQr/PNNqQIg0oiAPeyKnv5D9MoCwT+fQ1P/g7NNpwjrD2YrVuJ67r4dBPj1Nzsw068LMLozY
Sr/llSb6PbkLyV1iYNod217yXGMcsZMy8nckO/lnnvWbamNtDBv4D6xujVT3Jx829vTgMw7ptjZB
eF8ShWU0nLnoaExokOA1tOOti97lnPPmO8t2haSoScFvOClPvg7mHfF5+kNYVUN8laOvCnR70K47
VEtnbhnvDYWlCddbXio0kJNbhl36HnoifSDah/4VJJdRvcxIWK8U8Ufnat/3HicoJRb768p541NW
zXlDi0kMYet72WHhNL6q5Iw/gdGJZt+kLS9a6cXvjz+Ydz5LlhFQ2AoTCQ7R1yvJg9JJe3kYgC1L
cUegMomoZM19fndeL9Vr/DXQCpN8PYqbx7jbS/zWunyEctTo6jJBH33mda1v/uSrALzh74P9cxM9
LX/5Fvo0l5IzYGrnA+UCnmQ6MfX1xmogiAeVVqV/P//4IO7gT0+PH7fMk4lN5twiI1qGUG+j/JGO
pREgMnCe/5dRqLIZgLv1qf9MR7sBqwNO6hmZ8dHHkZBUxiLe/f9GOdlU0lJWJpqwIWyiiLBqap1t
Pxp+8PEob78pU8fDyF63LpoOp0sBdfnUYRKPzUI0L6sird7NmdsFwkSp9+mh4HqAwXKJRwl82nQq
OCIM2ZpDKP14D2/XC+YKJwMs0z4N5tALtGje6sBTND1PaQ8Yj3etnk+8oI5k1gLntiPmoPbh4/ms
L+D1+jYFnpg4Bep4RBvmyYZbyNlWbpRj9TItjgXFUwJhI4htUSunffXsRfptRHIzAo2iHs88zLcb
hUkxSo3lsdVTYa3v9Z+TzStLfEATqgVXoZ6O8TLb9PPYnFmDb6gsuAG9GuZkd89mgw6hHQ+hh5Sa
bmRGHiQ+1tu+nOogJtB0V+Y+aY6yK8l3IuiqcyAWL7hnfP/4Yb8335X/xK4FNYk66fV8UxmzgtOo
Dwn8RgTnF9adj/nv48ejvN30uYYhO+OGRFlJB+T1KF6DOyXB3n0IqDPm8Lo0HA7m1hu/c8RMl9ms
Dd5O2pCXzxze70wPCoBjGeu1c11TrwdWsio7z+y7cBjj9sbpIi0wzdw9s2LXh3SyYv9zHWN2EJPY
lF+PojmQ831JzJhs4gZJM7qctrRUCPv/3FXzvaFoa8DRAz6ji3QyVFcs1jjkbP44WKFX0LoSlBju
vxyE91nIA/CIpiWUIx4h/LyT7zDy5dADvA1hl8TXaQ7RXpvEn5p6E+sxY/fxCnnnRYHgQzig3rGg
Oq3//Z/vboQyCX5j9OGU182+IH2eYPk+Ud8+HuadvYWmJeXUeuNY8xleD4OYiwwxi1vavBg4AWSk
fcKgdQJr0KynZI65IDbucEHuW3qmcfrOBImo8TxgYxAWerWvRwZudyofSUGIWUezG8pq/m5mGbZO
H0/wnfXB7RDyJo+RftvppaooFshwOLmFaPzn9GhoMKp3BsrrNqjR9fz4eLT1cZ0sfBp+kNPYOv77
tl9Pyi7x0CYncwhVbJZbJRfZbl23nXMiHlam/EQmuntmhm/HBAlfm3HsWTSFTwlxFYE+mk9XMxwk
dFFgHxlGmkcWqBovrCk/Z7b/9r1RFMOC8OjdwyJbXQf/XZhJ0XiybQEbE7sBt1rc+qIGxQo+fpDv
XHUIZ1v7ZRblPv3uk2FScq6kTpp16Ht5iNvZT32SxJfG8Z84dnbWmP6y/AE5Ive+VYoefjz8e5PE
IxGYmJUDEedkdFvT4hFaGPszGsi/0jfUFS5M89PnR6EjTTgTFxv6g+sp8c83jpkTkouBTyCja7t1
8JvfKQvG++dHIdWHLQtMDkz/5KypVFcriVVR6GlmfImphH8oRnFmb1wfyOuFz8dMHYTNHlgmvZPX
Uxmln2ZdVcoQ2gDJ5llt/1ZZMe0jrF7vPp7PO+udobi6UETyek6BpbTTC/x6exlWJJ8qst+n8qvr
Nbp5sI3BvS9b2fz8eMR3J4c39+pYiGG1fbIaUqVPNX1hGcaNmz34KW4diAv6uQkQQahPuqCvsDrb
B80tDygfnPZkNIGEdylxfw2lZcvdpM8ycDISJSJlZv/H3nk1x41kafuvbMw9OuBNxM53gXJk0VuZ
GwSlpuCRSHjg1++TJGdaLHFUX+/1RnS0ghLJAtKcPHnM+/ztc5rULV4dOVz+w+F5P2s1ghU+4nPN
Lut6m5I9I3ugMHQ6Baslj2zoXz0eKto4oT1SrOyrw0RuLxsA8xPx+8EbAjTry6prro3c7FEsrgeZ
XVWTqf856lGxHKnI/sCUECAkEwpfhVA+DuT7t5TSyGRs42wZXt1c67rsz8ds7WiP6ZDHK5qg3DVa
TcDb2mFNH3L8ty/BfLzPAPPRyrFUR/BPu9xMDLMpFlSvkBNNNnMb6bs0yY4cPL8uUfUhkCUJiJMK
Oiw770jQJ63bI72RkCrsaKjZ9FlAT7U8lhz91TTySQRHUH7l/2jJvn8dQzHJhbsg4oVc1jZuibrL
mg6Uv7vlCE8QEeH6Rh2NcxjQo63SKvMa92c2DdVIqdoUszZYBdmQHTFdH7wQZcBkRQggA605DB80
FkQX6XF+Ul2Vf03T3jkdxqLcvLzQ/8kb/yPA1v9nZtIOnebqUN5Y/cirurFmGH9wCyFwijV38J3U
jeRV3ljzzD/gA6gmCq5cJBJUPuQNm+Rbf1AujzUhk4VdZmv/JXAc/OERz1IJIaJpirX0N6hJKo7z
17FGqYGKs3KrsF8aLNhZ7xe7cLuZlGQ2Xkiq4Xpz3ftTjlhL16devTZx8jT/fC5ToXl0po8+7ObS
cuVj5A9lfcyMvV+n6lmIR5IlNCno4DZ+GLenup4NgAt/Ic3YNbMNXbVJt2+6lDbyrvRq9wImcBuj
L9NlHgLtMZr02ae0mPx7tDvomwy6Mhenmh9o8w7Ui+XfoI+WLqc/Te/16+D8TGf9ZcgwdZg5uJw2
aCv4c++HbKCYKpocq7jQTL2IQyPoteliCipr/CSAoIPNQ7I929HxGCObZbhJs27bxhdHfKuPHoOz
hpnjyGbADmaOAJ2YJ7+AVh/nafWtoa0PKptV0rlnla7wkDroJrdZN1VcB2eZjtu+p+9T+N9+PxwH
pw9eObFynHLcO0qleJaD8YgyqJ+2Pwb7ErRBYuxdRM+6ENESKkfP0PlczPsuzUcEGOWsmWFVJXl9
mplutCJbps9HDqOPHofIPRXmpOQsAphst59Poylw4mhEV3dfl6ZX3fSkSuZQQLYnuiNQpqjsbbyM
BG7DQPNU56Iz2FqL0EyeivxGtJk1n/x+hNQA/LzHqFBjlnCBlQNCKvzgWl1YczrS/uKd0sJdCNRd
Y9nEeCSxgyQ0CAuvRk8YubrWXAU9Tdk/nK7REOH9/VMcFIfgbr34WkphHISbhVP+fmAUbZwmXGM5
jeYAGO9Xr7HatDl39DZw5AqCfVrHoalLO08vPVSdRLRK7IA+ERrXvRrdxrwfZfZDtydHX1WzyLKZ
cIQmBK2P6LnF88actHk+iztPc58ArPo053LHoucRRQ6ZP5WZNah3JNyUP0WDzf+7vo7Rc/j9mx4u
AUKieOhUvJGzonCZUp/3b4ref0BZOWBEpN8MCeyUMrdZnFpOm/OUZWtUWrFaYjmofyuGwqqQdu5k
4W3ttAkqbYVQTccL//6xDpYByRacep32CkwYmbTDyBTN6Onco1exLbusy7ea2cl6rxlLjNJGEruX
SKRaZWjHiebvkJmpjrlpL371T+tQFTPiluJ4m9TLKUft/bCQwhpR7xPN1tAkKlmTvyDLRPGc86dt
IlRykVhZ2103qclfeznlPgkBZfTtqiJzTrvS6MfzGF3Peqdj+FBDK/Rp+UIlxLSsfj9S7y9AGBJO
Qug9HJoUM7FllOn7yaH0fFTD2mjutnGtuf7WaHN05kxJJu6C6F5xBwpvmI5s0l8WDZ6RrkC1VEKw
cqzD2oSusCaNtF6/BXOj+5eDvqTuQ5TlmnNlJy3d8AyAiO+oYbMRQG+qqLiQjYOaV2eWkW0eWSwv
NcY/T5a6/VEqR+McDXo0Eqgx+mkMIjNDF8cq2u2Cs3rlC8qsN72RZuXpUtIStIunZLhx6wVJpTKR
xsoNsv6GPHRL1SA6ol9G1Gnd50DL3AuVXdM2tlsY+cp0c8sOE1zcaTUYnlPROg0T7e+dTUwgCv9A
1gAgqV7JQ+fWmKU9kmZp0B7s/eEmH6fMi1YUj1k7Z5k683GZ3WW6GmraGH6MQyO60M595/n3y+hl
Rx2MIbufFU+bl4rmHIQf7M7WNck+36aTico2LNUbZPHQqESDQsZlmMajZ2wK3XDq8yLtsvjMsZu4
WQdTRP9GSZcpQoKgP8djFSq/bEUGiLYK2g4IWLwUlr6f3SSwe6p+3XqbmM7Q7+t2pIIohjXRrw0v
qcu15nSztStkUvWo3Sa9XHeOQ7cpwuWFd2/bQkGEyniu7wpR5M7VRKA/v2Jll+2RIqSXlqyDUcRg
ESzC3aQM4PBA7VG9m73O77d165UP5Ow8LnlFgxIkGvZ1Tgml0a8jvFUD9eII2Sxano34xKxRoPzk
zVbZrUv01VctKfNxi/gReg8jPQMbhBrLlW3LpUrCKdNabuWL95TPbjrtp7IebkdPl8FGpn6fk/Yf
XEo5qg5RxaGetOyCzva4ReFhiuWdZ42In7m1zScg6sBPoRq8dEfCJO+v+MousYpoJYPgpv47vOjG
+C9N7UMbnoxlTm/0tiCpUXSNdK4tJg/1xsVJzz1dKx9+v5I//GC6OcmUEsqmG/r9cul8EZfDYPW0
aSICsQ4cULdk6+Jki+y8RAw4JayAg46Y85Eg9oGX+fLK9JNTKUjVLtUC6lr+kxnyKrOLzAWrCC7B
me5K1Fw+BVODAjXxjeCLN3uxifI5AjVI05nespqjpsiPHOgfvD7uCrQzYnycBoflyqAWYlvzx25b
pDp8AdlPRr/SHAMx9tox4vGm5uq7zi3QSkdOoo8+maAf1Z+4koz9wZEJhrAefb/utsAte3eLQkkZ
/YA0ba/SdqQiK+x8oxWbmmTQsfNIhaYOth0XPFXApNJ0fPj7kRd53lfTHIC2dvpSR3q0ndT9xwj2
ZEfLXYDQEpLDVByLbYxkSrFrBw34NYdl1J4JCNDifzEW9HZQ+EgNNy7tgRubtaJGKXRssQOicihQ
Cernwi+Dc2lqWv08NMjOKC2v/sjsH/pNlGlQ9kLtNJW4Pv0FBwOx1KgYNQ4nIQJ1I6luUm/3TW22
92MNuXSVj7IuVg2c0QUpSVfLXuMaAJfiZ/HBde8lEfV+IkgkWvgFbAAy1IfxoHQxUiS+63abz10R
9CguyWEz5F7qrVEky1eGnutBEWZmjQiB9B3tisxEfob68DLuKdayriieCkZklWVDT+3cDu7275oH
NTykPG3STSrz+X6p9I3f10iv84RpOk/rPHf9+TONw9ppEERG+1kbc4WC8Cnp/v0HfzQ2XNUpSfGw
D6oU8v0n22Xi9QE56i0YBHnfx10yrzM2U7RyjdIt1hXa1p/yoLMQOMoK96wP3OrcNWLzRi8JscVg
u4WTnDsCNL3ZD5F/5PD6wKtDUgh1wNfSVooB3z9gjdAu+dNIbpEJzL8PVpI1oTNXyDojQUitXOqY
2ZeUib+1kGg+LWKfyjbLQPT1yFD9akgDdRchAUkECBN+8CBgWYa6rssGeUw30VjLpZ/CUhemdqrE
fNL1PDpE4UOZtWO9j80o2WS2Hlu3R2ZMHRUHq1mVWqh7qFoth2YlqNHLkoEmtz2ifeVa5r21bLJB
Ud/olx6QA2ij4ZuQIwLamj5EX6ocP2hLaXB1kU+IAe5Y89UDqudef8zkqTE4eDbFD6fanmQm8hcH
Oz0RZU8F4CK3eCOutUkGvzjXSA9cSl2PIbg45QMil9WDhqIUknwwJMyQyolqZwhAGE0q5/SIzTtg
XqqUFbYHaTfUHV6C+wePhOKioAmA4fLH1qI8A/mjhyhobaR/DGR/wgW9qx09Jek3fyymi2hB0wzd
UJ3re0WRh48L1zF8A8ZZrsTkITpmV9m86XJQFaulLNGv7c0gOvbcv5weHJRIzqiZdmkHOYwOmfPS
AqB0QY2Mbm2BsCzHMn3ojb5Ej79oZ++2m6Z6Qg0qBgffjJkP2tKqp+YLcnQQa8zS0uZjpTYHRTBq
NPHDqcpDBIBN+QsY1Ua9XbNcGI4tGvuehvA3FUXgl0zpp1dmVPjuvu9bTeN0n/ELHwuxeMPtMipJ
vo1Hn0LWbSfbrsTd73fFS0rt3cojoMpJS/qE2VYlru/NROUmCy1rerRxtKpBStTiRkfk04qHfEQJ
yxsc+0SYcwITc/CmMn+qdHMkejBDu0C7uUaF9ynTayIaWa7nl/zc5JzUBvpg5zV4G3s/U93ROGGk
Tdl0Ygdtpv9J1YLko2Trgzc5cmj94rf4CNWoGjGyu0rV4eBEmJcgJXirB5vF59dvRYpO85nWVVGz
AafVpCKkFC5CYRed9upIuoHix/f72GYMSTiQrcfM4DAc9pxGZjNZGJNsN9dyyoIrwDcLgxWM2sQf
GXcsAWJLC8Zh+ppag+0NpznHgURceMmqK1eObvdlfIkZZRbonx9olYysE5RkVJCsTwsx0cakT7Ge
oeHUxVO/IzHca/WJmWO7H6dqEtkPi/L84j7WxeJ8ySTnMZwHcmHo0sXoTvAAuqR1yCi5ikV3JbCR
qFuh9FctjxZ1ZpRlBXlhMzXtkgVUGoNMRXyMhsaOX0sLd5NpHXyUYOZbxlLost7qEHGLYKf3Wc6P
z3OTE9zCXqqPjoBN8pWP0Errr0svUIvJ4F7VB5sU4VqWDvXcxKdQnlUxsSmzY4KFVoRGbIpOnlaz
WKgartzpthw8d5zWdasP89e+bOfukyHi2aj2Nkl2fhhkB1+TW0WVydpFg6ZlE+r0gYliJJYccsiY
wCQtQDBVyI2uu0TL2wzRwoiRW/cAVPm3mj4A97Jx0kT9Hdc7w6EroAza5TS3u8WLtx6DPRVXWumC
CrzRAkBA+i6TcDAEmqt2FGUSgXundtT8UFDkno2ayQ671o0B7/ny7WlTyUIytssyecTgkNh0nCR0
uXeb2mrp3XR5jGZCLd7KXxI0y8Ksclp2Z9QIg1dmGRWjONMROc2fHPBlrQbw1uRquo37zIj7vSF6
YGVcV62AoZ+sTGfMkXHJGFhqyhf65aem442HpMuWR0IGLTs8d+vsRxCjmzuG9dveF2PCpOdtqar2
okqqDfz2lZiXgQHy0rnk7V1TBuLRjBGAvPVbq1geB2i23WXgRvEPl9RA+wCrZKyfkK/Sp3NgUSXS
/lwl+0hfS2NJ6KFLxyBhLvtcUx86JdRpWis3qrwnWzpSuwG4pCKY1ASr2Wr6HEsOAEd3HlyTwCul
1fMwrvsqmftH1ywyHrl4fXJUzmfxBDm5Qka1yXJcjpvaHCG97TpNN9oIEWYEf2dEaD2fXdEJIEsR
aaGYwFHo+7F0L4NgSQPr1BxnFTHNx5iE6l4HVdAVF6YIqLRFsaZp57Asi0KczZ3hilQR+8b2eqCb
z602aaojkhRCP1imcwk1BjFbIn+LhH0MPWfYxY1jYRUSSjICZ+VXnCz3kNMb8Wg0dGqGkIKwQCFQ
K5o3Q8+Ex/d1EWjiItXLXsLppa5hyZdVVg8jvCouS7zj1pOpYGvRf+AMt3qBKBOntSPz5bH2u4qx
HkGqLI+Ivqhvs+kHZW8ntiOM+to30oUlWNDBy18adhrX1iZ1u9zVLgsvEOntUiMxitRzRcvISRbF
HYvNc/KKxUajv/oDPIniILUaSv8/XneZ1Q3qh2wuz+xbcyENnN4tFhKjQUiwsc6f+jJLeE4nSWf2
CiZGTTqdnI0ya6JhrWYNZMvPhhY18oRaanv4OmD6LIRBR1EEJxk9MdFtNZglIcOcEw/d2pra72cl
fIh4Nzqgal9MTo3tjNGUQpMaxjTY61VdDuq0G2Mf4EyfEUO8AdrSpI8ksPV8Z0iCxn4YJEQY59C2
xJzdYQGH4NaYrYV/8XJryaBS4u6K80hyB5Krt3la6FXhSfhuHdNeTgMH/usLp0nuBUPopMYYXPRz
J8n/FbZiAHdT3H9qcrp5jLVjjSQG22KuJkBSUtRLtTHGuq83dswa+hN1SaldGA1C/NWWtKHf3HTg
sbITmjvdREccvBfTqu0X7QxF9nhI1j5UxvJkiEmbXTaEXcllwYHpsk1TaEAVQkepVD/aMSVHMM2y
kkDt25awIoeJestpMH6gGkNgdjHQLqrI0JWki6URUL/mRu2jseuX+QxR2Y4vIoFETR72saeOSn/w
jfms89Imf6KjWC3DqeqlcxrnrTMPW4gmZXDbSbvlR0m9TMwpUXqV1xiRpGZAS6cTDjQEmG4ldMpm
6VxCyZ4U51aPKuA5CxauSjM1hoHOU0HkpmWZ+P4etidixCt7zMj6rhI3VTaubjuTY87iLEIssQrs
tiCK+nqw4Vw4VIijwN7GLWHKxkiuCzlF47dloXrIpG32xVeizFqZ67ezPC+yCAez0ka1j1COtfj9
7H2VIXo7frNEKEfh7ZAwIydmazaGrdylV8fL6Vx1Xg2VJfkxr3OVEQctq/aEvhjqLKYfWh2q1diq
87OK4pTpKpBhVENle2rrv516wjIpi16R341S81+5OldLlN30wF1BnJ6rUeHVGXUwU85rkqioxpff
3JlqRwViUushdmaVeKp8+C3w+wodJ6YrR9rR1k4FrExbIX3FlnXcJGnj21mPFjQ/My2SaJSPOoC1
LTCGnALtxob3RxDU12KsLY3byi8lPz7xwjSeBNW8btmDvrXPIr4WZ10nGwzEpNmCH/BIGXCG6J1D
0mulR63yKYzXoy/3SrVu8GvU1ksr29VQbzHzl1Te6ycAh6psZ02dLiICG0Th1QHqxGWe6zu0ueuY
m6Er1PFUSseV3UNuNlpdPDZNr4xVEKWann1NzEiNuly8BnO56qciEiX38GUeG+OyL00YxDtn6NQy
tyg3xkS21URcZyssSu6My3nIDSZdB/7GW+BRFwxkzZK2T2p09Rfj2pRF2WRPSyWtxriKKzAY4kyk
g6NrRoiUML+9CpdOx/cDkmEMLyNVJZ76fJCXpENTzW1l8fjmFhhpnnbf6haO0sOsIUV01tlR0qlA
NRon88ouO2WG0fNP1UPXtvIJLVUh0a3cxLbIoaZZwrGf9qJjkLvZzZmON98jNRv0zlbSsNVLlkmA
R3w3NtIdbtG8jZnMISirCKZaoX5h1JQ9r+P0vWATUU2gTbhWSNu3CGeZIQZD2ABQTStQqwLZapW8
TKWlHu3tV3glzq44bepO8GiO1XZ855y0JVtEkwkkp9BAuN7zKRrOZDNcwENS67lqhZq6ONDVLnor
CKmT0uWxrNLCD7DS4eXjqIbgV+aEPkiXOFJU2Y+mTRpprvHw48VTK0S9ZobSf7usx6zPzTOafVqI
CaGe5jp17Rakq0v8fpE+eoPWVJ+DJPLlsxfweaveqHSqcsHG1dVnuy508voyU23Xoa4jaTicGFNd
8MZl4bQwdG08z3VGqif/lCW6bIxwKtOFGhdUihwXNFPbBv21yJdl/iQrYYF3hGO3NOh1N7mJGzZI
ZgaoaJdz7QjzwBFpDpGA1oUekNzoJ8XDFM8mf5RLU0KRhfBZoIXk5RCjAorZh3LayIkkE6Q3CkZm
uc4LFtQ1v9chdJFAdKv+TKmm7pqVTMwlkiFjk3vGeTf4IqtvEe6Gx7MN9GJAt8UO8olC9hpZAANj
l8bOjWEQsFLyqK36fD12/SnbSE2or+wC3ZIToJt5qW1K0+zLq7odUt0/mSQ8zGXve3NXWeTjl8Qy
NkvbgJ1YSZsuLGNLbjCaOSOrTKBB2gqdZ0PQnMqENAymxSD7U6KWqzUXzVSphTKyvJXFQxJ6uI1e
veY3k12nZkBZDL6NVmCJXVfZeNI5FMdvOj+bs6e2rZ2kCsuoRUB9A26oKO+ycq6BHzto1zhh4tDU
/QlKqs/Mjj0dUF3YBzTezhcd/Fs3dDRPwTwMrXYQnfG9dOz8T/5isG7cNKLRmMS6kToXptMrd7UU
jbq2Wa+HXEYLLdsRwtnMKwDDVd9S6bHt5yHICq0r1qRi1aWMC0iLyXi9mzoNbDLOp1an6qGh3H+4
zarJWqbrKJrsdsuiVSxlFgrO5PJyPcmC7OVcKPiZs7621FlvzYRFgAxb6qZr2rE6vV3MWp+ug9mM
BDRL0wZZd/lmLijCqDgR+rpWVh/HL2qMaSXIYiYNDZwt+ORb7onRYIQu2LoKDKEBUkCsG29Qpn1u
NeVjZn6pDmDPj9mp2CsPy56Mjhl1XyMYbkW3dkX+4pNGpRqWt3oJ3RVcs6zYVwbPH3uPM4OuY94w
qPuBMTWrWhWLZCVkNthRvZ01+YkLDGL2d+AU6mkjer2SN1ZnSZO57hk2rAarxtGjHACQY9TAZ/91
jFduNmEjZ8d9GZfXa4yCaxkS/rDbVmtoWvD7yBDBK7nUl4BVtlpQEuenLEER14n5apZT/FYuSK+O
cxcjp/7UaJYqyKloScaela8mr0uKAH/m7XCNgEwwIbmvaUUKvANmZAsJyl9Yw/Wr55N2oJbEGrk6
5SqYPqwA7lGv7nocleo6iMTry4WCYk+HfL2lQg3GNKmTzu/TngPCbw3laIFOhnW3KVJQVWdjPUez
+XUGrjiioMoAT+OaFeIHd7otO0HnJyWs8XMPkDa6C6AJ5SdLCuh+WQ0ZQEHkdVg/Jey6RNozvA1Z
G80JIbrcfyZMoN9LEcnpazKiQjGtk5hp3NnlAMzLHOJofgRIQ5fz4i7WQmU4iKh7XKtFartWQZOh
/RJ+BPfW5NCwkFjINP0LlB+j2sBvBlpOcJkyXUSvDZqN61BCChe3AGIWF95jYaX+CXFvDYxIsMxz
vunEZD8ZUTGZp1rVyexbBpKPbMIivB1Cuejg72mGGtzTpRu04a4kIxddDXGq9iVdsBmDPkkcvB/R
MmRxsHZbAM5rm5IVuuyyIkdHeRZYrG7dlkgEW2uOSTtKL9TVLNrpxoSeNTEyRg7nkRp2UOXkG43i
3EmgsHx7u3G9edm4AcrreQ0SvN5XNCtSB67dJ9wq46DGgfcsLu/Vmi4PCuhWCdRhFmX7elGPeV+x
fl3/06sPZb7uKpgihBtHokcsj5Tiy/zp9cqdA3Zhjbz5uW9bwnMG5VZLnd55tDutTupfCBvU3+Qw
p4AjgWSo0BTqBDXaw47Xo8IemtQCDRht02eFrZNueHNHlGudZlJZizZfmuy8I0SWXQnTV+jYUtNF
ufeGxYWeBMZSmQxiuuoepHFB4OMDu57Y/LkAYcBlJgID8aOWuSFxQXsjyCmOjJhhOh7nOmLP5Glv
xD+wSwWma6lnI9jkcoLrsOJWNhb3bCk3caFrzI2OUrxDpchpZEN4v2QC6/EyztH8ckEDWotO+MSV
i76h+nJqn60g6NtnfIk++5b4UmaPaRboLMO2mbvsW5dpxliEHfSJNue8cBu7X/WLru5T6Tyquicg
r9X8tR5LFf6CklK7zxklJGm2i9py4PvsWVdGUI8nZb9FPegGq/wleOSRyxcNpVNUOGaQiWo1HJWc
UH8KGzwGfCOZOnwxtH7jXnZWpE6CyTArpurNhrHjfMITSTtYeDipISFyg5SJgiw0nEYrymtJKpIJ
c1/PoV63Sh6neHXnG91Stw1IOcp8BcaCL+poJptiDXYSkPH6X4e0Cjox7CJXayA3HMIg7kgDWbOb
HZ3SRYKmfm2eV45Qiy+VumC+yx6POgqBy6qABkpJqCSsIzJ7Qq4mzxr6bO06U8TCnN6KBwkCF4Gi
tQFwWYvFAMUYmn2Q1wDIXmMApV4RMUEFg0u0Jif2T1ShcerCWujm7tTvhkH/tNQpEXcKLWv30ktr
k2HzQQGP97Ft9MP925mqV/VL8HSk0HPeRBBR52+RHUuj31gUc6lBi+eesR7Ji/DauNxqmKJk0rDM
ms4uh5cUzy2NHLWlTs3GQIeeUxMmAdkaTzNLBkNPG6PtQhS2ih46XGBFUNhJzwOwOXsLA5CMVZ4G
AYgc49C8xfKIw+I5dJ2njMjbZTEeopYrRdm75UJZSQWyw1mncphYwN0wu/POo+fbx02e5whz0rTO
qKJDcUtE7CQ165F5MdCGcbqQ0Kgfm2E+ZOqPyhc8E8E86dgVayiBxxGqBhVeIdZQusihPVTMeyos
9YWWVDBFLlIvHej/Bo37ElFL88Gzzhl3ARSxI973vKTIjuB7GdNyaScmPKWVFfjjZH56Sc/8rdaC
e1Hy33+rn/lO5JGLYtK91L3/9dXuWVw+lc/tb7/pIv1OxZb40R1+17vf3P6/l3+mQmD91D29+2JT
dWk33/TPzXz73PbF61O8fef/7z/+1/PLb7mf6+d//uO74k2o3xanoqJv4OWfTv/85z+o8f8pj6We
5O0f1Wv+8x/XT83T9+fiv05b1X7Q/vKTrw0I1NP/gf8SmFQxuDRiq+qA1/4Dg9YEg7ZinwIfUoWB
Y/27/cDw/qCAj/LnwFeltLTC/Lv9wHD+QMGPHlDKSRGlpozt7/QfvNTg/ZV500hSkfJV2ar3GTeN
QIzII2ANTpNdZlCx8Rz2eadf5sJekwg4HSztc+5Vl5MDLa2xEnyZeJ1a8YkB9y8crfp7NUUrYFdH
stAvCtQfPdFBr9jkdKYYoWbts1rf+5qM14CPYlqNyuqM44+60MZnY6lr6tyd+w5EROJvelgu/Z8y
Mx+l35mryV72xmA82Z6kNUCD1em1pgMWzyu3RlXce3CtQbzOYjUtWb5yRXZLGZu4NSCkhVGp74s+
/WJby35ZxP1SZpc8+SPJXCqzp2Y8qYo2PoEB5pDYEx3AWB6wt5dnh86MGCEt0BHXRAvvE724l/BU
PLhIYdJC0hqd7LM1pulKasb3sdEfqcAD5ljod7NDTzI4HH5T514RsztS+fCStv9oQA+SqkZXu1on
p2EfEDMJB0no2OCdY0XvDUYjRH1u7cKH71OgZ1F9PtfZF7BfpyKG3GZPipva7lDeMdGEFCdl7D6T
iwrL4WvvGQQOp+suc7S1zwVx61cj2Mq4ztdopdNFm5nDppkprx+XoV/n9sSVQIKGKmz33jMqQkLe
cCOld/rT/vugVuilN/iDVz1U43anjoy/Fgz7ORqviwIWUZXduI11wSCfdKR4wsGGTZs4kfcJHHwf
zt74xU6LbDMscRc6nTxBh3pLBf5dNha4+uZ3OvGjHbeMGAtffLYoHA9Z7NUNPevXfSyX8Mijs9l/
Kr7490Y8LB7KBfcGPHe5b6L4ZF5G5Ij3qW6uA64ENNyinh/d+lTyxlkSekHxZXD1R3KgwOuSdd6M
6xp41wrvGq9ESi7KLFpUJYxzpAVXgSdu42k8kq1/6dn/aJRV1vunYsSkqhMn95KGIoF+ZYCVrGIc
lyFazwMd/WQFvjcOy8cX96hH3SEvNqyiJNZP7MFdNaI+L9kq4dR4R4qMVA3kR49zUBviZmx0h474
PXoTIQo9odOzs6ZjE/O+KuaviTkovaySwM1ivWn28KfOZSHP2477unSXjpYVM1ihgdytEt1FCsI2
dlXPak8SZDgLs7yLS+IkmZ5ckX46g/0KT7DIdxa4Uhoe0i96kd8ZZnsiMu/598vofeHBXw+rSgJ+
mhovz5tpFqLZT1XBneuZBoxQabo6yPIW3t9snv/rY9Qi/uljCGa2XIh6SUp3PMXFpqeoZHzi3UCW
yTYI1ENs7m1awajF+/2bvUhVfjTNBydVVMUEo4tK7sFA3tmzf0bMkZu1DWyUGtAfNF9F62aetAdI
v6t0zk4y19lOprasuWsSpqKwHFkEnDKcpc8Z9xGuIMO3QIzYMn9uuJL55bFn/U/TcHCGuc6sudHs
1/tuHL6Q/+WmlwZcSux+CX17MXHfC5QEgwfTbLeg6SYAc+UnbiQG6ruQITleNrPefSYZzf2AWKwx
rssgWo+2s8oT0vdT+l2m5u0410uIz6Gva0PbtOUxBtJBs9JfE3xwZhBckSPhc7lfUuoRctzVtnKJ
bLv3+mJ+csZuLemZLW0I4xTqw8bdAsYNe4ougXBcAHVcAX680aY2XMz+dhT6Wdl63zG0J1GZxpDa
pH5kf77ISX6wLg5V4iuSbXMZBXKftZq90nrTP1+6Gs2ePB0ug3FxN+Tl6KECI0cGYqqJg+S3gsje
FTXLbliS/w+9QU9XeQwkvjTr0IlIMFRRaVEe1rYnIOcekM15RLzqYSazHdCAQpy12PVt+qS3RoIn
klqrdNIFXQPzmV96PbcuGyj9MQHeA8rRv+fjEBMVSSpYSDrUezNLIA+nZ64b7Us3eB4c40RU/WXe
fGa6zpzF2tpNd4bu5rYqKu2ID/EiafXRIB+Y/Mrvmt5kZe5zUeirYoGRSedpDIS4Ta6hca8C9FGB
x5UGt7bxG80t32tNUpfTe4Ljymp2aAOEuj/H62J2lN70n1M5cdV2DLKiLYQ7m76eeFXDMg8TZEJV
WumG0Kp9QoOFV7rkdpoz+sfObNDa1O4l47pKfGcT+DLYVr15Tlgl3wVafFJE5tNCdg7XbFByQDkF
SxrelK4vDwswaau1JqV5WYSR1G9FY47bIWm+OlFGEZgTXTszrXaW0C5hXjzkhfcpsfIvA0Y8tAtx
XsbWSZ3Em2l0m61M7C9HrJvaWB8N8MEh5ukER0nx93t9wqFtY3nfDsiw1YNdh72lo+iSmN3WaiwR
an1nhQV6zxuKUOI1J3G+RT4Q2nRuPwUJXO+0tsst2NhkE3V07o4TjHiYqEd23EufxUfPenAiApag
Z4/09T6yk0suqN5wadXVtW0VZ21DXs/unb0zeuZ6oq2nwS/wDbIKqBrRV9mv2rjYTSWBmmT5QVT8
Kp++0Ht34al2O4jftS9P6slbjakbtsQhmoX+GzvmXSM4wA0ujrsmUkKg5CvNLifgPo3V7KFj7npn
Ai02d4DkDBdcM28Kl6q/OdS083L4cwLCHrvkV4Fc/y/n7OCwjRbsXDIOzd7RAntHr3ZxT+2Pt+6M
Jj01/MZbRX7qh8jTLyvh+sCVMdTwPmEMOMtTqjUxiuuLDNOyKiA2S29tSeIKhjmUoWUn9kk7T8ux
h/0PbsyhEpg2Uz4ex2W3z8rcMVcCUtZp6mbzRVQlEb6yf0XrzP9Qd2bLceNal34i/gEQIEDeZiaT
kizJkiVbZd8wbJeLI0hwAKen/1f6dNeRUE5nFKJv+tZVASFBbAwba39rPrSnACTMyD1vS+REovaW
I530YWgKNeD9Jy8ewqI0T7MKIQrbeH8XTSCPh02LLCySf3vEbBmL4cJ55ifX5Vdzzdr1VzwJFV4Q
tTdDQEZ4qaK8qIJm4go5WbyORXpDIkmPMXxI5sPK2/kAwFO4EwbWvyrrbsut+CC79L026xUeNPK9
DnBm1nWZx4sRfD+RNNgVIBjjFbUc47qW9VGgWmzn+yV8RvFcu+sqCWEKLT6bKHsYW5XtISfjV41X
VVfM7/xd50GaU+f4Dx1V2NrxDLXTI/hxQN1+CFIc+k6nxhQ1x4e8Gq6mtf4c9vlDMVNg32t1hyi6
7tLsHhqFuEzlVuykyXWcMYKqQMEHFApXFeLodKoHfxYFJuIFpd04VMs2i6cQn8mv6zmWc8iOF6b2
udliHWBoV8FGGJKsm9QbMV4al4kB6jTsewpy1WkEzyTLumqPlPqPhfswQvf0hqeUQcdRA8Zny4Yg
7lr6QofgptrY41SyW7blMC3uGMrk/OmWN81+bRi9sEWdu5X8LEF4dSZtZ91wmE7XN1UVvuAt98u4
4BsEZM4OcK9/AH3pBXDFF5hnv1/qYUzqtsdKKWCQszXwi+v84mFQ9OtaFh9+P4jnemTXzzIsufki
G2QyOlq8p2tJsPxM/viUsuYq98T8KYBN6AGm90EMbR09FGUzX9Wdd9PzFoY0WGACfbLUoHdZuhVJ
b9LsQlydy/vYtAB/WgGaHglKHE6vxnCTjnZQI2QJqyHxxiFqua4aPHF44v2Y4dq8RSPBO19AIP+m
036pF/4+Ny05erOBEpgSlIBhIu4ujNyZ3dBmodOtKUJt6HTT8Ora32gy45GNeOGdDKHpRKiHZjuC
CbFXNH+88DdPO+0vVhrbOEehDoX69TrfpAUFRxZPUQry16II30H8cAATOBmi6NAF8gCRHBzo048D
3qv8Yu2QQcnEAa9zD2E+XlBxW5UPf5/4bC4ZPnowd5QueOeZPsJlSeyhTQRBocKz9slRuxqQR8Gb
2Q/lgRGPVYLl7RPHrX+Pp7ogZiMqsFD/+R1qErPzoMmB38YFUsjPAv5fDdU/Nz6iQdswNyYX+SmH
k33BS2oOLuipLG6Ck7GPHD/eYNixKKZ3FbJh9TB8gV/rLUhaEyqeGbmaQviFI2NQ3OB0OT+OmSgO
jNYfgonFeJr8LCUudABTxE13qZrSqjP476Ba99a09gCPgtb7hnbTx2CMwhju5Ltl9MKd7tVnWo1f
5gwbBF/5DefjV4n1eZfpFPoHk9/DrPtuKFBtyI1koFdgvmMQ8KDYFT8gdbqEl7Vqz//bS2vPE9rb
cm8OoJOls9pFpLyj3VLtC9L8yToUa7E2e4+S9XyHR+DbkLe3tMV2h+pR9Eyhe1hhn7cQG1aXvsge
hzMzHzztj8nPSPl//Rzw/1Wm/3QsOs8YuoYM6Oub/P7p//9Pfj+S4AvBgSAA4gylHrAK/b/5fREi
vY+8PurMUQjiAz30d36fBf9zsq2F/diJk3EqMf07vy/+50SYxzvNyaIbzsuoVPsXfKFTRNqRisdO
mzA+pEsKoVkkrnKKcuX3w3Qh53auXauwJfKLCRCVRcZjkNf5Dtqt9SX3xXJhhTnXvHXdLKVXrfPS
yBjCtb7/MIuNZM/ZsrV/vfp8D/8ZgNcMoV+t9adhOf37q7NCpLYKxeypiCM/GLZHTcHI2YG7EdAd
WGE4xOEuPabH3/+xcz8mePvHBtRElnPWiHgZUN66C/Ei3O/aVYRfft/+r5JNpx9z+ruvfoyMOqLL
aBWxgdDsjtKZq6eZlETcrtA+LwnsZAVkYmunLxxszv0gaxXVIdET6m1EPNWRXG7a3ECvyweTFxcu
K2+LNf+zAJ5+kbUAhngDJqNhQTxXg5xvxMqArdTV4KNEtcpL/46aylTg6HXNKsHsgfzlSJp8ulj8
/avzx6kDCMvXQ4pz/1AFA45lMLabuj2cVBPAfFAjwKCe2XXZjBuaWaV3287IJsXGb9uw2XlZ6KsL
HKVzY2wl4OpsVVMdzBgCIJ/2rG9hoD0XF97YzjQuT+P+asa0iNQ5XMcghtmA/IO0K+rQIBW4wCw4
17q1NtRhCWkA64MY1c7FD8gU2tvGK6pLlnDnmrfWBhCsA93lQRDXo5w+0bnjuwXACreVx65y74GS
0FAzBJBBedsWk8VDtbbQKJPc/z5az3XfWg38JaPhWpdYDVrAR/aQ+C2wee4QSge3P3D6w68+LtST
XtPC3Ddp2lWKh6EY8vGTGkfvwtp57gdY0T+ExJB5CcJka+mpAIB7/W4pquHfmWP8HfzSCv6orXht
fLjPQu6wqSOk6XqK63lFbXZXgIR14TucxvsXO6O0QpwB3QLCpCeTcTT+eNWcvHdi3ATrJdbFOF/i
Gp0bLSuOu3ZC5d+iwkT71fZc9Wv+vgEL8Pn33/rMj7CdemcIkemMY0fie0sR10MPZUjG17Z7qYKw
Wi4M1ZnfYDM/UQcJiavUYdLXfL321EbeRxnt/51R+N8f3PZ2bFNUUmFwRGJkB90p1Jv8s0DZ24XN
5Fzvrb3eTLKFn4cQyVTjC4x1pmJuPPnvLBr+23srnk3BGoB5UGHOh6nCN1hRRryDrLi49DJ8rv+n
f38Vz1XkARSwYPQjiirRa02DZo77Um7zw+8n0bk/YAW09Fc2UA8qhGjIIfgPh+FhKQDZ2f2++dM4
/yLQbPc0FU3QPKCeKoExbZd+kEp15hPrtojcjF4eycc1a9klM7Vzv8WKalhWoEwLvKdEMz4WV+MG
wSqsb9VM3LZOm7Sx4LovRr+HZeeQaX49KH8KUaXJ+0t782mX/MVw2c6ja4bHZgUOQNKlq+4PZQbe
9oPyILgFNjJVFRzO/LX5o1Yh+wI43dxc//4zWaiOvyfyPxzhlwz5xG3GuluHSPzl3pBKnOyrCMc6
XNBLvOY2KMudkEEXWh3hEZLJg+Aza58mMopLFIozX9B2BF9TAduwyoP5uPTMATo4mYSyZhcmo4VA
+O+vtFYDqCWXokNRcMLISeC90XQaYxhMbTUMXplc30OU2f6lPT7DDnULm+B+gbFAc+ejuL/8I6xA
p7nQlXM/1Fo4wqZEhedc8ERLELf3Yot+6AXVVm6LdnD6s6+WjbpnIImD95agEGxOspFyeHbBGu3P
30+Xc723Fg1DexGiqIdDkL6EnwNspfcDgFtua7aNi+lAwyg9T0Yw8sBNBvnFUG14we/X4UIYn4sy
a50YwCgJoOQKE2g5Uv8avp49+bZoiojL/Zy0u6YwWu38Tejsu1anKgO3cbPOA2xGKRmK80QiQhh/
7nTnQyGyGu45bhfcOttvfKs6iIZljDJVGot1yg6baC89BJ/57DZ6DZU0pCm7ZUsGQIaSrZHlTqD0
5cIadK5162gPUHfuLdgaktIvoEQcaQnhdPvvHE/+Dn1uhT5uPS2qxmG26+PeuCM5fWkyfunUeq7r
VjRTlGhB3ZahQAPVXCiTbgjOAh3cAd3mjQ0NzUsDlXC/bomXqgh1IUt1SOErnTjNSm5FM9NToMcK
rYMyByYFk8MObyGXKD7nxsY60YeNj6d4ic/qobJnX+HlGBVRkruto9wK5RIObGROhy3BI0t9HKIm
2wMTsx1/PzKn7/eL7fgfRJo0gAsU9eYEtas/cO2spiMfK90k4yz/nfvn3xOTWSHLkEBvyiqdE4bA
/QDHsjKmoPK6XcdtL8cRRREcKpg5aXkgrsMoMIdybRyXG9t2k46qRhFWCffVoebvilrJOw0Uye8H
/8zEsUFU2KjTqqJsTLq2RK1lH/jDXsKMNz+4tW8FbQCmS+XhkS3WDViX1ZiNtwZ1MW5BxU6/6tUO
jPyoN6HMbTz2BiYvT2wmYf0+6EM8mbh134palBMCnzr5C46EZtujsOrzGq3NhYl/buytoA1KrwK4
LJ3iroYqjQ0GD92o5XHsuhW0TINOl5YhHO4b73Pv43zXgPbq+FmtPbYCjdfzBvF/us59vNGjzNWx
67bGmEHjbcKcTtBOI2nsn1rHw6Br66cDy6tJU5FJpwCITjGATfnehJXBs6tfug27b22wYKeELajR
aJ37P7qC10fU7Tlmtnxrf4U9Th0W8L+Now1gTEBYQKatxOJ2NrDtoJaRAa65VlMcjOmMEq0JlfIa
RUJOoWSjylWufZSeExM309bs5rz4AfI6dRx1K06HrYdrbz4bWAtCWgYh3GcPpdeOjftvJwz0Kz1b
Ub4Uy45ApbkUXwFRGRwbt8K0G6KlxEnYxKWIgIIqi3pnev+SsdiZJcY2WJIMHjgosEXXI0PvBjyP
PKQQ2bs9Udm60MVwH4KQCL5vFJVIEHkAd37w8NQ7uM0ZW5Ppd0ukwM2fkpWrpt95TAeJnv3xu9OU
/KnceLUS0AL8tnZR2FkhHULtxkBRCwpkoVvrVrCaPtUsWwEEGyP2hZb+48DZo1vT1q66DCuYAas3
wn3Iu8fy+Hn1pWOu0HYrjGAijroROSblnAPJlQfPqF66RNg9Mx9tiVxTDV4PR2aYexdjgQJOeSv9
7pJO+VzjVpziWXjWwxJ6cVMvfxYrffEDdUErcq5pK0rDYs7gtQCzFTQ7jFBcD6jVXQeWuS29trJq
yiB+AGcPzA+YS//BR6wDYH1t1O2kYcukgOqDj0EKBz7QILYD4Jzf8kJfcn04Mza2zgkCzE5OBQz2
grVf90ppdL269PJ6rnFrO40awQvtqTEB6Si6CwFDuKu9VL84xZEtSPJHf+zB+cB0zCFAYWr+Q4aF
2ye11UUboERlmlcm6SG32dFw+Vx3oVs+mZxG69XCxWe+zAVD2zDSeuZmvYM7w53bkFg7aTunKKRh
2RiT1PP2XpneFhtxzA8QK0Ip1Vpu4CLGJ6cHtUqoNNfaba8gVoh6gDpgNceY1HnzCJzWMVW520pO
rNMuB06ALUjgx+02XfWz/44HTjsoeKxvPyRkiSOKjHG3Eyq7DdslafrU6ZkV2pi3TRf1CEC5Qae1
+ojSwH0pP7nMEGpbXtRR2eutwkfkefWtX6JHcAmc1imodt722XRTtayzGJN1KOnzto5+Uhp2qUzz
12sJBENvW2dNujRlEY0JkJrNzm+qK8BO/3AbFCsiq7oYTlaQXhwUON16RHyFI6rbxgY367cdx8RG
vSHBlpwXAtSYgXsH+N9MToEDN6m3rYfDJEceTF7ciae+PYTIYruNiRWReQYWS5evYwJnFLCM2KAh
TRbPbo1bMQmoVrauTTrENNdXc423/Y6Vl/w7z8wUW9PVG3DmvBqNh3XwwIz+XvCLtojn2rbiEhK1
lXRhBMcoxR4CtL0YIKacBiW0dks6FzCMWijSxj4jtwbAsJuOL+Lg1roVnfmAwl6cZzFRApBINlJ+
rEXudMCitlf7EhkOrhYif0HJeblHKa4AYOjkSOC2tNgSLsBNeIq3mjHJuP7qzdMLHh8+uo2LFZ4T
Y6QXDONiTBYcOlMVOxb6lyquz80XKzz7fJLIRy/o+LI8QA9+s6BMwXG+WBFaKtiwy5wNSVixuxqC
wxgEBd9xxK0INVkPzaWZxoTo+pEDPVL2udMhBTa0b5esHuzyNWNqSHwfhTYg9Pd7ysu/nD6ntAJ0
xYvCEKoR9ra1+JwNy00hgye3pq34BHo5rULfA28GKDdYIsju2KjSTYZBbWEV+AFNBIc/eIZHZDs0
W3svGajEbl23Nk+j/aHK6dwnLbQ2qAc2vffOm8j6wa350+x/daKdQZogqN3FF53WPwec4Jbhkn3j
mQCSVniO2HhyoFyGpBLZh0Xra6KU4zy0YhMuHpUoa7i0b1OXx9MMhyCvbr67DYkVnMXGUdgElhDM
bDUg7Ou9Ci8dO08f7Z9PLtR2cJ495IMnLfskVxOgI70U5R3IRmBnlL65VE5+Ztxt5RQKJ5amaoM+
qQv2pc75i6erZ6ehseVSKAMeaiHTHvE/odwLoMIdnbjbUx211VKZnwdFz3x0nNMXNaF8iXv6k1vP
xdt5jrpbXfUgXSWBX/A53phZOahFdX7JSercqFtxyvMsC01YY0ou3mOh/Oeic7uLU9tpowbGCxdm
NA1bzceRFO/B93B6hqI/axNfhX8NOJsCxa1PWKr8xAv98RFuV4WT0pfa+igftefBBER7kpJt3a19
lzDuqE4DeOjtF1UL6vcW4F+TZgJKjUzy2J1QgG7TxdpDx54bwyMMOZbHd9MKjGywuMWQrYICr7AG
IDLrE5lmzU6Czx31hdu7GbWVTiDj92Txqx5+NdMDo91tT0bHflt7aF/gdULMXpcMInwpaP9YV53b
Jc42xgTKVFWZLlFJj5HZRRCh77pVhXunbxlYkTmCNuyVbdTh3Sbv9r1fPRov+ujW9mk1eBU/hOCe
1QSkS7ICVba7GYmK2BBPOA6MtYWWgLmCNLkibiJgCUIjxAcAIzfHL2rvomUgUmjtumSLenDdBn6P
ndTt9ZwGVngaD0i4YGkxXUBIJUAThms15LsQvFq3HE5gxSi0wCQCGBFjn+XwtmyQPEvSlHdu7wiw
unn7bdfKAOWvUp2E3lB1+2nW6i8Tydnx0mgLjlBQTfgceTrpAX8+AD4FGsmQB263AG6Fq5RwRyYT
0SfrKH9PBETsYLE5ro+24GisocADmFEnAwD3445ufgVbzQX8Cqe44lbMLkUvwHbA2LR5CY72qD4u
NXXb82y9UQ0GGwpLDca9CfXVOpDhONdtfuXWcytkgcQFbbmedVLCjueFtEBegXmuL3ltnxaWX5wg
uRWzMKDUgQ8qaBI1KYwq4TYBs90gbUXnOPJW3OIxrmobPWHkwZq/7vvwY97Vbrl5akuOZKV8aIx7
nUg+PhXZ8DhX45PTuNtKI8CEAdCusy6RTfSlaQF/yzm/pK09M+q20KhDyjz0gLVNWF+GXyQeFa5M
pSa3KWMLjUbigcfLgjZBpEY7AenLzls9GbsNjHXyBYUcb/Q1Wg+m1YCkCdBNc0nF9PPi8ovpyKw4
7Qpgp3Tot8kkqgz2PaopsdjIAjW9mYqy6krpdX6Cf9RPOI0nkjHPu+AZJW6ye4Az9dA/RUDgXFV4
l2yvygoOESd8GJLx2dKFBKgjXnb9x7nz4dhG1g7+Q22ew+hO4GDpH2iAXHssQa02h5oiS7YHV3Zc
rk3nhWXiyyXn12lbgkpMCbIJf8Dru1yPFC7kAJLIBW3OcGXejlkX5QOq7fwNNrQ+/JoOw6RY82WR
nKcPI2wrym8DBU03CTc/Arl7we896BHV6CWZUKzfSB9AcQGvWnOVwSgruhVAQ6PL3eY/oXYVpm6+
6K91MfRbQtooXMGFrSd+mHqeBfEkZ44Udp1PfJ/VWrU4z0bRuodrBZM71QIC+25u0jK6rhkdeQI8
cjbvA1ZN19vmqfu+mQg/cDJN2w6w9nR7qmFdK91OIbbaSy3ciMqwNhFB3iLrA+++jEVu681P9tWr
ExTj6YqDZK2TXKgfKa+eUlk49ttaKye8xCy1j34HJgXhoL5JA+r0yEhPxc2vz33BBGUKRQYp8aNo
gedeBCeSmraOY2KdbHqYcooKj3ZJ5sPTaKm6v0TZux36bI1XifLWqZGkTcxq9D2qwYqrlo3KbSmz
UY/w8iGmAQIavloVvwXIuITy34yfnZYyW+PVq2yaJphTJLDkMJ/gY7IhmQ/Egtuw2yqvrilGlIlE
LXxn4JQG29bbfMvcKs2oLfI6cZwDHuo2WVudqkNL5hIweVI43nJsmRdtCrp5DDNSZMC0x/7QGMDf
vKDqDm6Dbx1sRtXNqZePbYKHqr9mzYGGgseWW9tWpGozgwG0yjbJSQQd2ThI4FQZGKt/ubVvhesU
gNcxGV/DKzXaYBbWdgxv7KHvu2kxADZ+ux4A0FNTmEXigEAo3xk5l7CeKxwPCLbeS8s5BXYXWzje
aHqQxqjYa28midPg2GKvGVCnISiaFlW1dX0j2AkkKTq4R7l9XFvtNZRNBiFTi2W4MfImbxj5gjvt
6pYK/kkoerV/wCq129SA8ypSWQvI/alJJBkv4UDPHPyodb7xWW0iAC1xmi8AwRpmkObMqJTbgmNL
vihcVQy8xtvEAy3qB1g8G0zvjXJTfgLM/XZSBj5ryrysdBIIeB1dV1FD4c81z8GFt8MzdXXAgL/9
A6htTVNRh02y1ZT1zxpYyhborsbXB9gYe88oOLv3PFjhwcYcTh1AruEyesy9IGgdv74V2CgKFnDN
wPlzXrschq2qBIBCAeNbu12jbYGYgO0D7iynlSkdafoOhE/Una3dOhK36LAlYhsx8F+b/CZhMH6A
EfBcznxXVnxyPGDZMjExbKpvfPyB1QBmlm/mBer9705Lhw2zqke1jpHZmkT3zbBfMvbXNgauHbcu
LgBQ0wFWVSrB2fZY+xW8NQe3FICtEVOeR7IZBJFk5NOwrzyOp4Z5++A2KKe15NWKBHOfPqPz1CSp
6cPY5OBrq6Bw3CqJFdQz3OAaONY1SdEv3jdYQ7LvPRCubpdFWyg2lHC+5g1VCc5a97BheVd32QWW
y5ml1NaJZXAm4aJvm2RY/PyG1kDdA9A/u21itlRsrkQRThVTCatCcObLMOxucglnWqcwJbZgjEdL
y0RDVCKDptx3UXhVcbo67QPEloz1usmyNCoamNvk8+3QKw7ztXJ6/P18PO1V/7yjE1s3Fs0VTHop
9vcavms48pMBTPOa0LaNBW51jdMZi9gasnAVaShY1sKbmo0aPM2xPIUWiVqnAyixZWTKK4ZuigrM
zcB/MiP5kNHUadqTyApZkCzgEgzrQJT8BnBE6ZHK32AG6Ph5rZBtMBm9CqrAmMo+/TCtnn5q8sCt
monYMrK6aKgh/lCf1uDwUSsWJGMRhI6Dbm2wGtkFkgLiisdwZCXaLnz0Tv6Wv5+Zv14SSGSdmuG4
26xmLWooBIBwAuRXd5+3Omov4ebOtG/LyQCkSVM99nWy9fIbckd3SuYvTl0/2ai8XuT5RPBajQpB
FK22MMrsBjP9mFnnht4gtqCswPUN7NrTsOswRcJxCK+VCIzbdLcZYa1fmgV+knUCjjLSThRgcCBV
3HYoYkvKIrHJNRiQf6PzSGF9V0CPsC+bppycki/ElpSF05zCNTKvE5qL9RBmhDzAVjh12r5JaEXr
CrMi5c2dd8go7K1uSkLJve/rwFzo/c/c6C/WYxsBJjjzFyEMpg5Yvuo9SJiNuYL1UdcfcREz/jGI
uBiA44SL2a0HI6btVks4pn32KeNHI/ztWnJvDWBqlxrQFVbget+rJljgmdV1a7HfsjzdvrXpWphj
o7Hn7k1QLt+Z4vzdpMvxZi3y6chSA9euDQyMfEdUwbfnnKK+5bE6cSqeT5TS4YALG/wsYH06wwYC
ys/7UudwHcD/PRR3DM5/03e3cLKWGegaO79BQXKcpbS8n6IquvULP3PcYENroYEle9AiO1ol/kJ+
CL97jGj24NRzWxKHu+aqwLuF9cUGnW3t82u/HS6BNE5H3V9MFVsSZ4ynsm1YKuDDweq47oetnmHZ
CdUD/BKmKLsWEextnLJrRFovhrSLAsGnoEo87YkY0Pv6uOk6++g2TtZpPl9Tgzsiq5Kp5fkBBpIv
Y+lfGqczRxx5+vdXR27gvwtT9aZKBMyNnqCq5u/DPFu+LiX1LmQ2z/0J64hA0khmPowG42Fh4LTn
8MDuit3UI9l+XcyoaLtwqT73ya3lB/KEzEyizuKsGKvqCONzCnWYV8cFfEFBI58cn52ITSPLcuRO
0h6mLQIu8hC6iRcsRI4bmM0g8wAcQSKgqRKK57iRzceR0QsL9LkvYQWzZNBybqjBPVRZJ8frqB6C
YxtGePcX2VQTJ3UB3M3eTqkAbYuikDApOYEEUeue/RF10q20ldhCumGNuqJY+zKRMhiP0FzD9yun
jpcVW0gHB2ZcxQ3Nk4KH/KinVR3CqHC6x4Eu9nZgiND0xJJPD3QqbkgKk8pWOI65FcYrI/XQjmga
9P0YvidHVfhO90Nia+hWUNeKIapS+IH672TgveuEWxaP2Bo6yAqxlsIC+qDL+WTVAgC7F7Anp2XT
ltClgcynlXmY7DQbYq17vlujmh/dWre2XRJVfQr/+iKRxaDhcLG8dNnqBoclNk8sEzKDfYApknr1
66OJxuaKdLWbFBUgwLfT0FsXvKeoHva1ZQkzkTy89WQ/xE7jYsvolpJ0ZoC182FUvDi5Y88fdV9V
bklFMNve9j1vo7GreRMdmqm7r+o2KfvWbRO3pXRrviyZynCQqmHasWtMQ/ZbHVxYec/cp2wlHZxB
xw0VfgiiYWoBzu/3WoAo7Dbm1ga7AdIzTKMuULWk1n2T6baDF2ITuQnSyMmK8vUZIVIrai6qIEKh
VQubqrBO+3ftUhVudZDEBnsZASde2bHooGZYwFWPUAFcGJmf7wG/OAbaWjouNgo4VZYndPXY9I4U
KkCBUQZw6DNISW1SBNEGR4NuUkEskF2b991YBRNwnFqsR3jvki7eNM38r0oG/pSk8KKVThl4Yqvw
Fq+j4G6Mp+tSP8J3hZHQxHA8hm2607ywZXhNUYxw98zlYelzgQVqLU0Dm0NBmdvdw9bh9WNltinV
JjYtvElUyOE4GHGnTDNm2NtZhyNbwDRTJqYn7tccdKjU5tJJX01sFZ6WEx/SEY1PBuzmeuDdrq19
N40fsTV4PDeohjeNif2S6j2rKOxDm/qb21e1or2twpAQlo7x5OdqF3oeCrgWTtz2NRv6lUFrSjiM
yuMWyhoYS/TZfS3Z+Mmt7/7bb8pnrRkV3Rh7EV49ODwg4mINHAfG2pKLfqYtHmLHGIxK/6FRS/VN
kE26HYNsAd4W5HM3mmmIm0bUe5CrQYThqRv1BAa+bwemjkYGE/hgiAu59Ed4zYEv7sGkzGnYbREe
m3221dU4xAyG6VBcjc8or77khXlma7M1eGaGPxr4dkO8SrrtKlL1ezhOPrv13DoyB5URHusw6psC
rmUe179ID29Ht8atQ7O3adWlNTNxhuqZQzTn+R7rsdvjPbG1XxvKINJiwsFKav/boNiTymEh5dZz
a0fOFVLKreYmLkhPdov20zhNIaP7fetnrom2/XNNq86vWhYeRVoH00NuVKGOq/DrHjaCGrvg7//M
uYljxWs6sZTTEj8CrH3vMPlwI20WuCi6tW7ddXWeynEUaD3LmuIQQga2j9r1T6fGbSlYVWI5gJ6x
j/Wi132huvIwqNRt47OVYJHmZFRB0MdTZaajykN/B4Dx5rbz2UqwVTEhtn7u4zHf6iMdqo8bLQO3
T2rrwLZc8a1FrifWYS73ql7KPSSpbrJ/YgvBGgl7KhmmOvaU1+/LTTc7plc3chOxZWAp53VPS6Hj
Yuzy/Raoeh8Ck39wmzFWxBq6IuXcZ+GxLJvteSN6+VSS5hK3/kwo+f7b7SNl80wNxMpx0FPUo5wO
HNqnl3KE51q3AhUON0hXr1F05B5S55P3va2bZ7dhsaK0oj5N4Z8hj+B8pfUOhtvm05gvg5OOFaY6
b8eF1i1rN9JHx0CrBgLcchH5raB1E7rFqq0A00NocIrX0TEa6K6M/JuaOJ7EbPEXQFzduPpoWnFs
fyc9ROMmSCS28gtmEEWaS3ikbif0UTVTvud5OLutvLbyqyR1Pm5ryw+gcF01vX4gwo0mCEHg2++J
OxSOSUrxg4D8oWw8+AUWj04z8R+SL2CE8p41/OALo2jCdY2663xW5qNb+1aINpp2ZW1aeeQtXYBQ
5wO/OZXqXeIJnq5Fv7jp/mSbv0rkF16leTin4qi0N1yN6TSp+0HC3TNGnapMrzO1zfnduKWXL9fs
p0bkV3/UCl+5+mkzlV2Na+syN8ue1kXt67iqEHU1zGaXqt51rYJdza6BS1m7W8q1b2ADX2uRqyMu
1mWldvVWTet1nq5e+pWxGbI7OLzJttqxEp73M8wze93dVoKG+m4a0pmK68XjsoO5+lZnXrHDebpg
2a4fpcZBqBX4dLsg6trsq+5zZeiOV7JQ12yrgHs+rLjQy+ywdtPc76uVlcsTEHLzVMA5DxY/wHyv
xTI0OxoZT8D9eQUavrqiGmay+U4hZwkHSdQV1AYdHGTbfNS+wkWmlGX4l9IK/9ybjk8HAbkv2xmM
EAyxp9kvkm01C1yXKsKG5muLpK00sLynhM67IBRZ/rkpeBV9V5mB0Q8KObe2VzvQvsr1j5NI70pv
al12DaBRw36ei4FWB4nCyTTe8GTjw902XQbYy2KmwYFezGugDv60BeQdDScRHYvAbAp1YV27XsEl
oNlLoSdxVxJThAdSsJntcyk6nMJCFR5CBQDuDnaVomug3yzbPDuMEe77co8MCSxY0bOu6eUu9IVE
3chUJCmXODZiLREKbnqQbOfFrg9xsttF1KvVwajG/9KNMG6e122R302xreyoezjV3W89HLk+5Z0v
5T0bU8ZutzSHg/Gh3lCjwo/RbCiICJuQpr5DhUaI76WLQqNzGdmizBwJqMY4jSnSbtXVKtgyf4Nz
btFm+3ZCMvhaogIpeqaLBIxwXzccTmJZ6J0wkLWpm9lDFcsG0RYIOtJMJl7xLdv22g+QSPOvRdWE
+a4SVXQUVd7AuneZVY9syurBuxAny2l4R8xQxXOPNepetJkpn5fFz2A825vWN8eSBcOyb7Oc+6DE
5mt9wL0mDz+HI2vad9Gy4eKXB8TAxnHWI5L5uygMpI8T1DgyxvZRwFj5SKuwF0cAVqrlXePPFFlt
MoKttuGZeZwy1G6RdRAjlJwCkDVSm29+7aFmpp8k108yUDQ85OkQlN9w9wlrBI3i7XQYyqAd7itD
MvEMeVanjuUqUSYUtaQNbrbgf5n7ji65cTTbv9Kn9qwhAcK9M90LMnxaSamU2fDIpOgdABIEf/27
IdW8rgxVV76q1RxpI2UGGQRhPnNNQOrrqHD1+rXsmn4CY0YHfXw7YtEW224oPDkObVSN74qglSHB
9lbnnCWijdVwG1pbR5/jKsukT7JctfneuXlmp1CXcf++ctyzFJr3IdjouaORgrQz482XzMJ3MU/q
sZafGeXj8A7s8hVW52WJsws8j97fANVnJD7cB/GXvtLzeoRZu/cP9RpGUToUWElfqhjT/JDXZL21
Ksx3IRlldSf1JPg2lOVQvB7rYlnvHQgeJEAnGroBMPeEEjE/Gme77luNzk1xVfGR+n3fV022H4mK
9NU0KkHgrUlj8kFyEquvkauzW1DIgxPaSOsXUFvapHIs3+QQCAo2S7lKd4KHxLweIB5E3zeqjNVm
aMB0fCV80XS3UQ6v0aPry8lvg7GoloPyOuR7wZc6fBfyrM5eF6PKh3TwNoAmYhUqAxJNy2HkN6+G
6RsTrjY80oEPzVsYd2T93cSUKHZhUfdwol6qGXunYzAc3gE/HembUc38SwNNgC7NUDJ0d8USamwl
Rb+4LWe9hStuiG4VbDsrCBzvsnwaQK8JYPL5UEij4mM7DANPbBZo/rkoVDWkeWdqWyWyi7IQRkcx
XY6maY3dWEfCYGNNR6Kka1Y3fKBW4RtsWJhHkDNc8C3KIDc6qZbAdNvuLMmTQNBurW9HB2Lalg3a
fSShdxz2ankHXU5YQfAbhEv5U4YlLNKqKUib8tax/p2H9SWDwFHbQvIsofW6lkdnwZJ98PCn01lS
jFYs2O/XwfV9Ulkc0y5BxXs2X9w0U/YICw6NA6GGWo163eAq5xc52ElvmeLodG47R1qWgPvZsX2j
IlVv5zmnjU/yyMr1yi0mR9VigY2VOoSZR4wIJltRHA1c1gL4zpdl8IazWpNNEfMp2JhwjtRG+HWt
HnW40uow29XBI7ztg2wzOpJ5GCer8D6MTFW+QeWI+Dopm8bC976qc3tSNTKYW4+SmNzFdYnzzmYZ
G4HzjosFhvVhVaf9qiPYmg5aBOAtaJOVMP3FDIpe27BuQcboYmvvywUN8EOPlnF120PprhyT2ccw
0IGueDI6raJjRJWxd8yMQfeJlItsrnlDDeZYV7RN8ZU2csVMaCHZZrZ9Lst5hydbqi1r69i85fVc
ZCeTlxU9gkTLm5tJExh8bbEdNXwDXyaaPa2QSoamuSkqdjB9mefANoOBhTkioaN0Kirrh8NQwfk9
T+CQOodbM8D1MJmt78gb3FM+zlFhl48NROPBSVek6ON0hPxinsLNus7SJRuWNxXhlh4kLMRlwroO
YNV21jA198NkYSmne7eAQDKLKEVDQRb3+LoMztXO5+Uh6MjZibzM6mB6aNu1706A7hZwwG66dfmC
U8N0NTRSwzB6de7U0DClxSjWmxWwSvio63b12VFWePUQmuVwN7t22JDHO7hfGH0MbaHsYbFcsfPJ
vRTQBMgxjMYkVmGVh9Cry9cJhuOl8/4VVUujErimSb4TcYv9Lampq/RdaCM5flq1GeIqaey8sKOP
abjcxpj9xfvKLLCgwUPSPrurUQ5zr2WNQTytpNLLpqMTswec/8GQY3BJO2/dKoTLETzZfsXL1Pm8
m10dtG9F5G17P2PM5tNYARZ6V81lUaZxVfTm/TIIwj60RHjZJlAIC7sBI0Wb/GsHzdTwHqr1sfrU
x1zVH+GVXhPkVxBEpGlbkUocWlhVe8RvRSg53G2DyeMobBYcH4j2IBnLAzaLjYFIQ++B0RPBZ6jK
+zgNcahXx3Ua6wcxYX5v69DBR7lcVtRcW9HF7xgBLiKlXmZVilw0FnBE7MW0J41gfE7oErbj7VCM
BSjHEeQ7d4Oqmv6GtoMLmoSDgfWp6ke77FhUxvNd1IUa+rvos6qHWHau2M0NnHLuR1LQ99LA5WVj
4gylAFkGlt/6bsjELtSVI3foP9HudVMLs15FVQfr9KSLsTYAiwdQTe5riKjqm6xt1LCkMo7zew/k
S5AuvGzn12Z1IwjR4L0Sl0LGMIMzu4rK4a42qDEl8KZvxi314NU2O1DUoq2EBXm30WFG8CbKoolu
4mk4O7lycw5+JKCVRZ4qOTOyaacxjKakXhf/rpINVJOStQVr8WEAuY0+5obD1rmbEHGlRV4FaVRB
Fc6n2N3nRDhO7TsyQfbgkHM34LwXS4gwnYLAO9jE0ziwxxJfIXw19Z0VKWF83NS+mLp9vWCpf2Ch
dvOOiLqJ4EyiIXkWxSWVG9oAHpwYGq07hcPI2USzrDK3E6BTqktb3ormujaZv5P+bIC66pVeGSnr
cCvhYLPgGEXIsdFrjG3fNXOQH2veMfswNVk0v+70FKXokYzko28yN6eZK+IDwjW4ZtZg0fSotCd6
qYpDYQcIa8TgVeOwpem6WjUkPcyQ+MbqkBxyxAPvXCvoVQ4ppTbhqhpNWkSE59BsHUjS93HFT9Ll
/msM9k91Q7B02v1amVXdjAHR96GDxCtSIGqvcy7JitgpivX9HAyA7dpFpBw08hv0c0DWhnkphRo5
aMg3XkvytndBvq1JxeukbRd7NdeNussdFPQ3NaZxypbJpaTIykMcx+p64rk/5dHSfPT5XL1RtNFw
nuavGqbbt6xSnUrycDCAnUxNXY/JEpbKmSRHtOt3HlZ1/sBnkj/yaBlOtvJSbTCdedqu07rsOl2x
kwd8MX7rAine5I2jkGUnthPBIWvF7Jokw8yVoMn7Ivxa2szbt4xx7pO5bBcJKGc0O78pz3oAx8Yv
K2RTpI78AGfdcTQEeUxJ+2qT8zkKTnMUg40NWqkLT7qIMnVrgsXY3Qyef/i48obwVPl4tldTPLD8
IyLXdtwySwJyGMqhjK+rZYYH+JR3c5O4aNDykU7NEN6NdKLDFjINvoMkgeHFsQ9m1XwICngJVynz
JSs3oakKm0ysRCiq7CTKVDeIUVyS0YDSJvHMT+WXRTI6Xs9LP6+fYUrlEA4VVjLM7gZriw1JBcJQ
tYWKTkb2WjZl9WqJkPtv+y6m7c4K7DsbZDS5OI5n+N12FC2hdyDVVOwK+FkabSK1MHWMQJtavpUA
Y7d3k7FyCFOv8rk4mdHQkCcQFJFoj64VafwrpMaCIAsGZHO9MqYx2BeKTrjoZmixJN/USFbdh5rV
6hj3aJFR0zrxITK0Dj62aLAiTV56BsdFFKGLFLMDwVKSTTN2d6OnZTO3uZbvODj99lE67O3vjRkV
qTZMjAHOq6xjwfyGu7Va8iQgRNDE2ky3qcpoQ27NKhf/LQbdv/mqS7DZtrKCbeFr3xSLguAA6/U9
PJ5ZvWy7Geque1UGpL/nWGXYEUOqR4ntqVgEioVFB1rzoaJh4Q60Luqw3cSrRgiQNJzzHDLwPfIP
RHzVmPp5OMcisHGBaX1ltc7dXtV5rR8bE/Tzrq8Cq47GqInhja3K6c1ImmX+WCsGLhIvamU+WleP
827IwzZIVT1FV+WYZzwd0Qi3176q4hyvRJQgAxpU2VM9zCOC0pFDTuZxWmMlQZAes+s+J+PeZYt8
PVLiLaIDtq7DnW+aJtHwBk1ACssnCn8xWfU77yTzaQ471em4UoMErVCTSIx1fTAkdrLOvBKRE8W3
GdYmcrvWYVhsuDufq0lu4DFxWHnLPnsY5ZUVXOgDlZ1gxxzzODXNWgWIR30Y7JcVM3iPEz8SJ4vN
vvqk1rLY4IyPs7ueGL0tg3Gd0FMNsuCI+JbaNEQd0SSBtGOWQl6JvqWzBf5sdkU+HFVxPjEwWjaC
umvflylOpKF9ZCjhh7uqKDq7GQJWuu28gMiApC8Av24VRVTeysqFSJhLX98CBz4dm6zkHVZkNp36
EIWOG0VyS45TZpuPEsGKu+1qZ052FF1TbKT3S8oYNg6UYvLsI2QvqnKTt9g7y0rXN9aGCOBW6JC4
YyNkkQ6rhy8J2B/hoRSaNjejpaa50dlkrqZh6KtPRC+y3vay1g9IOum2DSg4I/g+XB79KmBI1iyx
e2QQI3nShIfwJYf8RolJjDgjaZxodxSu01M6IrzvU4nG5gxrPLmguot906TjqJe0mZAxIrAZ1JKC
8eLzJCoweUdfkyYdAJQBRBf6IuSmV51FecUGq2pPws2seL+4eVyv13jx1VvIfPTkuuXlVJrU0nko
r3oJGA0k1JZlA2PzfoJ1dHxHYGG4mXuxVOCNZ7Dq7XDOi1dRQZG8ZgapUcJhfXdaqyxYAC8cm3VT
o+XI8iSzIBF9yTpYcxxJjdA5ycDNl0+9RRECZxZifljzLSE6zqvF9nYTSNXbN2hOEH3tQPtu7rSD
ZeRtPEGNJ5VSD+6uRe/oc7x2AWRucmaLd0Wfg1tU22FoAJtq44eWKFsmcGstElfDUgIZM6zzsPfN
w7uiRI6IipzZ1WbyUYI9YsnKZEXljm1qwYuiufJOIM1MQMeJPiLA7mjaIxGd7/yQr+5VOIyBeO+y
sZvuprlU5UkWKm/LbTtldXmc82KJCuy3hH2rHaLJj7XPHQLsVQ0QFa77cX2LOmsLrNCMhLxdkgVn
uT4slXFY2WR8JLSgO5TEoytw0XGQSAZF6KRzfBJvsR5cs1WFLSCUIqNuuXZy6uoPrkUCm2iNGttN
FBDePcE3XtWbus80eQjI2s63PkRWcpv1MMR6JVGAIt/T7ul2MJR231hnlDgsUd6EaRxDV/gaB1mO
wzpfGHGbjItFDikshYCSTNcIWIE3M0RgwhOHoE14hYkl6tPEaTzA4Sxcuhs1oByV8IE6yEIPhX4C
JK0sbsmadYBfZGHdHaDPHZB70MME71OY3awOZe7ODzvY1Dm9A6BnaFMUj9n0uXOtCeADt1p5DBpk
je/Dph0RunPEd5tIq6EC5w5xZns7oUxSp4CRWzMlkJyIyFXICUMMzWzQHUq0k+fPjnhl8FQ8s3uX
l9JtNBuGettQKscNgfGGhRu8bn2xQ9DbqKsshsoUMGbN2QUJplD9pipKtZwyGwqZAg6fK7YB4Tw0
kI/OWrTt0PHp8xOfF7pia7ZDfMA+2aMpOeIIS1BuiuoEvLi12oxtNzW7eJmi8UmUrG4ChEhRbCls
PaHVAHP6tgFtpUYjwJp0bnEcxmnQaLXnZCB+OdaRpPIR0ritvT7PuWXAg5dxFadVtND+jomyWd4F
eBoVJEVkaT/tzqK9iLtnuc7x7XROFK6yoK8XnDGABUJHx2d5fufbyCAm0xPl4YycDKm5SFFSZgjK
Q9Oq7kvpsWUDwuRFGz5pOwfjbooEQ1yIZY6yOUw5en0yqp/kHSuqOceJKKv1a12g6Pqxqlxf7+I8
7gKH0R1oB8tZrstXMaIaHA1EiZjtBmzt41MxxMzJxEYKorROxJN8iFCGKOFygTKn/aygWlk/DsHU
B/d9jrr2q/kcj4OY7WVDUjGPkG8FO2jQzbFoUd7HJIkHutMC8R3fwi5uGq9AdMqZS1eUynsE9KUW
pdiEjFt55QYUzK8RREh+XU9xbN50TVXrk8ip64/BBP/pj+i6ZGHKu4WDu9C3wZQ0grjgug8hwvMq
mMxUvg9W2K+lCgFAt/VTK/VtaSzw/C0LxfywNkBupTI0qGWXtOmgpKHzwH6R3AzZA3WmSEkHGfdq
Xk/BCpdijXypL5qjG3LqE4QZFYoVYrHTwfedogeNYqLbNzVfw0cUTxg7lTUaHukQtuhzbkGbDLU8
n+ErUvhz4SDYjZqQKaW8rYIEa+6GD8bHaKkwqADswggI0nFXBhHK2rxDJdsnDZykZOLHZWAbXQgW
H+wyqfUwxEsQdlCuIm5SKF3ksITqJxVV1yzSxjwyA/HoJ5HHU3sdogQodg0rJvXGOVSgN00uqxwk
LOBu7suua/hVljdd/cZJDMyVJ7I2p3CCc8jNjO9KYNzsV3ZfTaLNT0ulVf0W8WyZzWk4cV+Om6qX
LapzMaSoyjCdsJiHIIXEAffDBu0OIdWuBurprNQqPkCoLTRRqhR0/tpti4q3mY6idRoDa0U16PtF
Y9DQGsJMgHczEcq/oRh2cEgUK+r1LYrE2bKbsZJ3al3FNXIFHlyRIFPobPEQIl3k3K2QZB9WnA/7
uhIju16bHgTTiPjefnDlpMDNrycoJOws/Hh9kUSOM4FWDgG2JByNnFOO/M18bOdYkvse7HJDdmdF
ywip28LgYS31quYqVa1z9ca3+mycZQ2/ZTqLu2MMwqI7jN0w0U0++6G7JgZyHKgEhWgr9V6LaVei
VhklgYmiYIdWjC03jcwVouthNINIOG1L+mkRMMu+yta8Wl6DeR5blBiLTK9facdo/nmo+7A5hhSM
rmOI4tZ4A3K0tg8NlHeLt33H4uU6igPjv/mRVcO193lgUMdYiEwRwaA4jjLahBJyaQwwTaONb6aw
NS61Hv6IR42vUG2mlZA6BQSYozUYx2cU4Sx3CgDO22aGAerb0NW5udF2jbqTgLsX4gI8YQZIt7Ie
BthGxNVnVDMCuqmYDAYDTUoEYqnpMNvbLWrvNYoD2EjP2Yw7xyMq0DNNfRBEGotFjhqo8IGdR1AN
yMrzJNRM3RkxNwFY1aUov07n8/GrmMASB2WW5cexVwhFQux3zRuqNbFYezlrR5sM0oA8ikwafjii
CMtwQwkLgCKg+ZjdkkJYt8M2Csm3uenK+clWy7Bc96to2TsEAzxekmqsppP3Yl3eSdEO8x1O7Zwe
DMKVpIWmx5jA8yQ/1wSHZcaZiz7NPYJjJU6mAKD6FvXgFrxeqLyvyODHGsk5gz9fzOwn8PNGmYA/
Qdx24UON4oQei9foBkf5Zp7hPfu6AoAL5yKsBCBRp2aZqUcxhAqA2i5E2X7ed5kee5uUoDXFSS/R
LqUpWnx6ekK+nKNGhbw0tJ+QlK1lkHCLhnGVMOyyFqWSpgeoPYEW9+Dy3QIWHDxQuiXmxQcQSf2k
k8nBq2Pct0g5yip1I2SS3Qn58MKijaYFOtabvwUMuJQx4T7u2r4zzTZU76v4gc9/D8l7qV7CGjqj
Nozr0vK1ROpTsr+J1w/PEITfQQ16SMOprBRih8MqRMaq5vDGYM98yYf7P6jjhJcmV8i7iQX8BeF3
gFUwFn1pr1oX9BBcM3pAdkvmChrkQo3kfjGoE6XwDg3CtA8WpB5//lrOCNM/gDZcCp3kqAcvZaDF
rod1YrOBv/1yA6TSmCJqQq8DhX95/PM7/QfkxqU1lh6NNzGlfAf28SjeWN9n02bIEW2CqoqELA3B
NW8QGy6+e4GS+R8QXeEFGq0CGAV7OmE7LmEAYKFxsR1R2Hrhgf7T1S+gLgPsw4woFEObuv1c6+jR
ySF7AZv6n659gUVDsDy2Q56xnYfHQFJofyynhv7Ni1/AWWwU2a6fONuh4LVF16ZMsghljj9/zX/4
zWME+s9XTbbMpWWq5Ls8DAxO1jlD+o0z+O9d/UJVgdQDBRQB44KEDUKgVsHSbu3f/PnF/3CG4qtf
LHiuo9YNS4XpUghFvpqubF0ack9gYiJJOyTDBOjnAYwKNvwdLzDc8gL4XcjcCQhEsB28F9m7eNTm
topQpPnzB/qORftpdePyF9BvUXnKZ5/Hu1aqAuUu1XmHSi7+PPnI8scY8S/+p4ujju/LoXqo1vIh
wkxjh8yUU4GMIS+2sIL7uswUPrGJFQiMfny7//qy/J/8qb//8T3Mv/4b//7SD16XeWEv/vmvh77F
3/8+f+b//c7zT/xr/9TffmqfzOUvPfsMrvvbfTef7Kdn/9giOrb+1fSk/esnMzX2+/XxDc+/+f/7
w388fb/Kgx+e/vnLF5R27flqkCHqfvntR8ev//wFmNPfvaDz9X/74fkB/vnLm7IDJKvXTz995umT
sf/8JQrjX2MwUCMhY86FOlOL3dOPn9BfecgZ5ai2EBqfKQ4dDBYLfOjXGAVqqhSAzVRIfPSXf5h+
+vGj6Px/ShHJpJQcRO7/efZnb+ffb+sf3dTe92VnzT9/+c5I+vdkEig2kFBwpmisBK53eeIuZRl7
r4NuP3ZZ/aWgdtNqyNKuJfpKFTo7j4T79pMV8Lg99zK9TJZsjoDVqfWcMLBfTTKIrGuTDLW5I2LE
AvU4tQ7pIoAKShtIKafzOEdil4npboGyRpVodPJR5q+AW9FDkM9pTYLuTjd6vVfjSPvE5XH+BsoU
0cFQ029cVQf3y5AZVPTzJm/SUK130Nq2czo0EZgtWbbuIwg+hEnFS/6umdCz3LAccIYE7Uiw3d05
zwGGq1oSqLsOKTRo1+OM/u0LAPXvOPfnw0kVJD2Q8RNowbJL2iGibmElB8dzWdmBZ2F/pTUrj9IA
d9V2PEvm1rc7zYRKsZ71iSzmtgvOBn8wV2lz92mxQX6gTHW3OqZXqNc0kCVtnvqcqa1R9BVdM/Y5
7+FlFs8D2vAz0gAB4pZH21zPJlG1y5IsXl/gaJ+34p+ei9FY0oihs385TXjEkWqFDqqRLvisJlS4
RQMvK8AN0qgIHqquvi2yerz/3Ur6bbb+fnY+j2POkxOjeZ7sEeAaTF3q4rCiqJoqXqCYSGeZQh2X
7so6C9DwnOMkA1pq/+f3e35W/LifCOGjgeQXSuqXHDjdznQBNw2qrTHx98Gch9eopI2byOXFpspW
fSMWsrwwtOdt+3Jof3/Ti1OjV2A3oJQOHVpbhEnGR5maOou2fq3E7s+f7ztI+qd7xUSiZiEigiLW
8/O8gyl7LlE9xGv0645RvdWEnmCwe1qRNW58np8TSZUjo25ua2tzdJTm6osYTL1pCyTwU9v2N90K
LQw+Ti8xg/7odcOYj8WQteJQvbk4snUOr5RctBArRjtNm/LK6nU9ElW5g4aszZ+PxfOQ5se7VozE
EZEi5uElu3nI+6UagIHYy2wtjpiBOXwBmpd09f9oRimGvRrVCMzgy6xA+8zEejJQTPdZfNRVbtOV
D37ftPWMhjXsccBkWbZ/49EEDfFksCfDfZ+/Zc7LvraokgGxWFXpAqFjCBBX0wuT6Tvn/vlkigH7
QfkojPEnkpdhLUqZ8eA5xDLFMZ9eS33MdLiB9ee276OrRg9b17523SEI3k2j38QAF9ih2qjgWxjs
UMPeBS1aMdlb39oEnvW7tdku0VdHdJL1EMVs6rSM08lXu9ANGy32GeUHTbdNbq7G8Gs8xVufafTz
PrUQZXHBCRjYfRx/tOO2UMesuRkYSxgCy6aL9n32isJ/x84eCA+bWKBL2pal9YqiRD4h9nRb1pe7
HGXwGN43L4Rs37ksz4cKByQlVBASsyi+VBjQyqhgLesRwrJBsIP5R5E6LIRXXcWrbTUAZDLScd31
6EEcCloBMiMd6m4yFFvGWuCo0Dm7LWc77rPAh/uxEugk5+OnsSxk0kFH8Ao91vLasaZEq1G+tA+T
875w+f0BCqMMwQhDkHCxR/Emnj1MgOCoh0ou1DMLKHwlzRfxln5rrwFlGrY8Xd6hHmtAtc8Tvuev
X/EfUfVfiizvhqfujdVPT/bm03AZOz4LN2/KL0BB99/s5W/9b4wwye/W908B5kPx9I/kU/Gp/WSe
hZj40I8IMxDkV0EkiVER4ZFCvwmv50eIGcjwV6oIFKopGPLY9897wW8xJhG/4gRQXCoVnz9z/tFv
MSYJf8VlIuBrBTC8IRAJfynGfDZ5GAtJJEEllZTEBF6Ul5pZKMcbj7ACwIUCgsGMOpZ0mg8vbEfP
d9r/uQtw+5Ii7kKj5PmmlzNwV+lCoaKfZelsM0A0QtWe1V5dsvS+29gO0/Z3L+IP4pPnZ8hv90Rk
H8YYSIro+fk9175YVx+jlt3GpN96DdedAJCizZ/f5ft+/e/V9+M2iEZCgaqSiNilfNCU9+jtZUB+
9FE75pu4hG/GJiwgtQlPJNtCi6EP0QKzZX7tGxt4RMlBcwIurmQ7HY3sOIbjgrO7aT+jdqnGxKFi
QN9UgI0CITiIuAQw1gTXvujQoJwilpPdVHpfXcXgr9wgmo7vhqhtDgj3gxeEJL6rRj9/OMCopVCx
hKIBQ+z8fAxBBVHTpKDyb9Ygvgc8BjJwcVdA3U4W5O3EUbf1DuBOY1W2q3Q4A901VDsP9So4QI/C
vTDaFwW882iTGPRAFDuAflfsUl2MKzBApBj7/RpIfkL8sHyA7wm8ScLeP3roW98HK4TNoHbDk0V2
dBOES/yCHNjPE4swgaOVUoRB6qewAfJ14EJ1ooNrXOPeldy0N7MoX9LHO8cBz4YeugUcEvUg0yEF
5fwiTgjKsIMwct6gWDDDfcT1zQktG4n2VqBfGNWfVic2Hy5ohM0GN4ovZUtRPkeDJuyKPTxjxiug
95Z3lhJorkpwkcJlCb5GuUbX5s9Xzk/DiLuiYUqhABfh6KUX6xNQutFj3uR7SOSEaE1US3OaavOS
/cVP4ygwVSC4juHEa5OXhZkczodjZKNxXyohTwWU3LawWqyubINY/i8+0fdbxYILhvmpLoULskHV
8QJh+n1gTfVQZPGVgRDSC8TQ82n+bF7gJnhPEYoT2Ep/EkOrOnJuwQzDvswU8Fd2qQ+w2Znv0EvT
N83EXkpLfpoc52oGwKkslBEyZ5w2z2rzJQ4vxf0y7nvp7gktAdmpzGYK5m27BF/Y0v01mTrcBzdE
yQV5OleS0u9Fkd81AzLsgmvHJfZtMNjS1lcZ+kEF++vvCndRFF8fCQaW8vPHQlOQtEhuB4jiAXW9
kgku6lHW/p274HkAA5AKOkQXUTiQABjRJh72To/Z1lfu8xKJl/jl0fkqF1MCkQLKVxGOOhGqi1cE
bY95xKzEs8TAd6Dk2KUE6BQgeaPHNvL8GsDz+jASACQJRBl30PcEJtiFf80U/cebg7lSxM4TBUWB
84r/3ZsjAK8ykuHNucEMAOsppA0de0nD7KLE+tttKKYGqncx8raLxy3HmksT4XEVutcbCT/WBFjw
LWndG7AcH4oRFOSS0oTCWScvx2MG7NSSAzOWa3Ss+uhco8j1CxHOT7sZ3rLARobxR7L1k5RAzGCs
wSLYmng6PQQZCXZwP3wpjPqjm0gisElj1uIoPO8Nvxtg8P1KHmrcZBggmB8EM3gbAOm/MGn/YMdU
wPajIoojjkSXEujGyLqvAJ/YQ/IrhLnaUD7U2NVOixHVC+2i55WrH68SB3lIOIaMIgJ+/kAeL2Oe
NPz/5t4GwOLKditD1m0GAr7XtNSw/mkhJqlDP7zwkD8vGogaoVzGY6EQ24hLTZKM5xlofD1MepyZ
P1QT606giQT7YTIDwFMlu4J1TP9kMINvXFs3pyamWcozVr4wc37a0GUYUVjKY3/giG0ubQQDqBj2
tofVEcnHb2EYVNvBz802A2UVaIv5JVPkn/bzc8rAIo7Hx75ELg97k0lYgTSoKVdxC8qW7gDmTmZM
39sK9MhD3UKseIsSnn/7Fw9H3FchloHAJnqP0aWihGXcgYICvoVDtnSDyrlNGpWzF07H+Ke98Hwb
xOHIuAjK9JdWxAuKSWIBR3PfTIF9O0rpj8o30wGQ7uDK/1/OzmPZbWtb1y90UYUcuiACuaKWstRB
acsWcs54+vNB5zREEJcobTdsV8muScw4wh+qejiZ3TyCuYoiv6NO+mLA6HHznGAAmv7yjYmbL6qZ
a9ShtVEHjIPGgxvOpfURds/XHALGWyrwDJK7DGDeWhYprWt4ZmOHLFpYPSgCyJBCBGNAtbJ/Uwx1
cFM8uKAmDuIjVlDRYwDYBO07IXaVTolOkVnEPvW8xgMpGPionKQvFfxDiOXca3+9DGAKQDWQPfLX
tuYlWG02ygZsgmieNScXCdHrZPh2f5BNKZNzTU5JOkS4pa8J7lbFYpQFIZvTqfCbIPsZVvErKttw
MGElniy0Sp10KN5FivChEBeXLpxmozPgR33oyUoKb7KonsqpadAhguNy/6fd3DjrLyNttgxybi7R
TSbao6AEsgOblESeAKhTNnGWCgc9INcAEKWQEyBzC6gxtOb7I99cq5uR11/2x+UNZyUx+1Es/Hyk
2dkPGt3AdDZQ8O7L/2aRTdBSyERzxG9i3mGRR8BohW82k+YWOvIztR4dFc5uXqP1gyyq1VyjJkHp
ZipTxPSCRFhPdNtLvpKzrjRAPt+ftb1BYOgrJnXnNejdvBCioNVI6Ao4TUAydJZeNuxyHKWDtdnb
FdQlZJ4iUSFZ2KyNrjShEVQJa0Nw4QWmmn6NglFz5nYsn8GF6g9j2A122qz2NH//gTrxEhVFzqVi
bN70IY3BGxRT7keFGn9WM7FwhGbUzvdH2XlkyFbp2KwFJQVVk+vNt0BQEzUTupec1/pjgTrBC7di
5IDvU09NqEY/7o+3M6EsGMUXBtTW6sH1ePI0TrWsJ7kvDGClNQUaa0PHzwf22NsdSoaODHvPBWF9
pOW0Bu5XwTCDEW5z9UgSUrRb/xArM7NhLAcYa8ALHQ1A+QlOGMDUtEk+6CyqGxpF44QttOOyqqSD
JuPOfr0afr0F/jjlPZsI1C8WIEKtTqe8rIEA0kE6iF52llOV18oAn0hVbdsfSScYlWguMAotm/NE
5HlOKDSB/0AXgs5Rd3Ch3E4qlyUXCmBg4iVl6w6yCBNRNcBev+TPnCIpv47cCt9MM4HYBtLeTstI
fRUiozzl03CEY7rdTBJ8c6JRuoxrS2izeWEhi0OpY7SMc9krd7TlqL0hQGYF35hVRX5ik4kvRhYe
3ArK7TRLdP8JlWS2sU43/noxJaUGjx8GpV/Xcdc+p3kTlKcyUQ3hccpq5V+Z5SUDaYS6fZv6qH0m
DdBQUpnpLbt5OFlfJjC1oHsnrg19bvRvTStBIqbGJfwYk8xIgIvP6HN0oAw1W4QSHp2MZe7ei6kA
ja/qe9IWKEFSeIIv00mebCbtZ+ij/QX76fI7Hbl4PFUmWgmQNVvzlTzHkWu8db8poQmVTijH6HsK
1Pjf++f7dptLJhktVE3yPQN8wvXMjF0+JcGAxaVhCeK3lhfb7uJD5eTbWFWyFFplmkIgp3OdXI9S
DGgzCTU+lwIFjiAElAtjDFZj8dGcm8qWW9M6uI1vC4zmmvHoJCRk/xr35fWQuIAiodLEhS9qan9B
7yF4mMVycjgf4YMl4y8ToNrgTnmFuhj42AQ47XgUpN1+9/ojeL4JUtYcZbPh86ktU7kNsFuz1ug8
s4b6oa8X8yJN4TLbuRFKjyJmJP/cX9S9j+cBZKMbXNmEDptyBQyUKFyQ8sa1yEi9pCrFF55+wVFR
unGmsete4gjT7aAzWghYbeEB6F38+z/i9qqRAb1YoiJbvMR0Oa4XwBKiJkfjgJcDFPDHTDHiC/YL
nWuMdXLqwwjILbX85BHK64gQRXokx7o/CX/8gM0OKFsimTqQc79XpvKthhTzNqla6sbDKADE1qrH
UBcNT0iV7DSoqG3ENMwPtuHt8bqehM3xCrpZNGAs5n4d9z/CrjDfa+rSHrzRe4MgzI6KDNU9/rkp
wHaorOiDjI/aYCnRu3ZQRaD+uXK+v577o5hrbMOKsrGu1zMK07GvGuIbI1BFp5Ny+V0TzObBA3Vb
FKKFL6uU2BQKMOrNVaEMVtuoZk0YlQAfzNUx+oAqU+fQRRCeQVwXp7qfhncIg2vP0DcWQrsp/XcV
1HKXSdBfikpLz+Hcp46KyMxfBwXXP24zB70elYkltSynWS7IPhTzmwDiyrk/02tocR35MIpmGKKi
GdQ1toLCUQSCH9pW7hdozX1SlLp4Wuo0dhM1Osiyb99FRtJV2i8abC5u6Os1DaomhHSU5f68xBLO
6BAMwHFGbhU33zujOMoBjobbXEsC5mGQoUuGE7PgpOD+5+hNGFx0xUwuViAIBxO5Ox4dHhXsCRHk
1qCi7cKxjoc898UhCD/lSin5QhthNFMbHVXp8gh6vD8e6C16vRRwt8imMchBTc+MFxS98JSNoeGm
s1ohjNHOvryqQtzfKDvjKSJIB0khqqKJtrldiqKFgj7TWoriYjnhfxW5plb+WKSlfTTQRfbuD/e7
yr3ZmEjNWzLIIcWSkFG43i5CWMq4DgsY0GjiYOtJ+qurzFPYdV4ZFq+CGCP8shC8xulTItQPcWA6
AI2cRko9oQyhkAimk/aJB6faycrKW9EzhGJOlMEcv/9bd15eyspsHDBFa/NhPWN/hO9DQO9hqOgg
qpkh2sj22IrySqe+OpnYqwK/lI4UVtezv50cSee9xb6Fg7uNcYwwhAhn6ZhWIXfgK4awVqji9ISo
w3OoF/pDaCwipRP97ww11hqNTMuP5ptOhAFuZL24//zUsIS4DL3Sn8dec4QK6462REfi/oT+lrnc
fJ/KhylUxyGD8S/XwwiGuIxlEKV+h+DdKaOh5RlF1L5OHRzfsVniBzkwlh9ZFyuOJfXiizhM1kXL
mtSp1MF8ibNGO3gsdi5K1RC5vNaCJNXGzX5sraYI8iVJfaPUUDUrcExQxViCu2geNTl3h+ImAf+h
A5fcbv06G0yKu3x92qkxKpQJiW/Y5Zcutb7cn+h1ubbz/LudSvC6ln42cRPOyKJqrlZ/db162itY
2HWpeWRGu3N1aJJGB4Kk3iTL3k6dOKvIGJYJNCZ2jomy1Ic+GUSnX1G+RT1EH+9/1c78WUA9DZ3T
uCIBN1cVffWBfFBJfCuU1IdV8NAz4mZ+gGl+5GW6OxRfRt9DpI+zjfx7ocwnaEKJH+XDwisTIeYz
Kwg19smRA8XvHbZZLLT4JLqP7AxEnraL1Upl3w9WTBFeGj9aNRR6a0ixZa+GxmkQDT03YiOelwLO
t17r6vMi6MVFoYH4qJhR8BbFKgA7KmL/KEYInVyYNMD44eAUU4MezJCnJz2lf6BA9HvUU+So4J4N
r+kiB44WTNYJpavsb2ERJoV3IGikzHTb9a3XZC/qaY2UUOxPNDscfUC9b9b6Iwn52wuamqPJhSnR
KYHHupk5KYctkSEQ4SNegAyKVunuoJm9P6lJ6eu6EHg1V5/3t7uQR4HXef0qGmPGJgBR5qgb0J2L
MQXWUi82LERXSvA6Bhzp+yPtZB9kPYRx/9vfN7dB+SQkkRgZSuT3TSn4Y49pmKR08kNf1oo7RnJ8
qpECewXL3znjaMknPWz+zt5lfRnozwAIowkDLPIGejKQ2tXgkWK/AXLkaasDhjZpRxjfjYXO/w2j
UtzlRlFIDTZRJIxN8BKWFfkZ2DhCgFCQ3CYRA0dYgolmbaCcMxAiT6imFoj5NigAWMX3MKggJo8D
ejNs4kdlXmr/YA3Wss716VS4sgFwKBplZybj+smS6L0oIHfXNRCCixAj0VdPYXvW8kW256KYXgp5
6Nw8GXInkxfjvFSrWlkTL27QgpC6/3Nu7yV+DaAPHk8eEXKb61+joQur1qUe+Uigad+CeRa9gWTI
iaZUO+BG3cYirDrfSz2aeO3mCGstz7PSYTspsr2pmOKimfR0ruYQAygdGSi7C9EsoQByVGrb2/fk
LjJElxUZTW3z+ivlvosxV6uxBU0swUXnNoHKLanUXYbx3C3VkzoLz4EW5PZczbJvRkrz4a/nmZwG
/KwJKInQeF2HP+IhY+z71SA+JQqvS1ehR3dWyrk/NaakOfeH2rnEZB4aoIkyTQ2aG9dDoWsU6fPv
V02W2wch0s2HfAD5zG9DMUdDY6/vyr/GooDx5ESDJpXBKt4Ahwy9qOYk5SmdZUU4NXDEHZqUh/He
znaVjbW9TJ2YSvzWJ1UpahMKgpr4PHwvaHKa6HaYIupKZogkEJKOdlJ1oyMGEoE8fO2L3iqz08cq
ujJBiA5ibgpPtA4epUqqPt+f993fBsCNuhKtP26263lHJijTzWlJ/CWbX1JTrZ+Q5IX0aZXqAW/k
NhoD3ab9bkHDVRGN9c//2ExqisiKnuWJr9R6sth6npu2ofYobN7/ovUXb64qee2wgPz+DXLdbFqC
MWGRKrw9TWWWToGqh7Yat/8msvjKvXXka7O3b9dOHyB5lZdh21vpGlmMUD9MfTLIwFtalZg5rgsb
8YLai4wwc4Y+Uw+y1b1FA6hAigIUVTO3CVKSWRYivRYhZwEJAFHg0NMtoltlUI76pr/70tvpJCeA
REWfgeE2TxIyW2hSiwEbRJA+RN2qVde9EIA+BZrsDpFxTrT60uIFi+arrQzGe7FGmxCha4w9nCKk
6j42L2owfTKq4Xx/pW+xuJxfyF0SBTtQG9aWpmAYqTAT7CV+RunzlMYqeoxYu9qGFI+Onqeahxhr
9bJocnnhE0O3D5bBN4ReB04Dj+/g56x5281UkUaBdiJYphFwvcPrlpgIWdTETxDqwDZIlx6nvPmB
JFj6LmzH92OioRBhaTQGgK2eUr2bHrIBoRCl7lovQoP74BetA978IE1c4aQrhnDrwFaA+xDlkYsH
ygZsnlyw7KIS61NQiKuWuEL3OLL0L6UcDWcU+/+LoIlFoXAgsnNWVNH1fAyGUUbiwPJYY0UyL9Uq
ku66fhCb7H6kQYUCBDTUO3ldlT/ulVUxCw3RmVFom5wiKp6fRXOWHKrRmg1pE6lFc4BpOaqYNZTq
EY/991fcTDJpJp1V3aBDsnm5piQPBascyDIzieQleuuHxe5r/TJiFlWJpgtD9KSxwHpvvSoFN5BV
J6/UBD82Y+UvUuBVIoLheJvkElCLOH2QzeyhU9NHhF58tUh+InX2ZITDE8DFUy2maJyNv7S5ekKb
/lTJsYuY20foYe9mMXyR0EMDI3MCNWPZepb4E2pbi4WGw5R+yevy5xq1Gk3tkRw/ANn1SOWecWm8
oCN8SYXAR/HZrgHkjMWaIZmXtF4Fv7RzosNejYPHKbQeUEJ9Hrve63P5kgvSu0rPL+Ic/hTS8TEa
VVfoo1c5RZCPwbgEM4e3+zTq5ddOUM6DqfnBVFwCCRcHc6wvQlt/uH8Sd+9Hgw2/lg81aUtsN5Q+
rEf0KwEQ0A+NURP28i6K+RmWdZCd7L1qJF+g1SjjKbQMrnffFFtLjw747+vR9CNrju2wxwb9/gft
j6IyDiUGIolNKFinFqotcOL8IrTqh5GdZOuIav4XL7RlAhP7zSQACnf9LfWEvGemj4mvIqvvhAGs
ZyGfssv9b9lZHA4iLDyLogLFr82MVRMKagVNXB+clArSqFqlo4vAS6ujjuxOJMBIdOhp6VgMuSY1
f9wM2tCoiGRyM8y6uTwNQooydVqaF6VMEydJq/IgV9hZJeI7hVQVGJlChe96PISG6ULLfFlGFf6x
H/vkZdaDI2zz/ijck1Sr187s5r6jiNDnIlGkn/c4l2S5prvhwJt7f5V2R1mZkv8b+G/3AnqS5pit
c1foc/2ox1gHkO/lB12T3b1A3RGuFwgcyGDXM8aLvaCn2Cd+j8iRp3b57IxhgcWWUYXu/Q/6Xaza
3NPA3BANoEEjg/TbztuArJXQQelIZq4Hm35GjgEk1hawdaUqeu2FvFzcGL3rxgMa1mmnhSLx+NCo
KPrZTRQsj4YgotLLOSljh5c1/dJEco0NhvWPFiyLK0yd9nmKdbx6UkMArFdghv0szQAc7LoyBvWh
1ypZs/kvug+hOPar2t84jP406wmxviHN4Ukls/tpgEb1UvSdQUCEqlU8cOJr6S2QG0t1cR0avqKR
lvSnrMnRb6y1ATnZGLLVeCqkQfezEnzxKWhK+RvGBnpi96WaXxBPRSKVhfgJIEWbVrOGEv2mMn9t
6tmTsYpAuGzCLwYNbUV7N5rAMQAeytn3qrPwbcUbbjrrIerYiOFrGO60Zq5/RZJZfN/pJaQss+ua
L1Ettf9ZFjq0p6iPKsvhzU6/cmQu/J9Fb6OvqrpYqWs9Clxa0uESMOjflDRR3jekQUhSI2yfngq8
dSL0rIx0smcEKN9Q7tfPfS7ByG2XXnpizvrloamS8BOaWPVlptz7Ltejxu3nCClIXJSfEVzHskab
87OFspd4CmN5stBwkKhmGnq9fFHaCXUYM0A72rm/3XbygrV5Ra2EFi/A283OFhqku1AVjP1cozRc
Wea/vdKGSNIk78SmQgO3NdWDQGjvyBJ4G1w9IBxp010fpiZSCvJKaupGl2Oe0QqLG8V6dFDT3LtU
OUUiIh8Gge72kuvDjvmke+yP5HrEMrI2+EulYUMuBfPzMkq1d38m9+4ISqiw0vkb4eQ2ARFHcWw1
PkvpqIaZKdtPxczIH3Pz0/2R9tbMNEECArVg5bbqQcWQLxSrJkzb9aTzhFAx3wvFTHk9n0cf0UXx
P5mOEdT9QffmEzIMsBpqwISv64/645HKenkIYiQ7kTiYZPQ1rOGi5EhIlMn0k/6aeLBJdmaTIrEG
poU3ChTyJlpFDxnRcr0lC68iFL1TrXSqKv5ngX508GF72RlD0eShMg3YYdszRi2/QVyUhF83m/xj
kPGYiAjGOzVQGqjytWFLwABcBal2ZwxC/bGRq9bFbiN6DAfxiI2ys7hXv2admD/m2cyT2kCWjoB4
Gk9DWXYnLVdzZwhTkMA4aVwslevu/truTrYCdmdt8hK4bcbsOu5Jo+H8owhkuaoWVQ7y0Jq3YOF1
cN/sbCOUDQjcYNqoNGo3sQ7XPj5bXUHIu6TZGRi66IXYYJ66GmdDsaVGf//TdsgiNGr+GHDznI5m
0k8yAGHfWMDpoSoJ9ChUqRI2Qe1oBYZd9DiFS5kUhSdX2J51mWG50OYOgq71Vts86xTMAVxQUqK+
Zm5uvXEVsUglEp2V3OEMTVdRlC6+o/wuuoll5G7XqrUvNqlwlqv+6DhtlAZ+V+zRPVI0Kq8UIWBx
XG8rYE9TkRj4zkFORTB4Kt3SMk+ozD91ev/vgvuVOsf4aDWfgzHB61B5IoA7sR0coau+TVL51ZCD
S6bnr4Y4nKas/yj31nxw6HdeBnWVDoE7SxUSPND1jxygRoX12iEadSR2m6Sw8P3Bf+n+ltgZxdKQ
I+K4gxWDGnk9SgrkXSyEkB7JjM9l38uln5rpkebNzsZbecZcz+bKNOZcXQ8jZgqc9Zi0uRGAUI+I
7Ll62qXnfJmCC/gV48kSkup9WWSBi5G15sp6I/p5G/+6/7m3J25tVJL0GdyNdEY2h3tEWX42gpqi
H4aHT6nWludaUGSflLD8gSyUcVDtOhpv/fM/LjCxl8NGBOPhGXOCOkkCkmta0nB1p9AoAzT1AdP9
N3H8+mShvEM1i9IK9SyEWa4HlC02DQ0V1YMVFb2vlGjR0ChAsh3trE4x0PmPx/6lrYbqIziNmFp2
q5UfYwTpOzwKEP33asko0KXHWw3Hh7JQHrsI9wMH08GwRX1RH003GvASQMi/NVBxVbRctAfEhN4H
FccFF44Yd2MrKxP5yWzmuqbA2ichSuINQt5tPyk/egvnNLvNiyayRbDI/1jYCPyA4Jx/jY2yI+AF
T1HajZo0g4PVwXJpMAesPSxeKLkX4mhmJxVtfh3zAGHx5ikT30NrRP0fOHNnPpjIjOXnQCtr6xQz
VU8oDGY9JidCTpYiaIstZapWOfqEbeNJq8Myc3AVqaCs5ahMO6jZZG9TavQxDkfxl1QT2soVg2DK
TkYgiF9nRPzfJjNGw7Uqpil7pGU2mQ6t/NEYWsnLEEXKHd1aUC2Rhnx65tcnT0OTNyq+mgWeWjh4
KUdo2x3sICHrijnVqbCCitnc7rKQJeDyDAsFA/mSKr0i2ILaWIndlUpyWiXY3LScZ4+OARKLbWrY
/K6KQx/Hr2YdDA8xAjKIQ7d9jejDERrtd4F7szUBW9AX+y2zRfXlemsmEyq86JRbXmu0GKSFiOKP
BP1IGTtlhHEYcfB7+I0qDTOMdkz6dVrV8wUq+IX3+gxiOWgfK6P4wM50//pagNRMNwl5jTXdXG/J
P46pUdUzZnwikJ4uehoXxZjtRhDfirhUv0gCx/f+cDfPH7EqRS5J/K3aBJXleriwq7HhqJfYV8Ni
PLGjkGNGxv3ZVCkETkkIdiJo3TiVvk3V0h0EHTcx1To4n0ifhfb4DWpumXKlH6I29uH0r4Y1IS4v
xWcpxW+26qtfmjq8u/+1uwPS9iVU1uiSb2XdYmEx67HCBXUcqgDR9KL7oM9QVyzcE1y11nS7N9Hg
vz/ozbsGqJ/mIK88k0yEvrkHCzxTimjgK9EpJ4IZM+tU4KN7MJc31/s6CjEMb4kCAG1bSLTSCd5A
yKfVGMVcQk2kbCtkEa6/c++OAXqA979qfSavjtA6HoUqitYU6aUt6bVAER2/zXrN44yXuoT1S1HJ
fA70YrZp/BqnAe3DtW1x1LXZnc4/Bt5cLfUQIn1tkPAkeSzauPoOXjC0R8jfnenkZSbsBrsP+GuL
sZt0tR3keAawUBa9Lyyp4XXLFLu6OKMxrB0y/27DEsjKRIJrxXnFJWxhYHhkCnIS1JEfVLJ81pEx
fV+Fk/JQhezU1oyrSzf3mT8PWvCIP0fpBLESIVGZCB/vL+zO/Gq0P4l7YWzQ196EYWjI1kJUhBEB
8fxz1XZ/iTVJvNwfZCMcSdzL5/45yuZQIFqkNZgz8rlRg++naiUnWWj/pUoDO4fnw6YPc7HqyUtC
GhKU+Jy5nJMTyqEor2P6h89W49JLQ38ZX7hAXylU2NzOMR2HmBd9EsW3sU3edTlNEwCPdlwbjQ38
4ZGiiu62Xfd/SrBXQrD/f/HG//siiqqE8SA9OIPXN2ndV4hhymnkt62g2iMpjJvq4idgaYODStoR
Ke82PV5n0DB1WGuUN6RtP3wycgF7MSP0o6H+BwcQ2UlmVXmXQjl38kB7rylz6oIZi564gDsqR0Hm
zTo8q0HR/hrju/4WE+g6SAiuOG1TYykUsyth+oe+VSmJKyhjiEpQu5wCeaT8kemqZ2bLUYFg5wZa
OwBoDqzgNdg11xNOxoifU8dGxV/jrQgT+aMV9vkHCYzARylS8cjuKQ7bGXqtR7t35x1haEounFM6
RNpm91L8WaQ5jiN/NMrHUFpwnQ6Q2k/HjD62QQmxS2PI6dPXCU/KJA/eMsO4KHr9k3rGP7VG0DXW
A7X34ZcepbRzM8I9YfhB1+McWqbo4LP2DIUiQfCp/mFoZetiy925IYYW98/hzmGHAEz2u+IM1/7n
9Rz2falrOMlF/lTInWcZneFh4qcd1Px2RyF5ZJ0AVRjbMj1FzhiXkwBLadJIhx0twy9EWvf+t+wu
Cpg3WkIQKDgWm29JsdVMR9SPAMPgHJZHohPhPXnJdT6tW9ZMggrawVbY/TR4G6vKBPiXbWctFePc
Ggwl9FvV+ll3kuRqYZwfxIS3VQICaU45+BeKwmuv8PrTSqw8EhPIAUoPSfWq1rpkt9IiumER9V6B
i7FDNSV1gf8Jn4Sq7k51k4ku2M34A+C08TQOk0rFW9Veh6VTHbqBEjFsYyyPSVVgepz2/F3IDkXq
dmcHNAOCBVSxKb9e/+4kieOgE0SWpLdGW5eRONKH6Nf9dd8fBDFAAvL15t0cRpxHgsasGUTU285X
klxz9aaonL8fhSgZxgXwRUpxm1EUo0tHelos9IJARTEbzalfo4L7o9wmTqz0CpVZxX6gTG4j1LxP
LTUwOm5SRKM/1+OiXjKR7hL+GEjwUKNxwIdBnRhBNS/V9IaOiwFCAChlChL+PE7zYJdpA5qlKOqD
CsJejELRXlxFZA0TkarNHMghjfoQ9rnHW9L/AE2GhRXEL/x6l/pB1NqERJq3BZKBas96BtWw170k
qdqjWVoH2gSf9A8gASLRRCNzW4VeFuS/+7QTvDkv8USNp6c6FMzzIuaqpyVK/lpUY36KrOAXTan8
V6CGBADLML1VWim93V+yne2HnB+RPR2TVXByjST/SNgwDhqb1iwFr8Ih1EFgS7KjAGrN346y4ieJ
toFQraKPm8euLSUYFgvKTzifTrbYJc0lytIjQY3bK5RRmM/1BuU8bZmFqjjraSEtgQfgT3aaap7P
GCwNJxlji7MMvuQkFvJ0cLIo8d0sJ8PSuuBNpa+Ans31FLbxrDTa1AVe1iMmFUtPFUbNP+kFmaIr
qunoV+CSLbuyykY59XmbvdcCA5PiBr9BycYnkke4MsT3AO3mN3BiAo+w+KrjkfchHNT0O3ampuoi
FU7WoCxy/jGKFPlnrejzgutuP+unZYjF730m5ZNTq+YsUEXqcvUyNZMQ2xYN21V0PZV7J1MWjAYw
FQhgNca4q+NgGoS2oYAZdFopsSYn1sowcIJBE/CLxuswAfuShc/D3MVPDb4836ZRwJ5zsqofcdjP
mZ0mEBltGazs29BX6idpnPJfRScX/0mqEOnpJRS1kbakNrCdrZi8QIj/k6qd9RIjcKQ7bSEyVECZ
e2KX65i2Y2tZAVnRIbwvQxr9TMyaE1CmbfxDGC0pt5EfiL+Ectl/1vFFuyiQPz5LeBovdqOwB/wk
kgt/kDschitwrT8nVepf9biwAF5qenOewVe/5RJ9XlBHsvAkNWocuArgnXPUY2Jky4KYfY8Ec/xS
VGr7lqm4QNaB2L6ZdI9OkZbjsZYLCKqZvYhB6lJRcCnGAGudWnvkdjFwjqqDtzpJAjenXIRXFG4P
jyVtb+vcCUmsYt2UWYLTmG0l/qcyUpwq1dGK4xM5kYb6vJmSKqDXhpFHjinX6MHzDr9LxTLUTi9J
/UsyROnsN1olqKf/l3UJ4jq1DI4kNiK42JVqvQn4Sr8MYqF9ylApyW3UN4N3U21170PwVyGqxSno
aSkXTApEYhp+MjNdeBvjPP98//Svp/v6vqNGBXmcdhjiMDf0gbCxjClIk8ALW6RBgwiBhr6UZN9o
9U9/PxLInZWBigYGmf31USSyqGV8K6mOIzbyWLXRr65P6xfRauOD0HPvmwCIyaJGEA86fRMblEkY
RsMUMRKpgVeHefO4VIF2anvh6/1vukXCA69FmQzFG+5OurOboVKzMk2BDYpxb4tMk7LkHwWDTj93
g3LmIZmdSG3p9AMwdqJwgCeZ4k938CPWQTZryI/gB4jEwLR6NpfcWClA6cbAWuWwFy+b9NzWJmvy
SrX4JM/9I0TpxtYDczxpQfujSEyKG72FoYLQ/Rta3xNhfMRG+Vts6o96pOi/+moJz22iVAev/M66
UEiCW0gmi1XGdrKm2lhUsWSvdUI7+E1k/pPhJubCjw7s+1Oy89qo9HWBacEMofW2yZjNMAC4pWSB
F2h6ia20RruvNwyHQraIEkSmTLYKEuTv9x3Nn1WtatXTAq92vcPDIMb8sV9L00Yofh06abZDGcl9
/lv9v5hKWE7Ujzi4SD5vDpMhdaqF87blWSlWB32cRjaAoRo9yW45+KrdPU5Uyv424dhAPr3+LEtL
+xEtD8sbmhGYDE7hhmsJWuu2i2y5GTCLy8jj6woaHsi1WRWXmkjiYJOvc7fd40jokOOhfStTOrv+
EXoYhzOVCstbEinzKBrSII8m04sXGtZo4jYf64nsBB+No1XdHZm2CnJPXCjs3euRNTGPEiGjbN5B
7naLoqlRba/NB2FAWjWNx/DTXCaNK6eafLDIt/EfQDoD6olGH49+3mZkM0ROpQnh4Pag3N25qiT6
G9aR2tTeqZQIvllcg920RQmPNW2auJgsrxCC2GkTPVj9+Z5A1xkHDfHd7yELATFDUeVGoFolCKqz
VLY8NdbrF7qGJTs3PgIbrbNys1PA3ms8MrhWb4VNNRATFgEHoxRIOQ2N0nqKNGXPYpU0zwWV14O7
Zu/2lVfdcpA51OZuWOhNEuFeyvwJRVS/WjOiN2HVVVg3DDm3zCA7Q6fkttIq0WvRjEd9/r2rjtuU
PIG9ImtblEGsLVkk5gwfKDiO415vvZMTPJ17rMB8+l2QwcR4+nL/ft07E38MupWYGispAOnGoC1d
yZ+tHiSPipHHHjy8/G221AZOc6M6gqF/vD/w7tdSCQWXCTWIrPz6MHb6tDTgklhc+meIhjSlYypZ
dha7ujnNXVR+QILr5/0xdyrKlGAwr/othUkmsTmHWMIlAVJOnBAp+lFm5C+k59E/g6oLp16ZBw+h
lKWxh0KVPSMJi4cGzV4bF9LcwxONO3rOWzCNwkzzxPiiCU39rtU6HUtrBApytogHWVc/16oF/of+
sEf7Xr5kFNeAZaKtihxcwf+q9D+bIg/f3/+63e27aguArwSes0Wkq8lUYnHPjGq4J7W2CN7qsW8t
AnmcEn7GGTqqqRRGjyJuxbZkBc2R3MrO/UN1l8dFpeBKGWpzs0fNYpBt8bx0OHo9i2KcPceT2T83
hpqfFqUon0VtyJ/MzrDsFul6HCHr8Z1AHucUUio6empkl7yfzPOItJg990PgZjks6hQ/2NMggqjs
cNR9lIVFxKJkcgLEO8+obKEjiVvec5xJoYu+hfhJM4fJbqvWcCxE/lwxbCNHlEGjTPyWk77I0iMS
g6imSQqt5Sle6HC7vUITRUXhiwaqip23b+ZL8ayi+v9VksL0cn+1dq5QlA+R+wX2QOFrG0SLfVZj
fsue0rp8eK7MwXLFOFIOrrSd471KvdOhQvGafuZmw0e5FgeyWRNQaoLh4jWP2GklJU6IlZAdzyl2
lHmXeyWPiXf/+37H5pvbe8WtIFbJ7U1isk7AHzWPMpaGcaDHQ06V5JcqUurhEaI6rtKmPokBKpzV
/D3TEumCa3X/U45SdNmyyXBhgk3zCdyH+q2Im/5DV+GCcELySXwyxagsUJluWySYYym+RIsx/jWj
aWVZrEwm7iWi8G2jIp1TU8iEdc4KSTkLYdadDBk/9SaqS2eR1d7Bvw65ORIKT7D6IxDh3ilSQPTy
3q1Vvi0WNQTrMc1NSZCWA7Gd5UC1u6rNzpoUHFzBe1sQwBalIi4gwLzK9QrFrWkgg8eHSvEQerGJ
hl4ohkcOVrdSJMwnwfsaAGlAh7dq01Ocx3m7NER4zTjGntTGZmODt0WAbyJUy07xkAwf2qYJ31pL
Wx7GIIuzcyxkMe0PsJ3kQOWMCVE3WfGH+5v0N/J1u0kpmIGtoqJEYWl9pf7cpJYh4E+cWd7Y6c7/
cHZmvXUj57r+K0Ffb+ZwHoCdXJBc1NJgyZbbdrdvCLfb4UwW5+HXn6ec7AMvah1xu4EgiCNbRRZr
+IZ3aBXvM6bhUhGwOtWJdRZNcT815SMuuZjGm8/VrP5RTNsbsVZ3SSfeje18mkUWWCqe9RTGxWAE
hbOcFa056UgZKx60+oQFMxpTCIen83WkZQ62+JWLlKKfhA1A1qQet0sgstIeCygObkSCBNJ1BJ9S
idEMetN60LxhCB0JDD2YN7k09vNGfx28ArkygfzuXClXtRi3zXaj1Rn7X+Mst548YBN4L69Lweu2
g+eTvXd/QFzXfwNxPXd+P3pflI6SlN9O2fq0Qjb/GoNt7EJzWd7kVOcrP8Wk+Xdd0RC4XFFK/VQW
1pD6XYOGarDGsf5bEefaEZv3ysXJDNI6QVURqNM+L1hGNOzTenWjwftSltV2j/RtdVsLEGUubtFh
pxa2n7ZdcTISmA+vT+WVHq3UZsKvmqYBx+yeYFrGWuwI+CRRTj/Yd/L2Xov7GyXvflUTl9a3VkfK
WL6vPe05tZV/mVBl9Kw/kuK9uoocWkfkR9+v78uNoCGHnBSA0TAv9h61OZX1+437ss6Sk4fVuu/E
315/8WunD2h70iEZBQJnuhxxHku0nsiLI6HNaBBVrhM0KUfQ66N8R87sVyonHB4M0IthMu93eKai
5DJyveFE/RnSrhvVVQcxBYB4qBdV5ouCZrigoXK7FHV3BnE8Bp6WWh/ceIG8mjnmja0l7c22ycZt
Vs9nWtnpw4pi4z1ihEZUCsq3i52Wj6i6/3zDUoqqS0yQBJngLXQ5S/1mKHUvDDdqJ724p8WnR6o+
936a6N2Nt+XKm0RRloMj5eqnIUaG8QzDDITL5aDUwzeUWTY3ojKTU8FsbcCWrXUQIVzbdhQqYUvR
riTL0y9HsbdOdEY8u1GpuU0Ea8mmLDp7Ubs1+QfLyvqHbMu8+6qe3Pdd2ZYHw1+rhlAEkQIzKBNI
8vDl+HE3tV6pMH6x5kitEI4RSxbZbQMyAg++1HvvlNlMFDBvvuoUVM/tUT94iKszLWFfIPm4HffN
T0VkQK8mqh9uamr+GjvmeUByI3x9E7w+iqfutpoFXnGhcu5GitH1D2NfoxjgKcNfeRfwchiTQstB
0OlyPqnarBRYepaqNmI1MGpOmLiIuPyFdwHLgt4RIS1QtstRSqswKnOcWJtZmnAg2+9r1BAPDuVr
SxMQHnxBeE5SA/1yEN3FFrnXOA2XtNafSnfLHjePQExZ3fxslA6aIUuP8EPb6CcPtNnBO17LU+l1
8QT4M8Et3bP8Y8coGhO1ZbZG6qAzlXcbPO9ixNygdd3Pg+3lv5lGsTQ+pkrq5meqpRS0c5PWvCPj
LDwf6x6R4LJTx/8aJ2puvqc0kxsCNHLoddQWyqPaynskbaOhttd5MH3t3CwxHm4d8bThE5cExsh/
+0rRyk6K41XPHJ/Js+GV/efXP+q1NIVYm74xMRjI/l3mCCojFVNbEsM00MOBuFtED9wKUDTnc05O
fRqM0QoW1Vnfvz7ytXtPkoTpKHIGwbC4/NKFrrc2DXVuoS1J33bYQYStXfymdd17d3SfU2c7AkXa
/Mb9hfTjiLsFbJYuABeVewgt5ZA2ytfS0bczzK9gmzflYE9eC77x3gADhqwvvLY9Ya/txmwsRm7Z
clbq36quWVpfoOt9anu0KlIij4etR322XpWPqT14dzPqlOFiuEUwuuOfoOt/2iAQcjnXumT3gZTQ
97X1zlPcUaEJEiWovp3r2pzu/hdZx5XvejHKbgdvU4p1rjxYV0QJblATNyNUAW26in3/tkjW7ElR
/0I+hQabC4KJohZpt3G5lli7s+LJY9ZotplEYFsDWxY3Xl+xLwW8mEB0dLBZkRcnk3g5jI0vodYA
VaS4pE/vrNFLiVeqNlxSDaPxRHM/dvmwRmsfd2FvrsZdY9TmF/qP05NmxeVdWihKsI3ALl5/sCuH
JomARIWSPasUFS+fC7VYc5gaFGrSze58Dsleek6SKY2qFVRFRfPMULRosoxPrtpNH14f/aWIjIek
k5wTJBJg5O8tKyoSkY1mRhyRMk5d4OXJ/CaNrUkEGfwNJPrwNwwLt0+etVZqp0hSf+rjPevcb0Nr
4fQIZth3axKUUKFrfMKMqUyjvMlw3R3h/yO375bmwWNfOfkg05IbS1IowMjd+eMsuqXks6w4efr8
Zh3H6q5V2vGjV6bIi0zopTgUviK1j+0D7s2VoIB2BL1iqOpARva91ULVKJyNiCJQOxr/xHF5DPJp
cw/Y91dG+Q6BZKfj0/VC3svDrHyyN9eJtBWvVt9zhdH7likq//XP/3K/QzcFaCl5epxy+3KyWjqd
0fSTE8W9V4aqUqTPad7lgWUuzs1C2uNXXlw8//SgstkCuggojATFXK54lqMQhYZ1iRnrfetvrre+
bTztU2zr3UMjtvpr5yz2QXBw5UinbAgJUxYs0BXbt3nwNMqoP6VOhHh2ckfBtX9eLWoLbqIZaKtS
L201ET92HpiTZbG9R+RDRNTYNDF7l+616YifTxgok7H1qWVKqOseE5SObpy4vWFHpReXZ6Noxxsc
btuDqsPLm5NR4LmixweuC5rd5XSL0kwzvMvsCMe78twRT4QoiYQo6i0kKc2RiOzRcNblcL3h9QOr
yo5gAdlBr4ru5E0geFVnjEM9m34+Smf7k+zRUTMQovz+3X+oRWWl0imbstrRYojuZhnowZZCmQ+W
z8sDh1FkgM4ZjdnjvsvU9baBpUNvR3asF6ER98u7yUgMIHgK42GJ/OCAOAi2bDkiF8r5ugx8KDSC
xebWpyhMw/tyPstEeFW5ChtP+UIJ1rJHDs8s29uscKajVsTLoXg94BxMKMShfWVTlMjjEEBaUdbM
+i2MvPhWXYo2Pzh0rryRFADCJoPuPTHdLmylZlAlkK6sqEyV5L7Icv08ASOKmtZpDk7rK0PBqqVR
I5GMHpzJy8kzxxSxiTqF150pDdJ5WxvgPOKFotmOSkFXh5LCdtKrDHjW7julfZr13eyZUW1lTaTM
SOAmsz7faPAIDxbjlVMbTzBbxfVCAgL2cGwaad2QbqYZ4YINz7aIEX9ME+tRxRj+k9Zp6g0lu+3g
q13pTDCN7AITRjUkqD1lXtVImnCnNtCxJQluZ6TtFuGGcemYd1NZdOhgTubznOhfc8/I3hcGMEK8
YLJo2TzvJi0s7W5DSyTEAn6IErcoI9F3qj8gZvTgxPPHn75kvhfJiJdxj0Po7PLLk5HEJIEbvYbK
dDnsOBuiwASJdu6qOD2/PtiVM4+8k/YzcyNx0nJt/HAG0aPzXOSfzAhXdOOe0MO6UVZlQucQA5RV
qeafRv0TZgHvIdtFmhOE5eV4cylmtjCI3HgDttlpsJwrt8oO3urKiv7OI8LQWcpS7DePk095K8qM
UezVfLa9cj0l5TYg989x/voEygfeHXIkshDUaR4BAd/DVHEkL2sjd6gKrp32FHt9gihBdhRqXwH7
4y/HKY4IN81sWtqX89ZWzmIh2apHmBUrd4rnxs99kQi6UuiYFH5mKs3JbcVyi/vY8q1qujWqF3O5
7dCHeKJFY917Nu1QK2ubDdGdskSfQivwXslSf3TSrQ8ARdpvrTJdo5+dIJrDlDNlzZfN5+wOssFo
m8EWrh4VFkX2UsRfXbdL/sogUsoFMVBDRoSX06O1WzUioqxH+HlPQOSa/rOdtPWvr7/Ky82CTTJp
HtpSFInou1+OYlZJkSNGQGkZhT2fPkwabMNAmgCMApXo7Mj570qKczmgfjmgMkPyzhfbQexCGe7W
smuoXabVt7kpsrv0IYXrp41TQHrmIPUykollSxohCzX/XuF0BRvc8Z77vmlPTkaNkxyyvukFAnuv
z8vL7cZjgkOX5WMaKvuGn5FtLaA9x4nWrGiDdiQQFLM6+mABjIMPfYVuwFhoB1DE5bziKrmcEnyL
PDBc2G9nCVKIUM+6UGsaLVDafIniWlApR777VhVNH6LUtIZTYSqBXbf1wRnzcuPzIJgbyEouCd2e
2md6ZGgwPpwIR7LpPMdoyxurd1Q8ulK0ZhiYBLQDIMy8wCgl9Vb2Me1rug4JdH/ISuckTke/dVuy
K0ug/rIi2VjiQnYvQEOjEKlpB9/32qtKE0rZbwRHt8dlNXlK2kPPP0oTx8RzNW0CQx3Nnz5JCfQl
yBj4AqnFvsWoCldrpCFTlA2zE8brvJ7z2qlPr69VGaJdnteMAokXCSEp+LFfP+rYLbBodElpcwAB
utpy1jbn25w6JN26BuNpLqo7nRjgIPS5tkmkzLks8UrtHvlgP9y0SMoOcdmaTOImnPuht+JTH5dY
hWv10VDXzilOJ0JvIKaIkxiXQ+GpYChi5XvN41KHU05HS9OyHFflgUvdMn8+kfmeotEiAkErCTiX
42koXffKMjuRra/NrT5mpV9OqXsQOlx9K853uevlAbx7q0lbJXB/obJQO25A10SQhmf1OavmD8bS
lm9fXyjfKWIvVopsxFGqIXzcb/CMul8KPpCdB6jp1NTtEsTeqINBXuNIT4zkdjMmWkhUIgCvZsud
jjckpA9RnqsFPV4CxSHU1MG8VXMD1YhqKsNByf6Eiai/oZOnAfm1mrM2aOJuKKbftxJ6haeBTZji
anyqa8c4QXpIfLRAklBDij0cNHAoSR7XIP239Ob1F742v1TRCM4k1Ufd96WNdjTEulFRUbpSj8qy
iCPKDowHJ4D2o6EdYUrlB9tPMMea9NakD4DU/+WyKWgAqnHq2tE6NDU6+6MXOMxjmOKpESSJIfwe
eswZzV37PBN/RTBPMAaYu/QpM2f33I6T4SvJtkbWhqFOOZpzsKowSaa+0ny09Kc3I6Y/Dwn3I30T
t7/zYnc5u/Y0h+MmwZ5zst46m9cFQMDUxvdQEz6LLsYfGWcPo0e11m5cn1Fcu1mw3cqtG3018vtm
QVvgv4TWDUnWdU5UVBAohbL1d2XOvbfRZPz0+se5dmz9OFe7xS+0NmWN0SDqPb31u6EyPlqDpT21
cW4ELYr0N8jLWYEHaCp4feQrhz94LoTkPFJeighy2fxwbi1J45m9k3EsT1b7MC5oq2tl359fH+XK
6Qg6jisdPVN5Ru5CK1CyS2HDbo6mcsD2sbTEOTOah8Va+oNj5GUKih3XDyPtVl1VGUidlwnHSJJY
gaHXM5YYgLSVDciRo2CZ26lK91cmEe4EMbAMUvfOJgp8jqHtc24dq15uak8o9AzyIzzztUmkGk97
TDaArH2hMG3TRJiCQmHRjSjUqEqNXtqs3w2KdYSZuzoUp4UE0IDl3Rsdp0qXJZZWOgSbRRu2nv4e
tm9+7htQCq+vjCvtD1KeH4aSC/SHBdhU5Qhm17YjxbacN56TiqiPm+LBhIMVLV4sPitN+a/cXQbf
ntr0LnOJ9ca6c/y2VLv7sba/lgD+D2Ki/89j0f9AJ+4KdWeYai8bqop9YdSqeuNomGaGq9vo+ilr
VNt34X4hS5HN65OoNrPzY6vt793ZFH3Y4oBxttcG6Bk6R+1vxaAuR8XTKykj1XfZ5AQejJfUXjQI
gSs+/sQnMlMb6Yk0Es1yv3nOZ83bnlIFVJWqkcCYMN/S/K0xLudJT9/MEvE8FtnbVSi3tlZ/bKwh
WA31sXeUYN4QoH398748Xoj2KNxx8cCGQRzs8uv2tB8HvbG2CEH9+BaVtzFQ0QE8WEQv7zY5Chm6
9BkmSZStrB/WkBur1ogY2RZZfdqSDZRv4iJ+1KbeDhwVqufPvhO3ESVrQEjwWl5UcMQYZxZEJT0a
daONIBOWkFh75cPro3wPu3f3p0w/YLgTEVF52L0URSJn60vK466ixCADxnm996xkOg3ZgPIXflRR
pffinOB84outmc/Y27UhcXF5WhdjPilYBpyKas3PSlmaj96Ybw/2bIN953o95famffov6BgaKHgL
u3aB6bVaO/MJXIvpw5g6QjZegcaxZKWFmyxJQW3cLYZ1a9fEKUw7khp7X1fRNz76OlOYqyba7vEy
BIox6TeKXm1vU68GdOllFD+qyjrT2D/k3b9cmzwORSrJbIfptffhwH93WfPcs6NUYlv6rkLFSE/M
Gys2Kz8vNwR/XSULKqlPqJb2t26qJ4jnZeET2U/+3Klj1EFjPVhe8ru++O4UU4CSk3dyYV4uZk8B
1VMSLER9Gj8QEtXv7SJp3w8TYsZCVb/ZmSPOFZTfyNhQqHx91V2bE7I02nvodMHU2V3U+jwVuZ3H
dkSquIZatmyYFWVH/tAv9yt8NZRAqRcRjaLKePmKoxbPPcVvGm0N7rxWPM4P9Vp+MOFpnPLB+3kk
E8PhEgce0yE/20MUJFVjzDrHjsY0dk7xYmRhq6Ok/frUXWnkMQyeFSa1aDLPvehX1aeGpsw0mOqi
GH1klMqAkvunTW+9cOV/f55XJDe6zrozkgbdafeNq1hhOi4fX3+Ql7OLxTwyk0ghwVBD2PVydju9
1+yknPVoWcvfSVb1wFIgQCde6QJJq4eD9foyVmA4OGN8T8r+KKxdDtdaE87Idq1H5qYoo08BafSn
skrvdbsxf7oRdDnWfnlyp6L6WFAIjNXlwbanPx0dOc2/MH8uVQSiYoLJvbhI2cSF1dkgM9cVjqo7
eurJWEVzcrqBnNRZjyoj1ybQgnwtJxHgvilD2h9uLyx5VwkY1qLFEYPfoFf3RBhZn3pLW06vv9q1
oSjgqRRIqGnTfbgcqlYrFCXQ9gKeUKunMQNCpg4u1mtOXBwMdW0V2vK1OESgSu7bn+j6QiDHFYJU
0zSfjEaIO2R+xSkBBngfi7o9WIZyVV8em9zFFEVgqEhy5h7jx3G9FmnW8GqbSklwpqx3yrB+JeMb
qlOstlWowEoMl9I72gEvD02G1ukRwMQl/tj7UAI4z/Q+KbUIo/vupsHBxK8xuDmY0OujsJ+ROUJ9
b1/22QZlbTU303Dz1cxgGKkwoX1w5G92bYXQAyUVRHYIcttuhYixE8iX8tmkKwAsr3XDulNgImO2
3cELXVshgHK4eUmcQKzsNjNS2hrMslaL1Lwv/TxZ7LBLRz1MyPz9ARLxQWp4Jf4AHqxhq4aMl4Xk
lHz3HzaaROlts4LMdakN2VvFRTDIVBPLL/BkOFUsoNQ30BMPbS/Wz2qrbrem3rZBVzt9EM+iPlix
L9+fxyH3QUZGirrtWydxT5pKU1uNqCTZp7VxR1B8BaZu0EZP0K2+/Ozevxxudy3UaqNNHEH4HvYu
FCi1zaKZ+zKCZfzr6yO9XKnE+2x8qRhDXLY/0HqUFKqqZiSp93HjtfF8KrW6PbCeeblSaSVy81Bv
JYOEmXb5Nd2+RmK38TbE5vr6lpA8iWrgn7eU3o5azN8R8peHC0g05IfQjwUWRAvqciyvbquEbFON
xrGPjWBWl/jzVuuWEbYzyj/+pPRxEc5lvBGV4ap+nwM0FVHSNel4x1+Zk1PT66lyo8SFmBAmVLp3
6+Iav09mbrTB1jhbmOLZ99im81hjoLKBBR7soUOlts7c/llXxq9WPokPeIXlmh+LcfuUb3E3+0M3
QolMJ0WnQ5HPZfmUujN5QKXlrYb+r8K0FB3Q18VpPqjlrMF3M2bzs9WPnMGL7LeEP/v5bfJ5oCjU
DSRzfXeE4OpEz9Se1Gjpq+GmWzKVHDVNf399lCuyWZy5sp5Jx4KiyF79ICU4hYqGhny8KPR9szl9
rOutQ0APVYT8wRKrksNzqK08xMqshWLqTsNbLx8Naq6xsT5kijXfF2M8PA1bEcMMBGd1lJjKM+xy
4bBuKHnJxgp2T3vwxQbpqeyENlBRXtCWt0Ua0P9w0Rye3W0Jl8ZUNt9SdFe9aacSu8449oD09qVt
zdRBZnMIPXCh95RE4i9W32WVNMcaylthx0Z1dryBGCEfWgNsQ9afrN5BJtRoRfaFRvHk3SSZxQAp
IrKb3xs4R0LJciFmNmCvap9kptZ8IAiiDcy+ic/GQBUQ5rOuP0Lz2R4yp3eeVXPBgUxth7oPYwfH
MB+1srQOUJscT5qOWEmgxZa3+HmjTrC7Jr1/WHNRBjl8VZjCVVF/6a0ac9deVbTfMwKUN1mD48p5
rVaqNyjM6ycX7fcGyAhI9SDO0SP2+7Qzl7B0rXF6MLyqJ+MyUvRSUtqRVIIpy7++oF4GECBxCMBA
LYBoMvfKHbNaZPpSF2tkLHZ9LzmtoTGn1WM3KABaKi+FDN7XT3axHAnPvjwvGRl8BhVEEocXTAvc
UmkDe7TmO0udzjqw1NBw6+lgLV4ZhazRwF2Fm89BteLyDCPINJU5p0gyjPmMlOyG9YG52D8NEMW0
Qu59yb4k8NudyprVOgjzDVuUNEN2b4MRCzK7cv/Cu/w4yi50KFqo4kbXbZCL2jGs2rWJPAM+1+sr
4uUNw7sA+iBWYMJQkLicsdktZgXlK2asqFu/6TLDN4t6CxJOuIPk8bvl4O6gAEgHVpAz0yBv29Wt
27IzpnbVwXWYI8WFdKnKTx1ZVXdXKvrGiaCU7UO/qEl9rxQdrOnUmPGZSdS1UfzcUFz7NGzm8EWI
dHrwXDONb8x4bT941L3ToBMK3DcBKRAtr9ZTfK/bRkz7mlp/HGI4s+HUavlRFfnKjmK1yUqCNF4A
73Y5f0WBQdRKdTRa3cK9W+choY3TS2KtqtdB7fbKSalWKvJp6vz0HSRRdQwMxoogZk/EKus5xxEn
59MlphqWOfR4SsjqXxlFIgYl2M0lVbx8wQRcr5Ot7hqRCFFntao5VIz4KL14GSdKYgD52v8gUy5H
6dSugsRoQgFYjfTjZk3DDTjF8qZBACioPITnXl/2VziWVPho1MgqBnjBfWA6b3bZjfRiowrk8305
6FMTaNn2KTFihLfZ3P4iiIa9VbM+wpby3uIiL24csJK+4U71c1dv/a3aJBNWYHg3KJOK/FvWgGma
9fZsdi0RuMj/NAc1/QB9qD44gl7Olzx9OE2pgABb2HeS7V44o9qaS9SZ2hzNXV08pGtmv4+tRcfY
d7QPAusroBXZ2YJziDAlyg/m7pwguJlilF0WNJ88ENx5ltxlaR/fLbr6wV6MPEKkBAIJmodnco4q
0BpzfJMJ48Pr3+3ac9CwkUG37NRT1bxcKO0a57a6DDOA1Vr8BmyrhBxE9+9tI5LuX4pCUQaQwFzV
J6Od13e15nQOfnDOl9qcqyOpipeHJ7md1HojDJRcyF3IvJSZxdL4ruZNT9HonPHBQmgurNZS/+nb
ALgQJQ1ubYkot3Z3jpOnmEaVDDVNc/J5WpUx7IHvHOQb16aX6jX1IGIDyS3fTS8+WJ492eUcUeD+
FVGdOCgnurXrhmDMUj5sg3W3OLMZKPp0aw35H5QbjoBwV1JYUkWSKtIqYmtA0ZefWF8tZyrXlGVd
oKFksZLwWNSTp9I0Wp/aXkMTwDOipR6rYJjX/i7O8XJosmQIqmwyD04KubAvLy2ehooV3R26L6TV
l09TCEofk2JNUZXZxrPoxRbOY5McsAmvrCQ03lFTkz1PqvW7a0RrXegRPaMord4ixJ/074fNHnNf
VYz+4I2+1wB+fCVJWZTFNilJSuq6r+XMM5Rw4uk20mZVx4kvHxA1U/U0Q8o4SwmZk25rfKFPxgA5
q67Ok92M96XWftarajRPEKBzErq2KUzQe8lW+WNizB+7etKUOywF8w65hLKG3kGY/NgP6fTRQebn
z3Jq8HiqccXNJ5V1g/2XfZQx7e9j+W4U4jijZM8DhO7l51JFrZiIh+FkA+LsROrp/r6gz/x1rA28
+IbUfVfGVvnZVYrk1mxm540pFOGj5UwHKUPrWphTd99Vjr76eaF6vJTmnMHgApNOIZa/fprt15Z8
WGqhlGnAHEnUwOXDdkIodryMbTSbtROk2+YQuszbQYi3vysYhQWFkgmVa+Tr9p372OmkSkDeRiDH
oIqOJDplKho/ztbPNWiS19/pBeJTDkeRF3YZQHwJhbt8qTJxKwyugTbNfeGdqnFdw9Gc7FCR/s7u
ZvWAKlvjnbmk5llVcTX1qlw591b7R97NXKd60p/sfux9vdAHv9i69nYeaZoAUz1Kh150wHlWnf9I
aC9y3sAAds8Kzi6dCEqjJrXTR2dtswejTL13+mB3t5rS0CMajLjDj6JrnmFlrs+508ja/wpSJTdz
oQdb3xjvNs88Eke/sjbo49BwQN0CT569Nnq94opuiaqNFszaIfMZaVQ0yZG7w5XtQhTEKNALKDPt
6xhOq2IMEwvsqNeufESkvX+D29QUjFltvRFxbb9BjbY4pcjrHqSiL2ChzD2GApgpATsHE74nYMWV
jgYfjidRaVUfK7vx/MRQkWPpCnV8v2AU9hj30GDNPv5dFDYazcUyH1x3+1MXOUlK96pLPR1mEYWW
y8+PlbOlz44xRdOGGXnW2f1d21HBQlDjSGT86lCyXyWFiyT++nIolFCVbHBRW9sK91tfrMbt2mSf
7Eoc0SFezKt8KZucgByLxACF2MuRUAxvKuFUU9TG2JGqKeY8TlEY7+21S05tgWDLgnheGM9l92uh
1tvJNH6aUsAzkBvLAM0jojf2N4ydMNva5I3R5oK9MLJq4LoYjo7PK3MqM3DXpAirYpe8m9Pc2jzo
k/EI4bUugFP2cUCiNN5X1AAO7sxrQ0HNsphXyuo0Wi8nNe0B5TmNPYJAKdVQM5PyrmnW9m6ZjyTx
9jtSTh3IUPYFNXO40rs1uVnGMqcJbffUUesgUei2jK5VnDvMs31jM/pnPHyHCKzQkVfmC/swOTSy
UhScuSzonu1eEts2o5tFN0ZJto5Yhxmab4kRar2XdL6WbjX12rRu3/epzMHV7cYewZ+NWifu19QT
51gnx2W7WZFhVAUuh+b2axvX+UHuc+1bkO1Sf0Unnx6f/PmPLQ46GXEKrDRSZ4AJNkL1N10iphOQ
Yevgs+8PYYATEmpNNMERQTd/l/wS0a8jFvNt5A1CDVaTsGic46Mr87uW6o8BGcNYlMcon0rUG/Tc
yzei7glMImlEZJgj2t9AVtfPhsoq8JPVce8WbHbgxuCa+lgufY+BdprinlSveqf5VLfzDJVNY45P
orb1sExNowML6AxhB4UoctayHKWAeixuxASp3Sd/N3/Xxp5OrNgyHKuTom9WEtkZMwb0EMXdqg9Y
/alZxrGhYh7tr97cA8HKu6wPSrt2/+QXqd8scxw+CNNIkjCf+qmm2wo1zt+GrLnJy6lG4z0uxZc4
t1LXr83aAu5iT1MaebGFpodba+M7a9Jw3E2MQsr2IMyvptX2a1XEgL3IdPwuM82QjlUzncxcVSAM
KJlLicUW/dt569fsICTbB0t8CrRUZTwgSZ8vrwQvN2czt0RUNtMSqkYhbmbPx6JJaJlzMJY8n3af
naCMyj55PBgre/fZkQ9ZQW1XIgL92oWVp8chCr8FqBu618JR4hA50KMb/7s02OWosNdsbFll8Yho
cJfQjAL2J6jvjDfsFZCjmVkWYWV30pN82rwnqy29kX7hnAMDjvkx4oed+tVyUmymtxXKSmav8Wf0
ebb5tNrZ+tiORWPdmM3Qp5GpI34bd7Fd0LMqN3FakNNfb22vy55XOLyTr6QQvE9ZO8S6X2P7cIq9
FBk1g9R9CZTcWLAYIi/UQzq40O+dakggTCf2MEbOnGQFGhKaijC90eIsi2/Ysp1mNzPW265Y1q+q
WU20nezm1pSOl6uKSxbDmOOvChsdk/lt8hruCgsCyuuB74vypuURrMFTRpuPa5eo8nIX1+2gVoro
C0ohfM5cyWmpVuO4vc02UVTwTZrC19XOqNlHRTqch0EYA8W0Qfm8lShW3arb1Hwzxi0D+kYV1R+r
CgknM1PJtvIWt3e/n7aSZsnWD6dcCLs6Jbm6tWcU6fBzmOu1qd6+/lIvknEOJJaI9IYxQAQy7Zcv
laajMRRjl0UDBtmwlSZz3ELTUNq38eopDuaRmSeCQkm5MUpodF04LcIrA7HAJjs1rqlRuo6bfweP
/+fClaz/53/z56+NWEHipsPuj/98k33tmr751/Df8p/9v792+Y/++TR964ax+/a3N19E/7dorP/8
wulT7//Nxa9gpP88Sfhl+HLxh1MN8nB9N37r1udv5KfD9+GSb438m//bH/7t2/ff8usqvv3jl6/N
iDITvy3hsX75z49u//zHLyCsfvhW8vf/54ePXyr+3cfs21B/qV78i29f+uEfv5BX/p2vxSGGCL2O
ozm7fP7275/ofyc/A0AqQYrS2eWXv9WI26aMaPyd1oncVoBZOQVlQAVpVv7I/TsHFS7S1GilfAsr
/Zf/efO3/z5c/v15mIn//PlHTzl5kF6cfUABQCUCsmSfUGiS8saX68oZK6qHmD+dRZkmiwi0ttC3
Dw0+a+JNP63W/DQuVt19nEW/GI90P+rS9HXq/CoKf2pfcvPZQ+JoN0YqUu8+tcbuT0HAUb2btrRI
7+JODIjn4SGvPHru3DphGnc5wa+nJ0P9MM3UGKV6Wdn8oWa5Byxhzaidr2xi/FktFbnzWHRLdVJp
QSd3LkXNt248VU+ew6l5k409lu1DWi5/tLlTvLfsNZtRIJiU+V9jRtB6crypUk5A05LqaRgQlaWs
YuMKa4y86m9aI5zpgzAyNbtxa8RGcdUr9dG901H2dHyEFRQz9XUNKPOv6tg24rbjzlp8y67aj60p
bOvcQFq0z3U1xeKB4LQvbtPUbqqbYZrT922j1PHtpOb8fmfWXXEHWLHdcNIe3Pg+j6EUwhPrBWbU
cTr3yx8j5ouTr1bthjfO4rWOtNkkfzctyIfR0jjLW3PSZ/cB6KY73Ti07ZuTmua2FazS1yCIk6LB
tAZpL/N50m2hnVqlGn8fZ01VoKLbrRElqaciQ1YMXhHG/N9rYDXGJMIq7dIkGNEvHm+13OzSs1W7
HtdA3DcVpqLI1obDRJXXFzBn0ochr5B4gsY6JgHiPeiMlc2Kr26AmbHS3FU2PJrAbpx55AByuL4F
GM/FXyGQVoFZKtoauJVHoALA3Sj8xBua4ZOCTcw3fNXy5K7T0gbT3ipxUr8f9T6+yY1V69HCxgzs
z6bX1DzStMJDUsOxVprOU2PmaDUl83K78Xfik7VkaxXEaJcgql0npu6XXtLOiDfn/5e689iRXFnS
9BPxglpsydCRGanlhsisyqRwKqdTOZ++v2h0T9/bM5jBzG5wgNqcQlQEhbnZb7/Iv7Jp0lYczfb6
teS1qxOOBy9/bZe+sONgXfLXQrNhjPt0qHqsbtK1PhNm3d9Igj28D1XO+tvCi1ociZZVbtzmBFF/
uoMQPLNlMNSX0VL0hOGaju2u5yx8wiBhrG6HqFuav9LNLPVTNm3dYnGcZ+sOoKNqT811v38K8RT0
kjzw5NOUryyz7N41y30hXWPYAmKFf7xqbZuzLa0l8BIQm1JcjN5051capzQ8e+QYsRmJovUrpZ9Y
dp0tc2u/mGHqnJ1mGXLEUm4taTzo/24IwkBeMPW9qWO+XTu9lLkD6Zd1U6BwFfSmYmofkNTY4iWP
aoy+bCABtQGcs9aDY4tGmTH9cUAKt7/WDZqoNshKF8MJMJ3q0q5Nr28QQtmckP4EM/Aq7DNkHKqq
bp8DPbfox9WgJ1AxOktChAbhLvWp6cfoJGSrwucU9VoxxKyHqAdiydR4VGjZrY1TGXmXNFC+p81c
ELN9dtwifBIlKe+JFtLICHLtWhI9l96yn7Brd79Qw5L6M6gVCZczmKP3JLvBbF517ju3doCl/rFe
jW4+TrQNh4godRlXqxrT/WgSZbetsEKZExVx+RwoR6PX/y28paxif9Em+Lg/R/1mQSKdJW4/DhZ2
8UOd3ix9na3bwvWRhuJaZ+QJhVeC3wL3sCAZWq/n5ziZuUtbu52SGsFJuYdopq3tamLTjs9y1Uf7
cm0N/3mUoAnxOk4YcZfDQlBfWJvO8zql4Ro7blu7J9upqxk3xQ53GM+c3SKeZNnn730IysadsM3q
ENh5Kw4OaP6P7HxJO7e2w5mY6I59b72axeYatKf2RBBn3S6oCZiKSRhvGTHcYSZa2VJs4VkWRPnZ
rwjoijNvrNutYa3OV+5LbpHbR7raNsbKRWvtqPt0NONrDO7RfEU96mfSj7KlfNCkGU+4K5Szii0Z
DC9Vx+iKyap+toL01os0ceq+bSI5mYfDGJZukZAm8VLPooJpkkXMPppgJlVcqmF6HHPCiqs5Owmj
OPkzHqtDvyq6auY4h21ZL5vtWshXyyTtIjTSo9NAzcft7a/F5v3Oxg/fifMqvQ3NyniXSyA2hEMZ
lGOjIP5RdAfP6wk6aIvXksiJTbn6IDlp05RcoTEVv6Ussw1Wk5+6Wd/JMT1ASa3LuJjw5S3Hqvz3
3frJcNtqKyw/xnbroWiaj7qS+AmX1S0R7pPYeIbzV5Su/5uZwa3OzccMy4Abpr7oBkYvalIpaej7
+jZduMGEb70LDEo548hxN3Iv2zeB9xTImemvCPbu5OwXEaaxiNSb9KdLFmBhjwfTJujoJD0G6yFq
7G3eZjaIZ7bhOBen0iR7lhbhsGZFig+kY2Iu2SZNHzaxn833dhHA3DHHG8cGPl7Wofkl3Ji/4PZ7
qwz8LX6Y5mfbGsVPLd2Z7FHbStYmxUve/pPN1nkqe/t+GiUGxcpgwu9rYcVOqo9G3XnxanrbdWDI
QB2VbqJQBUeZcmrInEnYq89Wq+aNh+VJnFUOqlbVtEcEJ/U5Q73WbdJm6WYkUuT22do9K7OFH+/O
SsaLhIbkNNxsE/veSbqb3s5OxLPJo+ev077Ch87xsHKmA9pQoPbOoozbJVjLw6TFRk38a5mwz63r
hUQQGOujLIsyngg2TyzdbpdyVLsxI49JKfesnXV57Ygm2wFOQsfS1KYmS4djmBIOV9J3AQtOmY69
XvwSYlxsQwo+XMH5wyUN9iYj+O0Fb5D02FnBHz0JH9BBBM2PP9WOSDy6/vdF+81fv1m8MsHgagKD
sJ8iax32k3l1wy+m5o0LXHyzQ6s3RIfsTKexH715dp+rera2KujB7mQd86JzIKORSexRyyPe8rsl
G8SpyYazlpUXZxPhBuRHjpulnqyvdG7XgO8g+LFSms5PIyIvgQzaYKQhqzPaNQQCbV+esXTbIohV
SeGF+dVgDP2kERQ7dNkiZqX/I8zaj1l1IRYC34xnX6vbskkvFVFyOBbMegdwt4DLFLeMch/oWTNm
HdNOltQKjq6kosWtaS8PEgo3j2OxDMA161FP3eJSyN0Gkz7L5Z7MaaLS9WuAofxZaevNWPqrH5vN
QRQskNUK4R8HNlDh5B7brPzGoQQmexo0G9kvdyo329PYR8clH6x4JMqPxGj3vvDyO5gzHQRj/Phj
2UcvJq/lYc5MtV1MckqgBkYcfv7vVPlZgOmqfFgyPztiV3zHKpt7Xqlx67j6hld564h1m4X9RxOy
9TB17yY1n7716A3iDA/0ZDGW3y70TtTCE6dzFsuiZTXt+gl6vtMqsyew9fSQtRBW07bcp2l/ytzp
Qlp1/4l5qPs318bXbOp1j1f+bVg5h8gv1g1g2bYlG/CzU1ETO4GZSN/XX8JeMB12q0zvjCAlj2+y
JF9Q2EnYl1vqRXok+K+HzcQ9pkGGhyoI0kYKFMW949w2AmqrQO8QVw2BsbX5NUjj2Wgz4+iM8oue
L3y3sZQ9u+V6LyAs3XiZ96C0TyNGdxpEDUJulvExMTdqbxIJmHRRpLdW1oXq1q1X72Ycg7slhYwj
7Bpcw/RH76H1yTDUVyyltSFfBwFMfTUUsWyM9jlrTfixjakyrJLMu25dsr1v1uLAKSA2g0wPVtft
RHa1eDZW/VY74e3cGSMGlVP/nMES+2sCh25E16xnJaOJVGx+5gfxL4diUB9zpc4GyATXHom/6aaI
8tNp2a5VZv7U9oRvauTl88EYF0ID2FJnb0qkL5ynj0Xv6nhYq1LQZfoLLZ7UyeCIhmot+k1EyANG
Gl7rbTgkj62q36lP0KC6ekysdfltPfNgjaMTp9JXTzoznOfKEtbRLyZ+fVjYRMaNZrgpFyVfWimD
GGVWeOdAFbxl4xV9FUVFEOpSFA+sdYk87Adg1O00Gcb94prGBT4OgEhk3ocWuKinXfNBZ+27W9Zh
zE/b+kOJFD6k37OVkR50Cimr78MzLd43GKCTYOmm7UNWOvfjvN5JI30mqfY16qsnJGHpmw0XYt5H
c7/8oXxdatOQO7/M9Vnja94nPXXnli6GrOGpQBVhWK+iuGZb0jo/g/ilv9SC+W6eK/NHd9PTlEJI
13awZ8Ff8hqOaFR2kzBjWVp/m8k5+M7wGdSB8wHvC3dkdwxi+0oO7XKTJ4qMJ3lXu6ZFxxHqrSgW
P49lN37CTaquyvlow9XMj9kSZn8GjZC+bHR2GNf5T5q59VmmPu7xDj3j52jRXJvu8AR/td80OaJV
onUftd89lEZ+YJIaY/Kms9hTDoYsBNc1cr7IQD2Dc90QKnBX5gPaRrTALwUBbnfCCoxNmzlPdR9Q
kBTpqpJjmh9n7kVUPEOtoOvorPBEZFS5VWVTdEkroBvtRb9e1YdqV47lB81vSKtty70vJ6Io5PVV
X4Zvosef/SkzttMQ3Ho2/TBc9hzBoo98UjVRsvZF/kTIp55jrIKWPws8ki1RmPgtpKnLAzAX1bdQ
VvcuFgwWmtq0krqev7Ox9M4lPHcnyaRZ7ac0DfaVrzl90injeplLeTcOA2fJlM5x4Q/t7eCmhHuo
4WOhFdoXgfM+r82uGP1pg5GeuZkJa9pqHAsr2/qMatFtJCYbe1kbOwZ8UMDqI8UCo+YphVb1QDbn
PSGkBe4c5btXTbfCMRPPazZlXz/7wzKe+1mTTrEw3AYEfstmkic9UPgrLZp9a4rlVFiLSGMm6adZ
Ts5Au05kiTFmXbbzo6z1zpAdvGtA+xx30Xo2bUNDRV6ipK2au8wzj5VvHWFTeQO+s+qo7VxuUz/8
nhpVPxUy4msLt36goJwtg5DmQLz1pdjKKH/NbfNXMd/GS9ocaZPMk+9lNeUp45qVVpMsimRPYMb9
4vLNyrmmVuPHMKVxy/vswtFU+rY1iTMwHfVRqyXdGHO38dLhHtDUTgpXHAiRmB8N5VVX+Rg9d4Pn
397IQwIvJOQJiSnfb+ooa8ftO0U9aRxCVuTY2mij5RVU9iuzulHeXL+7UPZrKGQis5077RsoTdcO
1qbY21zEnY4apv/rJCitKYdOVpjLre6X/EKexjXkzzpkfZO07vShirU/OThmeHHVTSdZEAnWRX4X
bKzFR9AsyvqPI7LTmOd/CpPubcJzNCE/JK9jSNJXkRj6hYzzpAisFAOzlkaCKMEN5v3zRijt3YlB
dn8i+LC7bCjmr9ao1Rn98ZS43Os0DrKW1TUgW71ryCBHeu57bEA1JzEn/UXnSraxS4ArfW0k9oBc
5bFe1Hxs3FxN7ACyras1ZPmOsR9lhjhLWOp/bLe9KX3NaA+Td9MV9plc02GTAl5dapZScbHg3FY2
jv5ONc3+yrP/XtCqZkkQzKelaKcbaenbvuyrT5+yE2vZXDJLr7s5Msw/I8/tgRr0OmWV+rFdnUKT
NUmxwASLIcpf3itH71uylY516KlXz0fc4OrZjP99BTVEBpcnR1CgzW7v52bwgLspM7DWCp8ZUd+A
INYXPfNHZVdNYgbGFDuD98mL/o4P1W9Xth8pR19BH14vz6xdKFOmuxOh+RgUnT4x2l7d6b9Zn9n3
C2FfW+D9Yx4IJtN6y2mCarpPf7HuOfbWgHqswZ/vbq7b9qafguxmWEot41xkqItr2zm0pe8+g+fB
SFfpjVu6+U4Z5ZgYnpQn6fbrdaf10odZu8f9PNoQ85U9Qf82mVCxzcfjDmJgPNkp+8HZ8Blh85aw
MLw8UyOuPTs7z4O9JlXXtm9OP9n3LSjHtprWGwuA6CbEIO/kCSSQGkRki39IuyuXtL8s3mBftNun
26CJ8li7GTVOqPel18EpC4Kf0azK3SiZ0OxJ7Ksw4ElM9UOFAucpxY5mM/f+purn234dMm5x6dsx
AmcXbQTw9HV3hjqjCDQtuJpUx24jy4igHpr+MQ/n6pGlMTEFy+hgJSF0h8WlY5S7TnfDlKyVvwwH
VedEpuri4HY4xHCug0FydtrtsQkLdbuIvMHjpyer3M3CjeEautyVpLB+irSVB8SY9OEdq8PBFyZ6
9/JN+/OfYTXMZ0ihQrETWqK/I8GN3tavRXnx7PUTx/FHhBLuey2IKKJBfPFtaWw9htD7bEiZlmyS
bvyx3gzr5Cai+yTYrUtGOCQQl3wZO1Gxn4Lx6M49TTevRmwMxF2jfBjTxNQEBsTZ6sfRKH8dGog7
A0H1hZ7WvSfKsX8Ou/qnWN0CaAzfxJiU9Pooi2a9tFguNYlRuUw0q38MlT0+tsPcJXPmh0A+kaYj
9X6HtjqUKmeoWZpvf3Ifo7asLsMgLm2fL0eGtGwbYgtax6SI/2TuvB6Qd7J7jMxzYTg5SDOGkKth
0eQ2x5C7CZE+2xbNUD6PQQm5D/v93N1MQXAaGuGFyRotxX3g9xyUjjSNg6N048WedMe/ga9SO2H4
8Zu4BTbwbR7JY8Bq/WGCsf4DZlgaSVVYuPi2LM7meL2usozUNbFCHxv7F0KC88FhUTkb15ZusoQ1
BNRGeSOHNAlAeEgHsbaKz9qW3tZzhiXGxqSAr46tNp4mmc9r5VRZe+hbi1ICN4bTUihGkcT2GCGc
Lq82TVdaS1J7YxdeFVbdw+L27TlvQFAFxm6HwnRBewcsjrdIvjiYRFfTmaalnSW9JezYbfvpMg2m
l8ciwHJia8nRf67tsnCS3NeEsbVFMbF0xUlyjjM1iAVfjTK7nwb12oWVPBeO8SfEfMvlTcRyeOox
a9zQURn3zrS4bpJ3i/OU1Zn5Kp1i/LFxRZtiO1XkA7n5hKqiVV7/bndm08ReRQAF+enkQbQ5wsiE
olc+s6v1z4IBgvbDXB8w7y3WOJI5LVKGZcBjkNrpu2/qC2o7gsz9otsNIXRjtiucSW1Uho8kxDdk
/lJjr5ljI3vJWVXTBvWfeZRtSytpBurSRPWmSc3ufbJDXWxS2wQBK6pMNBuw+6tQfykfRTqCZU1y
2jV5eXbtfmEZWkaHVpr1xUvzS8jpgYl1Z597QgGOpjCfaxne4lB6JmNkz5NYx6khH90AEjBveHrN
Z3BfVt1o/qiHgxEsZ9GU7ibwWgWpoH3I/NH4W5rtW+mpaOsZgK/0z3+urdKyTmwWOvMsF3xiAlsV
QDMCUzQxDVsYwKuNMmZx821+zbfD1ktI3AS7g70Qx2mD0sRB14Y3LPTLo3Bw2kCL5nOVouhI0gJ9
RZiF0VsRRR/9kp1k18vDgFSRN8KvNnllw9m45t+OoXb2xtiAQPiM2YLOwIKBHE7tLrDEZa3VtsQ/
024IaWMfnSdqGKbYHeg/y0jf+in7j7R7UiuUd1DLZueHXX/QpXzKF/PdVWCkk0VzX7PR4o1yi4es
np9lKfpHFtvFRx4UwBj+Wm0pf0EcdddA+LRJs3vDrCKLtLmmf06HFRJHvUZQ7mUZQhzuytV4dCdv
vpmrOT/CJhoeXNbyzAMVxkZE02qDAw/3eafJT0G9imPgc7KiCRsQNyodQj8ZgwM5zixdNKbHa6zb
ef4rIKHQiKPv0vjDA/nEbqSDBqCmsUVsdRNcX+oP+jlNdtOnrVP1ZpSDqvfwE8Jbdxqui6TMVzdG
z4Iznk2v2AH58Y8EfbRj31WaiY/IUTCvcwwEXWVvvHydGenthgyrqgH7821+gwfE22x5PALq2NBk
084T7NTitWj2XRgMFwnz+nOcm8omutNsX3PHtd87NsK39sRRujGBXw9qGIE1hsYqt1bUFS8qc+ow
KRE/oYCc/4xGWcaE73HAAasZjII1OtPvqiKLOfZnx133HH1InEnBEXdhGQbrVtrFSk5zWCQ2hZ+m
2ymViKe5t+4rodL8aA9rmaiCzrwI2yNXTj305ry8lcRNZfS1qvjCyM/elUglW3pyS599OwIohVfV
fC/VON7zLYsZIJZSjwWv6SSrLcQzGu+pidFSOgkw4Ga0/fmsFSBnzFPgJK6MokNnlXa+yYvVAR7u
y/Xg81kixq+n2C4y/2aOO42+KA5jpbwWrqfrjNsa9NujqAb2yWc63Rg2FnfWkNsHN1Pt3ey55dHC
qrhP8mUmYHXSk/FOOJ241cPk/S5lgNuWWCC6gxD9kCM0nnk8EuHk1k1HVk6I5Ky8oC5eY2HO43Ng
uGZM+ATOh5YAHSz0moBsqxcA5RpOA4yhMwU4Wc16iAnRTd+gd1xpMkMwPBmGTP9mpqiCzdBXxvV1
nvs2DgaTz8OsTxtnA8URREWzDr8JUzXTE2bfqVFvS5qdbms01aQSyF5iPU3LPN33i2JdFfX0nGZZ
LdtCzO0DIgLjG43oEZ41VxnsK/byyXvMUhi7uV8cra4IHlRAnG81L+U2YlVkgX5YZILK1uO7LIZJ
OnLrwer1o6TXnv5LUp/2dsNULTclO/j9sNb5nORN4b9UTS2+B5fdD7SPdthK33upgIq4Tu2TmYfm
aRzWfRpgRcqui7Og7i2D5dXkqMfQgwJmspa+gJijdrXVV2eUb8pELq3dyQQd6/rqtuQd3yJfsuMo
qHFQpDnYMkC/N90SXXL4uUeRz6w9zLrYWlVt3/DCr6yvZV+puG3CF9HNjwI63Ce07eIiGvOmLM2N
V64OTHLvGFowAablXhiqAGLNwvt0UW9IhM1bYedrohr3LwLgPq7JPsaZ2P4Il2bgQOq/Ij0/16Z8
t7yy3eYjawVLtSC+Rm112xRiKgeadPfpAl0OqmQamxxV24rxd9vhdgiJsiQNW2E/aSDvThYq/1PJ
U7pdpViZdMQgbliFf1guM9UylK8kudWndVjtizM1OQw+he9axGhPQ2ANUiQB0HdJf+Qa3RaZRrjs
jTosAPpKeTdF/UepGu8IzYPkYeF1KRhwNwZmXEvOoATsF/SvXSyAwqG8StZQe70Ya3NuHXVus9W8
4J3u0jWCpz0yGLL2nJvReRl7UtGAoH7h8Cnn1gJjJePLNA0+2SnLz1YimNCTHpEgZs6mX13a7TJF
oDRIHby5vGIHy8gaMnBTq8viliQ/Rlsv++vMmNfiGNSKJbm6eHPq8rbRXdJh9P38VKL3YO01VJs0
z9Mnu6+ZEPORBy1tQKXYXg6vVmiUazypxuE3dO0Rj55LWonq1p57qI8zrQ2HifM+YNK36TSgBzIc
TWtkvPdE7LzmmUHtMsG8/KQtrnnZJSEWBM3+tr3vbUWGVJtSlrFFUvXVyiDjPaXXWqeuvAf0EPRL
9jZTxmaixid+ORHjsLoB7z1nL0v6O6/o0g20235TpISy9w7RNUFRfIYCz2cbGu0urfEr01FPTfLc
9I1TxrurazITXD/NPrBi699xXWAiM/zYC3DGZqwyb21EEtj+19FtxuIePDJoHpXtDTuug3Vcey99
HxdzObWTFbAzSJ/q1P61l+AhNdzDGEyASqld/7LMU2E8j2q+KaI2e/CZd1lOueRNW9V6gYJx03dp
uimisMJulMveEko0mGLUXIgRnvfgr3dLOJXYTk1C8iqZaftCYEGRzIbw76ZxfK1sVzyZnQaXapep
5v8wUOo4z93UfZBj19+ghWFWC2eLrWJTZqGz87xhwres9SErFJasgq1muKpYGMpxSYA1cuYK0cO9
6bN1eBoBTyysJxZx8cxVktg8lzqLVduiC+snxQFA+LknsQasMvsmJTnJfWbU6zIAqYUUusQrsZpg
32CjCsoap4bArC3IKdVAxpLrT5qYk8ox9jjCB0UymSGs7HDuZkwqVkh4EDCsKUwkb9i34w1WT3K3
yb66WSHxgByo2UsswxIVMefOmhJWOvjnrrBKPAQqe2bvsnqwjRdevy16hMpN1iUwLh1UpGrj1pDt
E97UTCQyE/WLXroCHX0bOpfJy5w/hjYBE+cQd7HUyfvXMmwAiGe3FpslHccbP+uhCLSzdj46v2vq
G4S15lEFS+pukH4D10XwKt5Y6yt3H6aj/smc2cGhNcPni+BReosO/p+8nyrTPXarhwMj/2bV4bQX
Lt2NaQ19cXCIoGDaHQ353UBDw7hjcXmZ28KAYRR2sEIgv2CfEYu2Ue22Rx4r4p5m/rsIIC/FpHvD
1nFqszt2gA8OLfCIzUPJIgyyDquwKGZwzdGLTwtcqbALondr9hSAw8zue8PitH1XvRhvBtTtBGHC
KIYrwAGR7gy7Hee4mQL5IaTNu6bF/JdvIcEnqTHXTRpGKEmWGpaxC0ey/KjKLQaTlpvSdFu9VsV2
CCAyxX7IDHnFRK2/FoQNeerDtZ34gtxqJKnL1GCIMfv1nnDuJcM202LYhpDLtJWj97t0dS7LQ28F
NoUkDA3/ZJowiLaytuiUsnKOMgjdqCEfyqqnufaACX5XI1qes9GJ3le66ynp2lnKW223dnXo5Fw8
jo7ThIc1NBXTaG/3Gs3AMvyhwuEibJdwAQIcixNItUHHerxO2UZjnUvv5MnsVzpEfH+ZUasKivHi
zzs5M5wlld3K7ggTLpo31ZiHuLNUbZWM5eIXSbQwwC7M5u9RkNk5VbGe4YoHdWXG6zwsHRdpdCT2
0Yqs3M7scY0NrNGLLjN0uxuYdW104NpDHlplUag9+5VWJXaWrTk7wNGuvsC6csEWtLGGRz27Q7Rl
UJ9YoLZ1nj+l1lI0u3Xqa+9PIyi7j2ouQERh8uRd/4W1a2EDQKYY72MWujYPlZqo0HZOp74brGbU
W68fdZ+k3szGzYPTSqNsD2bxf1Au/CvhG68107mmeaBrxWrH/J+kOW7u1u2QtfronYsTxf8/VO3/
QUb9F6Ll/+C7/j/SYruf5mnof34GeLH/H5BhCSz635Fhb75a9c9M2H//6//JhA3+gVE+2TAW8WN4
P8H4/08mrPkPxChXFdo1CikM/okJa/+DaDv4rgCUFoYlEfTU/2DCWs4/YIaSr4p3Hipa5oX/Gybs
vwpMDBtB2PU/67/RqjvYKPA56+jorneZu1Hm7p9+/v+CYYs17FWt8188///66P/uG5JnDV2PgX3O
0ihUvGMdUF/c8ECfsm57J7cf26jyLpYyo1urLO3zUDT238Zei+xQk19Muj3CsiGWtjmJ2OmsCl+N
3oH5ELTNriMxmpoKQnXSqHB+nGjQBLNWmqg2HeZvQxqFW/R20x3BInBm6wxve7kunxQFulPoAa8S
V/qnUIbDD/t6ezN3ZKYm0POvq8chegqHVT8qs57fEcwtd9plPRKuY/oh52k84idJ/7toxILxEhTi
F0qJfCx8w0lgZjpPnjfKb1K7LKC2gRG0ve75iqiAX+gr1QwHW07Naa1LW1NovP4I84SVmjst1Xb1
UgTvFhSYTS2C6m0wsREyVVn6Gy1qcAKOmfshWIPvpoMyHOHQuKNAFfJYGlaxVb6u7+wgXWB3MFQt
sJc2Y7oUZ90M+uxGLd2OIoP7YCM1OkhDyXu0kbCOrN69BSQsz9HaYJRfLU72k6l+/nIRV+fJFEX9
thHBcoFU7eLstJbppUSYypmMsBaqL5G+8ARuFXuE2GUdeedLxJOJ7evlz2zP2cdYuMv7NEBqaGp2
AHkdeI+qHoMNt8/7KFjwPMFqiMZE2l54iPSU3okVqbuOhonWBI7ckQRUvV0KQwyx20iOHiusYSox
2oAYWtcd33Ba5jQ4FBVYBruzQf3ahu5o45WynoO1DnHCKGY2sRWIfswdzJ5GLP72pLr5h0nYZkxb
YRzNYBJXuX3kPjsj2Gui68m571zjaiixoDlYnbLdwZpWTyxODZrJ6/yDtf25d4QJ/0IB5a5eVbsJ
Ypf5MuSFeeeVjDUJ8MhV/2TM6W+YaVR0LXld7kTs4a5QoYDXl+stD+b80CN6wU409zZZ449gLqFi
m95V6cuK7i+Zm0Xf4qzdHBBwu68FFND7Fo/ET4zZ8ltPueGdPY85uZGTEgdaZHtHHAhwVoqDxYvv
L+H3rBSUIgR1mGl7orvN8Hb8nbzi2oqVRBwtHTDDzpFtcK/HxTjqgXkwHTO50YWl4A5V/t9aufnD
2DfFXZfXEBC8BjussJbfKsjdc1l27BR5IRikKvkwRXzx2gjLbeuKAQpLZETXxV/aw2lS1sGaNSw2
h9/3N3R7dayNgviAIjQH7PrtwNrAUyWcJmikwWZZB13BOoScqo3TYB001mBbei3mT12s2bs5dulN
B5H/7EqrfSlMiR8fWMddGQ7wBNhivg12477g/JVdymIdvybPERbUNl/tfK7MaVoz88njebyXOBF8
OVNQG3D2iuY4SGZsKto1JjaPWEGb5lPWTS5fbbHuXF078kyeHo5CYzjIR2NA3wwWbtzCKYy6GNyB
uSdvJjbPqKyhtoZVZ9/PTRuceRRCMHbeL187y4NtSpRr6NidDwtPgDpRIeHarp7oBSs8fY98Iq9U
FBkfvjaWl5TJc79Af3wekeDuWCoQTg2q4scARcs2lZXcuyCSiS7M8TIp49+IO5Pl2JHkin4RWkAA
gWGbyJFMzjM3ML5HMjDPCADx9TopqWUaVlrJrKzLrKvKHpkJRLj7vfe4TSK3cN9ta17flVc4h4yh
T4WJr5enaQjMHodHgchyEX0XSO2S5WMbk6flVZAj77ESZX6PuijbOqZ19pjl8HJqljdcr32TcTTm
k34cTZKfW5gpnHKBYz8ZhhXPKwiFYRsuSRfz3RPKx+EfnMo0CLGlkCe6z7XTnuGT8dMoaakfbFr5
r8v2iZEVjwPLBoh4TRssYM5BVTlSCbAtfJgm7B/DWsptlwl10Cof7nLHGh6KKNCncVrHYz2Z+ptv
I7tjkCtvWLUa7X1L6zcWIKIJGIbED66jmF2aesR0bxbR2DHN4Mh2SQyICWlt6fUY0RK2ltDuM1SX
Tf4lHcEOXadI8GIv1nSHdylkhWqdC7pR119/rKzxD0mr1vbArr423S9l3hPdX/pTx9TtackXfdSe
FZ57u1zvweuIN6/TK0ZfSFUvc2Hrs4EZ8blaJeyvkX5bO6t7Z9Ng46XQypwjDoKH0WUshZWq3/PV
brplLh4pPj4z/MG3a1Csx47BFNHIy4jSt+j/1xTXAbV49Ezgvth3Hh0OUc7iGnZRn26jiWOm1X3+
t23T+QTtCUIRGYiPdC2jFzGTWsfDYsPIS2tDN1vM9+xRGE56WGlCUda2U9hENyzSyY6qtsnAhJOa
vcuVN2NfjYjuuS7ofFQdXlb06k4t/Z5JRPYG7T7a6a7vnma2zPxJBWYkQoF5+lJ5hdg6nWX8mMMM
uXtF8QdAa360x/BxY6vE3Kg+wJHkYwyy50R/NAuNM+p5+2GF40pqz65wUmaGwWieewc8qJf4v7Sn
aoOLqroNk3q+i3BfUsbMbXRLGqzaRFAXz71TuyedYpkuMpK/AjPsfkK8u4UgkF9bUep/OKXMMRob
5cfQObn8oYhNsedG87hb6IlgdlbhA+PyjEusKJ6ydkpP4dyLk8v2mKcZne3G9xrvCtIF3tJq7dqN
x8VzcKJ0FBso2WYX0JAkNOSJda4rP30fNEEvdw4wEa+XPAyHTF1ck6t10QemNnqUo5s/eNqpnzmb
u8OYNCOGj45QrZNddqsngOoF5jFdEKRuGvs66RntSAARV0MSWWc0xfGR0c26ox5iIJ4wlbhJvImx
GqKtxsbdJHcikfmVHPLxb4/kdqRr33Xa6ZnYl4XaLdHkv6VLroHTkzhIBs87m4to4g4Y1/E4OS4u
AgcvtoP39ZSL6gecEcPkZBp2iNTpNuQ/eYyKXKuYuSRDYCuMHmunyvdWOjEta4Pu1Fgc9R0clat1
CBnJ9NBY4gxW8ScSfcsOltE5tnPVYiryQxXE7dC/FZWf7xtgDfhbAgQOlWeXVjC9GvPI+W0cF3ii
bKIg22A2DOKFpPpZAy278N5m+4NlgflH4zXhPi/LZtfgo78pyyA5BqUHoGthbLk40XACRwOK14NL
G0fePBcxZVvebbqePeOllBbv29SKDblR92ryeud1ZR3K2e2dBYP17J6KdvDeJCH0uwUz50OfSHmM
sLcOB9na1ltkvJGSw5qIx8+Ywy6Uu/ulgBNQRdD77HyGH8kz3T3J1FdbIJV5zLXqqp1sieaAU88Z
dbbeyHZ0X3+Ns9Nuukrf9pQYB06wi8E1YYYxGJflkJXlnDiik7fFsefXCY7qs40V63lO5uxct+H4
WQam27EQVbJ9YCLJXrT+TxJqihIPE34470ybMJxJ7BKbD2ycmEIzeMwYIh40D+pVmI34/GzSMLdz
biebBJLFbSh5HXZKaI541oAxV56mlxwlkE8zRUms4Us9ZG5S/JWFUF82U1MPlEuRnC0lzINLMbib
qyW8DUUd/RamIuRSmGFYNmtZlZgO/THcCHSnJg6ws7WXjBOj5CQpeWCUwVbr11ixpVr0q9BB82o3
U8n5J4ospqVjs7QJ8/ZvD17npuxW7Ks9oEHNUgOxHqEA+fcG3O2Z6R3ryxa9VBjRBvLr0JphvtVW
fawzQiVxUq0umGLVHc009dupzsNb7FrztVqQmpErlHWARsAqxSghx50EenJj103957AJNdvsZHjd
9pffCMdvgC2fdgdEm/oT2Wl/713aQPxe/ndOYg1pNhmOSzVj90ChaizYS031MKsCScPD314kOY9T
KNXruipeVXeug2fqKpzwpVlu6lRgdy5dOZznqfV2tRaCR4t797D45ZhsULxRKVxK4p0Ia5bXFu5g
f3vMXeIOeL69Cfw626+zqc6tBGpsOYi0WTTWPhk8gwg/uebZiTLFxLCd7+UaXJbDiOahr2YPdkyY
k2y252oLMWc8OBpT6lZPQ3flOnZwtFJYmU0WSBADorGOSe80zxhM1p+cNi1uZK7OkeXVMbQt8RtM
zIEa3+3es1bq62Y0wxYRWny30ch76NXydlapj7Fo7VezQ3aszgGAmIPdqektDdOFq7pXV3Mrgvt+
GtqnHmnojI7QMRB15bItsGDdcy6qb9Hk7qswTk5uahVE80r7soIy1NhHyTA5WIYWLLJdjekKIHO0
G3pp3Tgga/H5FkJfh7lwb6Z8iA4eY+K4zLHfxYOBcIW1lBbUtR0211mj++44OPBrT1Z9HHjNGg8q
8PY9acwPbCnNK6tXueByz3ZRUxsfBV5abUxRhzGJUXMcmSr4UYW/HMLWJoffpPWtUYg5OM5svuWl
3TW5mAlQsOH32YTl1LMchQvehDr6bT0W4RCQwdgQqdB7E3NSTxsr6tdtvcr6udfRfJqiJHohAsbQ
3clHmOhhhl7eJAOGdci3CalbOf0Kf64mNBXfuV8HO/jbdRenUeFgIJJUurfC54khPNFW9yWBmUJZ
1nbu+Mg2kieJgnupxle05BD3LYPf63FVgmk6juFrlvn6XyJnQk66V9xjKwieMR2heyfpGuKJtDVW
hIUjnRXZ0zlDgL7Jh5HCwloIPaajUTfCStMTraM8yymgkOYu3xZ5lN2aC3GsmHT+5eAt3EPD8R/t
BCrWXEU9ij/7tE7uEJbQHjV+wMSqv0OncvetoMzYwKt9x1C7rVwzabJcoztxw69BXGcieUE36W58
VJ+byWrsW0Ihzn6YTUCYy+KpKAjw3q0ukdW1t4KtaWznxYQ1ckKV+zv2jA5Pfm7Z5yhJl7fRa8j8
WwRxb2bR11ciqI4tcRJRzsWmtPJy3wie0/wkGwykkoWQP4E/FJ9r4UJjY3m42vc0Tc8Edshiqqp4
CufKo88EiwpcAgoRvtpXViya3xbbxIFpcIpbUoFTCTokv1BWnzOMBK4eav9LULi69rnhtyEByph6
oDwXIWCXCuw3CrWJ5DVfC4qjioKvhSYAglS7RmQHHFVcC36Ug7fAtImI+r0yYwInkynrSOH8PJPc
fQpr1tYlI4GlWtcdKQ0MaFzq7J7pqRe5fYL2pCPDDmTKShyMro4VPpXbCWDhzD9e1Z8w7z9IrUp/
x9h7+kiJh14Y5PY70wba1Xq8PPshXGOytfU7iPMn4FN6F1xcqlXW0PVx56EsQrk5Dj5mndiCiV/g
8QBFiB/AMn+CoHgZ7IJ8obs46X7ERvTgTIV1gyzYvmn3Equ10JJTbL+Yh/XQx7QuCRuH5hVnBrvM
bBu/ctvC78HJYmhOoqvFGdKDQYCrqQouvzcAi/a68teauyAqjyzosG5kUFOwqzrCs2YEExHR+J9k
lpK7BXvDZgYOSeXWV4eGFNFeLVZzO3Z+echJot4MrG281RGCGc5RJukbFgWyrKrrPOxY1eySnbG7
9p7MjtcxawmHI5WJc0U/TsHll2n1ROJDfaRY4K7wJuM4gtr1WOogwtjn+HksiOCffZFqcC1tmv1h
Ksfu0V6XIf99R/sVJDq4c6tGHKjx2htZBN2OhP2bsllHINnGAD911NeAzFGV82ZYMGIxgiJObq/i
iswWJVMBj6WhQG66R5dcHvKURpwZKPok7ic+VmexwmrfKbcTm8oToKbpcjgLhcd1uB1J7RyH3O7/
CNtZDpclUAPh1zZlraUSXM2jMz4slRdGl3NuIB1IxOKezjW6jvq0/mtLUHV7p+/6W4Ad/nmcbdem
9GIH1RrmhG8CysxYWy7xsRAIcYnFafGR8pfK+W2zonzzsMd2h0wVFq66LBl+yAQphgsETW/mpQzv
3WnInC15rsp8B4lZ71l76jd7DgAHD3ACp5HM9MVSArCIZynPpHqccNXnG2EgfQ06b3FEmcZ79dhR
fqrbAGATax6Xne+P4xsbAisqZyu4lg4h4LaDKMcdin7Zkhm6bbuU3Z1s4WYvBetT8ONxf4iN49jV
G4wgxrvCbhG/lbxYI/BPEmEfav/F9Tgi7hOpzYF0uzwzcQiq3eiGM36QYn4otFjiyZ+Hb88M8/Xg
hgnJw6EHsR6MEmear+eXRbLtjzbSe8HabH2HmU4OPqLnjV85uIQowMbnFrLkIUBBuRvZWP9Rr5og
m29buEbWyjy0xO0eWAKkruyVnpH6PaxPVR6FC+sFPP3YqYYAKLH1XUF2QWyIHjn7qDUs5Cgs7HmE
WPyvMKXy2TVkE1guUDdqz8Cj56gJzFPaDuMe1ycbq8vasn4RrFc2HXVRfSWJ5+4jtkF8V4VnH8eV
gpb8BV0gOE1z3diNdVssuXOaiczsp2AAl7AqaT7DJeW9g+dFIG+0KELrQvE2RVNGlCk0p4k80tNi
lc0H5u/shxFl8O57WqGW1f23mSzvxi7y9dMoQ7DVhwlFXvNdOkb4sc7d7oxB1vtsxLA+Igk46w7s
hntV9lb5NhCTOyQhcldbQXPOchd1ktZGDS9J3vluXJddc5ePXv/X8wuu3MURLBEYopIMIjUpKh/L
6d2yYWcQQuprKJpyExWBdzNbQu60XVhAC7IjFtu7REyXrAn+2iTFBVLSgiXvYsyy7xxAzD5gacFT
4lvi4KVBi1dV2wy52qDMdtngj3RHZfjG7Fx5nFxV6mzCsLPx7esmfG96YX717Cwva1VPV/4iidc1
fT0eVNTw+EoutSuBtyuPmfeZLwiYHDlehdROtN7nycw9DEhtIv9mvJjYZ+F7bVl0UZ+w1kLKYPHq
IfcX0x1IwmdrfMl778piJNqEZXLa0e3NdmzZlede2A1I4dU6htf4Wzlfsmhu9lAb1McwNdVHHyjz
BH8/e4x42hhO1OomSyNCPYyGDvNoWYeWzgcPDemRbzonmplu9aPNlC5EzIwfTHivgU+wDcK/Gqgb
GZdZTEt0PZEHwsv5LA2nH6ARvae5qKEn6nVX2oN/NxDtfCAEbMfCLtJNoLuMCDUbrUZOGaAC7vzg
Uy3sVGos0qKeu8fHRe+T6OkK6by5nZmKvuX2OFEPT1Z9KnLRxhSp6WutGIJVtSAYMDZOv/cnlsuS
TGq8rynPMLguK1k1b2w/otQNsVUO/c4mWoGQgcur3nhT3m35wCrWWGtNYZ5ETxlhrVu7TObtrPCa
jcIDQKz6/qiQdndcCN55yXSPbW+1X0tpZ0yTVMWGyn6p9z3SyXW5VNVD2Yz2cSaEQS/sLiTdwybf
Kkjyf8qVbjR2/HDoDo3q88Ok0KOawA5vxhSD+1bUo5q2IWfc15yWet6TrXfeS9wdhEWwKF/VxLHW
k0obH8dPGWR9LO3Qf13Jv5xJZuqTk876bA0AR2JPDkQJhhomEv4YLAZ7RzRzfWKspF+Mtuwb9tEN
z9pWUCpaRmsUce3FMqdx56Q7qnvAWT3v6FcG+fmVSSWcpWxNzrku+rfcT+RNr72USXTSJTusNzlz
egN8cQNSenDiNc2D8GLjLkkarT1WFktm5VEMRMaxp2XWAGFrXSEDOIkfew68/K0/jPNzlkQOdmNj
fdaeC32hGw2DRp8cfYS+5jZHTuVp4nw3/Ru0HDljCxT8GyB8HO9gLww/dpZsi+eGhIkTe5y0f8dk
1fZmXPwipXEZGnkspF5bzi9C97FG7+MkibD8xIuPpXwDKCh6IJvSlHt2o7n6yFmWkA0CRE5Ml6vu
a/WcKvmUCa7PI+w8KHZ5SpKfXy3vQETGmSkAN5Sl3/ckPC6ntTfL6iubMVHcppZM00MaGVE+jumI
zmFqP4ACEWD128xlvvxYvSXyLR3cQPQ57GnSvMi40ampZNbEVmF1YQyoCPzLmIUV24wbzpfACbJ0
HypreKzw0szYRiheDi16MFPOUPXOoTGCaA2mARmr+hK1sHlJjLUobuxqJYU5DXQpUPlgv8CpLY/M
C6vHJo+wKpSp9ZJlwrpziqgAPYQ3/I2t4rm5nquxfezbMv82/dQcytz099AgWqRMVR2IIuBccwP6
bxZRB8s1m1l6jPosEvgFxNssm4LVJ0yKp9T5GNw1MuBzGuoy2x9olAiSBS8SKHRABMLgGyH2hLfC
mJeARTBE5PM2cOOhnfJjMEO5QLHKYEeLRT+zZRayjN37J+gbudwPiqQyuN3672rjyk3TcTyEzTjd
AGcQZ8656c2MRP/Z54E9vBqi/HpQafdWjZkh90KerA1Uemz6sHxAcFVXadQxlClZdfHcEu/+neyq
+hhn3cBm8GWKtsVIKp6gT3ScKJ24EVjJ9jCcMFuX1Kk/I6ck3rYoKq87gD9PmSMw0Ea8jXidZjQk
OT5VwTCzC2bySF0F/vTUr1P2OOZgfBj7NqSZFocQdq53bZhWN8rHWcS6BP1cBuR/17Hwz4Mr1tMi
DQLdosmQFBcSQtpinm5b+StxrtxGql7ROoyL/pYppIqcjXmvq6+LvZt1xZW2XVBBrPaM7bHoL6yA
en4dswoyYgZm5YTpDRXEqf0vjFkBoKOSYORijd195g6dv+NNsd7GIqlppdnkS05NYWR37WHeX1hG
zD1m71WN/QRnYvXzuwRl/yYUF8qFPSscpJ7f3WKCpoPoQE/saqhVjCfY3uxuRnjD29kOl7suy6fz
iis2Dmo97UL8PxPRdIcA9zyZGCtCul0YT38UoAbAVDSl/swT7FLE6YfwioXhcEfzCqf0ZpHO6pPC
TZyZ/rdzvvvaacjIpeY5UCV+2n+zT/yfjDTPTcVf/9Mb899Qc4ef5gJjG/7nv3T5c/6rQec//tz/
V5ocXqR/+Sey7X/B5G7Wr7r66v+rheaCL/yng8b5hwOvDYOMD9JbOv/poIlAycGm/neS88VDA2Xu
nyy58B8sLAvJojv8DysSQKf+h4Mm+kckQw/+nCRLAl/Q9/8vDhogrP/dRBPg1ZWulPxNBHDr/hdH
E9hdBA6+FodFmU6fB2HYAGSJixu5Mj3ItilyEUdLosBXWL5GtQOvxg1KJnK+ngWprjhQyUyw2GvF
45oG/Ztnd/Uaw0mTf2EX9aBN5rZkXrPm4DzI2FWY49sBHoFmN8Q+qNjJvu1ar8y2Rk+MEANK2SkW
zrDQmGZ4Zg7TKrALuuiOzrbzU/WeNpdRS8MmR8QGitlxk1aec6gaao21W/E69nJU2PUTdswcSwUP
ieA3+sfW50CuN0VRkiPlh/mqUgjLYHhavMeYO60ffmLmF2Iuuyd20c8/WTt6tKV5G57WlFEwF4/t
nPGxgrVISHx+OSP3TIi1ttovDErcA+0BcBUTgblg9q6zZUPK0sZlW0IRQrSYvL+tTqMP5PnJxt9H
kxqXtmsQuoWSd/3SeuKArCRRYEUw9XHYtowQFFzCTSoswoseRVe2gVPmNMAta/3WZsllOCoYnvd2
KpdNGXqk77NE9UxdxPAq1qL7TZcSJas3boA/uQQYBm1F8iOlnmMe00T78LiY1ZlNQGyy3jZ2u/yx
pmAlqOQmAKIa4XnldoYSddfQTNPgBj0tO5oc4NWy6mmsBZGka79ooQAtsoBSl7Z29d25l4QAK3YN
8adwaN/9AhlPNt2EkRWivYr9MM9vDCBAdaeDnt0NU55YHHjKlt/I8WDk1zyY/gx9Z78DGMSETA06
469vFwJc5dBNe9Tg6TdweAehCc2R2ZZUM6ey94b5ityoL09r4lrLj8RChUceWszvomksycA07XEQ
DrXmKIORfUOzWH/MvHLX66ljUYOk4EquGBL51xcuWxO3fl47O8zwpjrya9r4mMMJhFWmF0IibZI3
4AQy3z6t6zj8HUDKka92EjqvCmJrtB/TYRgvKfgcsy/2C6rcFAf4hmkjlmHldOyks+wJ7XvK38ce
IfGqt0l/+BR+4e4ClnVx7w+hiIM25QbGwZInMYBX/lwWkZb0yCzpTA+E6Gz/vuDuw00zt3kZ+9KZ
2hsTsP3oKJXNqAKZ3t9kY0j9iSC8PK5Dx4IDKrACNqlf1Q/CC5ne43sL/ga5LZxdoEHCU3tZRLfS
0iYiOTcaZ3qx9ETB2twjwNAPl25Kzk0EtGeplmw7ugAjXIBjH91SWcsGvQh4cbX2OGKDS5u5melc
CMwJYX83GHZvgnBYvhC1Fm/rl03mbRyLQmDbAGaSu7Jfy2XDph/wAxwDo3VrYX259dMgBZge2rAR
WYpXYqb1PY6Nll2RkNkojw7CddcPIs9rQOVCLUdlbVPVlBHO24tZ/hN04gyQxZMlY3o7uLZNG6Kw
IvFtGGtSJ1wgw2dled5VC4L2Oaq8McTJw840chGdlW+tWlov40xSFENAviD2sixAYYc2+pbbPWUD
+yiG72GJ2va0crxhmC9s854UBWGMYK1h9UXLbL10hLiTQ5SSnNorX/Ss6mJtstlzchLu7nkil62f
lRqzBccycC/TtFvLDlOC8CTx974d4UlsxCSsbYhC/6A4bqwXnTYsiWg6NSiwIhAmdqTJg7uIgRi1
BeuacG0B2CDGBCL+QcJXI0vRmgsPhFlRuK2SrNK01lMARaGWnLerDewilj7jza2NOh5to0JmLyGD
YkVWuB3/RGSQEENbC1i11Q9eEHtTOzSY32R7w4av9o/tFTzXo1/Cv0qrxinjqhtstJI5EviRxoFr
RuV4Kk9+mnNIp0LLT1rRxGFmNuU3FVWdu7Glnx/yuWW/aJfpqDwJ/PoaIcoxf0Napvt6rQISYyDP
S87kChcgJRVbyDBR+mqfWXnqk+PTRbSpVIMXhBpzYrkI+7EJ63aidTcuVfRDDt6mPDINWRhPegTw
2RkTfQS1K8Q2Bw04xAQGLismk4WDe2B7h7fpKQcWlm7yZMBY1E295TOtHkN2GahtxbGLgWHImQa1
FxbARiwy/YQzMrxnFVn0GPFVko4nAXKnEGbxMNqJ+MJ7iiWwDAnVHaKRzb2bPE/1rycDFivN4XLZ
jDNO1Qn/I7J8prI2uq757uhCGaBXO1kueFAaN2cqCeDV0ExGEOmWvvSCvQ9Khel5o8pdgIup3RgY
uMzcphBJhamkhznPAO1Ao2tBFSeNOyJ/WZeZmsmr8ikpUtydZCEjN5ZtI83VbCJ+cjMJ+7HBEMmT
1iguOUCoxXkhZZ1s22mZSqa27KuKPY59B79P7T+4TQSBiGxk9YH0N341dYeAWM8wJY9z24VTnFkl
bMB2oR6vgaCM2Gs4c3dh0+Sv9prYA5ITtQnjbl9Zd56bzutVk/kgUEQJFh8pPrH+KHIlKTNvQkWk
AId23fl130w7roZ+B4kh/INs2BU7A2vgTlIZ2Sc3qDMMmCLr/V0gINlsvCFPfn0/o9WIpJmPHhIW
3185dU/ABpWOS3prgXbMkjSejUyOV/PcTRlqxqxRPQ1O921g5rHfuFAK1o1iWTu3DKUc0rZAH+9G
B8AMiwi4l6OSMPfgVleEcoKr0i2wzXoWWABnzlkoNACm/cHour40zM12dtP+8UfvOrX6mxGvwrrR
EEL6mA3DwMqq1voYRocenFF0NvRXGO/nuJV5eipK277gGPY1/r490dKMCxg9NeqjY9iWJ5YWjARR
M2RiezL80xF++Y/0cZkkl9M2pRIhWZEoYtFF4wOnF64qfo1sDSGhrtvOEkuJMKW1JTMsi91kDGAS
zdXMa2RNkvAi3tRjSuAN6SG3bSsm7hfEHPYM09fgWE3RfaEX6imIcrvJbtyt21V3VgsDzVHjvlS+
e1/ZcrD4CSmBNhMBBkP1kSrM2ZDEwnS89KYjg0O/TpsT9AyCUCyNTqgfhf/owbp7bTGiMVHkWWAI
Riip7S8EASIMDHYtAzyQMWgbVm0smFX+SUBF4H5FR92RAWmP6wWGuGHj9UdY1Rzq1i6pPC4Kwc7z
DYsx9jxcRKX9zuHjqb39ioNYEglxuq27gNRRkXirLC/cD3WRXaDsdvI+Q0nYLUFwmhJbL8fKpkAk
6GN7PxEiyi3emIzhsdZBHPT/9tVy326rZUluAhaFxe6ETDdknqPBAbgMEWge4RosQ/nlKxV9jut4
1QVQN3LAd7B1s9su0c0mTKPkVpoQJgdUIJCwAREuFjVsyKZNxykJrUORNqDOWJMZtxm40WBo6weg
qtaxUdl+6Mt7qzKfEfnLp25C7Zw0bi/XlDAGs+4xN6PbUwkWwIIw/21J6EH/7LHUp0ndHbuAeRBp
IdO8NZ7hRSs6CFL1QJZ+qMTr0BsMYiqbRryrmcW0vyueXeOeO5YjX1BT1dXEMJYxaNIAqOxe2epy
mnRWPRhasGjfY58+EQpjsOxdMmDKbKcGehMS1hJrtNJ1MLejV/NAGWoTxhEQAc3QHvtMAveq5G8+
2UwepxEFYXA+KeAzRgAOLhp6E32AqeYjItV89GxjG4E6antLuT29LHZVPrQRPCNqsGg/uXlyHC0O
gcnp2l85WusNOq3ao48CjmCjGhT7ihJiQdFFNAz7nW70wGrLSu1cq362OYKLGPohUUzag/nYVN0u
D6s/PVrSxlXYwhXBZduA3sjAQBNWpXInXT4euprjIU+daCOkv81TcxdOsMdSxIprO5SPWdQ/OMRW
CUW5gBnd2sH8i/8FAfLAwf0GyQXyZP89ZCQEZnSrcgWBmDm+d7B0vvfWqSQKsT4XvFZLb8HHCkre
TX/dEY39iDpxalzzJT3xh5kSHKZL3pBag5fS7RyagtDH49kGFCqd/HXnGXcwQvWukusQjzyBN6vF
nxziVduLxE8ey/XSfASYTJPWWcALhRhtoF0vOH9TWL5c6dFGQ484U92JU4uUvJ/LhhD4XOy1x7Kl
izyofRhU5bQCVjTuuuv7EUuLdpnnoVsx2XHpBFzlHTKNSmKhfkNfestIFaLMFP0dRxIrIPSzPznj
EhOQhcmMNxtHRCITdRPVxHkF856rinJ0Y5UlPhayV4CY4EzUxRP+6Psxcx7qfuGzok0ZdlNXJbdZ
4N/DSrP2o8gptTgLeN5c8WPk2svdCFHoAITxc8AQHdgDn3XB6xVl9hu4mWW3iMSA1/LKa8uZx0+m
E99ZELFBx6uJq6W1/UXpcObdSTazVB+hZR1VpO8b0osXGssZCwvxW7lHctPXPfzFngHwpRnT6i0g
+fjkBeo9wtkZQwd2j6HI533mWNHX5BYYpSHJT8zltC5P2F5omony8TsUfsDvVY9vzDDPto30gw6y
93TxY7hMUpJ2EKH9xsKo4mF7F1iyq/Cegg8SPSug+xbjKoEcGi8nOPBmDuSHvRs/IomRZN4J5JN1
JW3nJwuY8WYF/5esfHvX5yHpyql5Nxdn5YZPAHa+lonzIZyUIW4YXnVzc1qQk3f4sRdqB+qk66JZ
xr0pJetA3ITpPRPGndJ4cGVdxgOi2WHs+cpllB7mFOjXMOOD667r1r9uouojWRZ9VoH/FznrqrPn
78gP1uuuHe9CMYOJGOcourYsBwqLyW+6Fd6KPy17+gV2mYZHh0RfjKknOFf1mqH5uAc0VmzUpsJd
kIbhHfU24kZAaZuP1ruo+aV8dlntwNikFJPl4xooj6uo8N5dijOKPebmq/3MGtsHszZXfY/GUhFY
X1CLQAk1g94y5/1VZj4XZNMPwkah4Cpr062cV9pxtRwzLLDwwXuaPd9bjo5bXSCneR6Hop3PALDd
bW2ct3Wc0h31GoJ9brGCYEMQaThWPKcSOv6ArBHNnyLwWkynk71dFP2ObCZ9SoF1JLEmxIw9jq5l
G5kuuiNBWZ8hMVTvOdCsT5XqdVuJofjgaZrwsARk8JfsPqzdeALTR2dRRbcGlVJ7LejrQWEIRLzp
b9d8fbdycg+w1xsiwvQuBHCQUR/KVH87lWT7DFTgpmDjI4ZWCpM53Xbw41x3/INGPh1mx7oBYjJu
haWa9zaVD9PsFq88wGdsHtYzYFR1bv0liJuoMO9ZU5ofYcjjR4zLPaYJD17KSuZh5Wiqg66JoyJc
mWsvrv1TTL53mv+VuvNWkl3JsuyvtLU8aHPAQYUZIQJBk3OiwG5m3gQc3MEcwNfPirIy6+qxGaHF
KeEJ9chNgnD42WfvtUubj+9wJ2fG0HA1cTba4ccKYxhMuENmNo96zn9YHmod3qO5nD2mCF+fm6j9
oCT0EA5+fqVxoU/lcFOs6dOQ53z7CU6msTUbEK5gpKuvpKvvZ6hoeTG+uYjI967be+8+TB/YmdUb
YbdnKWbDtLtmNBNMv9r46sbLUMoSx2xG3yk3FeSljJLgs4XeYlvONvHbs7Hdd1bIhwnv68GTCzIJ
KVbSZDytGNe3S++Qky7m4s6MoUVpdXZrVZUfh0hMGFY6j6ytw69lGsJLP0EjH2tpMxpDPubNZVUY
ckS6tSVzBj7XCpZK8sGdGw5lph6kgZ7ujNmbsLGeuI2gPmAobnS4EEsej5aN05pJtd1OuC+GLB9u
2Uh9Vtr667oNZN++s4ixc11jRa9iq5qgOfgYx5U91V8sXaCejsVNmWGkjqya2blFbbBMPezcElpZ
HxrTxINP7xqlFERskvAXWAlMsBorTWup7OwFVcZH0ywQwHoIqZ0dQVps9TVz6B9emwF7SOuT9129
9Xr+aL4b17kW/NkbeIzBjqTW3eDiHk3qixshK5VkR4qoEyYRqCm9HLxxvcKCbDOls03gI3+M6qbZ
J5lzOQ66NLsy0C42LDt38K1jLljPRaDKiBUzUI0rk68rfHNyBQVlxwDp4HF6csZYp83eCvnWQj+6
TbrGigd3ODne/GwnlxIjhFd4jx5Jn6o5Vis/tZUVyCPqXn2Yam+NAzhIG5Xpe+OM0tpMHZy9LtDW
MbDcYFfnZbLlYJBFnLP53QcNA1M7pJcvH6Z71shdlTqQ1uzEe25XDigsQqxSIyWPmFLWOFSpiLaE
PZob0apr7U1PQFDjaZ4PdFXGzSX7EjGkYJNCvgCgiPyWInVv6NwWl2+KL99DXyZOKZ0dB8LekqnH
DcugdMUGeR05sF6Qv6apyT8Xbdf1rquwp+BxDDc5a76jNfoMSA4+Ldfpx1jTy4w+WQkIN+m5xcm5
ieBzino5YSPZNqN7IFn41iPT4QZLrZcV/pxtutfJnb7xy+wizIA0KvcEGDZw1AyK4IiUyu9kt/bJ
c+eFj6wcQrqWbIwNWEZwE7hgejcZNNwpXFDVLPqSeU5cpPc0In4fMSrBscH+RkEEjA52yKhG7l5Y
5MipAY2hEf+BvIBhpza/TdHu6yYssTjMC67YsInLcvhb22AvSfQ84y45YEh7W6Psa4altTEDBXiM
jH8Wh+tUdYEDt3bxMAZdvycFuZ5JVb3ALjkRfz8X7So3hnT/doI6bwrESivDgR2mqn5mNV1vS+6D
buuizBfvHA7odakNAAQnBUm8u4oXcLkwaJIUBanXQkZG6XKRAPKDA6F1HhEONBmTnnUc+hRkP7EN
G+onbQ0kOnIyeS7GigtA3f0mREBJ+AvnvUz/ceilU3etJqKkxaI+mdLY1y1ACtSyXFemf09ZpMQR
XuBLj2z4AN3W3LA+fuiMwaeGMBMtDA9899l+nVhgkFAiC1yOT023XI1eYN/2SZjFOeUVd0lbPUmd
8CmGG0fuONukI+/yOloeBWdqpv17ZMI71WdMiWrGoRba3msSiN8xr4+5N0NpEXcLVe/soNtXFu+E
shzWC9iQ32Qb5Yya1VuAl/vUXfbAHKGCFQX1dB0ZNhMV74vLWcPq9CEymdpN6XBKfX4dMmrMSzC1
SFXsxDZrAbowjfrjwvuBrTGeyQxjI5SI4pF4Uf/MIKHhB67EKNOl33daPmD8Ca/C0ei7oLXPo87L
l8pzm5++kyBmnIrQSZ0VexXphtmw8JBI/T+8nsHj5SF3GdEs1b5paRHTfX7njgaqC3D7ePA4Bau2
AbRYigAp16s8fWclXKj2ThH9AM2amFKto4ej7tYIioooH4wwJsF0qUqV74HyN+QWVjp6bPYUiZVS
8kEJDqHCGYeCXb4GSWV2ZtWA2D3ShTQo/SzNHF37swNTsNIpsYly+KxaTcMN1v9q3w3jdIAzNh2Q
CVqy4MkZS+Rf6Zev9WKOZDK+ZiLFG00K+1UbERREvplidl6L4x+xKSRWXidS7DJ4pxusyT5Z7FST
182GYnljhJgmFF1+YjrlrulZs7VurQDTJ4V0GVGDBtcXyQD7axECyljeLE9zY9atGfXyZKBUrRdO
rnuFwII0F5Vt/e76zNxJK/T36pv0JXcEd0Okc7FbsIbGhtEKd/MK4pVhl6eIVuPEElishSpY2w2J
MY+8/8Ztazq6au3qqQlBUed19gcr9pLC8QXqtHHdGZwxDlxwOP7Q7/yyqG/mRkfg8lvezF2GrW4V
KaHAol6vXd6a8dJz2ey8rvx11vA9t23y7YkMN+u4/gwTFXHOTNQE4+929YfqGd4TxnTRqyNWH3uX
UhF3drMojadgGX4q/BYHIkviFATe8JjiQMblUpvb2bUIweI+380DpiWcujjHsXe81Uwhva2+SAp0
cSf6Q2rbO6rastjBfHbr5Z19pPePkJB1gT7jGt7YIbyh3VLbPQqrn3l7asOTp7boKZvsyr84xf+A
JX4oRjvaDarrcYGmx04kEDdZkV65aGRXJPp/18qFNpmYbwjKX8LheRVp+CRXC7ZyMFfPaZ+kn4md
PbMevPPS/IG+Ev+lwNAYl8U67Lxcv7Ik5Bdprae6kXdE+zkHJh3CZ02ct6aWbwhvfYy++b2uCbd0
wls+GdASx3j4J8vTkccUCRMhkcXZDHBqmhfejx4wL0wfxY1t2PrRiIqKo8dPKi/0jubtL4pDxr8C
F4fejm7mnWpj/wlVUvDhbbhMqIV/3LQH368ZnaLsmlBrce6rXL01Huu7PH/s2ALG+I2pRkwdi5xq
prn+ugJmHR/QjQ+TR20H37qt4VGWgagvIPq9DMWekr6boRJ7dyzuidnK+2CGpIjXniLGWZ6FT0Bq
FuZsafS7np8R9ecjGVH/TldgrYcOdwjQPzW/muHiP6U360AlFNRLjeGcekI02oVah6JrBYd7ShY5
6a40rYHQsiSsvezRsh2WAdrd5wriFk/OI5O8twknLmyy9wnc8pyQOLWoepCnBhiTLtIm2cJ5bc9R
r7qc1MD0PBa41MSg8NaNI772cmVhP7sPqsquIIQd8zbXx1BdVjUYZGAOVHLHXifYFWOBzkUfGDhT
Sz5qKEo1AESzfJYspG9dYGaChdbGSzt5K+fiq+JKzXbBvMIGqvYCQ9uPoRg3ZaDtBz5pbXgWgZYn
KijuM286+ZGVn3O/cd5nisLodhF1XIhw5RLUCjzHXYSggB2C5G/gZx8S584NMqJ5rNuO6S/hjoaY
6xCtq/l4P/K1jj8+28xz1mlKc7MAx2cX9vVXOCgLCr68XGR8doU1WTvFij1csO6NGGK3rg4Mu4Fk
AZW1lGsSxHoV3V9h4wRijrzM8MpCn8wKcBRlG15gk0534BM6n5elKaG7sq3mbYwsR56TS5ELmFwR
fSM+0ru/Xsvphejwx2F2ixVAlNu16K2UFJYVPA+6FRaHhS0P9GEFD3PfUD2DhdH9kjS2Yu1eguo7
6pvpyJoNBafiA1i7fr8dm8AiVJQGcVO71607Wxf8CDRmb2t6Yh1qJPe0+BdOYagq/YRD7i3yHJbw
ZZDtnIjeO4e1H6I7F1b8XU9wm0H24OEiDsPwn+R1+4Ihdf6weqt679z5YzVQexVpowzasuOdaziF
kO/cmbN/yhcsBH7uZeCriZJz78J2sHHDdWAzVVqT2DtkSD9wtE6v9JEVpzmJuneQ4XjXqOVTrF0s
bP247t1Hq8HUjBmfAoc4yui5ZaWTh59BoSoWuWW7PvNT4biZJ9T0Jeu41gJrXCmmmvz6gzwGsiF1
AD5zarZsCR9338Hl8AEdcFA59Xe94D8ntIuFnX2hk4EzXucU5dHl+YmZNaBOwmdVP5nAV8Wx5geg
rMCG9Hi0Bs+m8ED27dmBJvjGzolEcL+81eRH71ZgS3yNRnEiSnk95WmJq7kJ+S2Vg9w4Q+m9e7Uo
IBr3PRuXeX1u00tKLhCaGkSiOrxG2/IjAh3+kORjej/63SsdBxwlHUtgC25koW7cZh0EDGzjHYWd
jYdCVjyYGiygT5PLDeE6ULtm6ecOkVVkNKJaDTf5hnIY3yRXcrG4wZi1ix3msBtt1n3ZFQw2TuSe
XHLJX7mt0DKWori2BkImVBMlz9hI3EeKIGjhyX1oWTbmlLMPednt3ehIEwkW5MxTR6dYeXJTe3wJ
ypaKKOQRWFBJvWt86wtn7LEz4heu+BhLK33IJtEh6M1EwKBgTvFCVO+zm0eu6gs29I2sAmbNckyf
QoouY24oOAs9RzwVdpTQQmVN/UdhNZR+1T0EuMW5dfiEgtPx03fu+mFxKp2a8NaaVQdgXtZ1X0/T
ISU0f7FNqF5AHzfNi88mApxykZ2cGkZIaaw4dfCtBkMI29Op2MGvEDbICh0qh4WZN1RUOLIWwzJL
+DccVypnB9IXrNCno9Zlu4GUGMIdoUaA8Xza2rDiuZix6/bp7uudYnkh6IegyMHaxclcLjEt0obA
mZvdhUFovkHrBGSI2Ax1UXIZ2JNkk1rt+KVdYqhrJs1bmPvy19I9FWJOk72nMDLeUOXzn9ER3nid
6wAsZ2YTD6tb75wXPTYNUKvZa8J5dpwDEr0a7sth5AF5CZW75rHX9dYW/07B9x4JveUL0NHWJKrA
jYBccD8WtYWySndES5kBmwZCiazlPxmQiUAqexGPs4b7it3gF4wYv686yPxdLokySvLfW0lejWUM
OObRkuVv3dpQS5YyO8J5AGkWevI2N0Q9kwX3kjs8WxVVJUAFh92EGhEHKudOEa4SFCSnz8JCfYHe
qiBx7lbbo5OIv1q3I+6E5wjnzsulWxfU+zKTS/MAzsz8A/iWEgLm80h1JEvmxHnNEpVjwXIEVZDO
5BR3oIjIJDLKjVdcblbB1Y5UMSboldcV9U0JE2dmmbPABP0BfeOyrupKyeyQFef5EvBTGcfH1upL
/FxTNhEa9JeV/WDhlNnVUA2kafuGkSucIyK4qcixmMKuxjMe1GtMzMml1WJWyKPOWmd7jznd9y19
xpugxFb24AEdv/8q29ncZc0lvJHwkcBwH11bssl3fo5vqpAm/LbzabqKWD/P0ClLVqykxjeZ63xG
rYMQrWu0YvqKBOiamy5BjUjH8B4PBQ3WLhoaY6i10Oxlj7XL97NGu1TAKSx6LuAXMwarh7yhXBkg
Pe6R2Zwc0J4np+rfGdm6zcD4AIdd8eru/HOL55ej0FnPebfcZUnxmKtCnx2UISxjfo1o595hIoqX
rkiRpSzfjQu8PAvPUfMooPthLSsSBll/1twx1pDOJd0svH96UMRof/QkTYxTNlrutqvHaAf+kvZz
NA7a9MrPvsVpgk8dewsj2ysriP6QELb8TcKoxQIEA7/ahFYNJLnNi/RPxuSDiBKW7nUfZs85fPAN
CQG+jiLBxnDRe7yE7Adq97LQ2ZzRsXrFmrU6jkhmOb6OYI5VNgrwnkznVM1iLipXVW093YAciGbu
V2aWgC4kDrRnK+nnc151FxL5xSlEuOBe4Fw64JGu/uioUW++r603G4eEu/WJjX6w781vhevD78M+
6b86bkcMSrvrvSnJ62zDMmEStgfXztDI8HWoxMDCCEsbhoWTPXo1cE2ozfQf2OiHP0ic3RXwZv+u
pNOBTi088pgf7Mz+W9A9egRH6JPAoINvwIhO0KZ/JX61c1mUxT6uMiJ+bLSwfcjiy7DG1Cyb0Hzl
I/Po1TDm1wumj9e+qQGDRUvPoIpRP/bC/id1o6cW2fy0gjCe6CK6hQNyhdT008lk+oRK9SPtIbpX
Q8vbTU3TGAu8eyzJ6t2U0V2W5MuBquh3LmfB4zpp6zPKbGhCfhVPXX2swmC5tupV7MM8eW7rQu9c
J0mPdb8yo8g+3LXkmjnQeh5SOUaU3IJCpK3Ey78K6A5nM1kf8OB/K15cp8KIdoO56nLlgwUUjXdt
kTdXrfHO4YzpLQlIq/UVLFVHQvwg9JaM3q2qF/0WwHSyJHfC8YKVpeMEJwU8BplhksMLnEA8bdkl
dywjmQOd1rlmGF3ktqOKCX1Oa4SA2Z3OnrHZe3JsHb2IxQSM+eslp1WQzAhN8dkTrXlzPDQRzVBD
QECiZ7+6SVxlJDVJaf1nprPivlDjLS2+d7zT6x/KnZIPDhb8Mz2lTY8GyfRE8KF9IIHCV+xUtt+g
t1PeE4VAJRxbDghJhaR+CUdHXh3Q1J2rjuy8qdHVLLOeCxoMGEH4VGxE4NWvoych5HQUv75wWyjP
SdP9EmHJ9j4sDqCg8EphankOEq8OnOVOBQ2BNPSrd0w79Z0/Z5T/CTpBwt2I/LluRggKvAUthl4+
5MK7GTS0N4eb3q2RdfGsHdqttkwJnL+Vhh+50TNRJlyXA4qCRWNE1scKf6rVvMuWxK32qKfIZiaT
lhkiX9v7oTW3dZbuVj1ekhlYAglDLTetqLxzaoKuvcHcTLhWR3Zntg5lrwgRhqTAPoVamm8zi7wA
AkCuFBpyGYCcxgAi4rRMpm9lzQxcYVNK9dWiz6+8PaaWE34t2Tv+tlapqpNiumCmm1Yx3XtZMHQx
BXXti470/JBzeHqfsq2ap8io4QVgqOrjlIZBMmjQQxjhliAMd6E9dZBMqKt66Cd3tGK7BYHzEw0V
uDeOXF9dqUm46gQEREwnVeCD2IvBXpNT3beO2EXNwlTBDDYtWLLmZbheO7jI5KrmICKf3Q5V7OPt
rPeW8h3qqktSSDd179odZX2F75wAhXTDFjxPXd/IuUYEK6cBzXLu7Cx8xRjm/6D1W7zqtdvwK9Hd
8oxlkJUGWALyTFFW9MNfQsYV70uLtRtyGGm8YB9Mq43I6TvV3l8ah8YPNYEO8SoD+9CawmD6JNQv
6pu2KMunwQnHJ1V0rPlDEqlYqhKW/LHL1G3Tg6uSZYe93ZHPWTd7Cy2wVkjzt6Z3+xI7HYojWC47
ekCiGJgpUOn9WGYD1rmwSflYWHjGvdiB7+7ta6dugeuFFI3+KGl5r1gxIfI69cUjWSS2ANACiG6O
OzRAsQG9vyws9VymFrqEaUec0zH68LH2qJsiZaThK3arH2kyfRP0diYwu1quIardILyPGbfCMscX
iasiLO4bgTjKx3SV/rEwg+KRW8kwYoRVbUnJF3QAFIMCJ8XSLkCv+Z0zbMKycJb9ovAo0djSpsMG
ylYrjtSMB8s+REzqtrNdCH03w9p9I9it2BLPeQhxBFoksgcsOwuWBwHfLQ/RJWBtc8AeSjEAceH+
hqlUKrsVcUWZH9RvSpiwO0RjNeJIUn7qx61ZB/WLqQqJKBgkti367o3/TAGLRia1pbou29EB5c1j
4Jx6oPtk9Xy94geXF/Q5qaBqvAIiTndcy+Tm39UsEKy7Uq1Lf4yccm13hn0paBw86OFBG7fwjhhe
Z9qudAb260iyH8KsYg2JuFjbrL5yraO3AZKevk1DXzZXSqeaNzPuQ9o2a7IBVxhHDWRlsh5cu7nw
vi/sulHocpusF3AZx0ERKAv3IEmlDaeo8Gn5dQPg+5vVmyz7J6q8IBwZf7rcBczRpd2bXBmzP4ZW
0Ocnhy69Top0Vifsjev8xAWg4TaeJ+GlS0lNFTe3AD94nIK79g49Trd5b/HOdA4TP7L81pf5yMNr
2YN/mhJ/aK+bYAm/WjPa0HwxO7mXLm6qd4sGS9wbltcqvfGh1uMnrjGibbmdEgFp86UrSTcBV88o
dwb7FbAVf+ExMw9whtoyJo5VrMSx8fXe5gDKlmuoJpHhOC3ST4QT4CltExEAlEMT/E6hPbtvYQeq
gkuWLpsHIGzEiAvRiYumjSXzLiOGwfTmC0/CbK5w87EWTKUNFgWZvTw1uavdJyyK4Ey8PpCUium2
x7bZCIgyRERS1sOucNMd+7wquyMDCGy8o39zfCPxBtAPscWZz13pl8tjK3Hy8YZl+8jlcMa9i7TD
GuJ98YErvLRY38yRCFpf3pCQx63iLTO1KIBseBbdAP8rbBIfSDYea9Jddpj2P54fTbQRC6h2W8tk
E314KqQhku4rl6pirzMPmKPnDhaTim6n1O3nW0TqMcUx7ER482g8Cf9OJp2bK9vK+2es3CzP+Fly
gbEuvDuiaIROH8xEmPpAqztuS0ggXIgnReHdATmpWHaDyGjRWqRmlMKCP/yZR1Cx/GQvJlTV8qY4
jPinwnOXJpjKIj14ry2XpBTkiDX4COWBiHYEkQN3N5HYmI4eVA4uc73NS9rBw29IWMKUinteuf42
H7rlI8PjCvw/E1D9/CCfhgNm5HncUyycuWciuam7nxKi+bueLutl65A5QOJgWfyX+RQXVD3OQ7sd
otaudjSar98+xt2M9/TMEtod5vAFIud4A9oFK2VZarr2ljGUzonnuFD7oW/8P7CDZLmz87IfuOsR
Rz62jNLf/JhmOu3HIvxqFqm+3cAAxcJA6wETFi6fZf6s9S5SfX8wkYFaQTuFKu8UKFaIp7M7jjeY
nOgumZOZGQS3pCMfwSNzqv77fwbL/q9k4v/CJQ5C4XvSDtyI1FYYRECZ+fvffx7pBu7/57/b/yPz
xjrAdOAf6xCvYbxC57U2YOWcYNz844/6b6X4btR3Bxfwd/g/M3r/GtH7X3f/n+GwXdJ0/+803+Nf
tJRSff9b8/tvQ/b337Y0szX/mu27/Ov/zPaF/+G7klgf//tHuA8Q9T/p2IT+3CCwI8kTJqPAJfX3
z2yf/I+AJLtg1Rq5tuNI+z/p2Jb3H8IlPxMFoQxC5Njov5PtC4L/CrEOBX6+QATwkPlP+rgzQHT/
68PiWBfATNciHywzF5kGpl/kLCiU2HN0fU09GpVN4doDZSAulbENcObuPXNHkIq+dJjto9EKaVFY
zJLHhhIEXiz4r8ktTw3DwJgz+W6LqKmesBl4EWDpXDc7mjfVq1OOJmIFWc3LjkA3eosssoQGFI70
PRdg97kPBDbwkajfzSAbogMrETh5HMPIk4cL4GvaufMQ0IcYrKmJ5yidXzWGxAqPLifNWxhA9YNv
M2DJnegYZDRFaT86wKlS7LkXuH4LWRpnz9olny5OmRbpZgQnl7cV7rKVCyzMVcW1jeVUhaEzqz11
E1lcgTa+Q6UGihGIiM00Wmw7yE9+AhJgRT5Lj8B93oXR66py9a47Xo1wg6LhFq5Tm2zCqAS5OJC3
3dCQ1RhQiY1/QiEhAdyoprxHtsFdKFsHcpJs2U7sVhc1c5caexDAc2jgZT0Tts+Kg7HjW1ILCSip
GUncoVifCLXDTahrL9mvBtTlznR8M7FNgs3fyVmN4UG0Y3fAUjp89nR7XsifdXBPG1x3W48+3X66
X2GmoLjC9C17U0D3FFCikVfK/E/H7fCxQW8Cua0GINJdaXDPBWsgr2vybyNWYV5P29EGfh5zfadO
RNZRZ+87Vj7VwdG+zT4s9FnKzd00+I9rpQ1X4UlMPXEnUlynfgRnvoU1VGS7NLJxZC91SboZlhgu
K6edapt5q8ec7neW120nUDjtgZcU/E6PkAqIPU+J4booo3G4Vqhe1Z5CnnaObb+jFTvEO6/PfeFY
7zSfWPkX8VOn5y5hlI5HK8LtSVAOog2qJcsGSqzJ3JE0S0PuDXCcd+Wg7QHNXwpy2OC9aeBUUlMJ
hGjb7mifm7ujVRn8+sGUY32d2knZrJgHnVrPTWN8b5/ajByYLKw+P3eFsd5YygzzPgPkx4zv59hp
Vct5/6hG3Y8vXunkhLrbYTEflcrJD8DOGNQz87LJbxime/Z1wVRdKTU4023Km8/cdUM0mJM2XFH2
oLgx/kwM5cn74ESF+8vXbTWHaFEhpHQeIMABCyiWOGichskeT2kNbAcY3z7TmJR2RHU99sdZygaR
y0Zbbbom43cDUkuXt15XBeEd+JwVS2FNtdr5klOBh5F4woYCsXi/jPmDid1C1cWObCmwHiA7vdx1
qqI0laRhBkPIM1V2nNEP8kMEw6DZhms1dzdpMgnMO5QaVrfOzK1on6T24Pzg6pjbDaU443AfsaMg
gzLPF2lUizzd4TcNfEbBsmFS7Ln+wU8d/Iz6j8vfdWRDL5p0XV3dOKR5uNkL9NdbLFFZcJw5LLJT
35uyPTK4KY/6N6tKzh0LqPBQry0Aw7ynhhNsi90lcYFLwYo9svcQ8vtLppUmD+U+uTn6OKgHd/bi
fl7CVzein2XLb59/6RIZPCcztdNxBkLlo3CC7heSufe7FLPdxuyRGkTYy59e9ZL/w8omqkdmkdAR
N9pV525RhrisaSX4uxOVhAvP0FDwm3A1CO8kLLEt0vMNLW/gmhitbXCboRf8oCmQDWCl03ac33lG
eZAJ1F/b0cFtsfBzRXkem7fMR4gZBEGSI+vM7neZLcILjl1TFqOb3OPi2bt8WLOyeQvtS+rU49rw
A+mQx6dEHyK9VQu4NWPSkjuRELVgEK3LR2QE4NAL5QVbrYNytSELCaJVeStlhELSIndyRgGerVRe
p04djUD0IdUJi3ThZvrarlTx3A4UmBwM92O60To1N1teGMwoMnHluye8QuJEdxooubDBuBhvoRk1
17QkC1wm9Qwtwc152MBnVNNLZYfyr2LgE7EfjcvjFPQa9M1MfQzrvlE8Z5nnnfzEoUoobawkOrp2
n9zgi5I/HZTtSyQU5i0WzIGgCWW28xInWBTIUstyuHYan4ZZm5B7vefO29yOZoQ26HmLfCZD16nt
JB08qUBeLznuuuquqzZhDhpltTwQLnPdw6Ai9hmBTgrOogWLeWzPUtY00KOBbMpZOM+aP/4in9aI
Zyvx0asEmitbAB8nwJYgTYniRrLmmWG/fwhhqL/llgIHI6MuOKeEN3G/yyl7L2pbcph1c/rpcJbz
+yb1R5zYaB95M8I4jjg5gMMUXXHtCx3CKe7y7mNg0X/DXdimoatMiltNQ/UbGpB5q0vLebcEmB70
RqdilanptfabCETWrMckYJ+DnWTn4Ad/sQedI7iSQ+AdE0IHQRaxMlx+LBYQERZLWO6WkLSg9j0g
+M8h6yyMn4RrbNYDqF90Lsjgx0nqRuxn408PU1D3z23uURfKBYhdAsvDHONmaMI7LgFDdxR9RvIu
rTWvtzZcATqVgmj21nbG4HacgQpviCt3j4ODhaZghqjjzJ9DXsxS0iEXwQjhJwRB/R/hxBljpK3s
N9fU3TepNX6Vbueqe9/1reKQDs1l+sIZ8hhIV3w56aJeSho1VEwHpZbbdiZwvwtZTMiDjOzmFi2Q
n2yvESZbnMpsT7TXfYZKRF8r6uOzc6mjt7NZvpL6AzHizmXz44HXvyitKgN+Dikc3Yf/ML5jIqvW
puw89w2tLNdxiDOGX7Jv26BfRGdtx9CBTsqmacy2tG/13xBL++yiY+LghdoXYYDIQ989uqGrmR39
iwk0EMP8RK6mdcAIVPkUW24+3RPGdN0dz1P61/PGdDmXy5R91CnZ2o0VCIfWC25SXASXJVQxYdUe
xpAIs+9+qsANZZ3l3g9mpraVXvaaYIQF3n+PSwXKHgW8OTCztMR4iBOOlM3Ky+iMeRPPBf6wNYyR
04od+agEGGYZ5fdNOzhmX2o+ssTTeJ1uRO1d+iehH+P9Lv2rMXekufhOFMDFdcnDQ2c08QIraADL
Uw9ySRklqcat05VOEUuvLW/o4WsAzoOyf8RqhgWPfXlyX5VR1u8ikp3wYhpUdG4hys05K1T6blmp
/CV3NVexEGTheTBzvhwCDBU6uGXuaq4F8JWLYbmJ2qVzNwNjKP9YIqmAXLD0VVs9rXW57+E8EICp
ltTatJ2p/7Aj19XJHbGwx1OJk3yjozD4bJPZfUUuQ+gVWc7CJucnOsZzKMNdlBFmiStcrQZBuo8w
u9vzBSQ8mtsqH5EGSl8tj41X9t+yjGpW8uSN35HieX24kayc7RIpliNcmrmnovYyPM+IS00c9H51
zyZZfWMb8D7sMJ+JFXJnYJfHAcs9m3VnS8YDjBkOFe06Vw13TfpzK/bMptKAakf8WO62lNp/SPss
+HCWicIJTYftj8hckPjggdYXGxTny9qnxo2TjmjqRmS98DbgaNsfek2wa3GJ4iUUTQ0r67nELLbJ
lxHKuwqL5TOvAizWWVijqda28hOWhXX1mI681ljJCuowGE+KW6xW7Oq1QI3ivpaV5J6Xigt9Qgv7
dzt7uP9Tr5neB92zCF5yu/1GLwJWQaIAT3c3OOzHOl5wbMWsESN7r8MwI6LW4lJOuoUTLfSERXxx
SPzH3uvpcmWf87msJr0PLyzEB88HQQqtwgAnyJKG3+gogKxvXW+oH/CBJ3irFdv0CxwqElsin8l1
B+IEnXn0xbn3wJUfknomowCCuoPKRt39g0RGI1OaNpj7bGPyb8AP4m/mLATjooh0dIxxbL4mdMi5
0heGjoZkkeZmCIlw7H0CW0850s+3qm2GkiUpzavfduPbbOf6y5lmy0KUdDmjxg4vpBiH4glCEfky
CuLYekl6Dt9yKirA4+Y8OpAEs+jBrSOHkgcZflSFP/dbijhtD0t2OH0g55GYx/VZpvGKNUtvJs3F
RdONRKtnK7Mv0pJQhi3Fjul/s3cmvXUja7b9K4ma02CQwW7wBu/0R31nWfKEkCybfRvsf/1blLPq
Sse6OsiaVeEhgcy0DYtdMBjxfXuvTcq0N/M+LTzimYqiZ6z+8bNSXvMQJDUmIdoHLjoEx4rPRB2w
I+S38xu4z+V3tjdph2Kvby+tWqoHL45Rd6+I444xDXXRXHU02b7h1MtqNMwyS75i0Le/6nmhPRNg
apZLl/jJh8lwA2LZA4Nhj0Z0ijeBDNsbnMv9HCYQWedjn2W/pn4Yvg3EXzw7uG19wIq6+tmGFrYJ
BlZ24uR0XhdV2sHOoXdZo/GGnBCj99K7h5S28HedTgG2XlZ++NfQBbkbqMuofWsL3yBfMj63a5Sx
9leKUnV/4cUOmBfCeDz3BNcp3aKxZynaawNNLj2iCI2YA43chH8xvg4nggcB8ZK2wQRGp5GUDNaD
1On5jRxsIFtPIxUXAyhnUgC9pvgmrZbVeinoM9JJNIMfKulEvaWHlVyyKDaMC0hU3GPYZrq59pOm
wBnYs5tC9NhUKbNPAzANzJcyVuhXeVHqCGbxIgTRSZZFQfrdKR9VOFzV5OJXRRRXrtyKheI6M6bC
PycHSuF5o3bo3kAsonu/iIZQf6TgH7OW0tBzCRDITYokoq/dwl+b0xQY3yILO1hQurCGuHkJWp//
X1Frxv3L//kPl8rSv6+obeqf+Y/wL5DQ1NPq/K+n/OWv/5s3T/WPhjLbGb98Fz83/7Df9TXH+ULp
XjITOa4taLiQxva7vmZ6xNJ5rus6AK0Mh6XTf9XXNCG+gNuyqMpZCNIFhLn/+OtveJYmwWdR9LL5
TXIZrX9UXntXiXXRbLqm5Cfh9KTIR4Tc++JaHI1kW050MU0+ZneJ6SSXzSTsJ7qo/iY1O6pHTaL/
RqtRTg1+Fh/Uf+daY/mvXDqOClSTHoVhGhze9Qzqim9LegRx+Kh5cWakCUah9kJYZ6nDN+Nsim9k
TJujvlbGTYUoKitqPBfpSsRYhm9lRBBS/9iimgTTuc/qZ+blTScoHnc7w9/TlwZ1gEi3vc5VRyWe
GYY8jSg+M7y7SrjrHEi2FiO8IQaPvsQSMt22AyeL/H8dl1vD95aNU/+uQf/byxXkFH56uXMm5Jty
t1lXbKcMLte5dc+BDiyAki2mlbZhu3BZrs3r9L5OF2KJ93//Zoh+cKePHXn+8zdH7odJQ1zPkX0b
75SJ1sqvH+jir6s8+tUO1l6qX58fcSbBfXqx8ODeHrKw7AESGoekOLbeVOtNsyLYY5FurK2/K/b2
Itvcfn7I95Gaf4wm82AMj3OVSp9HU7iP1ukl++RNf/rfOISQvMW8j1ChDgasaGnON6x3l4PzY3b3
2dZVUFXLorjP4sfPD2XwYv95A98c62C0pBa+wC7mWMFFTjXmhcbu13o3nBbb/iG/IBXwxLiEayNP
8+uQndnCvEP43H/7/CzEHBF58IoCnbJc05KG7Rry4Cxkqlr2rynCWm1t4h66x9c3OQtYwiUruIBv
9AIeyucH/WDovDvmwWjNRG3rDWEOePGSdRe127yZFMgYnLNFMm0+P9gHA9XxpE4Tm/6lSY/joK+g
cP5nWirITSrYngdGOlzT4/Q3qIRtWKgmRfwR3jfls+xcejClTcNyn0bq5DtVmcTLZaq9tKVnXGqs
xn9CzpP/bNQxPTq2YTE/uzwDQ77OK2/eXpSgaD1rWmPEMOAKMBBpeF6EBlobcZ37WrQCjGcdmTLe
kxSpJ9vsgwWHpRVASq04uC26IHFAGJm9ZPk2WwqDeiN0N9p9fvfnWeDN8KJSyTVZnkG25fxldA9e
KIyL5IS7atzZLuJMlmZ22yxiIooA/+klsUqjc1pn6HHJ2JhTtnWsYDefn4I4+AqZkq8rTSVpO/wf
b/bBTCVKlrkGuVI7wy3dtYXIeVHUfbmTERQkG8r8egrK76GNVixCkIUuIio31E7Hpac1/glJ8cnF
56d0MJNZYH4F/TLb5L7w5A/v/VSQtAPLrNw0JqJaLZqq07issOnU7k8Uav2uCYlu/PyY4mC+mQ/K
d9h+Dbp1PVyABxM2atsGBhQHHYfstszQekatl3x1SGDZhaie2cKH47SSge/aKyvGWMHmQdU41KcO
c1SL3+TIfRAHPT/OyeVlMkxJz1ECOzyYfehPhaRaT9UmFOj+Ikq/pwQrQVVOarI0fPcl6RH/0IUC
hzR2qwbq7/U/vS0W0wLpT7bH7EDD+uC2WJNfCa2uho3NEAmXFMYEoyLtUNaGThHe5NTt+s1kuTQB
EA74tz4OnicHOJy98fIe2XQ4VP7zkbOa37437w1lYNOxGCTSMed/7IMbIwO0nR0lKvRpZj9sJhS0
N1RGol1uqeyG7RN7Sl12oB/MgODXJossd5Wy72TrjlSKLN4MRWdvONoM7QfZjLgziFZHzvJgIp8/
k8Qsk2AreZC4cQ++yPD3Gqd3cnvHHOADGa2zB9EnRN1nRPFpcME3CUkpC9fBiWuRDbmvxr5YgyT0
lrggqAr40gWJZV3xxiUgXZv25MgZHrz7r2c4U2N1iG2GgSz//aBPRlM5rS5QINB3AWqZoL5uotDY
iLpE+tqU5dqv2XgWAsZLAU1o67p1to4DlxKF9F2UoGN/5It0MPO+nhN1Eo/517OEZxyMuLIym6YM
dHtHRm+z9FJlU1cV8sjDORxBPBtHt3Qmd8+ht+8cZEPrjdVSNw+cHbmIP3XgUqverJ11RiP+yOf8
cILlghB5SIelLbo0lxb++5ssVFUN5Nr6u5HgSqpt8bbJEPzS0sTyQNfnzqE2DzeHapUNw5p8phqC
fhVDUgc1O8e+FUfeauNwYplPyTFwS3Lp0hX2wdetB43nOqHlkzTUxC/gb+U12ZrkI0HxQPCNKTyM
itM0bDzQe7XxVYzYmsBCNJTlI9wW0FxPlU3/b+F0LqCUvslPSK3Ltpi2YwJGcL+Kbqr3nw/XP58Z
Z22ySUMvw/MzDkYr+CFeNhX5u7ZzprMISwg970rfpb4+Hhke8yB7O8Fwg1zGBlJA5j9Hl/MgfbPm
gMTg2UNkebuilO2dW8dBvMFSbz2MJYGjy9pxaIzHItkVmO1x9+Qx3PbPr9b480UQbIp1etIuIhIm
u/fnMMIZSVRh+Ajb++pb0fvJNS1JdV3SL0hWqS9hc0TW2DbLBr3hC/U2b45MIPAOYKoGMWyKm69O
XvfBWhZxQb/IoZ/U9aRtb+MqHOhIUxIGhNV05llLquoTwTpWsXMySy+3hWOVwQLla3b7+XX98VWb
763HmyBc22Vrf7jtJee56lDRzoMPwW/WYtHxe7+B8V8h8MvSfJOVTrwm89deNwRMYONy2u3nJ/HB
UGLD7UpWP6ztiBV4f29thQ7FJa9x5w1Ot0FDO219aHinmZGYR57j/HofDCVWd67JipKJ1tMPRm2s
d+R6Trq2C8mUXFG1DleUGtQ6ppC4GiRxDImyQNFQ+Tpy5A8GMaoyby6gSKRJr5ubN4M4dUnbihPo
KkqvMQrSiV8VJRV/s4J3IJI5bCrLEWlUTXlZlMQp/eN7PC/fPJbQBlIo+2D8RgQvJJRKg31ZBNYZ
fm39KmfwgYpAQ/n5oQ5XjAypd4c6eJwD7GHdTYJgz0vr7ijxE3Wn23NKhlmsAH3BfiGRb/X5QT8Y
Q6xRPdsVQiDhm2Vhb+eIzOz4frRJsG8CELdYqL45TAMXcN3KI0f68PJch9YKakH2QfPa9c2D7Egb
btxCcHlsS1aW9Bd83aJHZ+r8EzPz5a2lT98/v7g/1y5MfoLbyiaICtXMs397yATVee9jSsfx3ZDM
4WjfndSDFRonbIRYiR65wg8mhfl4vIm2jtKOjdf746GPIgQlJlGz79UJ+XP3eCnap1ZPjPVg4raC
MRLdEdOQb0CqlBuAfP6RU/jzJqOss1weqaTWyCm8P4OBJBsvq7jJJq2kvebCh05pflwgY2YZGSHZ
0IcpO7YCOygwsDjg5bAERU8eLTPiwRoRpU+Z2iVHDfD1fickMNv4dofOIjUMDLQTrUwC9KY+2wud
eBa8nkIb9i5Jq3RkaaoeuQnmfJXvZysqsAgMWfTrTBrmwWKF+XrIp8Tzdgi+CpBHKgPQylrUDiu1
lEwnS5XXeCJSzdp7KgbgE7JRA8BLhhYO6AXEPx8QDpCdJhQFtm/VnhAWPD5kTlyvFT60dTaY9mnk
x+VVKt127+QJDl+kEauULdieAMzsSgy+eU7fND3RsRes476rTlDipMvIbZwjq4o/nztzo0FyNPsr
Mhgs+f6595JMl8nQvd3QhqvauJhA4TfWQ15dRJ1xZEr84FjzyoXFLZsC2/EOvgVDXMDYr/NgH0VO
eF613gNMPf1UYJdbeGV6p6Y0XH/+In/wZpmuRGnsCsdm4XRYPomwo06A0xhhsf9SCjPY4V5G58Ck
dTnprdqB/fbgpQMPcBvTOQPu6x+5xX9OJpwCXwF2bcIyWFG9v8VFVMXNBB0ApnBBCoTtPWltFayw
0hpru0/iI1+DPydmk48OpSxEs1z14ZsMKyxHtxAQYp6P7YnQoup8GozuLIXff/n53f3zEzu3DmxD
58ok7byDbcTYjO3Yh3m4H1z7BIIHKS0z80BKlW4Vd5PFvO/f2nqPoFX28ZGt0mF5ktljrlExbUH7
ZgNnHdxYm9Wj1k1axCcW9SmYSHdP7GO4LjyzBpDnTDsFv/VZdSAF6Y1Nl/Q1v0U2gZX/eGBLKkhA
g9DBm1RK54H/5gvlprGVDaGHlcWoKQ9UCDczbXpEYmWe16Gpd8t47I4cc34x309V8zElG0UP0hdx
J++P6ddxr+A6RHsbz+3aF3F4zvq1PzJ2/xxMUljCZOGGGwX19cEEDe8MrDDZv/s+18kpMCpjZxK6
QTyq3hwpdH4wmOY7SLGFiqPODPH+grza7GXvkGWbQuI86XzrLtXt5LTwfR2WVm0hnirSMwxcmI9z
OZ5/PpT/fEm5UBaKBvtCip+vBfk3j7AURZv4bhnjERwA5PgVCk8fQP1QmPsJYd2RN+d1mX/4+Fia
UiJh+qUAeTB2ZdP07TgURDTpGGt72xnWjBttVRN8C0EP3frJDL7e8KVKsNw04Y5YrG5RtXW+afSW
FO8WNYDeoq5sksLZjY2Fqaqa/HUfeSW6UR+Cd4ghDGVqsIVeMZz7k+YufQqxT1bXIJtQzdfP7+EH
ky03kTmWhuVcoTrsFwSJwOKTq3hP/xP5i2uTxWBUI2KPPNjGDpggpC0n/UAuiYufeT1E4BA+P4fX
AsnhjbV1Vm10M3WL4Nn3w4g1Uzb2bpTsG+iay4EyN+KzAWBWocS9RZ7CpVaNPNgQddzOcjR0jqSz
k8jdjVu9c8MdZoFH8ALTWoW4kJVt90s7sKydq5lgCWRQrhzW2SdEFoLJqqP22u9cY9FqZJYTH9P/
jIfHAYYR+83A2tHGDY5Me39+RemcWg6LfqYc1t/zGubNSK3I7ojDcIj3gEbjTVOKfD1VY7jW0sBc
GYrwnJnS+PT5bf1oHnAtFka0S6RF/+v9QaWItc6iWrKv7BZtEpGHFH57c+VhOjvy/frgTaQebzHn
UPfFGDT/+ZvrizAhkjheM4g0WNURmILTNtDTjWECskxiJHCfX9oHEynaG95AvrySd/9givOKGvkq
W+K9UAIDrCRWCM1KfWRczu/zwbDkEHyoBHMMTpqDp6ZNTtlowRTv/d7uABYinUKwgmwtZQfe6LkH
iAl0Ki+Qf2SR/eH1UdF3GDJYZ7yD+9kEcVfGhhvvlXDbcyG04p4km/rq87v40VOjO8VannHJhHaw
thuJCaTcoTGfDR6AuED3z8ex03aA+RISRVV55PP38fEQDrBlmXf5B59cS9hZTXhcvO+ieA13odgY
NpnqtMpQLaLF+vzqPnp6rDRogbKuoh92MFsnpmmSaM7RHCWyU3gaCfTFfNqh31zWYjy3q+EhAIi8
/vywH14kfTHechQaujs/2jevgkcHqPZzK96HpRES4g31OBApQj1/1M6dSLeu/xvHIwVlPhxhQIcN
OTAqEslemOwt2I+YjdL8zI95dL1HcbMrcEF9frwPPvmGSYnPpqnOW3H4vTDztEA6yQaIyqe27GFQ
7gbF2rGxPWev6RL+6ygKqq4eCC1dC4+sOD6Y1FiU62zz5iKwOFyYx35u8w22k33Jtc1gi+FiiOvv
Q2s3u88v9OMjMXRQdeqszA/ejpBeNokOYboXXeyvA5IGSFage04hNTnyun/0ETboZkoW5Ox5aKC9
HzRj3A1CUYneh3oTPsMLrEjuQvhbTbD+Irst2Wzn7nlfTP6SFZF6sDp1dNs1H+RwumMF4LF0pHwr
X0/yzcjFxU6ElBjjPdt2IjVsxcfV1JCnZd60CZ1OAC3MxI6xH8yUTMi0gEMYBn658zKt235++1FT
/nE+9uxrJA6LTwsb3YM3CWCPwClCpHEUV0IsGicsfhFuIC6dApTgFqHTKHcYuuVLWqd+tbWlD869
Aoyk4LRQebYFYTcYe5qhHic4QoOBDcGZ6SWdeT/KPtFhDzTp1eQOM+cuCccQClPQ7d3kEbLYDfWM
9rItp1nTaJjZTz/K+2GNtN16HAKgAkwjoKuQ64mwnG6MVqQXeZOqtc/C4iaTsrzSzDkdLe+zZlwQ
h0LoeCVZna4qn9rRIsJwR6wgOlRcNTliJxkG7rDqNVNRoKdhm4IdTNUWq1rJ4sdKMkJVYuVyUKtJ
f5BM4d5nWcQXNxva/tmFeXAOQDb8JjUYnssyC2lD2z3S4LZ1aNaHBFkbK5wH9plei/IcWEwTr0wk
4Q+GYjasa0o6W9qPnNsI/IFULYmsXEDpfqrGQt2TJWzNuOysA4SkGu224bRDBLpBRvJulInHTM+D
W0wMEOxwQSUwhYFB3moUwLQtnTeiGiZwEQsIjNZZ75Y/+yi+D8i1t9awD8RDBU9w2BkjXdgLSu79
c6W76ZqEFKz3lItjsQpix9zN99u5xCWhyCYPg/aU0AlsL1nLGmwZDdJRa1CGeDSTLnl2QgPeps2X
5lGStEHOVWNjDQJB4JzQAidREF2tc4FfKHyyEvzre4DmYq/VtZmTYNq1FxCUlEccQE/kal1Ftb/N
rcL9ERXZwOPD4hAvNbtF+TnYNYFTvUDAiRACJr7mw5eMME3zqdPiUay0yJtuMxnRRG39wk3WSQM/
ZAm4O/+ameVQbE3La3YyJI4WLK29n0hTXKWxrZ+7llXeOEAKoGBDxUVz23XddZlPFd0dNQdKpFMr
7nSf2WRXp/COcM3oVyR6QyyBvIZDzNa0ZABx1+vhtoz0YNfaFaACP8OqviLf5LwAf/cjrzxPLhvp
kFEe9FVDqo2h4+FM8NO9hJOfoGGCR+ZSnw/KB6Mvu2cAPzHWD92BHaJqvXw0CVf+6cm0uTWtqX2a
9IjcMV8NJl75seRMgj4moT4YLeDnlvVsNX2tL/2h0kktQuHTMwxDxICDVd+2VQLm2fXRJS7z1rKf
lApR+0LaKJ6SOOnjtSYc74HciXgLkTHD0eNGZQbtbf45AGbb5YRcSO71vhDPFhVTFOn94F7ReQqA
tSak5i4T9jYrrwnlfUSS0gky8biHjyDwI2C56MiyNGT+3espsOKwiAjDhfsXRGvTINMs5PNBVoio
iH+rq8S01kAZqJSNGfCl0Ct5kySswm7Z6mEdbObQJ6LdwwgQbT9OxDxGhLldZWauroo4GPOFOTjB
immg/lGoIfsGsknuM+LHiIEOUXmC9MPI6vW4cJBWdy89dWCUXREUgCVRO75aAlxyo+XkawTAEYHe
Pta97iWQT0z1Ha8p2ShGP7kEMni6/6OP2+YeaB2eK4OKKHFrZmrAtS9bfNMh8lM4Zvheq73Xxs29
ysPsIu0rH15ZNeumg6yxbmJ9MmcfhjdveAmGuQplj4FYldC9jJahu2nrzPgZ1pP1ovtsfhZTGYxX
mLlCDWVB3OQrVXcWQz0qoysmcDLKJsskBEPCQHzqqbkRbphEoLeKrkmgXCbDc+fn4bMzit6AT4Tq
BNQbEnis3pNHjGTvmSsF07k/ZXdk3hGiN2BnAZ2Zksmo9DlHchpIqBvbZBlLJ73O9Kr5YZXxaTNF
33Ty8tpNSda9YkPTBnKfODXYmFLD6wK3lJQLH90bySLdgL2RsVCEV2VI6l8mKicHdYpH+URpoeOs
aGFp1y0knHgdxVN9o6I2vAFj5T333My7IFNnmeV9Y+sIO8XGE2ViMWTmSLq8PdNNfRrBc+XyEUpY
GS2Ys7wHPQ1AaNuBMUr8hpk/rd2kxclN7GJ0F2PiekzIYL7nx9dkB0qP5zQlcL3JfvMcchR4WRbU
dYpfhfSNdiEazEBz/sFXYssrxUVh2lsInJiwrzE5Ud5Aec9HSFkjWdyTad244xxQPsAIS6tEMrZx
bc6cDAzxa4j9NXxsy/cZTOFsB6zyBhYPXn1g+2GSrMc6L6GfA3cEuqY6B3Ne2IQQgbK2WCReDy1F
B1G4B5whHrsuAH0R9J1LimmZiWURaP0pg9mknW+WTrfK274syeFpBkI1zaK5aFoPyfBIhtZjVlXq
smSBSKiv6Q2AyEOqzksDMxgE4TJAFmpUnXjQQss9d8vJK37vI/8Ry+J/HKWCdf+/19QvSc6uiyJ/
B6bgb/wNprC/oANwkLizx0MiP4udfgvn3S9z8ZO9EXZVYxbVs6j+G0whzC/UpU0DapzOStiei0R/
6+bFF5bESFF0QXOPXgS6g/9Mw776vYBVB7/+C8zTVRHlDViS9+t6ypRs5C1zruuDQKEaPf/5m2Vu
MZPmzBkRpLf5jl3udFqZfbeOtWncvLknfx/57ZHebwX/80gciLsBIOdwq9SQfuj6eUqYoEtSVFhZ
uO4k9PlN5ujPtqcbyT/a8v4+4IwEsWfuBq37gy3v1Pp9iJ56FYZJtCXoCYBA3AzjLzqjuI4ocCGY
6kC9rgZch/efX+xHt5WeDRsH4k64vQe31e8FE6CNr1SPdNA7pazHLdZl5nWMkUF65NZ+dDRajwwg
Wr2z5ur9QxxCv8llCVReuLnxjbimPFrB1y1dXui26o4USt6XEn7fVyqTXJoBrA9t3PujoRwNYdcV
q9qBMyiNiRSZxHmQSWztCSTJltSgzavE4F+f39P3ZcPX4+LxQOVKFU/Y/Pr9cTvbIsma9JLOFsFy
QreOLQigEcwgNG5qOWrTPyua/D6iQynWwFliGZgb3h/RyF1Vo5dbCTMHORWxrtollV+eJ86kVqmV
iDOhT9PKCPr2WDFfzlfzr/0nx0bbgsoLYg3/ptx2MIIc0yrkQIhO12hY28ehnvDyS5LQCf3A/d47
hn8evlrinVd7PPAoex/Onnnt1T7fv1rpK8seb0bNSHHNzV570UzdV+vVgF8iB5zAI83G/HT26JtK
Ea0D+D9/7muHzE1cfPJK8+x62A4GZaOvMsUbvmANAQJRqYFqkeVWbDUIdu2cFS6U8ZImWXcTksAx
ENUR59ctw4Kckjqd+axBWZ5oBnB62mpkgsJ7cfD8pnKyxvVQK99YTYnTGkstKuCad5UoilOCZBL8
emxam2xjNBYa8pXDimPkuzeSi7Udoa1iCjczmlTDEHeAQtuc0Fen67OXBl7+Q0xOmk2mRZTcWJNU
9nXnldaGaPkqh65hJ3IV9pOxJK3WI9XTxFSyxhpvkE8LT6velUbazA7xPL13cUFjuk+d6XtXWBHi
PircLFvj0nwk5DEuNqGvzUEBOAu/BxTeYYZLBhh8y1x87UtBho+nlM1iRrOxEMduWplrZXQWI1oP
mgvAZQaGW+WyPicN42eougajt+vFLxgdMWtCyo2nNXVM+8S24s7fAaDt5L0ZBjn9iiGA05Z5qsTl
oPVqfIyLCCpvP3aWePDAlxlUDgrlZBco5NguAnEQY0EkOMvYe/ztBRmFfC98fwXfKyivpyzRtdOR
wBfyacJWxZnPMkwm1YOWBL1DcroVhhddYWg+tMWcvQl8zqGR1WVCglJNGBi7iU0463cxxroTvv4C
nQRzYY5xdjXqjZvc6PC7wpNM70dJ8nRXTCRXuvPaKCLMHR4zYJEsAD5RWtoDrseGHYE+kPGAZziz
2X2s0N5b46PBUnY8A0RkpGd9Zap+24Bcrl5IggAzswyHBFAZxmHUcjkPiOdyISSUuR96S5n+Vrpo
FjZuGrG2X5QVm/AVHKKhf5h0ZP2L0tPramVgQ/Ufeb9qIoVa3QhWo9PUJDvM3Lw2lQRjx02SQKcU
U8/rSPMxWOqNk2BxtPvuLnMqyL865RJMldhX0Y7ZcnwIO6+/GwdSOaDsZH6/dMopZKvs59ot4NL+
oTSj6qaVfKmXYoImjk++IxHJTRP/PHVqm4AG5W+zSVgJ/t4CIhLp0CDgh8yTFzoaDoiHxRCS3zKR
jrHI7MKeMzsGioYpG/Hb0BYTO+50/KGJQTx5gGMf4br1PyrDgwtPnGXfrAvID1ckpOrPtXK9F9bP
5VNv+MSF6Sm5qpvBrVi5EsQJZzbPbO3arkLfxOJmmT8C0loMPPS5vAVuQP1GDz3u5wQh894f5nnH
BR88V3iS5Bdp8xb5BdK1npwG6/MysDQC6GSnj9n3KjLBdywdy7f1fN/JPH4Ubc9uB62sfAHQEczJ
PPEUrpPCJ+8nlAmU6BwH/EQ8Ubgk6gUuA0pJn7jiQS/vS+Q9ZBQ0/IcFPY0+oItldk+eB7TsHooT
Zv7KQEsZ5jagN+IFmtlq7E/6QgOAjhPYSHhwXmYItR59szjp8enzcISI7ijEQENA6jm1OGc766F0
EwT4XuiAyIJ9DZBdVZ5z00SUNJehW7FFqKTMvqsuVt5aT9BqbSRcSaJknVAjEsaksrTIYJ0Wp3CW
AemAq2Dz2WtwBIEHBOO5jx8XnovhBDeKIJFpAbATLYVTluFl5NpRv86UFxbJir+HWSSCYDNelXUL
8sUUbVmfDFlLTOEkB6c/gf4qiHEwes/eDLxtPhvO0kugkRtEzBpVGp2bDaHvcN49bdogeEgzZnec
27dZJNnqUF+riVnRxpRxRzBGsJJxj+tCq2za1FGIL3zdp5pLTImCMhP89EgL9b4GpRMEZ6GO03wz
hZMHQdEBDnnaxPBCZ6BGGr4Iqcj3qiswAAsnciWRbFVVeqvBHPvqKimbUp4y56IwCL2ipEIDwTUD
ca+p8oc3QmnWmNcIfGY92GN41vQ5hEaWmTznuqbpQbXuoCO08TFnLFiXRM0NcpDWuOwcCwGoGyms
1KxU6u7UJt9tPAn1KU43xIhHrVoGvVkFz3ZOHMSaiUDShVDtiL6ho+AKr61TGdF9ABpJWqJcsCuZ
+kh06YyvAb3zX2EZhjc9cLFTrJwRcY2Fpr2QqaN2wsVHDsyiCONtTCycsxQjkhC+o5Ein7sOHCoX
9AWsTWJZGsIkzE+nhUu9aiFwYkFTmIA+kZ9YDWoLsoBMaEGZ50fnUlhdDoGntiJqNIqQmdU8gmOi
CgQvNASTWbs/FDEjzD+Rqp77kE/5OvHwkS1kgPRtF+hug21xyP17uJ2UZRYFSvV208f+8ICBB/e8
gMRyCviUtC+l91O6L/WwVJcUfqYTvv4R5TCigSn8Qstrz7y2UNN5HxP6fUvetnuvgsGD01A67tze
dly1hMbQGeuZS4kHwIr64raDu+DuJ4l1YDWHHFCDSQQB050ju+y8gJ9kLdrKarJvETGl9gOTNzUp
IiyI+ADFDFS3HzznhegK66GaGu/JmnOKKE/nPMnGFhcEgacPqCttwqP1CJb9RHXUXoeWXZibJij6
ZjHYAylEcKMJncrxuEXLgg/TtDQ1tK6kXAtikiSzfLoIeH16GNPjfFs1d+iWyq4MfJNEAX6nFTCe
R+zGeLAdi58FBmftu1HaxrmibAyMwAolYrACMz94FHt6kRQQzookzIzzisySHnZ66Ggb22qGbKll
gVt/6zXKEhsVKdN+HtzRy7eOBjVih1XI1rYNOe/eQrNV1ZwoNxlIUtBcJk4WGJVPCs+ogo3WSMja
iswe67SqiYK+iyzAc2d1MnThqR6hpqIsavsliY9k/rAkC1lKLAMZ8GI0hTbrEkgbwCwhqkg+4Con
hD0jYMxbmgnaK1YGkIPWPRCGkIWaCk5oSznUgbywfHYEOP9l4BgjC1JvPJ/GjpDt2udTxEonS7yN
6EfivbImYRqOB9pUNUYDIldWZeO39ktvR6KirlJIMuNxLAT+r9gsIK0amH6jlR6FUfwt88ySyj/c
ttD94YG0S9cUnpt7iurFswbSgssBh0LpUHcKaons5J9oGo/TSa4aJyKdOzR+kdcVXTS9GB5BuWc3
lK89s7+JsghAoKF58PVVHrF/avrG2kBRG7cTPU3iNGMVXgBzjr9Dksy/0bOuKeVLs7VXbTS3+twu
iL6P3WAES5/cUupKulleDPgRftlTkV575KQmG5QB9WNljDHZwAntR0pfjczOSCIi9aHuWAAy/0Kv
GcckSGZ6K6+7ghYNjK+DLxRB7SIFti5yAsS8CiAhwibjCc7i9C1F1jEnejjRiwsEBtRQXhk8Q93q
zyHjK9JzExLI2tCrbj0J6448C6XvGoGTYd0AH7mK0K7bfPBrfTfpBcWAyAsIglK+0J7D3qr2XZl7
AxGVum0u6bQQ9sB5pk+tar0rYLsWdlcwXcQLbPmWh3tTJa5aGa/4Kv0VZSVmqtWUR3219lgxOmub
zUW2aF4hWN7Mw/Jf0Vixr8yHooGXVc7kLDkztFiRgdNiIRqcI1SrH0en9eINYtbkzJoZXPYrjkvI
3iKb/RXTZZQYOBZRrwXfma4AeXkz06v3RdYsjJn0Fb1CvxTJ599E3Kpr1U/TXfOKBwMn2kRLLxjA
hqFINOClzzCxsp7BYmEcmnflK26slGy3cHDS1FnZr0gy9Yonq15RZT4f8uv0FWAmJV/G7BVr1v5G
nL3iziRLpzt0W2wDQICVF/orGk28YtLyV2Ka7ZIiRcwPILXX3fs/Kvv970TYvmoK/3118LZ7Sp+f
6pe31cHXv/K7PGiaXyyB4ATBApJtXDUUGf7m1upfJFU5zH1IF10XhO1/lQdd/YtDK95EjoPWG733
v8qDjvxiYjsVQgfX4egmP++gHPhZeZCf86YKgTATYQMOTYjWNqpQzpA/f1Me1DSAfcncHRgd1V+K
wqV17GhA5BcFewv3jAVX4G5aFZD8XFDqas60jmz3b59XfsT70s/v03A9bHgQ9zyJB+/9aeRoHxRD
ldMgjiShMwZ2Y1/MK99FF/X+dxKB5q2XU6YPbQUDi4KDR1pKbCfWuGuJl7mkkurIvR/gRl2yylTE
ZkFWX+ikzsX8RZkHR6pVMzr43a3D/Yw3iaY8Emae46H5N44nT1BwN9cu9Efwivm4jXynuYC/WJ52
gWGt+fCHNwpN2lprY3s/W2AA20txGnS2IszBrxzynliPLI7czllB+K/aku3Np8a50StBCIe3aT71
N0+11bl1QhPm2uoRAzm0OYmACYC5hWa3Uc10HU+RiY7UUPCdhNhF8N1WhNxW6ZEzeV9K/PtE5jop
ugasCdZcM35zIklfVSONGcnyjZTjhcz8/OdYa+mVVWn9xke2y5ZwAnA6TqN/RLpzOKb+H2fntSW3
kW3bL8IY8OY1YdJUli/aFwxSpOBdwEQAX38meF5URV7WOLfVD2qpJWQigYgde68116+bsCs8kM7Q
RffftDFFWmzM8j1+H9fiLKcWBS6umEsCKBcfFoXfO9DKumGe/3cl/H+DVP5w+5Eo0QhHU48wSn/z
UoGkSHW6s1bcZhkFkqYCEsh90z8hZmAQNclGnHWoV7RnZvsJlS3o4lk1j16VBu9pFX/pWF4/C/AI
GWTiMUNdh+7m9U/gbr5wsE+YKDm0SU8K6LwiKg3OLgfiqz0UEhORyBdRmiuTY85s33pjI8LV7Yfs
HYnmb6+5xXLDpXhnmHzwP9685pJGHgN1zr3+YKM+sZdxSGhDp7eoLwhJlG5NULztBpyt+vquQPLy
YcEd8ELBn9Ruq0NaJNj2iyCL8apKek44bPITJXz6zoL0+3P7a10EDr5zBxjDvL5pExmG5H/JINaY
y1vQYbH3c57tr2RCQLZN6zt7tu3nde2z0//13UVZjgALy4KJeB6D6+tLdwikFzGMRUI3TU8MkyDb
sJuJ86QF0OtfimY0PxkEjP1bBbk6KZIjbpStiqTyvffME78kka+eHT4BAkZ+KjTT/Hd/0P/z+s64
anW1ZioZIPAvh2pQ8B7WjmXtOln19tQ2QbteCCFI77cV7+8ZXOc441BXfhBNvrE9Ml61ipt2AAL2
yUgzQhrp9SQjze4+3ODVLYmlr8ZVI6toR5dzRDiObYfVnQl1De58VbQB37nD+4/3+lsxcWNgB7EB
QxsKtNffinGx61DnLYmNXvi0wIw9kRNfhzKXBMcPHPEsUvJgFZrlP2pBIeobinPA3z/FfpG3H8Kj
rucPdib+5PWHYEnOCrcjk8GEok2TaBrgoy96adwCJfjQkuN0/PsF//Bjsrla2MrxsiGTfmsBsWaS
ZY01mBNlg7zWra5Lqqm2X1C7tD64YzpYZJKp67B1/ZUGun5ZnS2/OObkPbZkBI2mqj8umztwnDDL
jz3IcjQFzk1Oh5lEtgYnmsOcHnacQxOCqAQSFF1L8/75+/cw3pYs1l4kYICgqmIhwbn6+s5ZmrUn
7qRokke6UZGwdfRO3Tx+tok3vemMxTmlAWRuQmX7U79lazQ2nfcsx/5xtcFcB0ioDnVquk/MJUQM
PRmOZ2X592llLSjxXe+d/cDcf8vXv7XvUmIxvcE0wpTp7WsUTJW2TkImKEgKup81CM1uZx6u9fqY
p7l5MnlhzrNjwsbQ5D9B2wWwjccyGrPBhVdfrtrVT7fmpfNduNOdNUeTZjXagQzE9dPWKXJgt1bd
lwpDeUb06yLSW2Q0pXeAQA13X1uWO2Vs1Ts10O8P8f4aMVfC8b+DYN58MUyvMIpbY0kYS63XsdLm
eLGW7p5Kbj2nll2+8wz/fr2AgThvrw4KdJepv/7pndmy6OuSsgPduv1sTdoPig6gioOQ38kkn6p3
Sog/XM9Gvg3rBonE/vu9vp7oF8Q+1SyTYnTsDz6axJ/aprwbxxmQaMnBecdz83tNCVIDpAED0N0a
Z761q3k0Vv1Mz1ZOhp0Tzhg0dBylDRkE1aCH6+LdaTn7zjBr5DVID5XZPJPywCRPNx5mb8perIkI
7mlS7jv70u9v3W5iQ8jO9Bmz4Nu3Tk59oIF2UElQWwjK1sD4mKV5ewhqd75TDLDihqnuTxxAJGib
9Hb+/tb/6fI+/CMIaT5hNG/F9N3Q2DlhsWuy6ZX6oGu98RWL8BEiKHiLCSdfxMToB8SA/pKjen3n
y/9SSbx+g3kGoEHhP9YRa7x98Hx/ai3Hd2QyMgXc02sCCFB2PzBTJGYxKrfxJVjIfMBwfgYLbZ+F
7i331kqeaFj6FpzXGSYH6c31dEQgmX34P94dgDvMIXFGIyCmB7SXM//Zp92aPiByLitxKQVOwi7N
+y7r8ituuOGzZDzjg/t9ynmrkrYe9ee/X/2Ny5EqH3Muf7Cn4pxFyfGmWqJV3G1WMFqkqQtTe6LP
2n2QuhXIu3LkrYpq0blGiNq2n+KxGvsyLLJOnAwD4cZBlSMB1n//RL8tuHwgD0aUwU6HS+ftqTZL
t1lvqtZmnZBwoRmxN4dU76ZbpVXyi2dMVzyD9vnvF/3tEeWivCO734mTOfrU1z9Cs9kgDBF3J0xe
Sdssg8X4l47udlwb1zviu2r+IaLTOE1+yV/rNPM9w8neSXi9z+Du3HsD9L1BcXIDXn8ClUvXzBfX
TabUQrdWTduG1JMJRHteTX24iI5J63kl/4IoJ/4vV0K5OvlgEWMwRnR/2/3hTQGK/f3GvKHZ/Ho+
AnQdaCxwSQS+8/b5cFdz2nnvSYq6gsDGelicMPBm8t8nkhbzGF8OyZIrN6YFaec21rFYxtEhSIvk
NNXqixFOi+mvJ5jtG8gbovugpSyajtiQnutzUciy2HHEW3ocpdlUhzbXoGH//Xv8vgogvaHzwkkW
EoDu2G/ur+ia2uiNiX5INZbpae+W1HCCB1oO+ZKjhsVEaLtQW8hJJvmTGQeiMk8Pvcp20ABiRp6O
EvfYvdHyT4a9jpovAtCOjPjvn/T3RxF/GuKkPdVol2O9KZG8zp3IsuSG01ZFi1GvDl5D/dNg1sGt
Waz1yR+M9bvTd8eVeJrk7xf/bdOkwKFAQ64Ek5Gz9f7h/rMY2SIncBj/fEJ4l/aEonR5cPNAv1YG
hwddpMM7FLZf5dOrxZkLsi6zNZDpt5u8X1+QBsNIbK7l4dpo5++9ZqkjEH7ApaWtX1NLw6ST2o48
saf6oZ8FeszQozubNQsR7srmrtu8KnKyfLyxGqc/NmsxaHELzP7QZJv/OffAx+1R7/flWkzvLFWG
9dtLa7LV23RIqDOwML/5rfJcLzUdOnPS8oTfWSIIXozWGm86Bm4fG8WZt1Za3oRpQQwooS/pzpKb
ol71Ht0jq1wS8uqz9p2a9Zdf7PVNRWwW8B8kjeBF3sJTBC2Trt+sLUlhdo+RZN9bD0wA+g8FzpPu
k7JzvTvL1eiBzpmL2zEIEu512izvgtHXgQ4OiZ8Z0lyK22A1szSRjbbKGzkEi06MN8Pya2/K/P/n
gwMHYaHFIs2H3x/P/zx+PAkm6iBtTQxfefA4diNDXM1u8NB6bvqlnYYJD4AB0CIurdkHXmEY8uvM
nAafDx3SmaDLBZIeWbaEaGgeCLI5VQQ7KH2vuEdjdh5zzyY69e+vzR9Wb3YrlGiYovba762kUPZY
flbD2JJi0DHqErY44dDw7wm5zx5bQxHMmfnaV1uM2mNmgkEmyRZwsK7au3Lixf6/f5z9aIoS1bIR
qv461PznPk4WSZgaNX/iepLALQJMEKbhKmaWMCJBcIEVMZ+9+HjuLmQAqbva2Jpb/uTM4C57xwf3
h6WXJALejgCoLe/J2x19BT1iNhgqErdAhm2lKzqYppdPmp2nexvCvLHAyifTNOjXzBXzB1UprC4I
CGISW3AIlGJ76GyrDgNgC++U7X9YgTgB4SnH5cku96v5/99njmCezBP6sCUiXTT7ttuzdwI3LbBE
KYF1jMTh3PukrRpBjKYmCcbWVkt9ZSBGAVQ3jYauTHmdcUv/jF5y6ri9G/mpT5CPVm15c9nMFklB
j7qoj9CZ511CuDllZsGp5b1b/XsVAcLN26tJmiMsAG+WU7+XJFBXi5G0LRp2YINkCmeun6gy01Cg
OMzr4ZE2Z7lkLxr35MESpXuyAiLeq5qN/e/P4S8d5JuFaOd2UMRBJ+Hr7LXef55DdA5jPnMyIG+s
2WARtC22M34NjFn6drAnyyB9wkImAMU1TslKpqM06g9oKMgEGhZGkpMcGjI9cTKS9BsQH5tbKFYq
kP0hWhuZIaGftRcPZQbxGXn5dQDW3WXl9L3oVPmlbjz349+/0x/WfI6wJt8GVTY+1rfHCVFWqwYw
NkjQ4hn3OSPNW5f4WYCcdfUNlENJRsLQx6ZeILjU0+An3rnv/BB9tI1r/jRBXXqnYvjjR+KABUl5
J6VA1nt9m0t48mbFvCXJaBRdhTv214Ln9UBbGQHsYqxHt67nzwG70h3rwhopiriDJgyXvAPhQqpp
7Xc+0+9VPG06H3wXpxs6ZG9XoGW0BoV2Nk261XE/rSWjewZF3S01/RLnWqd9sFE6vnPU+8PzRsuX
Z425GJMDSorXNwKp1zI3ZJXw8GT2kcaneZra2juWY6OORt40N7Cau88F2OmbftTdf6VVfcudBfku
XODuWPmTuNXg9rUHCJI3jjm6d1og0Z9sBmFHbYD8pmvQDGmlhhuECMOXbjHLFzaa66ht+Ffeedh+
NQ3++wbZ/Kz7iwwYwefVftt1JxbN3LdEPR6LQSDAUJu7RROK+peShEoVaUsvtgMOfz+LWIR7sndm
MzirZhrR/awcOQ91NREAvzWW7D+2JinIkdmW6xarcdFJEcE4K0GeLUp8VUZN5DvjiOPWrgKRb2na
WUQixouD4/RzCtyf0UtbfewUJjI8+Us49E4L6o4AwD6eyUDm7IRGtz+kvCYV6TzrMFO72fKhwsBI
/zn3kHu6yGK+Ogi4yZYEdkxXs0rryy5xlvFCVvoQuk2FVt0dSBa2DaUFEVwsIIsDoUr1ObV1eedB
yRLh6ljpI7eusMKyFNVPMRcWGuBKzZxclyxbbiDB9unJXEYposacxpEvqM3VmQqheqSRI/4tTAR0
h5UvFxG0DRKR8YD0w8Got7joxuEOFmSJRrMfOyvslAbTf5ZBgXDJcwZS75RWc1ZAwXIzp9PwGSNR
74Y601tOS5rsykOX6kEbznPHZt+sIuCo4c7iNDrDch5rFIuJ5Zdkg6cZOcH6Iqz7YCTQ62J0zNji
CmyVG2G3HfQoH8j2O8pp6o0jyTL1EzdvF/DBIdwi4q71kLexmiJEA96PBlULlt73nkheoTcPJMs5
thTK9R1I9Gat6VEMtjlLetyQ5XUp9Yoce0/wviAWurU2sgvRw9d9YrCJI1C0qjPnR+Od4/pvvTYu
YO7Ntn3wzbHZfnNe122xjT4nxngt++mM0ja7gAfU49ov7rJZtmcrc5998pXopiKwIzPROa1eoB0Z
igRxNq0ufaBi/Pn3m/P29PS/n4oaB+MQs4m3tO9+YPUftiyNxdrIn3UFBVTNnnhY5qz+7GTEOv79
er/VLqxwnNTYYHcvEld9c/7oyeNsXbF4sR+o4FpCMb0IPa+/+Au5bYUz8G5kdnu3zQ2swa0pEGfn
y37MMsjhdivDYWyB+uuju4rmCZR6+ew0PdiQ3nNv9WZmjRgqiPzBgrPB1kdDf+9pgsTw9nmiMDRc
k1oDTBzl15tfMoC62pszeT49yaZu3NmegLNVD24d+mKa7YO75vklrVnQjnptbc8Dz1928OZNDxLp
GPJWZT568oogCgAnC4fa0K2L7ksxltI7IC08A0UFPGq0o/4tqyrq7gX1FkJkX7RdVOj99FG09g3R
nFkDZ086+WUYx53IXnW5eswbZOyHzpxdotR6r/2cu4gaw2Ea+/ZI8843DlmvF+VplNk0IsRWaR0v
M1L5c+bX7fQQpOkqwrLxnct+vg4iUxeGE7cCEeG52pbme99jJU2ITyIyJOUk8d2bh7YGVgEuOHID
QeFY22IeD2jjNjLAt9QUB8MX63WraI1FVcbvRdNO/GCBqKcXmjDiey5a2EL9nOUcp/LGaC6g21rS
MhfGepHfWM5d7Vs9L4JeIMogK0x+sxFxm4mtCF1jSXMNeZzdfcCE0gWuHpjFTIUuY1ubzNdiGsNq
IFnv0OOTKw7cf6c/LDgJ5MnoYS9fgFoC0ipFM1sRtPL+KHWZ3ppk9YWr3gOF9aT5lHYBBdE6Wij1
l7S2/2FH9B8cJ5jJMC/hIVuq1QLmjaWZNHpjneiLDc+2NbXaKe02zhJW6VTOwaFRey+1htw6y6nw
wMw46vCX4aD54hda8DCWGWlQcBPJmmErCoiybMftpUU4K+OtduoHrZsWQdG+LLeqlZMIC4vvSPJH
O55qVRKUhYUKyyjQBFeRvq63ZsLfDYIDvpe5PcylvdXPQAjJX3FSL78oP1uOHsFZ7XOhmUMTEzY/
Di8A1+bxAcl0uxwHm40pXrtc+1EBQTLOmcOeGa/baLuxm7bDBw2+4JLgUWm1ECiCGBO65bU65ItN
l2wqCvTDfY9RpF4BHnGer6A3gaMKSBgo3ACxtbUUtYGhem0/BKgk66vyuQmRl5IwHTp6OR8bDvrE
dQnbn449sv/luiyVwd+sqhmJLP3oNCmJoCiTbuvrp5ZtFu9yW6zYMJaqfRgNCAokR84aCYLKMJHp
6zy6ppy97LYFgFTG6aaKJ7yQBcmms5+qqzlaW/+sbTuesebdlOdCwMaBCyNX7aigZmGo9mc8Jlit
GhABq5dOMS94w7e20JgfN7OqczTeyxJJGvrNz4rYQeI8YQbYl6ZfSH6mO+oPp2CpESsahTZboVkM
xozmj9o41vyeOGdJQ3a759Ej6LiR9oo4Nq9FkgHy8hLXFwipYBv1p0ZLBxZ1Ti0c8mTwVZrYlcLG
SFVETrG48kOOzNmrWZ3nSkNUmfpF8CxaxsgPLCjEQreTobJo2fZRDKz65aWWpmD38scxyrLZq8LF
YN+87bGK4L/MKGUTwxYp8fVrblXhmtnSJuYSrGlYEyZGbIG9Bs+EhNjGpW1W53kaC/nDEXPH8kYo
WhDuuetjgjONCAFgtkzZNLqP42EQm/him33thP1St0O8jKC+wAfXeHvYTjVBURkY8qyb5TzHUori
YyVn/6dE1vbRJgUOi5+GTPugO8gCboa6hd0wN9J3YrAAqIorRPRtaBdWQCqQ15Tf007HqLJZ0Dlc
xr3iiHhDbvTzNGx6S6bZ/rHGopjHRo3s+iHniZnC2cZ8/ejlfNEEsQsVozKrAsCzp9TNEFT1P6Xh
a008BZ0DRZy4XPtRn/rpIkGsoIuyN0MybUMGfZvbZf5Va3Y7uTmT4hd2DjG9gAAMMcV48eqTGDOP
MJh65lWnky2DKFsmfQqd2p8e9WGeCFIUKTLYpZrK22AAXhRP9AvMD4E12v9ydxGANhywTGCs8Bm0
1daGEK3TdoW8O/4k6GKk3bwtkEIsb5r0s4Z4nCK4yIX7lDmBlkbgc6V5VIpX/6ioiLH71ir7MIu+
wbrG1M46u1mqzgRj1vO5mofueaQPYBwsd2rWW1WQ2sZD6bhVQnifhIsRoO6OBm+iSPP10QTssrLP
OPTSplAsuUtWpWVN3qERvsqJ7uycCBvGkJ2KSScIN81mX4/s1ucBzsfMvljCbNqLRnUaOkFDYsFE
fs10XM3Glge3182XigjM4hlhPVs5lMpAXPZo7OnUUptSsU3zSx/U/Q3j5+wRFbOxxKtbGg/o4t3P
y+R1gNh0fZ1vAbmoZ88a8zweG9Pa7ol0ly4uK3JDAHvbLLG5vblayHdRJH0NhfQiKP85tV/ZCSRR
g44yozSIUsldr5Hs0YX5KSe6E4DeFhTWDc/BmMZEeE5PcvGIXXQ9T/oHVHi1YNFXhhcbyur9R2YH
ClaU0Qc/8xKTNM6igRYl/WG8Xpq0tyIsc4N/izN1/VktjrrZlkXOkb+vXgexZeyCcGFrABCrgAYg
m4LmWzDT+yZKfNCiSg5rlpSVn3bJxF+yTvVik+gZiNK4CLMdurgFkPFx7a26vJH0vdez8L16DSuz
kQ3+Cte9FBM20NCv7RbDr7uh/tDmWoTB3NrTweO23lWIC/3QayyT4ocS62b1Oo5qS+mB6MXoQWi4
aFzjpnM1kpHmbFTq2vc+s9kNJ1nSF/5Kg0zRYL6kFU6KuGUSQlVQ0PCyYIbC11DwQ1yn1oOXps6l
ftcwNsvB7M3ud7RrQb+bV7HX5QK0P72ITDRhaw7Tt3yyUfU7s8XVOOVvXzyt8fp4WQKxhH63jU5k
b3KcQsvCknFY1LA+lau7TXG9aerHrDz9m2fUjxlvC59rmPGOsbrQYJqtejm6fVfNB73TrccUOu4c
7l1uJH1MoIxbrcTqCOyl0m7NVqNf7sFf0LhGoGNLWsi4TZTdaQOxqLUXNcOypgR9+v5l8mAonQhI
4d7oRpN9KOi+HuhvVvMJd0Se3Y57gjJPSoPJw+iJC8aHiKrlTE9GnbsuM6enTbW9dvC2wf7ptbky
Emo+TX/cNOF1oDMw3SSNlU+PdsAgKl6qkSeVkoLqqN1yyuERVXjASZ2Qedz7U3BhX7WnCJlq02K5
Mozl1OotLEBWDXeMRb38Sq0OCjwWCy25UypXH7vCbNmPA5ABII+y0k6TI4c5HFjI8cxISXu97u0+
Sp0eD6wHgovgO01oDAT9STvNwt+mbzQ+9VuCfTWsCwwt8dD429g9ZA3coaPeuzljTcMCaDU6Bnmt
Vl+0HKtzLUiKTlPbEZfnRAMCcg5pbtiHm1hjLArZsKQr+9QRRXxGgJZut4OEDnxv+4sjkPUZmn6s
VtP4l6aTJS+qr3UttPVei5fabszYmxQDSsx17Ue7wPV5agsgf7yjhfUNs4k3k0KGhiCaVL2JO6lh
ZwjJp8iGkz1WApvgYHhdxMveeXEXgALM5tBaGwucI3G33zKj8T6QFNrKyHRnVz+Ydj2YD0E7sqbv
ZBbitTXlfalwfoLz6dtSJH1asQ7hyM+XUzHMbvZZZ1SWnRxQK/fT3JjDDSs4fRi4UOpO+hirL5aE
JXCA3VVsoQdBrEyqLYPiFGTbLK+lzYt6tTbaHPeyt4v6XDRZkcYmk4YHnB9UGHkvdp6oEh1z7cLP
5TUPZju/GYocPJGfo286duPsUmCMuF+GbmVNLSyreeKRR9FSIIlFc2XXHoewYrC7xOjW+sYwOWhG
i7O6Xmx7vbyaRsohgj3YMG4zqS8p3RfL/zaBi3LidNW7H2Vaw9cq/aY/p60Bsrompdw+6XrlPA3W
YHan3EYwFnNgSY0THOimPTBewSfc1ThJQ3uSfBLlucQzr025fYdXoXEOKfLsgt40mELVl9xCbWDL
lg2mtlBH4YTxy2o1LS4YAcfSWHFsVlM2/MzshcGXqjVp3ZWaa51Sc2u+k2fIqVTJ3kcoBfYuD1ut
GX4qQf127giV7o5O3pIuoQayaQ+y64o+1rQU1HygLS09Qxv4TOJjsT3Y4zDa4QL0COYauXMzsS67
LtZpbPGyvw0yHBqHyJFSZv1H5pXDs8ETTQL41pf1oScj2mJtxvdIWi5HMbAzRTkeKsMunLAcrYmE
GAxV8ZSjDJSGkf0rK1FUNwPW75Fxo2VdJrh4bqzbfV9ctDKQMhm82rEj20cB4rJymSQ5cbS68j7P
D5lsfT+ZIKV9M8oRUEdf2Hp5w9o7PUqOEkSIlI3zY2iloWURPkn9OVjs5qaYsvZEn7sNqU8MSPed
pXvfAmfT7wpF5U3+ulBJ1pXSfwkmtH6Rv/XMK/CY2mZMR3/s/nXVOrbxCAFFHAutz+p49u3tZcnm
foHhXKbXpncFiAnTEDACkMGOiWEMnGcFXnM/dsvZg1YVbF6ZFBnPQ5T6bf5t9vrBCX1DCKyoJv+M
hRnejEjexvmX+qb9o5i14uNsN+QiNFmvnunb5U9i6PR/eCrAAUHQws4nnbTfzpTyU36X9VAJIuEs
9Y8RwurJJu7Jgl2mUR94a96tke3JUT2m1BZ6ZJodGVRZkzdd6BiDYR6xPOwkIQo475pvrelfvXbg
43TruJBWZQb0DITHTCR0TZnt6hTK1HurcYM+ZDso4X8zfHQiRdvuyUbTpaJt2XzWiWJIB+0QYGtq
HqiCqmtr+9p8xXPonqCYm+attc7eTPXcBMWDJs3JxEKsLepgFqZ8GvSChoFlZ/AViVXpvA9MeVoR
B6gRMWZkWjDFVqYG676vVueoyrm30CumQXHijQm+WOhA4xQ5OZsARct2DnBj00HHXeeGA2Fm2Yc8
GygHTOgTlJiNd8mDVayRPnSZHYp11NOY8troLnYuCi8SKEhYnhjknXxPYd5uoWglVq0v9t3YbV0X
lgXKpLArrU0mNk7qG33N9W9y8qA1E4bTXVAe6fICG7u2yYAUxXVvS5HFI0GnxINv1u5TsO4AScOV
qFV6k1Xf8fpxunH0dOmOW2+599RYQovt3JBkxrmbIAMIpCKRz/Xe9UVF6RJjWSzSC4m59/UDcj+Q
zauo/Dksa1rPpB7iDwcNulZBfeMAMKBNHrQzDeciTR/BbWh+kuK0OwvpiSkCdL98zTf6C8nAwH+N
ZiYBw33eBXX3EgyzFtxZtRdAUqCOo9eO/ppd0pdfRNCyWVFjUTW0zHyjNp8zzjVZvUyHuffS9sHX
KJjPomxT8+ytpHLiHGzZUgZjzIeT2vYlU6uHrqX64LwMcnJ2SNd2m1H/qDjKgsCQVD7xYpBRl/Rl
ZRBl31fpt7L0WQYxrDslIweE95Hmp+Uze4zrnhg9m/OJp0qfca/QNbvRnMLS77nJ3vdca900dFNM
9KEYelXeGwrDR9Rsm/FPY9CUD2vcnMtjiqEuj1unVe2pJCr86FWdVZ43Jfcz4jjVl9JuK+NgMDcZ
Q7EZ6nMhAylC1amRbbDOUA4EOQ9r2Bt5EMqW5kE0+8hfosKzxSfolMW6DxkdbKrjwNLQEd0kjjPC
2jwRaOTYmhw17xivDdE7uhqczmanFbcKyAmEaR9wwNkTnIbv21qvPqquKr9ZC4hCHPplnp3M0vWX
sPZ0F1vlWBB5mo8Sc6JVET5luQuXD/z1ZWtrku10Dt3qwkFnZoDXzWncAum0IhpV+QUy+6JFANss
I2yHoU8PXmaA9cv0sgTPvqU3QNK9/qo3gnN7Oiy9fXHYN74AcZ5It8ql/T2g4ZfFDfDa/ta2aIok
Zl9ka5jrnPAP+lZtNOvoTqqbIFD29tgTZzInXotNJRxpyH+WexbJDQ+mZD3WsL5/scY9m28FkHBo
eUXt+0IrNydMiXeQZyPrutsq1xr/o5jMEqGHm4tL3VY9CBkq2SYMlpFWoOtmy8wvQIfnOC491hc1
dvXPxXNJs1K2X/7Lub5rj31fbemdo1ZGsG0nre9Lq3SBrN3w7/KAf+2Bj2b6mOh31kYB8S09mIAG
HlEA2uJI56iIGVADWUGDIPVbA3rkGvGjUIdbnmY9tvR6CHOWWfATLdxsxplsSv1U9iWzwWXx6oe8
d9aRNgV3koOhnKl3tzng+NQu5I1uJu0uL8/Zz9YgnZIAcIw8aHyjNZy7CkZpOqAOOzD5JrOuLrzm
J0Kb7ezXM0TIdUXGUhOSOfJbwOjkvLUeym5sP69bVZmcmtYifdjy3vxSCuXmkYuesY/UPGpVOKcN
5B+0sMZGraWNI0yE0YZz4I7/0uqW3mNgFUokji818WSxObmxQB4C4RXns2KNTC14WSNz+Is+b2a9
l7q+IqqUgMpbC+KsiGQtMg12KCecA7+1PDsp+1fkdX6PvpywlA183qSex5V+xsWfBtVc+nzQbyer
K54l0SKUAf5actzpgjWcNs08ClP4VbRDJNpodWqN3mG/qJS00IpTJKeanDB6rzEP/ehv4kAbw7u1
/aAYLoyn3THJLb2Vdz02X0GA1Oo4Owdl4UhjDNX0bdaqnMGkL8Wxy1GK172ufW1cuzoguJTZkQoR
6m1V9f0t2tQ1ALFuwz5sPA2IQ7CUwLbGuhYDr/602HvPwvNDmnubcxyQW3v3elvhwpm2bre9e2p1
P9HD7Jt4sLqGVksB9O/ENy7hwqBghMmLz2q5DHBitecyBal4mUxjLk5FXbnB2SuXcokyX09pQRTw
R68FoI0qcaSUK7jVOttulpYS1eqdhUobp+pAJQE15KitBN7RrAia2rzvh1w/U1dOdFM3U9zvsEnj
JBvTQ8BuBNTgAa3P8eswopy5k7Ul64sCjruzxLzvqIF3Tlw75fqRRBLjJbVE9rik+DFCXegjRwZR
lStM32pqj2NmOSE0WDx8UFMRb63AXsANNdBFrw7V3qdNh3QYycwqzWiEWMt02d34hixrdhXZ9M2+
BNvgEwKmdol8SgcqajgQrnQsxzWuqIa/d1WTf9e7OfuawmdZSVSQKRoctyl+0OKbz7acDS8RUGd5
NHGIY94OyvkZu1BmHCj43CIE29jQ8s1NH+1E1sARSjMduM3giDOJhN6nodK3H1UhJnEeewevf1Y1
epnwPvfgiAs65JGxTJY6gR2X3g1RMXQ/aQzL/NZQ5tLFQGlz/9guQv9Jk9VOP8Oh7dyvzG7X9Mrp
0W4OQWnMpJe2Ves/9WiS4OkoTy0/XXOFGGoWGbBQQ9oIV0ueROthG7ZGhJVV0AenmBvtpHS9+nas
FuZ/jIerbx2gnTNphnkb1cr2jnUhfYA2myWsw24NOXIzuMxgpBzxwSjRShB9gEGhTNdRHEAB5PVd
7rmySzZm0l8XhbPiAacQkC0o1RU5yqY5/w9zZ7IcN5Jm3Vdpqz3SMDtg1rUBEHNwFidt3CiRxDzP
ePr/QFm/dYqqEjt3vSizSklkkAiEw/27955L6J1FtzGBJmyBOukjQIxaSntvRUP+WumtFQWKWRXd
61x2PQafMZ8Tb2nCAZyuo3Kun4scEiZjgNS9iBhc3cgitSs0MvwevosM8mjWdTyf5Uiobj+x1wp4
RPFEGJm0md/AecAgkWByNqqRZHs3gZJ3jPsOeR+gk24w2jV7HQJOo2bvk7WAiQDNk1dbyyrs5ZTE
bhQtPvNxU2JWasZ9XCKWBSO291dO08kczJquvPM05jxVKfBHgxi3onpXLNw9lwshv4QPsVvtAVUJ
+1w0BpalqWZg74ssLV0fSJuiB1Ex17dtQYOglxcxc9Q4qhxnU3aJ7gZJLAGM9NEE1WhqUm5h6Rh5
v1NiLoCnyWEkFYtbWmzUvDaOUENcvoFqF4rHgt0E1pwYxi7JVXynKq5JESQl8rcvybMmT2OzRDon
ztCQ9+hv5RVukc7yor7p0hPMVkP1c/zc8S7rUveK2JgtvSW0dfj5Xdj0G/4AbAep4e8OUSaXpp7J
3MNvVR7B7BaLV+VLOgas0VJy7NJZ1Jgtq+TzcHTchvDcNPi30jgo2Ui1B8FRgxZwwEOXcZfTRzPM
bTfuuEo8bmapFS4PA7J2fMAcpnOGHVbtQQ7T0EOgmhl0tnaKz2Xs4x7rrznbNGw4lZIgE2GJD0p0
4D5YbBDT20Gb6txvwJlx0mjy8oa0o5ZvDWUZxMuk2e2XmqXvqdHSHlTyXNY6glFnXES6Bd4qc6bl
YabwRjviB45SJIXBgPnXGCrd9ZWI2oPTVzCIgbw7gOfjpfzOmIFrVUWAUwKu7pAHmR5X4y7PM2fX
RihzK5src3cdPmaOU2UcCg9U2PTQ5qL8LltrRE9FtBS+IYXcj/iLG7/gkAevFpQaPPTRMU9DXS0o
sQrzMi8kmc1GTtAts+PT3psndqvk7NrBst84CdWT3zlzaXHiyEbnSAALC4ksE/Q2AUqEmXQSYoWZ
qEqAQ4XBlrGorl1lFbe8j3uThTK2I0wG6wHoQsW7rW6qUYOAm7nVvKWEc4i8iX9yQwX0kFF7n6XR
ASBldKZTcYjOFt0Eb1Nq5j/K7JTsyM6NQgaOdax4rMT9tsjpH9/nA/MbJmvIqEG0jGNxFQkVn1LJ
72nvBBZWExwcGiAaQtyckQ+ZExaz1N+TMDX4eUQ2WXdZY8iYyr8O+4Jh5steo3UcoVOBrVv6YK+k
GtBYYBhePDsMYjQ7MzhTQS3Y1P3EFc8nSx7bqVLDTVvb6te4GKqVYzNOw2fWtdU385OvxiK1vFKP
2JmA/vjYDRimKmc2rXc3pWSmBJFmDLrB6o+qEg/kB8vwldKTCaVaE+2WwYe2nUpQ8+zDjONsO9Jb
MYlH8ED2Pi2bzC+GLrqv+MyygQ/DZ03NQH23pQufTGbt/e+NKGt44qcfHgwFhUiubul0+qr2BxNH
lkPkBsM8bUvin2u7IlQvIVxkncE4ZG2GiFJQQVW6iHefWEjERw++KczVaUn1Deow///DayNSLY6Z
lst2sPT2qqeCiW5tU4OWnrn0+kDcqSfc4ajfya4FJyaDxrZne5eL0TC2hBtAOMR6brf7pqKFDKe7
w2ifUzYWubFNTZYdNtnxiQddeNOO+fglERDJL7U4cRKP/eoIywegT4M4JHvgjLWdQ+4XjOg24HqG
ZhsNkupvHfEHgQWRxoKHNAF4CbM5eowtc81o10t8mJQBe/hcd+N9TDjbgJ7VvRrYmegpb4tHTLD9
NUJHs1GdZKIZNRqg4oVtJ+zCw1ra0Tmscql5k+z4hi3KUr9EibSdQO1Q4TxSDMnLMi16OXtstpXi
iaEzyfDWtBThR1aZvuZLgT9dmw31uh8kthfk2xUZGkIj3WkmtitWaFl+tSaHxHFbjspXnCu4y9Uw
MntG2eZYMmTNFAbaRiq1bT7U9TOVAKXzmeP+F9/Q+rbb0EZWQMQaa+SW/Iu12GTWy/RdEO/MlG7L
GrsyyJfooHP5N0CAtGAUy/CtcdPnwa7jN1PmYluEy4VtCuTm3Byuxpif+fcfhF+suOvdaJlo4CSM
fsTDf/6xImYmOqPDaYsJpbrkYaY+uFHS7UzgLHcl0v2u5m6gvMyFOj700niw7FH6BqZdX9cjAKn6
mBuf2OU+mnH5ofhocI1o3VZV0CI//1CdXtW9SkgfOGoVHhu37NeTQk2HC4uiN3LoPFg4bj5LIayf
vJ9XBYsoHyh4nTSsY35MGNuiY+NkIma1FUPtuGnZeaZmc4mXHjsJeWcUNE7PdwqgwmNtDo98m+KK
ZuVlH8KN3jaUGV9bKa2mS5OyV/r9W/XvfjrwHqy1NsF69eMNpGGGTlFBtS0r7NWYFi3w/DSvLyDK
9sMnRvhfUpbs9oDNQgqniYjb4yMxIEJkjow+ZNGGzvatb2v4n242t5tuUONXfWavVselvonNar4o
IL0GTlYJ1Glo+X/316YjiIcM434a6sFUfLgXkq4a6cWetjIeQSZydGfcFLuu79Dg8/r71/r1sUAV
K+Kiik2T8PHHpZnhZI+7Ilq2BszUBgVigbo/GGiCpcURq0XtfeodTvw9zbafvPYvXkwc+u56xTFG
ktwXH9aHdnIkqhP3fB+bsBrhmQWOPtC44bT03tA5rUSf3FC6/vF+J0vPRFsnckXqgZLCny9txcGF
ZmNdbgjoYV1xABzBkB1UmGpGzp7eiPvh0Ie2OmD+S+vS7wqt3DHA4ojPkUg9FI7JjmRcCq3/pioU
1PuasjCgTNkIcL+gARgboLgikFnGYS82u6Y9WstQA1FYgEh+8gtpH68hRUYQMoVjrQgabpoPacAu
nbiL6ogDPFbnb5x3lsIrSC1+YfkvTnVojc+1U+OyzGfWtFxEBY4xl2kGANKKLaEKytGAmtbWoXrR
94rxdRJhcv79Tfbvfsh140Fekf/h9f75qvOon/IcmXvXl6XQtnMGGe9eLRUR+ypc+fZI+K3vXn7/
or98oLk03KJ07uHjht/2MaWJfUmFNuyWu6rs6wOTn4qdmWndskeTmwXB/MKwJeU2M+KJNxbrgXEE
ZrhHjP4s7vcjnPzXddZeQWLUEHMwJSdA3OLnKxAqelyqyE87qanY60rcgaeybfULONKLOFe2nsen
hTNfesknQmo7EniJODScncgSC1QMMKQ9UwWSjO5wxvCKiIGHrNFOQ6Uxupmzlj9Rm5ZlXElb6xJ9
JVu2tuG09WHUWc5AiUZqtNfbSp5dymJov1haxsbVpMfNRY7JQRxTk3XumGipLs/WwoAtaEfmO7Bs
R/gIMZM5HZ3BUEKPA+hSsqHljEXR1ECHGCiZ+Zl+QzW5KpuCge7UzsupGmLXPtGpaBqXeoeRKbYS
1T6H3GqZb/YRebxS6TkYY8e17wUZbxmMbm6N11jboslnfEkyoiEIu/vk9vi4FNg8bumIcC0i/WyJ
P66y8HQL5o2TuiN4oEoYAy5tKMw9iZmFqoBoZdRk//zaUmm3l6C9FAyBmTP6roz77KROzojnp1ab
4ZOtwMenHuuwbggwTCsKAvv8h4AYMU8V+FoIyzLroqDrwopgasqnNVyTqp/E0XiQflgSgW+QRQEw
wtGG/YdY//4vuzQg8Ere2l24w7km6tUAppVXsqzT99xQqnljEIpYm8Jwh91QgzI+uL0TO8eeAWF4
BUJTy3ZpH1rq19DpOW9PFmajG+Zv0SVIZ3PxQzcczFOKJ0l7LpUim77UUVxnG7rYmmlTVQAsweCj
cQTWqLLdb2dYSBeyZN5OkOXHBS+BgF0uqqTFp+fqJxsxjWG2oxxLASFujTQJPPQQoOd9C35zuYdw
iqturE0DXQ+gibZ3UyitpkKkLVjl0SdXk85bV0qmKKEmANmFTOXY2BXdrGzgtOVf9TzUdqpmS/uY
aTMuXEJaUvXrlNwSQXuIJuz9jfYKCzd98GPJ3mqHIpZHAX1SvY0eFfbtpjeUQd63iPY7m7l75ltz
Xn6fDHUotniQGgdfclV/cRuQtH5dK/17VebCozZmzL7z7GDiA0i1z5+QafSaTvlYA3QeJ9JnO2Q0
j1VqUWzO8Sk/mL013BplZbMxkbKUB0PI6dVgZWWJL4nIg4bt+y+OUbgjZc6aZQSo1O3T+shyvRqH
aeRbyQjrtQTZSreHkxnvWqarjGLjbn4rcFHeGVnaiNc0dbCjK1FtFzXNYzJNSHaPIaVRrZYgQnCz
nGcGkqlftCPNP8IhW7rBbpPVGLBkvzVFDhM1bybmiog/nGKw/vSKrzuxCj0tzVM4nkYJZNYGd2Dw
MOWKk19xaDK2ObAuvkrNwrMzMQf2RD7ozLPsSn7lAbmU67YtUpJdOVEEpydYb/bhlMz6A+FZEsf6
0g1HU4PWLQZlcTb4+igEw5SLwB/1SeXsM2hHeQCQt32jDwHdMddCzpE1NAfFwwCH7oBxrRtPNQ+g
aEuPA41GCuffcs9cQhSnqK/C0wg7sT4yYxcEsqi7n7zSiOJvXVIkFVHjEQYchPM899NGK1EvhkWA
N84W3oaosEysxMNc6AHyZXitx5jfmetYWRooxpi0GyW35so37Da/U7E60xpYTPHJGVLo+xxvrbcl
0Rn0k0xxKn8s5XyV8+VJULKsOlfMyDHChItyPZWieeH0T10Fk6mZOyBvv5npYulbtlGcdQSJc78y
zSnzZzOvBAJxNIA8GjTX18HC45KMpB5uksaIj7aWaumm6AbsdkpefHHtZD4U2Ahe8ZTUB5vqNWRh
PU3NbWXASzkUBu8gAJMMzyU5GacKFM6xCw1a5ex4KIXGOdYtl6f0QFWo11lthVOHfCybb9gKx0Gh
lopxbN9chF013apaJmBa5pV2xtKp0KTVibo4M7iEFykWIeTtqC+Re0pom7CoaEOxIcSy6M+FpjJR
a2MChB4DNS53gW2RTJkWqlPQsI2dNnY6TYhXkOoaNG+ZXitZFs37eWK0hZEt0TtMXkw6iPCQU/Do
7Oi4GtYSYzRyQ1Yhd7XzCGm254LCt3ED9TI2mEQrxQ2u/frJZEgmvHKxrNt4mOzGN5ywPC1ret5T
2SIYgUjxjnj1lI6PUL1leXScwQwKogBPdF0tBYxfpViCokrC6TDQj/HETEudfKYvJh0ZiDK5T2wr
genkRhs+FYwExkqHLaMV8XMGtX+gf7OOnwkxEqGRMIXrHeDt6iFM8AUCbRMTKx9qYsFdkXFv8+2d
ezjrcYggJJPHsgEzBO/MAk+/4PzZLlRC1ht6TmsSdjoVcdsiSuIFtyUc5ZvOzBt3IzPbvC6qEImj
oK7wtpW2pQcNrcjYQxa80v6q5UDAB0pD7Rrjue9Vyr59M+SLqA6a2S1Pox2xDTFob/djaF72Y4Yh
H7sJlqUkYIRPKlHvFD7kw4iAT8nDHAJZNvTtLBmF+trkWhuFPyh9UQkMuZFq1d9tAM84VEuaVgJM
8+JmTCeWnyLq5Nc8X7HStCfS3pY5LkbHbrTImMzJcr9A9sq9CUL2Hfu2IvHtARoAZajD6md3yStR
SAfFeopQERlf6YruTaqpUMqhqyI7oTVND/SKOAvr+DRFtxDz09dmXLSbTC3raG8XEDhZsJQ+98JJ
atajhq5S0cwBJegIf0EhV2mHPI5Q1x61tCClT/VsVm6QOu1AnZF6wkybqsemivQhaJwCVzrLFGqz
CZMQvsfsmst1Xajwyl2MSz41jXFMzzxbJQ8jt6ZulcrIOZyiAui7bCDmNxqgy7eRSZnONik1p/bp
TCnfSLy1GGKyiusc1XgisNtAwMaSCFRaw+vTwF8gXdmTDFv0eFpn2GX93UGEBboPQIMG9nmyxH6w
DWl+qVrHmPBb94N2PemLY99Lm1vPJ/vLQw2UE7MtFz6/Jyi+AB+VyPBWTwjzkAAfpl3D7oFymo6o
ludiauOKdIw+RdUv4XWG7ndJx0yBdN/n/VdjThWZeWmoDGIbs0rwNaPmwsALlWzTiIlsqDrpasvT
tG4kbdRKFp+i3NTutXF28wNje/JfjOu77yk+rYLsRS3VG0fNzY3oAfsEmJEi+hN4dhbw8+vHzopT
cxMVmNm2Gj21OdI3ICz8rema8HBzxLMsDG9TVuXveL+TmItomPZubMlwYN8t4u0cT/2DiOhjtLTF
nfaSt3QTpXn1knJQXLZ1nJdvInQw+TV8MnO/CvFfEVko8z6oyRYXLE4pszAqFISK24NnFzkMq1v8
gWBn741jPZ0ERx7UYG0Zxr2iNGB5Oo7AnIkBel3qGbiee3C9Eu1WmSgg7vrSvutS6mi2tpmwjmW2
0fL1qpvdi2UeWx4/7nKmxwE+JzCg4pDpHAn44PW8a10R4motLftcSViSvuoQeNjKxSQzOcUOUT9n
0rE+K0mXgOatunm5IcxXAR1sG4pZB7pc86BJ8xmd3XaTBHW7NF+nJqwdb44r3aQOglpG7vOWof6i
CrydncN94IbVnZYnwOJbjI/3QzVnCztGi7JEfZ0QRXzOYj+cK+TwPOkmfGeMzgqPxpSp3nKn8Ami
BXM65Smw/TNyTv0C4IrkgTapg3WlICqPvhPP2uWCoY6lZ9GqKSgKLY7ORVf0jWdni/xqDaH1VrOc
WN4wJlZ5KuZBvyYMh8BD+LlL7ZNSGMUUJFU9JUcnBvUZUKGQo+roSkWNN+pnteF5EJsbfaS+55IP
/eLgmxumjduxaF0oaPAXWjUX1qmnmxhHGfWIBH4iYJ5Hp+BNCtajNDaSyBly31Bxlm31pLHO7JKX
OXBTWrsJ/JXOkxJOkcrihAXCKwDDOPsoTCMSwHO8KGw3gAFtZgV3b+EJ5Br3MpKcIwJN1xYHbn1a
L1epZU80ZhmydzbsqrtlzwZdtn0QlT25f9APWpDouBs2+CUrJaAwgI0iNQJ28lRhIbG22VDWGo8t
RaG/Uze7C5DSSn7MGWi+LGqvMwbu6/i7tHmvfdI1fXcuNWyyp5o+H/sK5JE9vLeWHIZNio1/OBTJ
Yt4oSWxaO3ZULas+DjdKfma8H/mGrY37rEVmsZ+iWHU8votJxqkFenMdt5GDBDHohboRDC1yagIV
0m2mRXftOTZDN7nN7DFStzar13AYnSyMvgjCmGscsjLCDY0Gan4VL/hJLvJ6srMt6ZBwfNKGsOI4
3s5OVOCBBv0jskgOO0S8MrzNwGMTD6gHQ+sRfex23tp2LhMshlNGxx2ncGKXWDGpfLdrXCoY+ZXx
Gj5rw2ArS8qbsGuxsQt4d6NvjGhX53BkXvpoRmZ5g/uRrPsSYQ1gexnnTyr1pW77yaTr1xkSO318
LPRA2oYLRePnY2oRxhb2gLDfYVUrL4FAfK0I8I0emjE1qvH0GZx3HZz9dWIDOQSdAI6IA7AD4taH
EL3L4TujBqPfJXM6PLQGDSQ8CZLbMer6LWqF7H23GJ/gzPQX7Hc/y43/u5dnAABcjNERk8oPv27v
2EyYG1QJNR6xL9FeA+KiNc3mfjSj9sHV2vA9o4psS4dMe1YM5f3345GPr78qNsxHMHNzIZjPrtOT
v0wFGJ/OTUNYase4pnQ8ElxMYdiPHbA/dRsoHvVmccphdePhqWdvWX+iHn0cS6xTEPQZNjsaU2nd
/HABKnYTKpD3GVwYbnIs1+FRiSv10eVXPzt2PzxbPIs/mbz/QvNeX5VRELgwG7mSbf7Pv3ZINE9v
JD0isZI+oNjEx2EsOl/Hq0qxSULIIUwc55RowDUybN+3oCXyT+Y/v1x6KHjWD3iCMFGE3PXv/3Lp
HWckLMw7s4vYhpZHywbqdlLHfhh9AIg1DaOQo4rbqDab19wN1SuQKl27/f37/2Nw/Nf7n00VUBPQ
Beiw1DeqH64EkxCDlFeW7Ku5sTlvN9W4vDZWPQ63GFZ04TcMUqw1Hde96+zB420Gpqm76JJWyy4y
CkaU67Rwy/Z97KqM+G9si/AUmiJd9jz8aYQa3A72y1At2UbKSkws2xFOJDOyWWqVZu43aY0hxlc6
LVNPy+RgpaXXtxy3lanaNPeBscrvCV6Y5RMOcUe/dJKeyIVFi2O4Z/pLFZJOC9Kyz0Q/mn5qM//Y
9iVF4oTHyRp6k2IW6khU2CofkdzpWO97PX8lNKp23thgHPQrkGFfGLxrHHTgpWQnPXezbttM8TLv
fn/JfxEmhYawDEDGMmDjWML4cMlVTLSzSEeSZWCdA6pvyi2t7ktg1Xr8kGAEOVu00B2pYC89amC0
K2jy1i6tVu28n2lIUqty/8nP9Mt9gBCGAOdAvhRM2SC//Xw3dktVUI88a1u3deA8jSTNlGNXJJry
0FEWpBN4HUhG4qOs/dBwl2LTC3ZGlw3zMj4jBazQh4mGiuaArW1Wd7h3tNozB4Yer2Sr2weH2Hy4
nyUDo81YKPWzoOYBt+c00fbWW47N3lXUj0rbZMlxSnAA0z0r622Yq4vcmzrRAq+vdUiwk15gzoCT
geMllzN7w5Cx3yaLZYVvsE8HcSKuMRZHph+WeTMayVRtMxO67J3T2WF9YNvZUS7XlJG5Jeg+Kl6n
JM45hX9oBqDsrUe9XpoMo289NQzLe1k8V5qgHmPuzJ6TLgCPZlsmjE88lygcR+SB0ZOvdZ2F50LT
u+R6ZqMqjhx/ELwBTy/JZp6Spr+y9aZggljUza2Z4NXfceod5oMNCMh+6DW4WaGSGJin8GfY9yFv
1MM4lMZLq1h9dWonxi+bKILXhgVWp/WpWJBXcEhTQRVEerks2wx7WXw5ds3IAbldnC/mYM6Wn1bh
ctvy8Sr8EoiIHSTsDaJtLhWmasLKx5jzHMVvBInIKWBmQAxDJ3SHS2tIaLcG08DEHD5ks+FdWGRA
xnBOt63l9C9VFpr0dIBcOU5aiCm2j5J2209zYvvs4vgVoj6ycTDRFw9KwjVbz5W5pmxasPLx1ZAY
un4s1Zzb3MJQNPgirMrxO7xT3PuUJS2wmaGtdqB5EMIU4xw27np+1VqF1wrtbId/1aGdL23VyosV
0T5xJGMjjPUFJ1yb6tF0FbZubd9qfZkdMTNpOMcdO4uI7cT9DtNTqW2llobRrlAmzaI8aOCXjoHE
xZcADeQTUXcY6G7qmA1IBmhUeaPJNzPqyENlFMTDCIfaeGyzSbTHWWmwMtFdOj7kadsLj0mw2n/y
FPu4VQJwyL7XWstv1vIU44PICfGcTrh4CaFrAccLJ7e5WRpaXtjOLIeCG+1v6rjr67FPWKFevB+0
+P68RLAZ7ftB5/WMXDHu4Bd/h+OD7xTHybfIasZvv1+TfhFxeT1Q2Y5LcQS+BRisP7+eUNwqAxJD
Go4eQX8SzXQVhe62IQf5nOSQZYBaDdmpd4fSc+PRpLPV1acdWrvzrNvhSyrUggOybaLjChCzsKMT
xy/kGMvAxSnnsx8qz2k1FOeIWDR509h8/P3v8FF2X38FfgNdd5BeNEf9sKpyPpNRn0LdCyewL6QN
tK0gFxXYYmHmGuoA0VTGgOeeWMInjxn6zX/e2eLHoZiB1iOUfxcW2wc1tix7fJG9tLdFTOQG+2IK
ILcdCxJkUrV695Izl34XU8m4bFs7xOqhjMnyRB+f1Qd6BwTcZ88I2KnliE1Oz+j1PWdMog3Qt5bv
dmbLrzzn7e4ONyvpa9I9brR1rB4rc1hrykUVCxdoDtOnwfv9Zf3lzkcC4MriGWEB0oyPmxalGGRY
ULBJNnlOAptpz3uYQHPVNGKm+NCV5JNdqrGKcX/dJq3dLyvCHg8a+0V2zD/fiyGkQeBDYb0bZ5WZ
N1WXGtiqHEYduUseA2YzxifBMCLf6WFj615C/aNB3TKXbUNpWTr7ZqkSL4HN4aLq2E3+ULQZpZ4F
uVBcz2A9tphXDSJGC1L1g5L3032o13F4wEjEqJ6idD/jTKzuyfLlnFjNpDukODi+V5wNN+OqHbP2
tg8/LvXf6iO7qt6Ku655e+suXqr/Xr/0e8l2kEhO96Mz63/+6z82l/30RTRr/ev1g5fu5af/QDRA
ZLrp35r59q3tsz9fIHwr13/5v/3L/3r78V2+zNXbP//xveyLbv1uYVwWfy0Xc1hP/nMd2S56KXAi
/PmdDq///Mf6z/+sItP+YMds00IGoRSLKMLy/68iU4w/qHhx2NhroIgxRq3HyaJsuuif/9D4Msw+
HLhUDh240viqFhwkf2X+sTapwA9jTbVUrAPW3+kiY0n+6Wa1ODjj88HsI+jihVdoffjkY3cbssh9
iaoSOYuHBFoRTca6n2hGrNw3ta6cSd+rwpuwtkvEO+jhDNtr3MzzDDIjJ1iL57UWa+avUo1nnRNx
sm+YdtZHbWkShZirTQEe4jCIu07GpXEt89oajqAXV309Z+oHB4UCoOLUJtOUnhG6IS8UhDGGkxz0
bM069V3Akwsvfu9WfDejSBL1kLGiDUcjtFp/4k+6Lwor600U2UYXtJ36pttVFZ4pAuk1X9aUNe9c
lqzHFAoxKjDlaN1Jj8oq3YMmaK2XjEosROV60au94w4K5K6wyslh8cFENNC14d1pVEH1YRIP6qFM
qPuEVMyFISlliLUCObPTQ0Mwf0d4gxOOcBtzV4lh6DfOIrrSI47XtHuqKItwY2VZRfqJkBAlS/ST
nad4hPFjDdJ6KzSG9Wu+4Ye5YrZ9w01YEQTbm3unzU3dW1qtggxcJy4GTvYfe4uuIMSPPqq/Lnac
v6A94eV2nJqIi1QItKBa5LfuMuLpijM3AvRASufeSLTkDWhRWAZKWcUXlepQi8Xgmya3hephL1at
qDlPC2SlbYhZ+61f48k+5hLlXpEdGAuC28Rt3FGl+5PJm7B2UYnYA02RFLiyCoDbQrqy3tid2X0z
E+xSflUm4k5FGg6prNelEkjamm0fxMgAcEvkOOeHmXGEZ1A3EVhmC+vUDM3mWwcCBV2A94UzuKuk
z/NS5l8rjGGgHQktKB5ZE8MflAnMQKFGEQpRCBGYcSNArgI0w0FObC5hcFhmH8RpoVwRnlkUnxA+
s0mNOwuhNoxB7rBlig4pGRICNwNN8B7xO66eFilIM3VPzMSzOzpY/IU2bKa9Th9dL4ubfIPdFbeH
EPPz2+AgmUC81LtvtpyLp8awMQEo4Nhgv6hw26mIq0e4pkv5jQABY+qOcMmNSihJEOm14rceNPGl
4QAF36RaDp0QZA9azFrROgRmE+avCvS52R9moeOGzPIJupoxintUxZSBeja0kS+BpJYn9DLtMbNE
dgmYmelgp5n4WSCdUdaLgz29q5oWnEIc2WW1M3p5sger/cZ4L6WsNiX3pCbhCCe5w2ZNjQQZU5/D
g/Guqi1ChaNGoge6amJnQjlbaT/k+SMAcnHzivqCm4ogATH1ds5kA1Kh6wSdyS314prdh++EnnAA
haBZCTkvOW9orLb1WUoQBLv1IEkoIU5l6tN+QQu6HbrAjbDBuNaubIbmjphqDz4XeYkU9mBCt6s7
G7kV7VrOXurGr1lS2LnXmCmZKFgtTobSbo4bOAETTq9BKkfNHIt3CX1jwDNV6K+02SXpHSzp8V2I
eHwn9NgKL6LZeAxwm8nY7wtHe3JSUzxZPccvv0k1UrFxQ4xvRLb7yii3vLbLZsIzNWrJexwlFADI
RXdfZruDNYHxIeo9IgbuBcyY8A0oFbK1rHSui80tmfmKYa3jaXVZNkwzFE8qvC0HnSbyQ5M31cxk
AgrV14Xs4U2FwXJ+CHPTeWpmIvZABeAt5Eioid8u0ua8JEKIFB3Fv+SF3GnK98UKZbjtDN2en7OB
yoijA/rhwKqBnmiVYrB9C1aqgwxdikchdSe7NESvCqzJ0nlP245frug7a/YqDjYXWhorw85JY/eb
phNa24Z2RH2E24zNFSgmGPWNmzCVjiqAafx8VF+aBraNBZqv8EjhQO1FtO6u2VIy7UGcwogTWpQ5
gKaY5iJQobRP+7ZB5QhaWCJf8J7J0h+6OryKBwkH1phkc1so2SzIqtXWsklqpcz9JcvMmyopJpek
P1xLP+oWpJ7EagvCjwx1Kj8DB8DnhU6L3E+KpvuSOCLFaGuTKoB4CIwZER8cLu97ee5tB12KYHb9
ysNAFEGskUDkajEYYsFtMIOCJEZcszSIIpuKXLjrdRSxd6jNBPgDVykln2hacFumAW0innRHqVkl
hal0F0xTxugQcn+OJBeJ3ePbyBMDgqOwyfQWtflQcygH4puMenoCgzc8Cn0yeogCauZsU7AKmZep
VfLdpgaDOmyp83E7D3JqtYcVcaX7E4FAy+tQxsmFNzJRg5IHTB1k8dA9Mo6YyD655QK0m5mgMnmC
gCb5MDUczhwTWJYNkjtfkzzCLJNplY4yMM7vk5MSbzSjvCaKNix1/jWElEkBTRP3lwUwq/Rp4scy
voAAWlLuCo6SQUEkn0660DHewAdYSECWjaIyJTcwsRYTWwKx04DP2jl/ZBhpVp7AdPulFXjOPINb
Ij43rLlV4Gb4XwmUONL1kG6md4lDcWJcNy4c5Qw5ccJjm+UeHFpFMiCjMnpkuJ59a/EzqBl94MKZ
i2vSGKLa10nW3MmorpQzJUjrkgeT5KlG7lhKHDmhWJOdjC7G90Rf5mfmsdZrHubE2rGb4Wu0XDxn
eeGiSfZgAbU/Xep/a9f9H/fSP+2/f7s3/7+462ZH/J933duXpnz7L1DLL8Vr+9Pumy/7c/et2Oyx
6d1b5QpAuz+MjONb2/3zH4r4w8bbzySd9hJm66sT+F+bb1v/AzGJkAqFQjptrqsH/V+bb1vjrxgk
s13X2NQ7jBn+RhHwh1o9hjFYi9ncM7AQhDx+MdoDPog0E8SbH4u4vWkTVzvwOP8inS6GnjbLg9vA
w9BJh6XkVq2d7iTxJfcr6dgEgLPWjIGDtH8Xqqm5h0Z46fw/9s5kOXIj27a/cq3mkKFvBm8SgeiD
wb5JTmBJMhN952gdX38XmPmqkqG8SdObPbNbsiozqSRFAAG4Hz9n77UHpz2qSpteQ8C7+uXmXv04
v/4XJM+rEmN883/+dSYK/fFtuS80fz0ip+gTfDzWDi4tEcSaxhJlSfMQFJmGCKwU7l1llMBAS/jZ
FEjeTterAU+i2RF/1Yt8XLROou3AtQHx5oCer8nedreGBWwni5hX0RbtSOfDfNkhs5LKt3RM2pNa
5+0pqVFuVXLGy+n0ZK8jHK3MvSbrtnKDkOXFU4wJu3Nu1UBWcZQtyj5o7yO6EtAibSW90nRqzThz
Kn2JOCZ79lJWu086DGfBLfOd4b+6rc6B0hbGFJ6/X6cz7ZBhdc6xntaKumBwK8nhsfMvGeVps3Wc
BsagG4B07yPtBMIJaCOtxvGuqhx2pBAn5HKi/7GCjRJpq8JmCY3rAsufYlm5L02j/uQLv3fD/tOh
eP/CTLT4roxDmGQ6Z1+Yo2jjNralLYURKrdtEWQ7FW/Ha4uLBzFbDEtZ1avgnvmqBX+Q/X4Lnu1O
bzS14lqmPkDGxECZ2QrQ97B2lMVgqPKBPLT2IaCZyu6IErdZtEET3fQVFCXMv90IyoVeyIiKsVoy
7wgwZRpj8oyjGxU4pBllBTPBQQDbzppTnpPoDbp0CimpN1FRqYCtwAG1kq1vHKvraWjbVaBUXU2o
kExHvGPMxosheOoMDV60HeU3bexUXzuVy0hwjuu0pqtuW4whOvIxd5UvkQ7TXWpu89ZksPzaMUO2
wTgFnBHBm94FcxnlavCc6rLELhkvvFaLr//8Zrnz7T7/OeCh2yp/zO/X2RlcqXNBfLGiLQejjjfC
CdgpnIRbYmQuBeZIkyhdDXTwFwB23FWh0dl0us68SQYDEqyi2Au7UZe9KRAUYDw2V5Rv2l3NoGFa
QIuuL0OKwmbJsRi3sTuEUFBlBdGE4FvBhAVpx0UXlNsqKgQJycgQtYVqUgGPTcdup/VHGTScAKys
gxVaK228rCUolChKWZxx/D+gqJharMCMhcsmjC4KkU0QbOw0uW1tDAekZgLTNpiWMrHuw5LBTChR
n5mDIo9OnaJxmjm+bgAQ2YgMdUWgSLpMGz0/KGHeXDgdGp91jbTzhCdD+iUTesiUkkRlxvwoYKfM
rLFAZHq17OzYuIp1+1JpiAMruqKL4Dpc612NbJkzxFpF5QciKnAebZlb2HIhyt6CHxEZtBLloOhB
C9ItbHyRU8nbdTYeTYQfN/pEvtiPzZttlz7Ub1bV+ac9/+k9nbR5EIGqi+/p49KR6VMKaL3Vl7Cf
YvzMgtAuw7NPNW3azTQw3HGtrHkpp0j9zOf3sef7YxEAm0Uz1iAHi6H6x4+ec7aCfKAAbPSqXFlK
NX4hjAkohKUfGrfPdmbb1RvLIl1SHegnekoFxqKLLhSvNldexaMyNGrxifngDI7//rXwHuJA0Byu
HBPGx6+lgescEfJq9BNiYxWZTr+hOQP2O+ZsOVHArQ1YXsscWPqyHrBjOkqY3YO6biEPNZwKjV7d
EAdu+HpoqAgEHOLhAIIcBzVD641q7ZWqoF7WjTV+sq6+x56d/ZpMa6knKBFoo5+bEyU4EpFGHs0m
xUyONnkd4yrQdFlsg1S7pcgETE7ghfekZrkCMDAVlwBqvkeAm/QFtrOegnboENACYeX0TEyRemky
G03WBGGHK0w54zobiD0pNYkyfID+0sBDH+qV0LRuhYaqOYEvqP3AlGi6uI/zYV8uNeSJq6GE7bhA
L1EdSiHlm672hFpE4zQcGqFcJsFwCXNBQURnO/EdxhziwdXUE5f8fdlXQwamoF0eORcJFgkfuW+2
M2jl3NDGGk8AMXhyVUmPRtiLUoTaQaFHoIBS8tyDZ5pmsqQwiNfksU9bkbJSwbOWT8wOotssSJAq
xxoGghgzbb8EH5TSrye0rEhAewSKIfoFYxnP12Rj+6SUsDj2csZ+/HkpPotLf3/60LWzDKOwmYud
s959MrEBMd7XlvNuf6d3mrlFw9D5osj6VdOiY+QsmqDrq9UDLLd4q6n0jEbFRZRiogfLGXAtEqhg
i2kEaNI6lbayFfuzZOmzGcOP74lJl54tTh3SQWgQ/1pyAJiWRhepbBl9nj7CfnUhZs5hSya9NhCP
a54gY6PaJfoFpIhI0+svdZ8OgPSGZKNPMXJdustLhtmwMW1NJ62wrw+ThiyvCZO15kbmPSpmy2+m
1lmFdsXElJjXFQB+60val8mpze0IO36Xb4VCP/CTH+KsLw1UAUs9wxONz3YdAAUfL1CJ48DN64EL
xHl2FdKy2aud2S3VEhaSJhyxK802PoKzBqhp+gaRGN6I6NXuuYLOQmPY2W8q+9lnL/mZh5DvxTcj
K4QdlEAVxnRnkozKzQPQOrM6vDCTK9Mp+pUioVZrDrkQrpZtYwEApXWfbJUtUjP3YweS8M+35zd3
h4GBRyiwx3jAsM8qhhhQ11ijWFpW1fBqxaa97ck+Xec6GKk/f5L+tx0KSo8+MxpmS+58UPn4Q+DY
IzRJJYmgQRl4FdRVcwnihRF8ExvBoi2s6qrRi+a5xCf5gJolFH4w0ofsLUs56IYZU0B6mfaSlt3W
m1p6P3VmQumk1U4bN8+mTVIaoBDK3kiTjY3253pO2btTa3DBeBTEV6Kg2myBSbLeO6E3uivTSD6J
k7Pmx+nDyk08BQI2hF6ubTCGPXvcOKTh6C4wNA6UN34xSswbul0cUbRO9500zRXEzFnVlgDdYzJq
XpY9jiW/6gYjXypDdEvrxqJmzfskJPg2ql4D4cnbeBIHtRPlXS5mqzpgidJaSJBHX2tzch+oC6x1
r4TYGDSMFqDZe2TUGNHISBxsgN11DIqc/u/S7CWjsNwx9kEUdQ8h/renbEjdg6HozsuAnxb4s2dZ
x7TWiTxB424fnM4q60UTpTttarN6gcCVyI3avbPbbnyqRq3IVl55z7mr1zZV1JQbU0sglILvtGii
/kwp/d9Gxb8QVPzyVs3jx5/DwNPXnLHiKQ6/iV87FO9//88BofUXA0Ib6zlPHwaQOX3oR4tC/Ut7
FzTQt3B1Ha2VyrnhZ49CN/4i2Jd3kh4VNRKq1H/3KJgdEv+LHxTDKFNFCrx/0qNwzmzKvPgec0jE
FfjxOS6y13x8/2NRyzgEYh+Emd4fADYTpyUgSgKHqoX1phOCRWO5C1RnizW05yDe1K26N/IyUDaM
tLWJ8quX6RXd5D7bB8RDmW+RCyb5anAN5aSyw5NunlRYlExoVI9ZhdxxMdpj8WqNbfTSjIl74WG6
h79hZWSf2g0ArU4FTPcy6No84EMdvncRAG2A3ASIDoGRHqRawJEJtFwdB9/LhTNZK09NaVBIYVbi
Qraib0A+Ne29KISNNUsEArhnUtTTauKloYsbFtH0XU5I8I40bgk5SdOE0SCgtmRVuZ4TrkYbWfTk
J1lkqhvpuNQlNSWz+q2oM8Jf1oSr9ea8I5WuQxDRUHjmNpdOy5SHMip4dltd0ja1pGGc7JJj6zLo
uwTbNptryiJJb9ygwrWCN4DGHSA7CVGjlsRMYAAp1DUIhr5ZDqBIbyRtfSI6a7zrvtoNETzZxioI
llOqI0zHWEBOrmtWiQ5Wrd+qKnzOoGw0cPOVflMRfrVuw9A8BLgz4iWH7CepKQbWM8Vjs5eKqy4N
aeevLHygu9uxiG69BnIw4yZPRRqJYShn1vGcGyFHuSHzuphEszgPFmolxI6ZIZaS1ENetYwk4LOF
VgbmiSyYpvJjzzA0H//HF20YKJJ7d4JiFg2rVLbjBsSGsRaRbt/EHBNfTc6yKZY72L9QtGFotlq0
nXi/gAuOzvQwZdCtC5AG8FTJ5y5X9PWVbI3RRmOX5gi6ckmsvc2NrkfpqZQlmkHsX9wrmC4tUXyG
FZZ3kHZBcM57Y/cc1oKxNCPSwYXF3LpjxaNoSyPYAFlrjK/Y7nJPW6ia10wn4rFTyUigrSi7Ypsf
Fn+pls3vRVquQXeWd5O0koNZA7O2Uhtvy3gxee134l8KzEe00WVAEHKUxbuwJyeiUJjC0JTpfLUG
3Yzo9Zg1A/lxUVa8JJa4Q5YtVm4Yqn5XqejxRsd9HURVz8JAnK+gChda31vbdJjctbDGTahXwFUZ
UG+xBE7LKkK4makPDPiMDWVVs56GNF1kEkafWnfHsaLwZvK2ZuxnbGVWbfTGeQhUY1UW8bZxaf/A
evIWqUQSq6hYuNNJfWvG4mmS9guZYIe4JLNytMM1STguBFbzTcEuQ1fsSiHS4RYeNBFIA8EVcYnN
dwzyFeMv3TeklyxlEmV+NjiQtDjt2BQf+OGG0LdH1U+tqt64nXY5YW5ZRoFC8NMItH9qh/il5/c+
jIG3gex09Jqah2aw9EdykR7bMtx7Xvhs1s7tkJjRcojpDVpt4Ndm7vq90p0qJwm/wIa7RrAFlLk3
tgzKxTLrxH5yMlKuKuUyjJAcB9ljhA5zDq4ufA1MNQdqNbhnVGvfNFV1b1XDFyVvL4dp7mi0B0ao
2dYquwsmVvk9ned66XYt6HT0swRTlSFhRxaLBfRIuR8qmy7P1C0gh4ChxKYHKB0hACEU/VJkcNf1
KR851hUWJZc6gZGze05MOEqQY2TxejYNYHXpKkDL7bPBWHKNG+7NTUR6UU9qdio8cRUW/QAB04BF
GNjekbkad4SoxoW0GvekYmdfIru9EQ3DY6J0KdiQxCIeuG69dpvMHlejtHZ4tlbEqH2JbPOl8GqE
0omnkuUzPrZjwBR+FESdTqq1wuFFiyhOcc63lBq2mmxDDEv0O4FZiFrsrQrivh4bFwbz4kNY68m+
cxSMxxGjLvqBBzdtbnHnXwENZAmpYuDPzvRqGe5Nrln1HqqZ2AzO8JRlYX4rSmNcZsMIElKFCxm3
OnOooN2i5xhPrshwcTo4VStVJTGhPrajSRsyL1cM9pMvSDI2wgxf8qEz73rqvixvfECYZbkAz85U
Ed9fHsWuHyFb31qDuG/G7i23wSOn8aGoYGXWsnvIS+ML1Fd3yWKjnMaWsSSPHAJXpboGgD0ffMf7
VoXFRnN2rw7TRTkv9EO2cboApmEj0RjgA454o5AGBpsYM0DaaeUWh+u6LTk0m0YJY93zM6nwdNbK
Vd/1bwhl9zKsT4ZWEyWoKru+MK9Z3/KTA6KGUwoE6YRm2cKyqjdZjPeWWnzXG7m3zWgFjTn0x7I8
9rH0UGnLbD2Txhgq03Uh32ahjMour8191TftCx7aVRXk4zIvh3DJtAP/UJaBKJvq17KUV/ATUZ5W
7asTQkJ3o7g4mCJW6Efi6W8bfY0E+4ZaFEMzZ/y8997IFblsWwa2ZWLt7cG54HiaoL8gpjmnpaLl
KcqZAMGJ+woCrq2/q8T03rUlD+OiJrdRJbSsV/kF4IKba6OciGMoARKWryPeUvTckUPIjMcIWHtg
UikRhzutBsBQ03mm1k0J5/jVMfA2xouMxoAooMXk1cQx2zE6poyTG8/7GKYs17lzO+Cx2MoBdIE4
yolXKdrOiu1r3c0B1wKsYscpv+taR9t/V7Nk6IzzEeIQeBY0Sa/BEw2HxKepazZUTnoz6IdYw5L/
bKpASJxVIIrR1TYjXZlM3xhk4FnJJjBKfYT10+Ix3ERhU2zRHPX6PT+eXvYnGRJJymDBuwKuPV43
Tay+1CrvkV+xV+hL6gcrGm+FY6WltUVFg+Ioz3tjXQsyMa3HdCgy1EdhOmqM+E2eoWsMmJGurEqo
A2q7M5MybDhbjBhr4RkleYLdUjWrMH8KpG7AbyrLexJ2hky5hOQQN9quc1P1y1hkQ9/6UNZcxh/F
wtLh5pU+PTSzHo+k2bk4CYO4jswbmgSBH8cWsyQirsI62SD2tWi0GOHQbHQvmWhOI/7MYNIHhpAX
ua4i/6dPkDGW8TMQBS6310BeQAgcFhpt5ZZGkS/Ia4OT07iZw7qQTmw0+A2FaK6aQKW9mQmq62uZ
SwnLs6nzzQhyHYGKx8wfOIB4btkI4nstJF3mdtRw7GGFIujlJTZ5UFeUUFcCnx37yaQHjlgHiC8v
okYhVzxHB0POwBBPQzSn70b03nsQ6XPmL8qjsLUXZOcG3bd+UGV8xUFvbJ/akiwiQKoqQJyopixb
YojAWGrGMQwI4lWmOzdk8LPGjzEkl5NrZNJdxYK4qTU03X5RoI2IyNzMEeskTp+Mj0WuNzfMz94Z
prYmVnZdwV2Ie3q8p6gf0U3FeDOHTTGiIkA0nbTN3sgUHBjM2J1NFKiJyuttaj7TgJzUn9xjA500
DwdnH3igeiMqGmRKYC38yvAYTqJ116GMLOqiaWsQqlapRfJSyLBw1oGap9lOqwrdfIiGFld4MYgy
9QHUNt5qxPlcctN6FzmIMdUEt8RzMNo0Z6IptnhClU5kE0I/ALRpts9bokI6S7YbMVbTox4Y1Zcu
SzpqNYOkMC9ejY2lb4YUcD6iGlr+FbkHvhGN7c5LEDVzOlCOo+eUO9tGdZD23bCdCHDcKY1T35RI
raC3KNBUmgYRJLd7b0+wm3BO6Fsnm8dojGQvuEoaZ1Hj+o5A0IPSqkm3dh2wj01heoARny8d8J5r
A4v7XQMZcdmoaJNckowuiIrOvrbEfO0TCCb4/x31qHSh+A6NmCrRocb/lgWEYotqGsFMOLry4nZd
ni103vIThlC4urluLao4nfw6LTg1kKHTUffE+jpycrKIjEZ9QWkGdSBnGdkmEulUXrcnj7CPeV95
qRBYL5DgBksFkvRVrdnpC2fWaFXNPP6abITtOGKRWeKqDnciVse1FckXpbSG3eyu3loIfmJSp1Cw
KN2YrGLwwNdKmNqkrZrqWtY9kz29eGLbgQElR4DlKCtWXko/OsdD/VCp+Qjgoz14XdPS7lNJAEsr
jidOB1TVg67yDqnrH70mEL6QxI6Q8ATIQ9rmFnb9N6xKIQ6UCHPqUF/lRZ8fwxndy5DFWZLehk93
ImSWQKiUA1nu6b6OfON+jLt70PHRLoHEsHJze22GyHxK9JqrEE/OnmEcLH9Cy19zMR9knby8yEmp
XoADT4BWN9ktUWmcHQdzZCreV49cCSWq9Lp+Qyq55CSZ2Dsn0KbTkDfVjpQ7hwsHSmDMUeFcSZv+
aB/+byfmXy7y//9ZMnIXffuvzdf8Jf76azdm/md+6kU04y8HSQgiD3q7tFVntt5PwYhm/+Vqs+pD
p69K33JuhP7sxvBPzcbU2YuMNxNMF42an4oR/i9o3aruOTjcZk3JP5Jra2dGDQyAtH1RkiNa0QwX
actZ359JOpDCLLvW0QpTMMvEfS5yYV0bkGvprFpzAsilCQLbu3N6XgVGuLV3B2ZueCMCloCLEArt
fqKJDd8vYz5kSJUpKQwAD+JvaTwSBqCrGzhnpo8+cLop7YlOiAoilnxloTjKsXZg528H2cX3XavW
z4L6pyfVdRzatSWCpr6IlUilAZ9nNDQFGngSRNT+2k4DKO5g1d1nL3YJY+rjcICB7lQGok3EtBrV
2jRTc2LeA7LkDTks9H7gXUmjwFyRVYjt1hXYpZay62OY7a43J1BPiPTW/Csnavia0AhaAy5asRLQ
RTNlmEiRxiHOnjjnhasQeCNkNwOtiSddjePxaMqCY2VNVCDMM9Rg0E07ZI9pQzMLwxuSwLbvk2JF
Pn1/V6mtSWjMrEaD/mvRHul6k6BjkzJyISxhpItcq0fpa5TgCeHLkVwpqotE0yCuCek5WBF/QF/3
OFT4lRjNkU6zssex6JcVnBZtNYEypW1Dfg9VtiucE6sm4w09ICSOSWygjmSiJ6m+JEePGhteRzpu
laxEARz0c0VnTvqbBW8gXHsISTM/jIWED2Qg4l30KIzVpawGpUF/nqIBcHPVCTmJdXFG6KUy3RFN
JVXtgfYLsuduDitHv2el7VYTpo7j2+4TDSpilx2zAaQF7KI8DZeIQQnHyCAQ3PSxGu5z8s85tqt0
zRd5RKW8opxGV5kmGmLXrpx5O++v8v8uav/ijZ8lPP/zurYp0Vn81233gsi0FfFr++vy9vOf/rHC
GdZfswuFATsHCFq5PxY3/io0GFq9SAsYKOKk+/faZhh/0e+yMaWpKLa1d2Tmz7XN0P9iAWI8N89L
/9G6pr+b2/4zf5lnmKyfBmhR/tdGeTlLZH4xuMdVzeF/HmjVgTdByLBNBAe0W5qh2/Vutk509zg5
2qPV5lfCxIkTMu4unQuGOSYJDM0Bm9M2R1cyTPklgpg9XcoTuNiDO6QPcRWd1Gi672kqL7Cq7LNu
2PT4MLS0X3iF/iJ5YIWp3pSz0owYCwKQaSHmEVlyRIguDO27TZ6BtmjyYZPh2tiUSfLipKn9raL9
itQMqNX9WHgdcom6OEEYsva965BfiI1mN0ZzD5SAt4c2rUnX0LPxWQV6T8JnXhHsrLjXUWG/pA05
91V5CeLBwIljv1ZqTEY1Jm9fiibfh96Af8FyokuGddHWpLKAhqab5OLAKN/ZZGcsEazaN6NMkQRa
5SvVcrvUwhZcDXvKqU06a11mxjzOrp0aphwl6IK8EmtLyOhjnZcNIVGeC2mNJNjcnQ2vFpYOQ62u
ROgw7Uc/ESR1Sk9C3BKxRlqa3USvFouwKPl7GmfYp3kTXuOn3bU1s6ecnHlaTvSZ042HsSMr5Q6N
vM+AbE/BuXXSQzNQASdAJNBzYHTjHLtD3cMIrVgrZBu41nSKOeZXMgqWCYWghLdC0swpMvGFEAuA
TKJqXjjArOlyXfHTf6HUXw00XzX3iejYNcSdRWwWu4kIqhp0gHPrkLCtFN7SLui3ck10PJek0hzx
dRC8PHZXRS1xcSc2d9jonZaDZBBWrySfW6CkommlmQRakJeePhit3voMHE55hRafqN31WKjPI5iI
+0BWt9iA1e0YJAl4vQtDgdwQYLbpD8iM17xsGDzpatEeThdtaN32ScqRcHpFNZ5d6VZlbZsu3ic9
huyAr0h6reIPHU1+o5dIu5GjG1rxxnOAAcUZNZ+vla7pPVaHPMsuM0rRCwcxE3YJ6zgKPWc3kohN
VfwoTo2LwW3DS3OaCuJwUEub3vBEyo2z/OfL8v9vwmNNRffxh+W2i4tvH0rI93/gZw2JstiYB/M2
6l4Osu48S/6/NaT1Xg0iL9YwhmIK/Pcyq7GWwltFpoy61lRBN/+7hHRmCyF/lf94msX/Y/yTgd47
nOE/Ky2jwvnfxESP9R8Rg30+z0M4QKQ1wV8KZoyvY9YXTClm+x52mpT0CmA95pWlQWjzU0KXuhWp
Jn15iHFFvWDfz+UubTEG+7/cv89lcO9fSmOp1lF86A7j0I/Lf54zetfH7GKSvDQ5GVpfKuz/nm+b
QfpMo364B37qPVlWhzTnzx89/6vP7wdQHWNWdJjsCGfzTXgTCuPC5AI8orIO4Wgdh5x5C3Rm9aqV
WvTyzz8O9yaxgIxEbMarH6/UyEd4u1ly4ZpZQjs3Evkrh8fiOXDL2u/xvb39+fPOlCLvd/bXzzs7
MBgJbRFaHhcaiMsVfbdqZ9eNSgALf/rnT5qFeec3kmvCQsoRhfLiTDoVxaIqibO7ULKivWBdy3fk
m/afCDXO1Cg/LodpOcPV2Sd//iFKk3id3cQXNDDKjaQS/S5qkmQki+COpa5+6Wp78EVm659c3SzE
/NvVwZlSLT6VM8vZfWyYaMEkgaTBwNtYVoVpkEE7hDfuZLk3xdj1hzHz2DVTW7lBJ187i/+Hu4vY
h0cUBZKun70hniNkaql8flqCMhF05Dg8iX/+LmimyRqD4gpBzLmsKLXcNmnL6CJ2Y+u1U6Wy0dQp
uR7TNLpgZNh+Yik4l1LNv6ZmOiipAE3zoe/C+l+qPh2TkKVb4UVCrvWBFp3yVMZ6fEXUe3Dt6sr4
xZN5s5GUNgu1I1FiDVyQiQI6cLn+8+39zWvC6zj/wSNs/O3n7YueZTMIL4hc0RjtZaYfQFhddF75
WajEbz7JcAk2mDELVOHq/Br9cs2dwFaYB86x19vwyYDbvBPeZK+HGtf0n6/p/WU4e2aRsuI5h/So
zVyMjx9lSKMKe3C5vdmW95B5mmeHnKuXyiPZcj84of3gBFGCYpoW9FeKVnzMKN/d6z9/jd+8slhm
uFrODnRWjLM3Z7Riq6hs7cjbM0sgiKJ/rqa0Qio5TRdSC/OHSWb5Ls/M5hPt2m+WdgAeOOjZUgCf
mPNP8cutzqeIJrdhHMswdbe69FCoZ+QVYs2jF68V4e7PF/q7+z3HGc2UdpeK4FxE1nlEC5NscSSe
AU8hUmArX3aOV5oL/Hrd09Ab41FEbvcYK6SNKUFhPIJz+yzM5nf3+9dvcfaAscYHTlfpgKEYYS8C
4sO+w0+vN53VWOhpZb+RpVdtWsOLPnngfrMDMNhQLWxVwPfxXH2833aRRjE0Wiao+bRPW93aAiHU
P7Pb/OYF4kg78w8w8//AJvz6q7YDXokKmLMSqLg/LDDqbZSry0Yr2v0nP+jvPgr4goHbiSM4ZdjH
C3LCqVesXjt6xQSdqI+kQxwKjvI10lMA6Wwz4YVUm2EX61L3mY6lRytRagbuOJLuyOkrT5ZZGyfV
7YAM42lwpk+2hd/92PBU0VE5rgFmglrz15sBoBe+kzUeNfQ7x0E0JpFdHoeHeCBKDpPLzSCL7KsI
w+Qz+8BcqHxcXABHmAYNUfZDgHxnn0y7SwHyBV1UxullkMWgI2OzW1lu3VzbbMoHNQ6NG/LLgKrX
cGQcWxSYuRiIfFIS/Oa101Ras55HU9agfpzv0S+vObTFoXRd60AUHoIvmXYXYR57t3Fe6cBzovBG
OA7aU03ihdZAqcWd1T988qT85m7MhCUTTbZtoLw7uxs5t54uinOwhElC/dQXKCGM4gLvqXPUw4Bs
YzT2vrCc4saLx3hb0JHcMzwOP1ls32mEZz/LfCc82+VmEE539g7C0jB6jQTBIG+SN4jZlR9a4w5o
sm/kPbyA2vEAE7Si3tLjjb97muif3KpGuYL/dxepNoNHjERYCaX52es034Sz70bn5/1YpFMinr9O
Gnlt3D/jYJGGqiy9LrL8Tkpzp3cAM+v8a6DC/aOgKnxz7INVjvLBp2rvDkHZRjWs/F5+/eR3mzef
v30l+iU2G6Q16yU/PjuhydQ8lWj5yaIMFoaTV1eQVIVftdQZYVVlN9JrxLLrmq+RPmNn3ZIo4b6U
15EAcPZJFfL3IlPDeIDrlOXNo9Q8s+RUQ5NAGjAgfafh7AOztYUYNXPRjaJdTWVb3ckg9sAOVsWJ
KbL5yWLy24+3CJK2Zn8nE42PNwP/vunMooOwD801kgGUFlqnpv7gjY0vi6G7Fl2obgat+ZJCqflk
9zhjHc4nU66eD3Yd6tz5cPrx4+PC7AjC0w5J0dRb3O/xBqeYs3asDM2B8LRnbXTFNy+PWIVTNQ52
o5cRrEyvX+f++HnufQZ8/fvqSl+Sm4FuGlASUUUfvxHAdCgCU4J8rZy+qkLjUZ1kSAJFGprN0kAO
B72Bcm5rB6Lz//xo/n0znWGl82LCrcBxcvYsKMS64wRLDkh/xB4YZrOHS5C+/PlDtN9+CrMsjSWU
+35eIllxW8EvjA5Az8qTtJseoASZ46wUMdfnmOuMZ2KTZEHsB+loQripmL7Anhr9rDOmL2WLs2dR
MFtd/fmb/ebWs7+o2KjAXtL+OHsYsqDKbEJvD9wdfTuWWn4ChgU2A0Xj0iWVciFLWIq8tJ+s5PNt
/bggoMOmVuVJnE1c50zhtCV9osiVPTFgbob4yRXtshr6oljBN6hihIhByAM3hONnJ7z3I9z5R8Pm
42RLL54+0Nklt4hNzGmMDmhxyqMxe4kBLbbwzxnGlJhgW1urV/k0Xod9bR+AgFlrS5HNWuHogD9c
pFeihkIzR0zcOmZ96WnFdD1pFklONfow7KCvQu3uuiEhezQJklVR1R4B3w26Hf70k2r478W3g8XI
ZDuc8Vcsrx/fHUfEGWuqs9fr+f3IEKH4U4S+VFi1h8kTNuAnW9/fH+X5A+GRsnJywrLPXhgel1yf
THs/Oh5jvs6t8aMSL/Hnx/I3V8VbqeoWQvj5NHP2IWqcVJOCGi1XtOCqd0w6+3URIlLVtEwuoEso
t3/+wL+XoM5M3TXAgGEPnecsH4qbIh0ERYfYtyCxfK8Z+1UWafZasQr9k0vjTHT27FOgUOfSG+R3
4wLPIZF1QfBfktlISlOzXRMUp5e4ftTiEQWoLIDR9xZEmiCfHvWKlQsIkyL0lTMYfbGziee40OHb
4ORXwGKpQzrp20bqIlpOIHq7VWfL5FIbmjj3k4LsrszxxmCXN7J8w9Kff1NGYD+30tTTiRSwCipK
A0H2YSC1+NgzPH1FwSsj39Gi6isuUaddtLrdDivTjaxhBZMjexVVB8IXuUg3LJjSJyfQ9iSedvgu
vbUOxzddijHHB2BOCkEfTZa9tqE+HZnYDg2WRqR+KJCJ/mLH9XSmnOjMrmBuITeyK6N75eUX3+ts
Gg8pUBzwROWQikWXddn3pipG1Gwo5L+VTpLccCRVvzfFqF8b0LpDBjrCGZahrmkvBfDi0FfSacLu
yRniawJwDfaxogbPZs58f1EWGarUYFCTQ5Eis8UcDC/fcUzljgO/Hm1IEoRYmsRFMx6Ya5fDktks
KSiNPjLYDwNoX6MSJNw8wrQXLQqsHaqnYqlDwfkmOPHctzB2SB8ebY8nGKJxv3KKrNU2wPwS3IOR
eNS7ruiBX7ZDDbIhrOtVbQYRGS1GgpSMyA+i+nRboGeiULO+k90j9oTI2k+iSNsB7XaIG7yFbTTh
CZ88c6nGUhJKRHgZRlLXGA6lYk6x39HZbZakjaNbBj5U+w7Y/jnQHvE+AUDSixZNwVboN4Y7bJsm
N3KGeHBt/dIgsWJp1VZwmYveiEiGsmOEfEqsXxEcq0QbkfTDvk3ID1poErf40tZjlExpBRN2Cckp
C1eBHRJp7nmxFhx6LyUMpYPOtomU1H21IDWZS3IKeKrAvTPK9rKif+A14Dg3qmS2LzxLAD83hCl3
RmPkX6iqiGVj5QleOiuafxJYyd0ij2W663RHEErWjSMG0tG4QyYUPUUN4OBV2ozGm12wz8Kqrs0b
VMk6gZFtif8rn+QouYfqNHelMDbwdErr9r/ZO5PluJFs2/7LmyMNgMPRTAOBiGAT7CmJmsAkkUIP
OPrm6++CUu9eMZKXtKzRG7yysrKsTFMiADi8OWfvtUcESU9uLLh8TwJZ6is7Hy9yt4aMOyQckjdN
N9QZ0mqEbudJ7AG+iLOUmoBGwMMCHcfRHPRi2fxD2QkSzrrISxMuZGXsE2LttI1yliJCBQm6fxsR
RqT7hkYO1aZl8PQXVppURKWlDltzz6xqcDfVJDAvIDZBRNFgl2AB81JyRPDF5D5u5p4ckblDa0ef
0yNNKcqG73Y6OPpGt5z4KxYdpCDGjLprhz4yurRGfdl7k61DJ0Oc/xR6ReZuojLKrxWbwdhPqsKw
NyQ0W5ciJ5p9O5YSaLNRSXGYmhkjXCghqQULSE7czFPZXID7WzAp8ZKH1RgSfrfsiAAMkelQkaOm
rUhuQ6+HPLxS3RMR0Gl37RCocCcn08zpT4NF2ggeJAEewg0/lSpLwAVkVW1tulFXLor3hIkmHPs6
o9GKhnWbL8SSYb0m4GXbJcMvbJdeic3QghwPWCq9HwrNhRWQ6OEi/lJOAWJ6VprYEKmHEDwl+ORK
w4UwbIiWcL9HtUV42EwB/MfiQFktdFx9uLEJuqD13+gkrmdasTegjDXQzWw8QlkWQWg3etXe23bi
EEDRVA6KTpSqgroYCLIgr/sVR6bWDXaSmP1j0mcy842RtD8q2yk7kt4o56ul0JZHUiSZdqLBLODf
V4vLeW7UfjpkYMz+aK05OractFtcThys7Jkttp+u6UGbzCSpop81k/gJVVW3uAGaZONM3vhZN4bx
SZqNeeRJSXNjEyr/yAsY7qLQ0e9NFIrCR/s9zH4RlSS0gj230sC1ydnZhGJqvc3kGeRdmFHi3Huc
ZtH3gaO3/Vak5iXWs+XJQ6mCPRflUE9zF6E2xnuDUC+3UeT3VslYw7/Ff7SSV1hT/HEMxbN0x+Qo
iGkjVZM7ROivLfG9aQn1uU0W8ztxPtOPySl6O7BjrXhcRfs3Fk7/T5ptjVeRCGlpR0Wp2cEaet9v
UivCq5EUQxf6+VxLteuSUb/VY6lyWFzwRgDCTdL2G2VxDksiAnU2bMi1mwqjG0tfl48EGon0s2kN
xgtl1/CGbAr2ILY+2XdVSKPZr9Gi0kNjj32J6NXgWN0sibNnW6/czYCrZGTGlGG0XXS9/jnq7A4P
zLogkkdU6qvFDdECfokWDcTAoKy2qm+y6rwFQfvFGyHIBEMyOMBjKP98gUSZQdhuiUs5m6VhNxdE
j2gPs0bknlb3It7nYwH3LAeQSHBfWeZ4ZABXbpAh2Nc6cdK53xerjjOd9A4HfuG4PTKEImXQ97Nx
yaaF4nyqTarxx1lj1paQKUGXaWGTbVDlVi8T7RnSbCtWXH9eLFzZToO190xNWXkOZuZyMJjwrpOR
BsqLhOl4MFhrevRpetmfT50wMx/ZU1X7FhrZ68Za9cVkcDOlC9SmXy2NYKQtmyHIX3VJDhQCT3t4
ypD1kqjaliuCUpSlPw2GdleihkLnaZrZs0tPjMiwePL6nZtbIG7glDXgVEXR33HkXtItF6ePj82m
+NHawzQSiIhB8TjOeAPPotyzD1gKW4TLyGcEE1ouf8TQ8a66xVY/RjIF680AxvHWKhzteyVI2KSU
UpJu1GrY7zYdTkTlGxYYYZ+ScM2E46X3wu5gNzDL07liv86i0HdNvGnCqNU2S51jHeA0snD+dEbt
c1HJKdvrYez1Z+Go8CCWQJUAJ0p4F0eD+Yc9IWa09sayDGIcBaq0DL4nMuIRiGqfDj6YyFwEmerA
IZkVQ3MzESaDo6unUB6gE+s/2VXInmKoE0XljNZTkNuy+dLWOPcw6jjACRrHjj/jJbCfbUB8pV8O
bHs205SYz1bvjLeSlqCLSYycPqLoGvt2CB2DGZAoXbXB50gGjyh5gn7oso/eyGVkOXeXWeno4yKD
DZEr5JdYI2lpjmz3flmi+X6mzvogkNXJM42UWFZRBjwZysgtksDtJlQaEQCPi05Pm2TrCIr71pzN
L8DOO7XtBiEfpjaeHjw3WjXqJN0RBoUtALCFrsLrWMfqsfOKvgvvatkQa5VJCWgHsVZY+6NYPShR
C+nVLx1AYbt1Y33U2Csof8KyytoDAvPWGef4awE/cNt5i3Uk2KQNlEFm7J69PHPKOMLf2Kzi1ysN
OdGyC2vCmfyMv/PVrKoGvdGEHjQgUkgeJebSh0XqRb2Kn1tAeONc3OYgGvdMMklJDI6yliAKye7A
hkPA0caqrPAljPXiTuUO6nCLUEykLW6GsGBcWCcF0ycGuUQrsLSnM26HVHOUt1uKTot3Vj4aRmDq
Wbawxe29n0ZbK3KfwrbItkU18Ppg9XfG0cssM9opz4psv3Q7i/C6fimzzbyE8h5UR/6oYv4UlqIJ
vBok3+5pgF7RbCx0+8UF8LB5QfYA6Mjvh1k+p3OVfuuSqUioGPNOtrbhwj1NmTp98m2jcgd7kpLP
oOAUM2G7RMh5neV8IXOAcoBmL8UDxDL4lzBhCSqH4TtnAWbk6LNKRuNIk3j5OrlT9snqSnGO4h9h
PQSm+Q5nsjuQstD2e3vKHLjcaqnZ/sDI2tsUTMODGNoHeBveXmgAifwEC221Fw0OnJKtlzhOPJxb
oDEJuSyJdC9Zb0lf3pDMzOY6bvEgYV0cCgid9DKqO7U0w0NpRbq94SC9gFMcs+57YVXD05yX8x3G
JfyWpUe0w0abCPrd4mPu7APTK7yudjb0zMdIVV/QdQm1jUedee0yKSTu6WRNz03eMRxiq8XUGnEz
gWrb4UlQU9Q2qRGZz9MMNtIfJ6F2CiczD1h04T2k2wprTTuTdj1r+U+H1Gh82+hsv1SmHOJASwxY
RZFRkTCTgIkeES3Dpjw0DtANDlY1mdQVltrGp5yNrk/LkRofLG/qCMhQU2NhPJDAX+NYny8t3eoZ
UZCWs11IHgmO0Twk37VOoxeKWQ7oK/AkKLs6bfpiN2lv7Z1RD3+CpzfPJCwcal7MR09rN+Iq7uY5
OeMtjAHzO2Dn2DSnT4TeDUis2+LajXIwWs1ixeOlcLX8Hiu94x2cmmixLaEZ9nHJQG/47P3a0R8w
cOOY76PvcdPqkY+fyAQTGiPbIOwpAnW9Gp18dyzTfmObhXbTE6mMCSPiPAOgyR5/Lhm2o12DfTv3
kX2AQAEn5zyV/J3jPNbtXTvkxk0e8miwhmYFUmY79L60PZPETrWdY2yGqcJBAlywQFsW9doXZElz
zVJNW3s3ErLzM3NK7aFOid/dLL2DeHi2UNYjQc9hyyC4IXzFk1E6gSLOl9x3UvZqQTGO/bAjqLY8
lw3N2F1DUonLp50gTS/Yla57PottdlvGcjg2ivThwCZX3PO7Pva+WiSitAFVF4XTBXQqYsnIA7lb
u8m4SfVGXWGoAeM29QmnyWrS5ifwxKj+8m5yq91Ype4DBPam2eEAjx5/lWr+vwD5/5i0u/53Odzm
JY+SvvhTc7z+gb/lcPZf1lqNo6HwWyb8Wwtn/kX9zFj3njB0DEn/8r+1cNL4i7L7LwiYixTDXuFG
vyXHlveXRU3WQzNimhblYevfaOFe13rR363QDWl5SE/oWTu/zBZ/NA51EhlzpMaSpXbWgxBVWwFj
oc/png1YCsyl3f/xXG7+ruX+ydBcH8Mf1eXfV2TtoAqAyg8hz+tqXlKBEKBhQfp2bT5aRvYtiTnc
aelDG/b3ptffuqpXm3AUn71e/tBFc5cm6vtc8O03GgyEXr7EK+OlK33mgy+VmPOgHewosPBpv/9b
eT0nPxatAi0PpKq2lLzE025UP7Oy6yFkMnYjxFAXOeBuu86u4sQjm5R3Wu6wa6UHTMTmA4CmhYj3
bN/EzbhPl+VxrkqsyhFAyYEzMACbpt2IydOYtMz2Khfxk0xKilginDme1eKr23u3jSW2woZMDt3K
PF/c6yhxu6DOyIAfaT80nSOCoY+Gx7IcBXSGAhZgmBxM3UsHECXz98nsribQPButYFZ3NKPZIpIl
Rhy7Mpva6c7kROX3TAoE+SDdbswJNJxKHXYQ2Nwbp/paLG6PZXONImljTAyljXMPq4VxW5Pqdwui
2955JoGqXqnEgazMCJCig2C91wP8jVewY+GPF3U8bJFbiJcw07KXloPqro+0aduZC4FkvRbogJ59
10nuW0zou7goPxMk7p05rvNlsdQ9HeNNFRnIdwmwJFkqSfcp3bi9w7Hukhqud5aO4SdjigYKG94a
AM0DAv/QbClBafu+SdSOWOA2iAbt3BvqR/D/+t0CMpsmAg1qQxu0Yzbm5nfP6vERz2LP+/MOdVX1
15GOPhxxqDyiByXkIX0e2bPd5ADBL2Wp9wY7BE50gKiqTVbEGYw+2nXzKDKyIHR5Jr2QBHX44daF
O+cwveFB3tdmaQaYHwH3xdhjU83C6xrG2GtAfs669ZhkxZqt6J15i/kNMEEBQAR+zFx6ExnAZREY
ubghO7sJ+g7YQtk2yMvjBpWFpqLNQA0mICdv4a8ktdi8V8ccMjQ7xPAnSdXRczTJb+3c5bie8yL1
EzvuDsouqtslLNJtERmTTwos+xTXqOiUYzSKDIKiwSFEO+k6P0q2VN/gc38a41xcizbJLpfYwIJM
peYiNqJvzlLlX2q71e/RGME5QTuxgstDjKWg2Y5NL7TAdDz03jIlrrZ0VHnehOqKBGz1tZ5CB8iE
g8/ajTi34UQ8I9+wJHWZBHUctFR5lX0d4yl4AGua8nAkuqmmhMNbA2QLw05RyfHkdyehka7VJHnp
tI531hTfVDLvAkeWTDeF5x2Y+6LHWp/uKgR+fKBRvmu6mZj78JDEo8fKD1y4Mbp2G4KRCKIoPjRN
MQVuPYZ3YCeyKxZuiMSlVV1purc8zaYzPvVLaN3CbmyCsYkLQrmHONybiSrABdy25MpeNPbc0ESc
x6PlzVaPG5t6mQnPoOsx3W2E1n/PJ3lt47X3Vd4EeocDOTTnYzI6j9YsnqEGWuhxRmffogENZMYW
FmhP190ORSg4cqqdaFwL9N1IjOno1DUiebMlxZ0QMODx9fMwaZ4fNZb9FIbtp4JMr8NMPDLyFeVt
WqkS24/GsPpklf23xSzUlUGO1wHn7meix9LHGuLLLZm/4RXsnOjIFETK3tAaJEa7ZdAa0rwuu3VP
Us0m/PrJ/UoyY7pHVNDfqlqpS5WUCHRSGnpOFdc+Go05MJOMpmtSGj42r28p/jcsJlX3E+o4udeQ
fa6lxenUgoHpj4COvtQq/jpD1KD23t111A73cSuti0IODsHK+jUFywfNtD5PUv8ks57TFtD26JjB
RT9kVmPatAIG464V+nQuc9M4k27akkmrTS/GVDoXSATCgzJCSkQgDBtnU6rCw7KXRsZZ4RD52gx9
cuF0cTjTkWnyg3CAdPptMViUvGv6P6Kc93WqGQRlhBmA+QogwbWq0bCyCtRqW9Wqf3K6xiAlMuyp
C1LS7zMitzr9oZpB4kinKX9aCr7g0pki0I3QSS85nlO/CrdwcfNns0N1ldRudWGBnD5MnkWhyuP8
9l1Sxd4JjfCuwfMIFphyIwmKTjTnkWzAAuXs7cMqkkdXpOo2pMV0DatiPkSTpZ1FodCp1vXmjwXn
yYSkqQ9hzPecvfp4MLYV9rmrNU7mvFva8jaitBYwrM8M10tXxIsSG102804jrmvbx5NJ/AF53kGB
dhrj/wLlOJbeTdWECHjbIj8H3r+lpCAxykl7I7zK3Q2xmR4z5YU/68oabprQhiFIpDr1Favf6b22
DIz6EYMkRQaS67M+VtiQcu+SPJqfuPu8T1WDY15jjf/W4fq7MHsLx2itLT2ZN3GmrhS5IvsxTwvC
a4wi3y7FUFyrNLS+01TWKaeOy2GyhnsauOE50rf+IsKiFagk5Uzn9S9xEeVXLekBge2gqmrz8bxx
2ixIRdaBBLQ83NbF5wb3/mYiTmRmNajiw5yUuh/RvgKy56bHXKfoOpeDzTQxj9Rick+/rTSTPNlJ
I3Alwz3K8a1e3yF6YFnRj5D6Ai7Xo1hSX8ftklxlMKPOhiy8dFmBjuwMaIdPEgBBPrBI9mmaUezO
x3vK6mqHrmTMtu4AKhU8wV1HlorPBxFeap0nPgv2HT6O0vIaIZt1mHt5wAJGDzMl1CAOOk2PD9Xo
uJe0Jo2zzDLCn71D0AxBT9WF1sbNARNOc6hMcj5IpD9LpF1d1EbufUpaBilTtjaN8bYlDYluWaqG
6Y5CFhBnN9I7Ujcs9wDxiuNiKDDC52Vr7RZkrNultaejBUJrY9o/zZzq4SauFm8HgeAGSA+lOMIj
HKhe0bGJDbVxgY9vqSOuh60UKmvWs6op0smpicsrpANgMXpNfVmSKTzUBKccWmsMLyiaNJfRMKWf
Iy0h6k25NQkpA5qEYQLcUHv9tHPrJj0vJ019t4jRJCrHbundhiFBoLR8Asg543GMZnsvqM7eWfZ4
2xEnTXJ5dD8i0jwbTHfEL6ube09geq1CekxyJORbZGZ3cJl+CDnpaAOmVXpRGZq4dkfX9t1OWJcW
cRvnpQfQAevtTRIanp9PRDNZbvaC0jJEEJHpBycuDxkkiF3fEwkZUU4H/g5Zmt4qsclipEEx1OVh
wG17ZUz552yQyWUMyhYnsfMwFpyxmV7KczAqzyVEpvPW6uhmFOKTGoYO+QXxsTGXrfTmuYm6bbVQ
/AgH0pgznRIVmupbRxusIFFDf9u7fcvCtrjuFStp+mnoWTxbEVXMjjVVFPpxVDqiy9JL7ZdQtOpI
cKf5KUki77PbhSE7hRl/cTRi0ya4xL6JzXK8Gak9JxsA3/F2sR1apBUHa/geqbqQkCs2FQV5p1m9
X+aYb4VLnhapqM2VMUdsCLU8Ze6ubkDoPFgt0CzTKKHY1qnci16em2g67zNlHyk45z79GDi2Wn4p
xPyF5Cp709kIr1KDk3zV2PRO9WEnlXPPTJf4hZN4ATJHA7ls+lM1/bJF6fWc9fa3IuweiAy7XTiL
HXPaq8oW3+bRjh8IywppPJrHzC0eFJvs8yKJv0CO6myfXwYezsgoILqJ72kghTYFg29s22iX1cN4
lhL96ktDEd2Sy/6QhJ3cwWwheTylnO/Uk7peigUMVOkSSroaBtvJ9vWICPjEuuFN5sQONEcF4ORO
mXiU54IV1OrpsFtV+KzZCVStFk7awHZzJodpl80xNT4d3UfNArZJVyI9PR6NdnWrHmxcpJeZDf5Q
2tkuokFJT3I402ldH3OJ1J3A0paiSV1uBEkrbEZd80ZPcmhFhKfvxo7YLnPpDpHhjLtUje4OipW8
Gyf1jPbcpNiGIzGFWkGpedhM0sNnaovzIe/0K8OD0F4WiwiI+UHuTwDB1CTTtVVgJBxJKY7A94Ol
snpwGVpDgTuX23K0OHC1DT7DXNtGs2PcUrgH3EMcJpoD61I1oriJSZaie49vOwUldk7sTu/uNBrm
n7tW0/0yWS6zaXKfva76vECm0+sFFUDNAWfVVa4ufH34HmXr3tcR+T32hzUwxjUZqJNsDqVq3P5s
7ivLr3Bybue8G+ZNZwm6MzLqD33tHbxeO8ylonPq6HDdiY4bFUOPI+YSdj+jDLaY4QEiQJhhJ/7S
IVcxB23eUkh7qkmdjqbpbChcl8pWMj2N4+BdT7Hp/Vi1GNuuoZ9ZsUPaeC35wYYRTbspq4p9Iq27
trA7SnHitsm87+Dq7qmpR+dWxdcAdBsWyewQEpXSNZbC+EKSWbKvOZJPhf3YeS4NNZl8LfJ6vtLX
mQ4gLnw/WqN7nH99UBDWBPbA4zS7YatfXXqFceZC3yNNDdYI9d5nOvbFPR1c8Pml1PdWlF3nfHxb
VhbkFY3MzkZUGFAC+WV1753zm57s+VNOlN4O4sE1h3UTHfS0H+2clNtimu+o4xc7Qsbap8rMOCW7
kb0ntSHe69jeiMpZj5qT5NbIP900C+clft+w08f1Mbl8sApeAQXHDhNzzg0ETZSeqyIrdgwg2qAp
lt+JLbA+XY5mnu5azuFgbu68OcuOYxmyZHkR/UrTfqyc/GBFHS89tJfLZOHkuugeVAjmRST41r2o
Yu0Te+4eJZA9nxU4aH44E+d1m1L6OaGf24U8389N1p87WTNt1EpDwHkhthXn860mR3We2nAuodko
/bFNBkWDQdeOC/WNs24wsBY1UMNyzrIvi5jVj0U0NJrSev5bY/uvioQPVcF//7NwzFeBPvuXaiXM
tqf/qvXX/HfQ5v8bCZrm+zXE+/Hl+eVV5OavP/B3DdG0QOFSNcNXQ5VOYkz7v45aQ/+LbB/Mm5y+
2TEIi4LabyiL7f0FNYGkHrSHFBjtVTn3u4ooJUwD10FXC/QZUSUol38R4/NaqUoFkx/g2HDK+ZdR
4Ts1sfVUskpvRE9EgsIcdKp3bvPMabdWjADOsnvX2qwiHRaTpddu3i/SvVbs/X1tIoMpKLo4jxCx
v64nmkVUw0JVkja3a2wK4GPHZGgTYoGM8gP1/tuXkrwG9OEkM6z//M9iqbmamyCo0XkgHKzIWA+T
GsYoVaTxAx36ayXn33eF7lfYhKEYpilObDdGlGcNGyHpG0lsnY+9nLdWbc0fFThflTd/X0Wszjjq
v2g+TqScfYEpJlSVZLtve4eOps5umHV1juytPgtNFxnE1DYiKPt0Mj64w9eV59/XBhSEdQfDJeP2
9cOk+guWK62lD218tRlaTXlW6Hm1Gwqh+dWYOOiHUD/8+9GCllwarsF1PXkyWrx8VGNjc9WkAysb
6fPk11jdDwrgwAfq39dWgl83iGNKYHDGfWcgZ359gy4pOTMAVER25hwXG3vNCgDTV2MNIqfHMpNh
G7twIzy3mY6I20Xw/q2+MYQYOOuEYHK7crXT/zlaS9Ziw815ucPUpBdm5bGT5GV28oPrvNYD/32f
JqVxcgBMGwHKyXUG6mtelCILEku+nKkOMKrm2u2lKmMoZFXsHt6/rze+wl+NDz5CCxe0PH2u2gRF
KaXYnOmGONjRiBJztudH2VHG+w8uRZsCNQpqalzNrx8hRT5dKLeQ/jTWP/JGOfsI/tptLDPzgyu9
NViQ3NMfdFBW88JeXykcUjw22ERRB7gqIHDTSFD/RMaRnkX7UEz65PqjVPEnPQuNy3pARff+rb7x
OSKypgdFq2N1oJy8RUejmauZsfRjZWoPXtgnvkOiKkAP4ExIDkS+ZSOmf/A5vrFwMEQNjmf451iI
TiaBapoVeiUecJVwRqgjQrsLhCfkv4/aOV3Mnhq+J3fwupuf79/vW6MIjxpzAGFTuG5OJtjZSuve
7FzLt/vsc270cr8A1NxiDrb/k3ukJ0yfb7X/no5XowXH3Bih5XNmrGgNcA4aaJf/VHStjkUP2nLI
NS9DG2lxcPnXd8nsI1YflbBW4MXrYZUk1Lj1teZRxml+IM8g3baGlwWJQR3q/UudONl/zQP4HJDU
OwjnXRwPr6/V4hTIDJ1rRY0bo5iAe+PI1A3kbML+mWFlwVXbj21t30PG1wMjdZ6pJVUfTLsnXsjf
v4PnTFmP2QH7xevfQVtoGJZ4rfOIieEcxo+DU3oBZFna9KrWt2mMKdny0q8Umeud1usv7z+JNyZE
9mj8EBgCq/N6HXp/bBO6vlwiPbYgQZbUcCZNZheC4iSdwqncZYJK2vvXe2MoC2AF9FPXHSK+x9fX
IzXAIxtuZIBVE4zdRImtLqMkiHTN/WCWeGOaomPN5+oAwmLHd3JrHEQaXYYc2Emqwz3gcGzfWMY8
3ttjD9++kPYB5Yh6cdSYXzdDIf/9eMZe7VgspzbkhNPUPttKyIskv5bEPUVhm40y0jUbWrZHgfD9
p/rGrZI6wcZ49dIwbk8mCEUNptQ1eJ4OS9D1bAkUbSGE7nSENp1HlulD9IoCbCLuRiE+D96//Drz
/Y8T6tco/vPy9snXpBrsGdWM1rdt1iFLvuWuxifywU2+Hqq/tuo2b5K9kHD4fyv07M+hqtvzqOJZ
qIAoS2oUZmF/Rl7IkZFuXBBmdvYBjuD1UP19vRVixr6W5UY/uZ7QKCmMBiscpOhmb+ZjdMAwX/i5
A5Lv/Qf4+v39uhTGWGT1Lh55QkJOFjQdy7EOMrYLdEUpnzJYRBnZ/JYpK9y1g25cWJ6qtnbfR1si
zj9ycr5eTn9fnYXNMPla8OedTLxab+gt5azVnU/7Gk+MQPRtt+fEMDZBgsYvaGQrbt6/5bcuup4Q
GbWYiyEDvH6bBr312YTQT5xhWpzl5ZgHeos43COr5Kfjptmtg+D5g1f6egn/dacw67Dd/7KuepZ4
fdEwzVM3w01Cs1WibE9AaCdqpriIIADfjVNNGy8ye7D3KAXev983Rq/Hl4krgE0T4NH1p/0x0fZh
AtFjGhraWhEtdE2LLjvleb4+UH3B06mfvX+9t24VG+q6F1xBp/b6zf5xPYfCaWqaYxMYOsEhE+jc
c0fC71STbV/mVY4BpUOheKcAP3wwmt+8VdCnnNXYixrr8f/PSxPHXKygkiaYnZHCdQlEL+66CStN
5ARk7H30aE8YWX+/VpLVmNzApzDhn0x/+kD0UxlZTaCU8HYlEqEAKdxi0MpfFNUq8B6oNx0oySv3
8yUuXe8GNl11JkIxB5gYqGe9//RPNhh//yRKIpQYXBZVCh6vn0GmTXmyLG0TOMX4yPfl7ryIIkOU
ys7vPOqCNA3syzQSInB1KmD0BsXOteKPbMlvTGK4A9HT/MomYuP6+neYQnOWhg5JAIlwvklQ4SB2
T7+Faet8wHV4vQj8fcekL1PVgWLAfuLkrWteqcfjkHZBQcL20RpRvQ6h6r68/2DfGlsSXIpYS0Tr
CeT1/WBogtBqVx3BdkZBNdPLic6bjUfUQP120sv03+1Kf9+WXAVniMCAsZuvL9jR0ncSvSbHpcnJ
B1powNMgGc9Gkcb7f39vuJj5D0Cjf/IWahGVM9LVNshz3HtKd8rDgg+BjMYeQ9fc1bv3r/fW2MCn
ij2W20OxejIltUjrR7Lc2qBuhnHXO3JV13ikDJlh9sGU8NZsxIYPYhwh3vzvycRrTaRct5BYgg7v
5LaVS/lQgXy/zq2IJE226n6KyTImz5fE2ffv8iTu+e83iKARfB80C0pHJ58i8GTHnnHMrTRw96xF
aB9gPeixxQ+IBjWtf0DNGv6Yk7g9xLhd9AOpdxmN5wppTxzm4XUX6+Acp8hxL+ychunG0uLwzDI6
Ctq5M7sfrFJv7AY4f0lABowGvqiTqTs027BGXNgGY5mhnXenywkm141XlvH1FE39tZ5o4lvSzuVO
lJP30dS1juj/2c2tzwt2FrUuODFizSo8GRY5DUxqmCFTV5xpZH73oR0M9BqjbaJVtkFASEtTSQtb
7xs4eXvb9j0NLtdK3T12y+aR4Gbx6YN3uO4gT36Twaptrbt5tgu/pts/VjNLqXroHChUoRuCMI57
/CKp052jd0x25KwSaA2FOvIzM3dv1WKFN7EWJU/v/4p/DuJ1Bbd5MlRv2UKcbHMH+kmjV7WUPKRD
B7POPJ8HJfZm22vnyPDcw5JDvzbmpvzgSz05J/56J1zRxi1PuYXS1Tot/nH/C5UUx0IAEPB87IOS
7bJn2dLFnsgX9dPRFvustcfoYvJCFaO9kYjzemP8YIL654ThGQxJxKVITLHun0y+8Qq9r8o181lT
ztZCh8QHSwQhMIr5g+3L25diJkWJzDM8HYR8zFXVrfHS2WJ134GIywAh4uoZcGL7g+/trfdqrypP
RjxAB+fkeyM7S4pUDCTw6ma75tOTobLSQhyCvdzlB81oB3g4+U7s07zmo/npn187VR3dZCL2YGmy
M3z9aqcUS33mxSogitgkzS12Qb5GZMyIomQ8h9qBc6yGQEKLL6zSuHx/TK8D5/TDcjlyUHH5taae
7A/SUNZOZ+YqSHu3vIrUMLJJIlTmAiNRdSDk8t9vDgkmtenn8KTpTpweVYd56MCxakQx2U10SGpt
8OnvSyh+zrRcJGg6qw8WgHVUntwi+x8dRiITKriak9dLiIgzJliRg4HyEnqSND7OaeFQqGvDi1RR
AsZH/juy4X8NCn/rizUZShSZuS4nu5NVZ6hU6ppIXAOn68I9ue/ZcRJIIOj/N7eahLRRk69obMdo
aLdoB7Mru4vH5/ff7htfEQse2mKKtTQSTqs7LaY1r426KmiswfgONaDYC2cqdqZsmsf3L/XGQGKZ
pgdEe43i4Sk/ZNGNdZg2dTDghXlpTa88L0NzwgSrN1vZpkv9wWt96wmvW01ON2uVBynF6w+nzc0q
IlSxDqgCD3KLiw5LkBtmD6HUwhmCtzV8rZlLVZBQBdq30g7RpuFMzoP3b/2NpyzWOhNAHkqX0jv5
hvgngwY3rQ6Yu1E+5wQ6naN+N7YirKkuvn+xN58zLgjWmNWU4JyszoQEDTUZBvUatSiPfVGIm8Ue
5YHf8D0zJ++DNW/9OE4+HuFYdExAtVBEc06mfPIZMdBX3FtVGvNhHGS4zV3LuX3/pt6YganpcI31
XE59++Sm0mrQEjlLFfTemhbRiewcEWoLJpsNmS9G/hlutR6S++LG6X8wctkAMznQehLuP3pPwm5i
OTnsuEXYXhYqGdBCDSE6dGsy9ja6PfuDofvGjMQGYm1jUmhn8J7ebofAsxEhlSUs6BvVlfgKYvTY
uQqf9ZacjQ0egI+IuG+MUr5K/DvkbVLYXyNo/9xC5KQN6gVW4kA5yXRWZJ571Y1Leacgy355/3W+
MUYZmKShoH+kj3BaqROqNZSWOewgRZkhds+QbsH3uDASt9hEdlV+sFl4Ywm1gJBJaVhsXt3ThhTv
CqyYi4/TJJgLdSHfBMdRUsASEdvbzq7Gy8ZoKtaYLpzwYs/OB8Wst3+Ay7mGeiHjaH0gf2zPUHHH
rGH8ABT15dcGL+yliYx645Z9cYntFUrIhO2kL53qS9qYn//948aURfWDDip7lJOrp/Ci9bFvWxwq
BH50oVuDYFH0pAeM1ufM9cX+/Qv+s+CyNjUF3ykVHv7CXZ/HH/dLogz+I7S/W3fJnEOSKXJNJoj2
ujY9lGkpzoa4n3D0a1j7ELR+mhF2+unkqW2tuR8xpv8xRfFjaOjC5tbxhpF+/PrH/Bdn57XsttG0
6ytCFXI4JUFyBWXJn2yfoGzZRs5hBrj6/YwO9m+AKKKWq2yXTqzmDCb0dL9BzwUIKnsIgJaL4X0n
Myec/ci+Ph7zXhQeihyDyA/yZt4c8mCPqznHuDe0vGK5ZkMGAn7qjhpTdzsHFy6uUBqldA0QHN5E
qRkjSltYqdYDNFCwWD86xIdvBhotpzqx4qfHg7o7E5BOQ6YKahttCmZvc7o3Mcz8GjuksAvi6jfB
7vjFn3tMDVpYFW8ORbKHCbtKtNFL3Bw/gSwH6m4QANooXmb0z9IRXZYsxiNI1vacXR6Hu59IPhPC
SCQjLpKAW6FIp8OUOhWw01CV+VMro+niiLm5dhNaDk0ptIOJvDsAiET7TL3ZKaRwCq3XoJHP+Nt5
0qTtkiRhWrnthyyrho/AB6f3et33LyB/yiSM+mR5mrpOs4+2pIqwuqjVWPmMDn4xGE0pZNVqSzZ1
46Q2jk0Th2wPESpygdRF0v6eTP6IHozdoXCQLTatMPTlctBA2UxOLI0ShgcgvO7gklOX2N0P4kWF
QgcgMGqQ6x8kmnbJjaK0Qr/X7N/9xoS8N8TtJzNGpFPrl6/ASIa/E2k4Bytt59OTiSLMF7iAN70t
HKns3V6jc42VLTTlF1FYbtjq8fCauZZ2zUDmHxQ+72u9HPsB+4dGKugyfZuIBuNioYjqLghcISx5
6QzgMudygVIFwnkEbQpLideljASe2zONHqoloHEgilmL+8ekm9T4Hq/+nX3NLwIKguoUjjL2Zl/P
BtppFad0aM5z9oy6fXNu9Dm4sMuHg1D3abjC03DV85mpwXMHrr+zaeKsiUvZHFq05y6Zj06TQP7w
dZ7s6loGFPUmDfrisog5TKchO0dz37/9k5Oh4jIQKHjW3RdAiq3yJvRdwtHDOLeOYIGakZ1eIKI0
FzEiG/Z4fne2O/VEevaWA0yCVHw95hTyTOqi7x/iFzaAHEja94bWai+9X2l/G71ltRdbC9rPAEUk
5AnS2yPt151FDmpBpTzUpSnSbQqqWZRSU0V5IqQwlr+Y+gDhJuqXX1CwW/4WNeJhB1O8N2ReHJQo
KMegFri58mPwb0HGEUi7vvSzL3lsJS8W2qMOFEwHYhTdIB+BmRqT31O/GMYnpUj1+5unnScIt4hO
rsOw1ZHzr7QDbyWgAn6ih5q/ZFe9WIYF+bLCvTUu7Ea0w7zua9GY0a01lTjdnPyH+5JEw2bSoYTf
TwIeIB3wxG4J0UUwTxDJEDoDd37xLRRzHo91J8eydYq/CjjG+YI29Hqw8ISLPGh8O5Rj1cVh3kAS
EKz/d37SRacY76Hf+srqcGbW/CdopPARpGY4H+YOsTDhDMmBgvj9ec61ZlF6NCkk8MdNmgXNyTAm
enmhY8fNe/xA5ROZLXKKUK9fKogU6DZ2040q9dFU3KdeFKeo+3LB0U7DImA9E9idSgfGtBPK3saD
qnCmF41teQCYvd9RpEEKfKxWF3Khm3MshZZlNYiFhWwt86sft+Ytw80Y78HWDvOcQ+Tg5Lw/pAlH
6or+Nw0Yc9uh1TCYZcyxC3c9L8MqksvFgqOM2N7SXB8vpt1QtMyQ8VCSodv7QBQjXuZFpfgHSNL4
o8++6RPv7Evv6GjcnUYyEA6lwAI6sclDlrhLNSOJnLDGyUKOyO6lFhJSkx9hmJhm6cFJvLcqye/A
A9M2U9WD9drQTU0srsErz4Sv+g1UcHFl62IBafYZ2jkaapeGFd1qF0m8x3O6O1Bcbbj+KFEDC1xH
XuypqKxJMKep0Z2nxspBXib6+2roiyc6J0d9md14ygwK2XwQwduuuuHX0RxTCgsDmpxPnivKbwFa
8S9mESHnmjbdX4/Hd3/gU1tTmx1oDwrnW3XxrIzTwsiJB1kJVrhSwUpmp3uHY5+N8VLunrSxgefX
BfnzQMPhYMnuDZd2PpUuzntqJZvtOMimtPKC6TVRPnuKIse6gWuKqcsH9suCKdbBeas+1zpdVa4n
uGAgHM4u2TYBmlnkNtKbbphHWfe+oJv9VeuhaUHCikL4AB6s4PgoR94NypPOpTJIb35b97IWoKoO
vK0Q2KX9EsRWfU4yEqjGn6OnGcOGm2gG82Bm9z4sdrQKncHrz9x6Nxoys4IW4c2w96MarXwj7a49
4BT7ZCST+0+ux+V01o00ByUD+/dkd17y7fHa2vu4yrJIQUSQLNwCNoZkFsuQmE6oQ/57QYZ0uiyG
FoWNtgzhOA5Hr6O9eNSjeJlxjVAP35wSgfSLoqTEiLGiNf/Qy8y4AvmsfzOA11unPq+PhNp3DlzK
XyAGVK3ABUK2PhxyuIl1OVpWCIXW4mKc06tD2nuJvfHHm6eSkgFWnOwT5eOyOW+zIS8Lo168sAFr
nfXVH/XipBeEPspz1rpHffydiQR4DeyarAT01tZFBLqdJpdUV+orFvUsi7KEN1oGPuWyC/shmQ6S
jvt4nEDwZADrq9rBVmO9a6OkdNFsu8jZKK4eFzQenZp2LrNMoDM3TQdJwE9Q6PoYcIHt0OQlv+c5
o2/y6qZAStTSeTB01Wz+kHbq//CXvvxcikn/oC+WDS2wmT4lSRY/pw2SsbcIOu9VL1Pxjm6ETq+h
6s+FH/nfSWB58z7+2uprbn8eLxwb8hTJOF9iva4CS6M5XiVR6JqF+8TObM7mXIjnx1H2Zp2dYnP2
c5GT86+j9PUkIWTMUZhmor41fY0nTOl9K5UXyaANByv4/hCkK8cFg/OVZ4Ae2uwVi/YfmWMfhbns
p7MJvvwcRHBG9biS1wTBjguMrSMw6f0GpSxE3sBX5oJj96yHaFtZnyXughKTXqCTvJRIBuAScSXN
OOrY7IwPWX2TFAVInCq2rUPVU7CAIu15G8NdfhnQxDzZbltfsNaCgS709hXN26ObZWd8mJVhQ0F/
TIFfNus4Q7uUxpubgrdzQLno5XiOhTd+LYdheGsLWV2ZNL/Mn7w9f/sU9WfcJ7PFTKiwjQNU3ciF
Ke3CGLiMBff6FSPwfx6vz71disYVVwdqY+oPm23A888VQlQpIuiy/rtxp+6jEMuIUJDjaDe9RKsw
du05OUvf7H7APa4v6HqjjShquLLDwH0TCHv8ZY5F8r4FbnOQlf5MOzf71KEqAqSWrYps8eYH1ujB
R7HUkouc5qI+dYaFpDeyQx+z1NEzbJKL5pTK0vy0CLP5EHXIFfd2BQm57c33WH/PH4MMWwQsaJ0n
qSvR1qzqxo8met6/mY5mISwC7A+DXE0enDAbWxegJjzxON+hRVBXpxu22Y6NDcgH6n9yGfXqa93o
xbPR5okiTCUIIIEISsp+uOVjY+Iqng83jZsVmsLof0COPL6AHWkOZvPuOOLAg1VIY5COOv/dPPsV
ZKwSyWKfM+Elz3GV99NJ2JQS86C3vjh6VF4fr6+9gOwZbgG6WKrCs96x0VDV2ig1mO2WYT+ZSW+9
NKMpQ6+o6udmQj7rcby7zQrrjTCgdamiuRy663gohI22E0GoslMhri3EFWAK4BIWJSLxONTO0Ein
iQIxwQIQt5lLMl8Ng2IlsiqQrT31lIv+CVDB+hqUGqo2ddAfBNwZW2CTdHHAA+QhFVqPTeMd1pdN
a5+lNvoXaFrIW9C1Ptv2OH55PLa7xJYI7DqqgJ7qjm8buRbGAVSiIFzoZQewAr+Gq4Gd2qUp8XET
PpYRRTnXXxJTm0IUu47A5fd1YOLjacLGgTFAq2izbBItakENZRA+oPSEjjnGr8EydFfLGfovjaZZ
8sLeQeYW6WDjGzq18/vca9qnOI/E+fFUqFCr80f9FAA9ECqpaNDXXs96AwLC8GK4L7EZlOe2MTzU
15DifBxlbzHR//OVlx2l5i1jC825CUVkFCBA809XDCsaRINGqtvNFIR5bR29CXdHxSPNVFxR9RBe
j2qGHuJJOdpni3bCs6ji6t3Yor7xeFR397WaO14LCuDGKbjNOQ38hL1C9PaZczb6yy+BQIlqqCjM
0DLRzuDl7U8zcKMDfvPeZCoOj0FNAY66rVb3v4qbGWmfYc+edU6Nwf21Rz4P2UG30a+LjZb2BTGs
o6rQfkT2ClU9StlbjF1ntpNreNB22mmhvZhDhJgTAavRWgCpZ9FwMLH3nw9nIWWxTQkZ5se2uVma
Hh4zFfGwdkFsJfMRnu895/rWz0cUOoxgVZQf1JZLYwdRnFCchguFtuxHs/Mz7D6C+YNLexPt8aD1
/qn13jnAEN7PJdmWxbOIncDx424ufJ4/7GklhmJDJnwaoy57snXhY1kR6a+OX8iDUd7VvTjEDZvS
jGd6XNbO5sqg7V4GTR+Amx7s6mJ7snoeAxMvCkOSFUUUS2vHR1eoRLz08fzuHHOEhlbiqy8JVm9z
tsyxrQmg1NbZMXMk3gfhneXgmJeu9zBhAJZ8io2pu5Yjms9Oacqr5mo4Szqgdx//kvurBVlZgzIG
rSf26va8HSbArm7GIacZU36JWiQwdWPwXlwH0cLHofY+L8uKejwZndKDXW/OPo2FZkaIRsTj4IRe
Y8lzZ8wa8jHedDL64QhpuxvPYW4V3Vi9SDfxUCsT4EVZTiwsBKBKJnB0i3cjXxV+bD8fvHv3phLk
CBsTO3BkADbfdHSFyzsBCYfc18eToWfoQyc+GbxhHnXm904Bxdqm5g0PFLDDemhpr+WuVRGq8+Lx
EpDMhRb+Uv/hgwFcoHJIGktZeLM/YoGbKnp9zlnA8EXiq3DROJ+jcxdlf3qTd+RKf39nkFPRfGH/
sy3MbbNmGZBc1QTfq5eZcStyFGw1vetfag998cmIgwuShkeswb2g3FO6ElemtO9u3nhGM9P59Qb7
nNrzwC1v2uN7E4rbnxwaznttcvH+kUjq//p4L6gPtM4tKBvCSmDj+dC1t8w9JFxm9PwtG2sV/L0K
HQW+cmzTm6EFwTeet5jzaFUQ4golPj+OvLcrKM0q91zoygx6vXQwjKlqVxj22S+a9trbQ4vvDaZG
QYzFythbU/g43k9i/XaodHmRbsAnmeLwJnmt0C7MXT1mG/aBSE5mXLmwJOPR/0v4PHNDsyzMClGQ
yC1D14od/TSXafVBl1P9qxFVGSq/PGfEmbOjzyjyNh7PJwxaBIrnNeZAQVIIcUZyS+JL4xr/FNSY
h3PVmmX/BMY/72EmVnhIzEa70GfW3PyLnxo2oopRBWzDyZaxOjVoBB9AGu4zaQU0olrKY4TFtUWU
4SlPz3qBFd5KmEFJjsusFSBIm6LHdk6wHTrPgdsifopWSDFUR1ihe91t0iDK8baDQg97art7A6sP
GgcPHrRe9PS32bIH+jhup/8QyCbG5zHrxq+DARgVv5AcObEytcxvrTG76LQNKRYEPoYJYZN0rXPL
hzH65KRjG51MytkgkruiXc554zXP6LS10ymm3wL1KCnFUS6yc6zSDwbs9FPWgEfBesFm81IiqkhO
52m2DI1gLr4KqcUnHuDz5fFa3Qvl0CYGjkCjD8DNOpSFenJjsC1ZPWAu+X70Z4x+4cYohoOi7M65
o6hB/z/U5jKs7MYzkLYlAXBG43Uym+LXRT2KTrz/EuyQqlY+SadeDlKe3bCOB3+Mt7JJarceoW3j
XWanjLCg61acMBvoUEcWIz5pejM2v+IJp10iu/MP4u7MLC1TqltUm8g0tu3nxMcWENU566wjq/eU
A4YGsuu37yJT//Hmb8hNxfufnE5BGjfHTU41KljmHL3zTJaggaV3Dey2M08OTmHfH8fauYZXsTYZ
hqzqqYpH0uQE9byvEyo4v6N57R6coLtzhzIUNRQSRmdLuLb12kexHAX3yohbINxt8GWszeolxQ32
P3wmZYtr8hhVrIvNqsRiJGU3U9kYjXj4GJeduNhpD1mqqP56PHU7C5GUguYHbTteiFvA6VSiIGvi
jUrpvQPshIjFVcOVhcb9FN/yrDW+zLhW/vY46N73AtOm1gWNLJ6/69Wforbv1RPfq5hLlmI6+SHE
4/+QUlMU4vGkGF58s80pQrV0dOeWofVdZ/4Wd9XfTWV6X7AR+A9LnaGQn6A6RUFr87UsbwKYOknr
XCdT+r52Wm4SM46bcFki7fnx1O0tQjLpQL3PqFFvy3mNkorAbdA6J6YYQkcHbjeM1DDreT6i8O59
JfJo9FwsSN/0aNZfKZkN4bSCo9HoM3ld6ji5eUN0hHDcW4CKsQvPmlliza+jNBX+di5SGGdv6P6c
5YjNcG4uV1ugFQNExj0Z7tQ8PZ7E3ZGpeih5u3p2bkbmaui/N/5IeYLy6Ltq7HltRYUX6eHjOPtj
+7846mP+qwyibh1I68SxBBwtw1CaoHY7AvsJFkQxguKlaOzgoHK4t0KUjzriAVydtITWQaG1xEpn
k6A9VNMTQvMpKsNJ/WuMf9wRo3xvJnmaUOdxsDLhtbUOlhl5n406Sz/JSicsnKo7V7FuHrzo9qOw
ShS1BUt0Nc//msfZn0phuj3FHUwLX4I2A6dv5vL89q+liGX4v4MBZUGuo9RGVpXpYFpn0EvpOzRn
ivNQpF1YzQl2EpH/KpBEfxzyfmBUWUzqOgAf8c7bcg8yYzAbQ7D4C14JYeA07hdjsvxvj6PcP3JU
LccAgq/awbBd1wNDGB/VdQi2UEi84pY0rv004QnwuWoxOo7Bt55oWWLHVGfj5T9ERh+TUjKnFYyx
dWS0IhoBnpwP51flJ0uz0u+gmcfXemi753bC5pBNId9jMzodvJnvdwGVJFV5VAhaqFhq5v+1ZKhu
9kXC7oOAJdSrxsHmIzeNp7JIx4PTRK3x9cNKhQLECT/oZ9FsHcpIYxfBHhWqRhXWCtIAcz903mU2
/Ji16AgltheO8zKAo4dPEdthHW5wMnqhC/s7n0a4VoDxQjfJEzSs0/wX7Ba0g1ru3hpVR4kiRJKJ
bDHRqYFEkIh5v3gxFpCBVQZhpaFc+3il3B+V2HLSu9Y5SRSVbPO9sg4dPLiH4EuCPv3A+1fcNJFl
Z30RwxkrBD+EOFeFj4PuDE1lCLzyYTqCj9gsT8CTwQATmy+nxdgXm0VyCSaOmcdRdpYiz06clVgm
xNhmwnbrueVQEGUsZ+C1Hj63qe32H9H6yt/8miHTUfUT/l9Kqdvmm6AKNbklO93M9AhIvsxOfuIj
g7409dnAVeQsHayRH49vZ0G6NOdVo4olctfxq9oltZuKWy6xx98MrEhe6GdV3zVNaCc/KvODlaI+
ynq7KaIs+AraUzQ1t9hdzynp0i4zMmD+LDC6FfIC29hDB5rXdNE2VChKrXyRcVJ+8RPzSK/x/mtC
iyBxwKuADiDTvd5+RTIVejB7gPLLWPzuu5He4i8wlpelnuPxYGp3g6nSBR8UA/EtGbAUi1TmklCB
W2S72nS233UL9gY8U43b4694z31QHnm4PMCdp3aKPsN6YJXmmUU9Il2fiGKC9jPJi86WuATZOL/G
g8zfORIJJJk4MII1+c6e/O7T499wvx+JS6tKXVNox2yRBmBnNNda0MJBhlc+40raXOJ0Sa7/IYq6
bEk5yf1sNen/uhp4jrNGC78MhTkOWA7N9Ffp7x3s+vtdoTIVSDSqxseozHUUa+ikllfU0qyeWreV
LtOzOUzxCyaJM1r29XBk8LY3eZxhCI5DFbrHfMd2j0Yy+IFwaa3uy2Dk7vup8fs3X3aMCBAIgBVT
SVtuJq/MPKRtl6QCJZfbT4mE+18stUTqTJanwYiP4t3fC+t4m9turmkow0mpQm/WcDBwgu9oss5P
qVNnEDb934cgCQ423d2Xg1BM40vB5ijaAdZbfzk9qsamjBF6lWZnYzs0BpiKe92TrfDmRlofgfXv
NjnxIAJQhvIRDOXNv46HY8jSD7ikhpaWpNeka+j6WOAZ+JXDwYX3s7ezOjxVLEynfi4SmNObVBDz
I1Gj4YvDVzdh7WELGf/KWpIfvWWcUK5Ly4qOG/bEczkGl7YJrD/0NDPLU5fr2bthScxfFsw83hVz
hhpuXpQUkuQEqNiuyj+Q++D3l2X9nWd9/2S43fyZQjaGpqnVypNWdweNyt2Z48yi+8INS6d0PXNV
g8KzZDuFaSndd0LHz8CZ5uHq91hIPz407tahmjjCgMVQAqNbEMIoPUsKHt9h4c6/O8Kv/hBROd+q
bEjAyrd9Np2xpDkSvtuLqiBhkCD5947+VwUJOaUlsRPRjPkSLLKB9eBopwipnCu2xTrgfNO4PB7q
3qxSLoF+jHgjEL/NybXk2Ri1rlbwnEOHrMvMOezR3qRQWB3Bt3dD0e0BXIaUIA+89QcUS4+/GOiA
cAACdnISB8ufVEQh1mPzW89jPiCCemi7gw9Qpad1qMSPhS18uwgHUfo3j5ZaODnDdNHyJLlaQRn9
7/Es3t+nKiBgRRviAYIQW+iFJim2meBWQmwSMzwr7Tq4Am/GcqvT6nciXvpXTWY9crx5/VcadObF
07P64EbdWUBEAfcBY432w1a5BU/vqsZ7Jg9RYvDCDnv5cJF2c3JEOn8IoqBFHt2uDoLufFWOTnJC
6upcfFtoS19iuoSwRh4iYZheIjSIvi2G19OAASXxeJZ3Q1GhQm8YVgd52fqrthWvy1kQKu70+Nb3
RXydfHP80Dtd8fbDBriOEhVVJKe7Dn1aWpNtVRqhpjY41dGCAw1KSjjGdEf1jrsUl+xHadkB5kXX
mSfcelRxmSmMUoQNTsRrS49z59YgU352piD44Tr4wk2YwT91Cq6AmtTRs2hvUoFjK40unhJUJtbh
WzIizFfjIsTOqzhNo4Zwa6ObZ6OJxoPKzs5dC64U1INqEXAIbE7wxcsSrMtHHOCsSYc31jVfiwiJ
qjrqqiejtIrb4/Wytx8onZL9ueBaqL2sh2aNVEncXBYhfjbNS+k5yrXTrK4I/tBGM8rylCVZe3D0
qEFsLl20wP8v6ObSTWc8TztENEMZWVPJM7CYv0Lndm91lXvPuWUl1yD3DDwfMLf87fGAd2NTzwJ4
AXoanOR6wFiazcOEOV9oysF6XSp9OJEZYs7ZW8m5w2YyDyrjZZTuEWpvbxFRO1ZquAi2AjZZBw7m
qvK1FG9ufVhizOzK+Rcot/GZ4+oIB7obimzt5zWp9JrWoShtFVWjVwVEAuPzUure13ryoCqPenQA
D9+LZAX0c3mbKMX+zaCYNGnD0ctDgHWYPPX4KQoJKjOTXnd9+4fjLQbhnWQPOOJmZ1QUBjNX57hB
IrR6nsuswxyqKL+0bafdrAauMpekRhugk788jrx3c1GMpONCeA++3CYBdlOBPqFwOOkWzQjNILOu
baf32EK5yXns5JycvNT/PrVJ3Z1M1VCfqK8dpKp7O5WWObwqjgVu7c345yjNVd0ET187C55HM0Gk
z66Sc1tUfxg+Utk0c4703O6eUJy7CmaiFAF5h277Uk1qllPczMRMIX1Kux8/o/pz6G69cxxARUG4
SNUx3K3EwlDGs0z6IOd4HeXHyuZ7+rOMrtyWv3uR0yzndvCaD7OLkMXBpO5dLHDzYHLR0uEO26xf
UU2IGHUYbtqT2TVnGz/Ki+zz+Mlx8u57NjT+H36Asd+p80ucsRdf1w5+wd6Bz+sRcXcl7EFWst6r
w5i3CeKjeehyyZ15PgMRScYsFDrVm6yyj6j+eztW3aBk72CpKe2v46WFSwdVI56TOcXZn4MlNFo3
uyYBvteP983e0CD98OinOsS23YTKOun1aY0LdROk5imofRcCf9Q/FW41X0S/2AeF2fuhcb4q9U76
ZlQXt7181+6MJYrjPJyk+BJ3/fiCKV8HnMZt35zQgcGgJKPOIpoj23ykUBJfgd3nYZk1403obHZQ
8tO17Cb7YH3cSwUovAf/0I9WN+b23Av6yqYYXJKxavjkmX0+tSd7xEH51PVi+TrT0ftLyEKe+2BM
r6nrjJ8n5fZu0se4lkLUB6fh/TnEj1ECqRyJcC63aEKM2jx7WHLOYS0tvtWVI/Jz4fT2kysoV52i
sul/icemig+Sht24VFhQGvYBG2wbvaNJ13+YsI+1JveH1LT0AvbAezc6lMJ5bc9hOTrW18creG9F
Qd/Aj0Cp/90h7QOaX3bZYr9oC6OAISjyq5cJ/f1sYaXxH0Jxq6GUxynAO2m9LxcxxvylfOYOaOPV
8dOFHdNif911R9ZT9/vSBKzBAubGVsj+zZHT98ngjDahhG3W+LPDcB/IccM2jvUnUGdHrYy9WVS3
FhAbMKHgNtdD61J3NKuiZbdUzsfE7+ozd3l19YdkeX48iXsj46HA6lBIzbv7aq5Sy9cEIyvcVKkS
wVlYWixtZZr2X4dCVAdQOvXL14msAomQNcPG4FW5/Wi2OceaV+P+7hpte508rf/Y+p15gIzcmz9w
L0rtXzHYt915w6yp8ZdNFqJpOp2ofLhYrdPqGjlzLo8ncG9A/w6lfsq/SsF4sA5VMhDKr3PjYz5E
2Q0B7+k/bGXeUTQhwfLDU9/k4JKr0IjxvUEuLJevQTX476MOTVFnktGfXgWxuRnq5vR4aDtrQzmM
KM0Vzi2283pocV+VOtd9GtJF+yuKKN3gzOphgQHhbI70o07vzkz+1NgGWcqjH1GZdbgIPSq/Bq8B
MLTtrzj1yk/Qo95meQafDzTZz0IY2T7Niu0C7AKztJOWKGPZTN1Jy6L63HZN9rtMNPkBlOlRR2Jn
LUJKoK5AJspO29bC0N/ziWiptSi7M+wv5+wmCWLK2aHYyF4oLjwKC9Qzuf02x1QjuzzOBz5YEZVd
iOdDf50rLhuwI0c9rL1LVtUxoVORq5Dtbl5MVpLD8ebQDQsRYTeLEtAPI9Ls6hSlSlOlUEYxmBOE
iQz0WyxK84zuSXGrxqo6i9Id/3i8VveGrnAJOsuUp9W29WTDMBeO1qWIsmvpR2MpovcceigT6fER
AHLnWvVokdKtpFUJJ3SzLXp8r9xyadIQq5TiZHltd82bEch1knYTwkRGdKnzYHl66wC5fQAHgDVC
bwAts/XuSEzaeL6eQ7jqsKg25didcsmB4GRpdvBEvd/3Fo10AGIw3ukEbz0ewPN7jZ6naVhKUZzS
vp0uQNawaqnh8gdGc6SRc7/xwe+pyirFPga5fadBDQYnNiCovyAS951ab3mBMqjd3jyByveKJWux
XjnT1hM45tItYLMnoRyEFZbYl6OQ1eOwg/fLwcG5NyDIqzzMUKq6V2sXFTJzlaHFIRm7BuwNarKg
zB8+HpDazeurlAhUhfH/YBWymtcDQnGUtuCUyLBCiOqz3gXZ1XVQm+p4G95y/reTF2vV576d/bcv
EC5xqotkQ6rltHmmQDX3ZIBrbMgNjJPLEIzX3urnv6slwy2iyueDtb+zIMmGFMlBdVDgHqxHiudS
1DsD8aKunMFQ1cW51Mf4OTDb+eYWkHgPPuD9FufxQKZH/9VQ2jCbGl/RDKgKlWTIfdZGtwa+LhKn
i3mO0s55oVllv1jpmB0kLXtBIahyhvGyR1psk0lMuUVmLqUMocpXFzMfvYvXY3FluKP2zjXj+nOK
rdlBYnF/bip08P8FVVP/r/RFNzswEgAg6IS60bluF/+VJpQ4d0MRf3m8XnfHR5qOuj87446PPORF
J6aG9Yov7vynYQhsM/xUq66pOWthj7H5taq9N1PHeAfCQmTLU4tG3HXzKW2khGqZFDLMHcgqdN3m
UCJGDhUpC6jvOf7bjxnikaLhIqAe8puv2IxLgGdWJcPMm9szqc5wsdGePAsv866PJ3TnAOBp91P+
j74Xd9H620WR1k/12Miwp3fzuiCwcOkiC65RlmWG8YQCjnaLDL16X1siOoi9c8TR3lPdMMowFEU2
6wZp9Wxsg0Vw34mv/RDMH2VrZ98eD3BncWKhDO0YVSZyjW05hKzJqLBvFeGYWEpYcUxvXO9NmKdz
e/Au2VmcYMboWaqDDd2BTToTpHk+1wGnp1/Rne/yaaEiqVcvpUO/r2iy/n9aORUHQXfGh8oBJTx1
jhpcuOsPOOvaQmkmFaEbyOCUVIUeorTeP2We6E+Pp1J9j/VlAY0bjjjsdMovSCusQ7lOHxmBgOnP
ikx/1wDCnW2IUl+o4pVhRuH/oLK0Gw/YJkgcwEdUP9bxZhAXjejIh+zZ8V/KQqbvkyJuslMt4/LP
NhjLg4D3C5IB0ptV6mw8mrcdp95PWiGNZQqNDnOUuJ2G17SXw8FNtBMFvTkFMFJCQGhirIeVJEtu
ma02hixYeM3AIF7wJ6oODuWdyaNoA48RKA6rclswWiarHw1u1XBKLGGRUYvpFok4/651Y/q6GF10
UAXYGZbiSSmRCOpT3LPrYdWOqFOaumMY1LZ+a7xJuyTHBPv7PUbaSiMCUXIVZwtVXnwzbwN3GcPB
6dNPcTdEL1o3p5zMwqCcPHqf0DLpDr7Y3lwiPkGagoSTelquh5am2ki+4oxgmkr/TxR/i3MMOeYp
mRHcziZ5pHVzv6d5gVF3VNKccAO2UM0+aCF9NeWED1SJQ06Sti+dzYKhensE4935avRXQFJRb4OR
uUX9zGMWLP1QseSrqX1pM8u45QlPkscnx86A2MXAwZSqM2PaLPnFybTONxiQjIrik5l1wyWza8wF
kyNJ1ftI4EXAWsOmByZjb88MmlWJN2Q1uYivdx/tXne+BWW5mKdUtEFyMKx7UqVi9Pz8SkgkcwRv
bk9EtqYU0zwZjmlST6iAVwqjv6S+d0LTgufVQpflaYzLebo55DTI/cypg25UlenVuSznMT+5/YiF
w7BoTn/Og6H+xewm/6vmevG7ObGnHySuAUi9FgG0p5kas3UqhGkt4eMvdL+vYAFSYUAnQwlmbGEi
E9SG3IrTIUxjCjanRJb1Lzl9o/hUIlVyQl8dHlYgDjbWvfABOTnlIWgF6LKy5je3V8CR25dJM4QT
HK/vMlo0BI8nZzEuzTjOwy0dhXu1lb/utRNQz905sv7RvK5xT0ue2MHBGXa/0VHc5vGoMBzIq2+9
umUSF72gxYDseJ++9jyVL3Nc4Fw15cNrnnrxwYWzF4+mNLAReuMsWrU7/5U529i850Y2kH2Vjnku
kcS9BC0U3ATw5GnEOevgUrjf7dS58SLnWcIJc3ej9hN9laImsUy9tAXs0LEFq/woXd6Los5KWrY0
3Tmr16PCABScNmjMcKqy4FZjgXulJ9UdrNj7na4kiZSWITc2CckmO5iWzqhj7GXD2PTTC4W37rMd
tflJZxO+GR6iQpGkouNFJ3gLIshm0OxF0JL/YyyG43Qpfi89zFjJyeWTG9Xx/x5vxr2hIVKB9BIy
l0oUfT2BDWprkJlIjBtb+ucOPfLsZFY1imWWW/x4eyyVibD8qN5Ts1nH6rVmZMEgVDX3dvLK9Rdd
qD7l7ydtro78pXYOGRYEyapybSJT2Iyrk7LiJIh5vemj/qTJwDtFZlKfGlBIz+3syLPJO/3yeIBq
AOusFSkTkmNUqLkYQJavBxgZrQwGXZ3Rsh1BK6bJ1zIXo/IR8L/OaIQ9N9HkXft5Mn59HFn9zdvI
CDYDLALpR9d3s0JlEAfLUvAZx3bUG/TVEB7hAhD+n4/j7C0X0mN0uhQpDXm89Qj9wvPGVBAHnc0s
LGkknorGb97bopEHk7l3YKEyRBwuVx6nm1B0EGahzRGyZmy+U4aO3LXJUDHI/O7VzcX02+OR7Xw7
cklUYlS6ZwEgXI9skXmKWax6nVaOgVEoEM0xDZr2NC2L8TQP+BEnyRicJms5ElnbWasq8+LdwbZn
xJucD3iGYZZdTiIRLzksSatALSIFLGCZg/YrPcLqJL1G3h4PeOdTrqJu5tcq4nlZBJUGC+kfDAqL
+dWIY3lugvFIzmV/gKr+rJRCWTbruWXQWqvPHGpSj9OrtN0ZLEtNUWPkDsYzXbz6uXFkbaH+0s2W
UF0FNIqV3razBUp6US0R5DDQ/ct1dKHjLv4QieXtgGyuVFqRKqXiibBVIi2k0NGNTbnmgvjXoci8
L8XiRdfOGs2j/tbPR+92RBT4qHaTQGGFqKb5X1c40gXRMtRAZNzeLz86STE+T3Fkgx1O6w+GlNpf
w9wNodl7/Qsy0PUXS+TDcuZwyL+k05J8NiP3rzixozM5Rv8PbVYKr4Uzh4Efj0eNxr39BImO1xk9
b9y9NkXQKBboEjbcmWayKGEptMCLDlxlDb4oRLi5vsRjtVxo6WsHV+j9aqO6zGGocxDT9NiuNuEO
zpB7HvJVepPOp9bPm8//j7Tz2pEbydb1ExGgZ/CWycwsI6+S6xtCvbs76H3QPf3+qIt9lCyiiNIB
ZhoNaEaRwXDL/EYvdZjA1OqTD8YyC+NewfSRBwM/P1FUYnQSN6qhWD9sAQzDYIEWman79rPrXpa+
8R9J7PNgGaLo1ZcjQ60UPlScaSBtFardXo/caeK2SmethL/rDXWotaP73tGqpguyznJffV0w4poi
ggsBF7PVHde1pkWzRfGg9s4YJonvXgp8M4LEbI27l2+m51uHoWipot0DmpzNs9nnkTJTu2TrFL1n
X3pzyf7NtFK8x6S3O9cDPD+nhwOq69kROv/5m8PI3FH05aibUDa5HdmSVtMgeDuFc71MJz+bojdV
wRsXRyMKB2VWt59fnurugDgs0bWm2AVa9XZAgtZm9pM1ShZe8+jB3gvyKq1ORTuZlzgBF/zyeOsr
dnuFCHRDaV7Rn1iT182nlbah7KjmJi5wQH9IWmt88A0keGbsnkIUmvLPFTiOazXUS2Av7c9Xj257
aynd4gfQHNnksNLMG0U7kMzPtWkpy4R6bWAVgtvLb/tTBrXjArusfJsmqj8bZnMEWNs5oTc/YPvS
jo1mFKPXh31D/47OCPCRvhjedM50xHF6/vwQTtC14veCZaXxfLuyk5F5fuGXKsTpugtRgUTYVPRH
IIS9CXHbcSApIqILu92w4+i49dCosHHp1kczF80cKUzgsfs5vbx4O1t1bXrSlSBQWdXVbyeU8Ie1
YSsV6hk2qZFhZ0E5ok9Yz4V+irVDGam9qcEiJGRgZkR7m4BsKNupdmpdhU4myzuhcZHGfbW8rQFp
HkztuSI1tRXyDTR1aQHiRLXZF32mVQpcCQVFyic6cRft6yCbNe9vuln+EuD/61xwWp7L62xC8T/H
6O68FypGsiNKFOpCACUMdaa4XH3O5sh9U0vC/4MreG9LUTCgK8yjSmF8/WK/vf802ygB5b1CyRik
ZUsyEBSVWR28YjuFEuJCXMGg+AMCpDZ9O8w0COk3hslCV3V3absKPzqNGm7dppjxliVOcGatLtjj
TBxZXZwEOrkPkLTag2XZ2XH8EGIHKmxkANsnp5kh3ioU6sJK5T6uqsniBCi2uSdyWQuGovRend3w
vLl8XcJ/YtVtHzXG+a0uUjmGU5yoe08MVCiHgTKbE2kHc9u5iKEKgDjnliBR3DY49KIChjePQ1i6
Fo4DsMLul7RIQyxF+hAyYQKLQB/umiVeQqtIjrCWO4eLyjblN8Ze07jNhlcu5NmkEvRXEqk/iNz6
u8Bk5+vQHp6tnU1L/gbskcNF7XcLwG5QZCn1JEKzuayts+qz+mmJmuRABmB3PkDLKSvjk0QP+HbP
Ok1uxySjQ9hOxfKQLuN4jvPEoEyq1QcrtxOdUJxB/AKGC7DubejVeH5Z0HMZQseNiy9q6cqHPPKt
T4aZmcFQY0FVJsYUFL39+jIUsG5qJxSiDMB1/ub8exo7Coz5EBZ5Y4SQbAhxmyo9z3FvHcQJu5fA
quJH9w0ADxf+7QdFyhiNJYdeX9v7zUU3CnktyrQ6T1n8ua+c7MPgmP0bM+mLcHCXLFC+qK6KZOjg
a+/dAUTTUMphJ4OO3FxGhhKiEVU+htWMIF6QLx0dJt3Ip29xaQORjmc0w15+6HbyB/DPMIbhTdLN
tTZnw55NN19S2rh+0yf0+AcLAyrXexQzdjoTTmMnLUIj6uVB947JurC0vlFXJVO+/d4z5EFlOorv
TdoU5O6kfbLmKv3w8ih7x4SAet1ARGBwx29H8VIrcewWtzurl845ioYqQLGueTeZ1RGnfPcrsm94
R6gUAWW4HcqXc6pw8BpCHI3RTDQiSLWJGqozGpD/9lMxfMl1+yjn35sfDxbYCXaM4PG6HdQuDEe5
VTWGSHFMbErVVaGuXPMdXhZHVgt7E6SyrbM717bCtlOXt0tkjvHMlWMMsbh3nT5JPjUIRjtfrGl9
pWSFOK5jjvlRL2jvTIA3pQ7AlcbrsQktx2W27R5phbDWkaOXxO5hPXTqohJjPIMiPNLkOBpvE7ZH
RjRZdcp4Sd2nod4M8Tlv2uqiz764yME6EhHbW0X4K2AH+ce6nLeruCoIDWquhlADtfYNaz0csVVk
qzMu4MlBW+RorM02tSYI/xltMNowo3keZ8d/KGcKYNUcH6Hyd4eiOkwzGV0qmoa305K91SAKScvf
qgvnS6/65BQPhX6eNPf1rD16umA06LOtqfS2EpENvjZWJnuz0lr/iqKduJotfX+f43F5+UrZu7hQ
wMEIcUW70Um4nRUPkCgdcxhCqFO2cS75nsPKOzi6lfc2IUkAux1BJuDWm6srzhJq67YgKrXd5KOt
5S5tBCd9qD1bdsgHL0fne2+5VpNW2I+krFCcbicmMIVHokYCkSVCu+iusi9Nie9aNCnzoOCxO9SK
aMCcdYcaQi9XluYSEejqc3nOMAd9YmMoSgFOejDU3nKBx6UnQlWUhHHzGdtImPj9JkPoR0N3X5LS
fda0Q2+C3QmBHnd5RmnzbuFJaHItIkY4KKzgTVxTt8Doyh1UFSRVnR28aXv3MLiy/xtrs069VVki
9YAsoC+QXyEviUdPm8TPPofKqemxF6aQyf5g19OgQ1cBQDllzjVI/C0Vy9O6b1TKFUVFo/q3MFo4
W7IX0UFUsPsdfxFvVyozAJvbYZw8T1U5sunhNKfpvZFL+0FIm0OsoqUJXz7Ju4PBvFrRGSvqePOs
tIC6KjnX5ARDZ0eBVTvxw9y32ny1DW754A9GAwGAHCWqRNhv307NQLJKH7L0F/CkeudGI2Ygk/Ug
80O1rr158e3MNYNEzm275SMj9QwNVl3oSp3Kj5i9OwxAvsRDpR0AjfdSA3IPUkhSdCweNuGHuzSt
WyZ8wRo3q2/ahJaAV5nZqnidnIe+14Ny0vLTMuXfXv6Yxt7tuIbIuDJi1s6pu/2a0vW1rBjJstDP
Xh7dEUPvypmra6oGpN2V5lzzwp4+NPWQfEcxKXpszTRZTqh0Z+cqrrqrm0rrLz1Shfsmd+PyX2UN
838v/8jddVhbAtzhiINsNzO643Vq+Lx/vj46n9N4BE+ba/Iff0iPvEr2PgdNGWAVQCTXFsTt53BK
qKiNx6NURj6itNwPF7ebUfU3ATtg3HVEo96b2oplIdIFigDI9Ha8vjQSnpKJpz2b0Q8r3fSbvWqf
V734kyQQDiE9szX3ROXydiiObkxvkqm5TYoDA55P7TdUtAf3lNS4h5xev2brUyEQAILQtU2/ZAW5
o50N9pUjRdj7nQxLM0E+sEDn4OWh9tYM3NuadwFTAWF6O7Fh8GJpjxSHh7VjL028qqfSnsmkZYaB
tj/kf7084N6iUdCkagBAi4Rhc98NdtMLK0kVemW2di9zExHocogXDmkfHTxSe88uYnPoGlA4WFOT
28mRzHvVbDNWNdjDpyxzey0kHRy8g/XaGWdtsUIWg7RIK2rzLnlmN5cFArWhM1rxvVPMzTmPmuLH
y19udxRAAOBuyLOetVbh8BQDBsMKRcCuqy5DFZv3MjFH//r/N85mr1PBAYvIExiCxZqCWUw1WK04
OSh4PveJoOWP8NmvPU4Hd5tvYI+YDAaGr2FtWvH84ObVZARVnXMtDU2efdf7pPo5zlWr7qwqN0hG
VAy/3gZG8hMbK9M667PT3Ru61OKwoMmsgjLJPa430+v/akvD0ALdipPPfVLmZhjVJcWF1kDC9N3Q
ZuV6Dc7WEAxRaS0nBXM2o8yQ2veiI5U4t1W2PLVz3kYHoeDOgVsJfujCkJBQNduUeEangyg5YNkb
lajiiiKZP7eVFHf66CeB1Rnd5fWrSTjIvvkFIN82ELKotP0aBYiwcyL/42y19j2oC+sobt+JB6nM
QaUlkqYeti08mF1TpEO9vvRtC/PMBOZPsKaHWHH0F60mkOnJig526s5dstIoaDtTfyS92zwAC/3E
xer5ljoiHndjOmWfurowAggB9sGy7R2+VbiSdg8SCASht1eJyimqYHbds1szh/pXkX2z6AYfhDJ7
o6wtgFWIc6XvrZvntwC31szB1GRJq67Rte9AScc0GCmOhy/vib064xq10LBf1bt5Q2/Hcfw+sztT
9GhOJ0oPXTHJD0OOefmpLBP3f5puhPzStJ0c345t2X/Go33+O3VdzTjbRoa9ycu/Z2/aRG9UdfA2
gniwORPG1FZLFNO1i+x0DhZpmHedMvXXFx1cxN8Aaq1ECghxt5NuRn3SowUTdEEx7AcGQ+UderLZ
FETYiB7E2XvHYV1H0geqYlCJb8fKJpnlnaV1odFpnvHWlJ4HcHFItepko2ObffJTTeQBSn/T3y9/
y/Vv3vSaXaqnXDA0U3gnNjHp3OVtZ2BkG8aOjrHI3OfY7ODJ897wpXuChj4fLN7eIaQFCqPWox0K
N/52qrGjCVvTBiKI3MwCzdM8dJQR8q9dsz7Yt7tzI7Zc2foU4rYKCzm21nY2On1Y9XZ/7425e4qc
eLgObq3unVXw+OVvuTs1QLvIvoEVoMtxO7WWgjBBLfeL3Q3RY1xpFq45vvFgxcZRf2NvarSUV/9z
6kcAaG6HGhAm6gdkAkJvsuO7mZzwFNdecvG6qP+qMf5ByLJ7BYDQQtyb4A8S7/qDfrtqCPxGJE2h
PBT0d07FoIQf9NP0WE/lIoOx6KYv5WLP/+N4GPMFlprSKw1a+dG1svLotOx9599/y+ZkUp/rbEkd
Phz4NojhQ9VEIdhB/ySWf/BkcN8BcPkllLCFfsSxNTTuAGsGiTaFCVhpANtMu0vTTvb55d2zd6sh
/rsewtXxa/vSG/qYoopGBhzPWnbKTHN8Q+lV//7yKHtddPDRq/oCBZUVCLVZSGG33aRNXJ5t5bnn
dDTmi5WIJgTmD7nYFeMbx0qrN3EJIK9rnJkbNlJTf2kz5cFdoNRyBeJdPZWR49z3ZM0HUfgvkPv2
SgIfCzAYlU/2+OaZNlFLLJEVU1DI2v7fakm9t7Y+z9O15Bxf67rDDLnIvG64mmbWPgHD97/HtpVd
MN1Nfya1ZRQnZxZdHbb1WB6s0t7eo3VJEmmwSKSSt5+vrNEHMqh8g0BtveTUjJG4A5rp/NVBqz24
T/YO+SoIQJrASwc88nasNlXoPEyzCpNhnD5nGJKcShFF2IFpS9Akif3x5b2xMzfYTICG0R+A9/bs
jPOsLoRrVG+HVlbnvpk42k5KCBca1iSygztlTXM264wwNGxu7hR6tFuqqY2c6zgIqEZpJOzAVWin
l/boBWNTl28B9ZqXJNN/mNPYHeQSu/NcFdwouvO+b/E4XldBD81hH1GTHEPbTNOryADW64M4Ulj4
FYs8myRgQ17X1XBi2w4uISbNltFwqksruWtmZQalV6vATzEx1nrhnYyoGz9KjftEGxOcBaz51bZN
jEy/ElIv2m4QrrZ3dwTKKe7pcynlG0iMuT+V6spzh8DFwY7dny7pGeiM1XRi67DribQBck/JdVgM
7b1TSucTDC/x4I+Yo+hxmwXLMnthgVB84FmzdxZpdPQ87ARThFH/9xu2oFYBO4PcA7H42uza75NO
A9rFUuQzagblwzgl/scuLbLXB/wEojSiOTYkNduz2kV+rBUFUJGhG8YAPQ3zMYLKdDDKzo2w8hZo
T1E4WC1abm8EiQRrn7uMYuDZ8CTjtEpPjd1775Zx1s9RTFXmYEV3XiWYvWsLlTrW2tu/HVHXk05F
nc7HtON5CQq/1avAjH3739ffPb+PswloIATGWCVTd6TbUV/GqYjOTQ3KZizG5kDja3dKJogerErI
BLcRaB0v+bB4iqVqqvFsoL13sZvkqLq5twtRV0U7hq2IhcimmORaaFPWKUulbOJ6aUZrsGtPZzW3
TRhz1d4Vs3vEtNq72YhzKdDBkkb0YTOocCu0ONWv6m1VPugzctW9g9UYFgnxwe29uxXXIgHQ5tWJ
ffNKGwsQib6nR+VWKJ2XGCUbwSK43gDH5aEsu+7zH+yQVYDIgmwCmn+zE0eBSrSciI+sxoJeni50
SjVPfnG7PLv+yVDEYmQooIy3fCtjXoQ2r/03o8syWL1zFTYiFWevso5o2XsrhkEVOur8l7L0+kj+
FlfbLTrxhrZeVk3VfFXNIv/CsMN5M5ZG9PTyrPb2/Rq6rwxw5Ee27y1Je++pcW0d6al4giCdf9VQ
JjjYF7sTouRFGov0G0n67YR6XYNH0vPgUbHTLnh3NMGYtfXdWOpHr83eFoQ6AlAZJQfUGTc7QuJB
MhmCd7zOlbygpK7d5W2aPS2Wai+IcEUHF8fekQYSwKRWhRo+4+3UWojmEi8CkgF7asJa6f77WE5T
IChxnJPYijHkXaK/X161ve/Jetm/GE8ELJtz5qZaXU84oIT4pIknSPwj3t+qfoxG9NJfHmovIPtt
qG0GQrKcNVlNiVUXcTFdkjjR3uWVp9WBi2vmyeud4u3klUAhue788OXB9xaTdxOhUmIHyuObfbPU
aWLXGkWd1RnoLenl+9xp9VA35+VtYsZHFut7hwEAF0SCtbQDhP12LU3cENF8HUF+2zpMINuZLlqn
v160CQ81UrmVOMZNuY3++mggah+1PlQyNu4NUWNZkx2KNu3tS/bjKjxH3QHY2O1c4giFJpy92JeL
msHjzPMZi+oy6FvHvFiZhWdHjPD0y+u1+wEBqdEVAeIEQPZ20MwszFR21ASB6WXXusdkAtbHUSNt
bxSuYLY99UcQHptdESHvYblJThNjKmogA7jHzH1UnF+ey94ZI1xFkQSAOWnxujd/u4SnBYKtM7Dx
UxQ4vyVpOQXwdmYZeJn7JwHVykGDBsrLYjwDwSKtnyuX4oVXC+eSOlUBeUYcEbv2ThOxKDejBUeZ
AOR2RqthexorHQ6Q1vfoqNtrIOAU17rIinvPq+TB6d2rDxEFgI5ZgQmMuXnHaN3pgCygR+KKDB4z
WfxrriXuG1tb4vMYgdS3ltq5NEuqBX3mlnjR2dF1Mecjm/i9mdNVXs07EICjXXQ7834cRjP3RvI6
21H/WHaengpgLXibYTJhyNT+8fq9g1rZ6hOCgTHA/9vx9LmOosIdGC+vtLcE4NkpakTySaRwAF4e
au8w0AVdYRLIIzy3Sk+iWfgj1LV4av2L9Lvsy4hJ6h8EP0hMEWUhC0gguZmQkeexZUywnerI1ILS
SGU4a4LoVfP/gK4G+wa6GjtnlTbZ3CFVO8ag7FDvSt0+ClInqjBzj4anfB7ng1bJzh1Jv4AeORAd
RDq3FfYu6yiF+atQWOy4FyvtymDO6/GCBloLdcETJ1qwRyKEe4Mid0j6hCb/ajpwuzeGSCW5MPoR
ZQUt/ctMhXVXtYM6iUxqf7vG0l39SFmvR9nTvgNRSBebrH/bMa+BOYxoYY/hoCUwtZDQOlVpXZ9I
436+cj9SKFrJjSsbx16peLfTcwcM0ZMkps4W591p7kAEVHRXP708yrMDvY7C08aqgUGi7XM7Spw1
JbX6nFEGNT64QGjelbiAXIgMP8WD9mr58nU4pBZgl7NZyN1uh5O5NbZDndRhFQtx1XTVhtpgpxiv
Gtb15Zk9e3YgzBAXoC/F7cGDsI1BZnqVUdXXYeNP6sH2iyXs5rR4REjrKCpf/6qbMhRDEfjTkkRz
d7WJuZ2V3svCK2TdgGcYV5uI2gm81s2QctX8uwgob4AuS3NfU+UORn96tUzfOjwJIfqmkMUoLt4O
X6DcVSUdKJ8CLaMzVbLmU12s3FHisLAtG9pc7XwUoex9XoO26ArU5x3YzrnWWxzDCtmEq5XRqYNr
fqk0bDutJJKX168k9VlyEUajY7h5dNyF97ZzrDr0Fm+5dqnJxeISqdetNx88As/uFD4lkQMyklTH
V7+d20+5WlO5oDjqUPel3lJEi7ofJs3QKZC1rX2srN75CP8i/vLyDJ+9Peuwv4ABawoJBPZ22Iaf
0o7SqMPJqBAimHnwEln1f/Ad12mZULTRo9me9dGZJHkv+6Qc+vJqOZoZikQYQT9K//wHE1rRAFxh
lEe3frVy9jTfjpiQqXv1J6vgkFJKcxESenmcvV1IsQmwJi8dkuib62vsKXPHuV2j3ZUUZ9Gk/03K
B4Ey+EcNpL2RVhYeenxMiDr+7RIhIexr1EiqkJdF3AnQKUGT+vqbIXXq174x7AYaVawRCIcVHXo7
lOTN00aPsohTJ2NQDaN+FcvEQ9rZ+f3L32/n+qcHAqGdTQEZZsunZAskA/rkZSgrVzVBN+d6+tYk
wLvP0BtOTrUn6h+vH5LGANAuyoPPu/F4v1kJE8TetBuTc4KFUpB20xIY+GJfSyGOWuJ7R/r38TZh
wpRHLOaA86ejDB7rutdO6WTO90JFFnoMcXytm+xIw2jdDdsXgToGm9/gxXvmQFLyXDud3pShqZXl
mYK4fsoppzxOk3BXge0iGHPdI8oU8mRNrnlw/J7PGdboag9CAgnV3dvM2Uuc1q1brrESJbH7XC5W
OPYwPAaZ95/1bGzuPZPz8vLCPj8hK1WVIgNJMqy5rbidb4JTaQZUGPinRSei1B4mMonARAbi1TcZ
W5b/UNBAQ4nhbk+IqojP2NC0VfPJ+doN0xxMTlR8LlqvPjghv0Tsb5cSoU+YJDTuwFXAOr4dK3Xc
XFuYGfjLpU+wkuhEGpRalf3Ip7KC/4cR8KnpCtmf1GR0bwGX8+JmEM1MHiyZ/HCjDOUEYQOEPbj9
nj8bpNXEhtwWEF3E9vTipd4Ume3yGTQr/ZxSnjvpWKl8eXldn98R9JqAQyBcTZEAyajbD4AfZJ/H
gugm1U0o4YnmBNIb/CeV1d/NsRcH/cO9STEgmTq1AkDS6zb7rVywzG5rN9Q4Q+H29qWF7d2812Ph
HmkX7k1rpcvC7ESp5Fl9cxrscmHjNFCNG3TF+jjPAlClMiiB+L7rlHZU0/8VcW53Emk8GtzAgdi6
m12LapNO0Y1dK9JY3k9yqt755INPvQbNBk/G2n7y5gimIApZ3dtI+epH5vpdGGV+9S0thfvY9VI8
6kNJKmf5zXhfN7GNSW4qP+W1kdC3ag5hN+v2fvaj8cVdq7JIOGxpHl5ErmzZSQvZti+9QPMz/WOz
mPmDhafmO9/r9TelM1vfZ0PzD7LKvRUCp7Bi0Aj8UG+93QkzqlqTGCzC6t7+T03Sf+cvTXlOhP21
BeR7VE7cGw5wERxbWo0rSvl2OKtM/Ehvky6cMSD6p9Sc6U5hboHOgyUCVdhHVZ2d+/KXVJnHZUkA
s63lJ6Vrl/2gtYhwmMO7uG+NgLKpfV+L8UhLeOc9YKg1wyP6J+/anCndjns9wwMH3Gk7LBfRqPpc
6uQHD7LhAOdWJ8JOJslBSf953Qo1L/wzeInQMKNitLk72wpH2TaDALBgmIriVdqBaDeisQ3SXEZf
Yq2eP1W6qsJ0jKIGW0u/mx4daxZ10NoyP5JOf/4q83NQi16bu+sDsal3ll2Ui64y21AflfqeKhvV
dFFMb1pjjC8pXbYfsTdV+aUyx+TTXGbq8vJNunOWeKu4QXUqrrTZ1h3429Xmd0sE37rrwlbO2fca
Y43Ai5P4vvE0eRJJujzNtRrv6so7aj7s7DVQuUBM17Xgid4kGPAGHaOfVBfWQvPCxh3lB1OX8SPg
hfzjy5PcHYqOG/3stVi5xfD0EKJpoVQIvpRYFReLtAMFdO9UJEC7Xx5q58RS9lnVZcRaHd12SStl
QM1HdCNUOr4z10Vrx56n2QHeafRzce7M+Cjt3TlJvw0Jgup2CUVqYbuElCcWyR6N0haA4INhlsZ/
0nG101gjHuHY6fTp5YnufdP/N1HACbejNp47p5oWtaEUyxJKt6VJ1M/LGyezjq6K3W+6HliawL+0
rm6HcrBISSTKm2Gb+9Vd4qv8zTLUGj7Uc6KdoniMkoMoZu9UYCNCcZu8lAtqM7k6dmt9SVAsjU2V
BFFVVvf+kPybmEn7Afrz/OB1jv8OBYQjZs9OpEH1Aigp8h9wka1NlIy+QddZSduGkcrcq54V7Qk9
rdcnjjDSKMqs4KC1tb65e+emUJZL5h1Kvf5Zlfny1jKMCKrm3J9fvUvw6qN1StHLBN+3mU/X1dUi
BzIrN8JPEiG+JhxHnCHQuD1CAe3cpMRCTIveHnTkbQ/fng0T6oTBAbAs1Z0mI20eWwX1Dy0grXsQ
iGd9jYexfCjtMnuTKmB2L8/1ORZqbVkxPjUvkmRugNt9ughv8MpfWAUFQQoq3T/DQGGv0Sr72lrU
bozYFWdJWBSUvetfid2PbAt3jgpUSrJYYhN+wzMlsVSfpz7BqN0uxvzipvb4fmx88MnTOSn8/O7l
Ge/s1l+FTIjmHBUQkrcTRvy8m6KMOwfhivgxr9z4y6C65GCUncPIKJC0SOEccu/NQ5ErI/aIRJgT
hsE/Bj1zA98qmre+V9ePGTYHnwhlaoLB5eji2dtSRHpwzbkMULvaRnuTmOOx1akLSMO5i9tahGVK
a0km6XjXJZ1Gj80ww2mxqosnpvzry593bzGhGdPcWvtr1DRvP6+ZZnlU25QJUsNauHK87w1x8gXZ
2v90LTYP7rydC30lu3PfgV0kut0sJsgeOy4TLoWFbTMFVVd2D2aZJe8WGgEHR+X5ktKFZxQ6MCbR
2JYYWwm/TYcGBTZ/jOaPsetEpwLjjAAUn3NFqL0OZRJhkxrxQ17+ps/h0MTSgJeogSAUBAx1s6ZN
JDsVy7oLPUdi65fFTnI2ldZy0eL6nQf6bNp33jI651y0Qpxnr8svHflNdsmq2A70vmnTIFWZZwaT
FXfhYI/9z4MfuX7r2wwH9C/lCmzPKSISI92uvHBlWiUjqqHtJOdHc1lfIpVVgeqnEvEr0b9Z3E+0
+EMfcmYc6JPr3CVWe0SgfR5Z8DMgALH7KBHQHbn9GchKuLWUCumrynLve234ITuMu+bBzi8Gmqfn
NFqOyqfPNz007ZUusmpTwcRZ//y3gFQuZpXIqIPihP9MetaWaTCCHOlM/QpyHRFIv2/n9PryB3++
9wmAbdp2wHzopG3TOkBmnpUrEm+F38iJZqQ8TYMbve/S3DmoJTy3DHA9claSi1Xem+bIZm3VzJHw
C2SoIq238S1qomIJusjyzcCo4/GhT5Agv+IG2ZBRj2BjTkPpTn8vrTZYZ99KEXbRF0e8Fapti5MG
rvHHaLb4UGhiFl9db3S9cPGb6IzfsOyDrtS799WQi6Nc8flCsUAOXw0libXduXnagftWUZ6yM1VK
VmQz7AmolPafrOIcvuRQPL16jchTiCOoe61ah5vbELNk/nova0MvtaWLDmbtf1yQOnxqnZFvdzDY
8xsKJBtpIr0dbl/+5XYb1lmaOnPrYWye61XzNjOtyPkxZiOW9WhoFOIdUBhnDDQsePtQyzXMJp1C
pdHFo5meXvJxlaae27z+ZtJX7IKqcs04EHoVv5VFQuVcDXFELUVb3lmqGDBc8Gv/S1ND4w4orWG7
EI3C+wDoMX5a1FKbge4hOX+JUid+70VCvRmFpsuwqgiKgiaP2yXMcssrT8AKu+oM9MjBsDgC8Hca
NeU4GJbj9Hc3wP+aT1M9zsllicu0DiQMWvlQZLmygqxCrvzk55MOMwxBOP8RSxeZ4o+dpMOl1xqh
HgfCvPh7CwgUrwKzl+a5aX00by2pRx+sKTPqO2TKsMEojbz1qJO54q+lRgXp1ZkWyAjKMECwKWDR
l7hdIVCnZmy61LOll/iBxIr95AyyQDbZ98/5HHuvDmWhIKEg/AslsdIYbsfDI8U1OjDf4ULt8Xtn
N/W5R3npQzmiJf/y7nt+tMhSyVYRUiILIDe+HQrlf9lA82xCc2yKaySM+NGbDZBXXjY/wkA5SsV/
9b5u3xsafOwqbr/1udnWfax+tgBEAeudIwcD09lsl29mqhJ1zfg/vCktK/q7Q4FXhoSxkfyQz5Vd
nCqKNsvJcyM/+lKJafzCe51UQUZXOHq029b4p6qbtgl4YZpvqrfTD8lUUUeJE7mId0g9k/I3gxzv
Cy1FP46Uy5xObeY2etCbiR8ja+c7X73Okt8drLWfGqMto8BxC6c+FzKfZLBAmPnaxoWqTiBl6v8p
MSn9rKel9qMfgM0hKjGKr3GH1E3QJrK7p6ObL2FSqvajTDX9XwDoCHfXfpQugTeXRO3ranwzla2+
ovzmPuRdZv47D5iUhK69JH8T5LX12ZiwdQnqHLfe90ssChomaeN9jIe8+4or0UJpXYu64lR3cMsf
i8wQXxZodvJd2cW6ExTs0/rzouIx/uBFlt2jcNClSx6aUi+dD1GBcvjJJ/bi4CEY8JALf/pq9bHT
nzSrGb5rbZF0kLTaZKYu5DaIcKIfRBkLd8osVCDMCuobUfYxz1anaduI1LsRoSY9UCXydYExUD+9
VFQpnpSWksOWOIX0Jzey5zRQUIEeF+VX4wc1LdpZSrpjB/t7+9yuUumEs3TPObswNzb7e+SYAREG
CTa5bf1g9H7+BrpI6p3amT84GGybpKyDeby3RDDQYcBL3h6mvodEMSvHwPNUz09TrryLiNQR8udZ
XXFtdqxWfbxMaynPsW6HoS1vN9D59JORlrF2LoWcHqk5RWdHcu8GrelPnyPpqEd3aDpEc3Nhj0Eu
dC09GaXRHMFdUfxYI9nfDzW/aP3OKyh71QbfAjaREDSTafZwnCiJ7Z48lWsD7T3Hb9EndxPn2yix
tbU7e+UCGg06CnJ0yuUOKZUUjdOymXogBqaGxXvdt/XXCbd3CxDVGAOukOUYh6bfZl7Q1apN7yKM
Gqhx1b1ungCa9NHH2kkz61x1ZhEH0ZRExjkrXHw2ur6QZyOO1Id26CT/6zxerxw/7wIxikpeQC8u
wwkHybkMlDN4/4160pRX3xqS/JxqvvGRm8Irz3k/+e9bs5v+KiJprwy5yEmuTSX7705S1x+Eavyf
g61xxOOo46OP0u2mU+xW9s+mHkB6Jk2n3kU5nPpAdpahntohW54is9Z+ZJV033moiukw1Vo5ngxH
olraFHX2RvN9dOiyvMQS3G7M6jGN42l4Y+tKfK/axp7xoGmL+y5eOnnKlrjRL3orph/0Avv7uZ1S
gCJZZDwpW/ROoKkKrcdMVu/pK1VpOMkFR7hGiCxC00JU1kmaXvoWQji7i/7a/JTVqfeAZQDhHbrS
9FeKKlIiwCaJinaPdra6kl8hwZnl8/Io86IER44FyslDdOcvzgO/0AQk8KB05UgItQVGQ3WuVeOl
kfYMWU1M6WeEmRwjHDKnITGLcWoMWq/N6jAaiviDLIlaPinRtH/FqY4KtMSE8AtNv1IEU2SOP0q0
JjVkaabyH13vFveuQrx4OWVaIb5PiWw1Ip7ufyk7jyY5kW4N/yIi8GYLRVV733IbQlJLeJMJmZhf
fx9mcWOm1KGObz0aoYI055zX5XUCLcL7wth2fdbNFN4VIdGvyWpM0c+Nf/zzIgciGzDh8L9OvVW1
iWm40au54AeQjn6RDYe126wAOlFm49NbOgM5BnOeTckaZPm9srrCTpYJaVFMWHFewdVxljJu/TUa
P/VtOL5pozHXFJr8cAfvDEDCKS3vpt2EXR8iJVonlgL1L2xFwzQO0dhXR9kaGEZJ3CCcI3Bj8NZN
zfqLTj7grxa2cqbLJvTWKtkaS/2ms+hkWoTL9uohZVlfAycntZT8dWNMyk7Oxs28Sk8kQRFW1UGX
gf+IgUv5rFBIetdezduLaaJ3LZ0cS3xIO79sT+yj/Ek6OvSauJPbVHEnTvrGc1UbXXm528+JLhd/
SXcBXhHPU9V0aSeAP5KiW7Vz2Y1L94UE3HGJRRAYp6KaSA7AqKb4US5ddtfPoWgIOxrML15nT0Hc
Ok7+qGYCllFA2O6BDUFvaGBZ8uAaXmMnfrE6v7Rsgil2FfKdeMGu5c4uQskSrXXznKNFtk84TTXX
tc5C7yawMtiS+eoO5iXZGK6XVFVdelWcd0FnJx6psjc7rPitNRab/brU1VOX7TO2pd6Wl4zMtAym
b+4PcZvVs06iBT7W4tiDoA6xXCJxeoRmd/4Mu/si0+Vwjzbf/z50cyDJXCPAJdnzqeQRMxulY0ey
qK7cyqkfcsPNKcsdNQSfxzq3T+1c0kR5eeskRenn6l5ldlM+2mT6imSsZN/gTQuqG9MaWeHBmPTy
FDi2DA9Y0IQTnq7D8hwAQXTJ5BQZZJ08bHpAVp8HW0tVNkdDdoWbVGFWbNejO8vmqt3c6qeR0bte
NlXerykRP4V5FCEGpgns5iA6ZLyyLQ6XBcdFgifmJyJPdzWvW9Z3OJPDMLExtRFXyFD9oTxV2dAX
cZ9vUXurcz//DWYRBCns/tU5Gq4avVPQrOb3ZQbyjfE0mb2DtGrnjbabWqhfK+e04cvuJ7uT4QOe
JG2WiCGb4OoEcwDv264axo2uN5lXhtFHOVtxc+ak2tDu3NosOwzL4WQ+DYUd3OvAcr/lZTSXF9sw
zP4DEmHVHEUfFe2xa4T5uNbetu7mld19MBd8E/KACuJRymZjWdvNcFnZXvvd3A1mEkJJ1aOr27A4
EWDbLVerXjoVG31rfdpaOXE020txpfH49EAt7P4LgztX4y7VzZ/qFXfzeN6CaSL2jWzoWTpslx5h
iji2bh0+amkRxbVYU+AdYBdvYdooCDtxU3oLDx+78LdclCehI4juE9vS1DFJL0ZzOduZ+bNyNzFc
baq1HknTcFRajb1/VWOxN5yGphlDXlIvnzLfp3o0pe1vj7Os8muDEpXKIuOz5CNm2pdBPjQvRmmY
Ixfi2H4vF93b8SAG8wei29KOs2ydbmXGMj/MCwZfV7hajT1yANcrj14RRRf+ojdUTATUyniE+ZMd
i3nSUTJISmTVISo5wJeT7nVUyAlP+WpYBMwvUe8zsmj9JvROEo+safrs9ut03xTWyl0pJQaPtcrM
4aq3Bm5MssXKr1SZLlnzVtT3SaBhMV/NpS7KxCUCfKA6sIwrylQPbRWrfmtOhO71JCOKUrnEia49
FvNeNbikPk/OJykFZ2G5qfINPm9ux4Zwm/xSqHK1497RTfeQiTErLvtN2+K2CjE5ed0ovcubHlil
iIFYtoisy67a+TCFdV9vVhvFvtNmKl3Z1jrJtdU4dAZTiLi32VYZ+3oFAVKz3adQ1LaRacc4rhe7
JU1xaIK+/WQ2VZXFteiH+9Gog+/KbfljlZ97OAItcr0fKiQTSZ5zUh2HMqqiGI5B9bk0quFxAJWc
Ul1bwXLEUHW2j9tUT1XC5ZTheh8MKEh6f7arhFZcHpshXxlC5HZhxjpcWB1y9ObbwRKbhtizWPON
ZS10irsmxU28QWRP5HQzO7fyIXsyDEt1SQ7J5vuSV5GDNNbMMIIfTD7Takp5Z4neDE5zKUt5NXgo
Kj6XZUklF1TK+zxWpjElxFkGX8KN6cfB9pqqjQMbA8zdZSu/xew9C2MmyWq+9QpXBfHG3wp1sGd+
EU220cRLbzsMPvLScNeD6kMg+HAwK5p3Aju5RyW/PMlbe7kP1FoR9JWZ/gONVXg52mo2ko6nvRFY
muN7nGPRMTqN0xzdymYn8vmn9TRsUUAEc+V5301m6FGcDTL7Ccegzalpa7N4DuphdNLBd4bPlRU0
bVy52rqJfL3xbVrL+VQwZcDkzKiNC5yJjPCgbO06Jw50cRPs7gmxWC3zF1MDj1jKRVEPzGF2EEtD
7WQ6WZFdLOFcmkklvEImgzd71QEvC+sN7YKxf5LcYv1aTn2oMydUR+xzuyen93KyQ1d7HWDVlGKL
bbTs39DKcnnUowt12mrIQOCq6Poi6fMqnK8dTqnqOtTV0rOhR8goGOkFV1sLTTteZyGzI/tSiqT1
p+3W7UY7O4Qqb9a4BHnhcg1cyXQD4tmcNFoNxUkhYFYoNATQOTwJ8oNzFeqL0jas4Gj1nf3Z6xgI
n/D+YSeIxTQf6ZHKOg2sLoxuipooxtjMmvm2cby6vmwsbqx4cEo8aDPwk2dzlNaUFmozvxO1Js1j
lttSnqpmFp8DcwFUopHIH7yZbioRBXZwsRfNA4Gq4wp4MJmkLOV+F15RXjvI1BmatiemV4Z/EGCn
JpbtDhu4K7h0jiA3RhH7u2Ub6T5kZdPR9T6RisIeY5fGg5EVqQgQQTzkKQkJG+NLFnm8nxG3oS9j
jtkPK7RYMY5QRUhV2Xnf6tGeRNIQEcSJxNrmPmeGciMXMXDOmCPkLRvYymBUEYg1ru1pvO2Wptax
aIMN7h5qZmzeJIs38bfGc45uzhghzrwIOjnfHkkXT851PMyD+jFWpd9x/rTRp8pXoUUZKV3gb0Jz
/OqU+TNEQDCeIaQWI4YzruE8v1I9u1Rrrq/DWMy583PosBGLbcKjxmNoiKF6CbslAtvAGC2IPU8v
Gm3fwJC/jYImVYFTj2kP59CLYakjLWk9Wk4K+IgUErkZ7XhqcCe52pyl4mdgPWWdWq9u3cRBibLF
m9PVW4JmcbESp1P6wduKGb4p9ItfIs/9hragDG5kL1ySybqwC7gHcad6yDjLvypv4hqpWJdbXG/+
dsPxQG3t9JL6hGRf+1dXF9mjbDvxZdxao71xar0amMx5SzoXDlY2u5wlS6ooqF9Nva4i0dls++BL
YXRd5av3yBexnETSCxwRZNgBiSp6+ZRXK7SXGkqblbg6c6pk8fLg2l5KWOMIcoZbb1654WUZdiUq
NzDSQzb7bkPFNRiHShpqTaJR+r99b/Oia2+Yik8F8SN8faWXLwp7DkLwJkO+9W7EbMvSbnBp9a62
k3B0nIfFsdaOsZ9obpbaHCF51sXw4vY5tabOKz7zPJGclPiC7PlYOnY7Jd0yZNe2wI8umZGeOody
Kdom0bkonjVuwgIerIQBU0alKq6HQs3ZwS79uY8Zbk6YDS7eluqxcPsrHOa9X0VQuvWhnAZ6ct+a
c3x6kYj1h7H0pzmWdWS8bp0t+8Rjatif7JYUGt9WbRh7nY/Alj/BaKw1aQdG3fYq3gK9gKA50VAe
WJ7uD+6/7HthVHgzymVQxIZzqLeEvGfTmycmZd8G7daMqRNN/q8FvITA0G1oaKepTuOxrsrqMEcV
Y7eaWKCBu7vlj2wOmWRvlrHZP5XIWcZmVe2WBQgERrCScv21ZmVxlVeTP2Bcgj9MohmMfZaGC+2S
FPiWjWZ2BgfjqNxXrCLD34G1eqRbWFNYHCq9jMHN3LrTY6f84iu+bX5zKLU51jHT23G72gja+0Ui
wHQZUnZFBI6azU/LrM2ZS7hksKBkqJ7tYS7zi8mEdnkRZs7MBjSX7nc723OV1lRnNdPQzvmydI3+
roKqNxKCTsyBSUwbMYlpZrlc7Cq4IfYGEq1iT7taJCpUwaMhPaASfKNdCLIZvnZc31l/01Bccbj0
0j4hcYHo2YncCWI8icrfDcECxX5n4s7dQU1/m8g2+qGqsajppequOcChUjU9TcVdxPInfG6Z97an
WAotDpRmTcVwUYm7OchcvgYpeAyGAm2DKfDK56MptPfFHDRIgR9Veoqdsg96MFVCCFO5mN5v4fs0
FbrcwU/cGGi+qxK6M+uLf3fbjfMnVCl5meRUUc/GMhgT1cFiXAhQmjBGESe5nLWqYqPGziJ2spko
25E6/5NohUNk+6LVm9Hl4q4RZf6zrfvs87KW5TdFyczAGi/oV2Fh2pxkXb69rmSX8/tcA41r44Zr
7ORbnid2Q6p3QINWxlaZ27dypdFBhoqgM10XKz9popaf5NpPT2tYMnMZh7Gq6agF16JkCq0ORsEN
keDvPbyEAcmqsZv3yyPnNYOEajHm74Ph9r/FMPcDWqYykIne3LqLN1z8HrH1cp4zldWXtATqt7dN
zlPBDvq1DD08vob5SU/fbzK/jQrHRzskTH+OM5x0w9ikESXP3l3DV0F7qOOCmcN3yxr74gC/JahS
MfjU4Lgej8Ar3iYfGOasDQX2VOkEZKaTjx59aHnlRBuagcpuna+y8LsHZdv6e1QPtb4RaxPOgJRz
4MWm8PPhppRF2KX04LgXL9HcH8pRRP1lDX7wVjLvv44Iguyu8JYMHnEs273mwB6HxF03y0yRBg43
4WRML/VsbD/xmuxe0OMG9bHrOkbHCiT3Nhi3Pie4ycc1GP5WPcaj6rzPbbuojGOTYPV4Xn19v0YN
c3/LNTp5wfk7HCe3LYzYtzNO8IVLDHDM7A0zaTmoHzeLuxqh88RUEj6eh8OTafWMSKu8e7J8qdYr
5hru80adDN6naZlTiKWijHOG7xuzxma51C3T0qQpzZE1Iw0G+G1L6F1cybWzkiI0oiZdJ2dpE6ka
zM9sSHb3jXTEepFHUR3euYCHv7Gz2V57rNoUG3CvoYu1Di/zrJ0r6jRTzI9sAcZCJOWouzGvOokN
tT+3SRNhkZvUtXRePbcHt5iIidiRF6OzbkThTFcFI4wsniXq3dMq802kWdkFDc20tQB3ztvwc16X
8hWqbi8OWPHl1SErPEIERqlcqgFg9N/ZPC83q9DbW1NzkN6avTWzLZGCTyfqX33lbb09XqyiMS78
1cwVkJCvsmM7R1F3GilavkfLQhfrDJt9HDJHtIfWFdUjmbHGvRsM7vMIilrGSvjBIwLm9qsoZ6NM
uzrwhng0bP7KZSWDPPE93dEUzm7GEGBZuS8kHaOXOJze9aGYsp2BPE57jmS3Tt+oZKvPhQq5DYPM
GHI2fQiCVcpKXTAV2RSqV4ddUdcVfVawmgM2jGaHX0YtqA4ir/yZOdob40nDz0qFXvIGLMYe2xgJ
e7/EyDbsV2oS/8ltlmBMVBMuV3k/WFE8BJ5x2eh1cq9nHya9Vq0qL5rVLl7bjRHSTYHPozjmwTSU
FPiavsR1Bu/rRrdSpB4jbu6EilHVxRSEWZSsgP6vuAN51RE9Wu8dVLOK4gh8mz9CmGqIVLEYSw29
FZ1g1KuvnliCW7kYNfBabZuXcP6rHmxJshHqNqpvLJCsKbZ1XT4YtsWFLpUeq7Sbuux7Dv1viIWW
nIakNqMSC5vNbWOTGuo5W7VF7dh09ZT6Ohs/b00HD1YOHBUxbovyFSmj8bNiAfycIDYUCWhF9sWt
7ep+nCgbkm0WDsg4Hi8ntUmme0U5dCrVfj6Sc6jb5qrplJEfLXM0rkJOOz/FMMXtDqMOsu6iHput
TXxyE9p4KH1um3H0rBvXnVSQYlZAwUX/i6jZDsriGEk775NCCutyY0QPstALdarAxLxYFQv1qt/q
OWS8LqaOyZnvcjtzxFJi5JD7Io6fFZg4qm4D2UfURN5mv7WwMX70LsavSW01FoXAhMFFlJec1ArT
+ATgbQziqM/k/dxupXVgZ7QBph4rMX9upFb35FuNmdM5FNvnyfFmM6lXv3cOk8G0hxLCUlUS9Iv7
uW/gdV8XJC/ZsYRncrsaa2QlImqte73tvSWHj1dcQzXtXzJSQXZOiW09eVTPYwyYBqDbNvWV3iud
BA8y4zkQ+IokoVXZ9w0tTveY2e321kJ3CC97t1OvYVnmD74Ij2U+mOPFYliFZM4ubSYC7lq7EA2i
6HaK1vkLYEU4XCCYaq/pgsSb0eScDISr8n/UrWE/bPM2RhSUeoIqSg9wP3D/EFIVbkxtMyoHxjmB
29Bn1k6R7l22PuRDHR44WPOIsc2sxEUP14u50dDghbGS/97cyMYpOCzdubpb3Wz5Krirnxw+Thk3
xmT/7sOCUnf3zruZnKhfTvzG/t6tqoHatVoyZuQO/80syc3abYixe96aqKEHDVjmMSkXLkrZVkMJ
5MM+OnPGVJ+hvvfNXwLKBltm5U9YEbg/TZh+VnGAY0d0C7TLuC/sXEZTRNt45mFlhXoc342BugmG
ibwvurw1497HQoyUd3/K074T04sbERd2rYA0xnRt0NLRA/vodQd/GwgLIQX7OzySejiuBo11as4V
l40ti3w7RYzbXxFMO/vA2KNdWTVg08XKvErF01gjLCuklUMxyoPWjesqDJn+GNwdXA9+3qXu1mEx
SKVnNcdyq2FCpmaoIlPEjphX76idqTXuWqbORNkOdTMNv4ZCyuJuycM5u5jHsqbKIcPSWTlFS7u2
06ZZDKgnOofRKe9UCTC9Jv7oCPUqlBDbiaplyI24yhxYTdECdxOfOrswnu1pcUOM6O0ahlSctz7n
YBoIq6uenNwXOotNPEYbfERX4by4xO12d6IzFpPpC5eOezGaPhorIjVtSuvONIzPZtHO7WW1zCLY
/7+27K8L7CvUs2/pjfrKCLew/xX0pU09A+DHM6YhQs0Qq97wZnr7bTatC2+p7flWuIzPwQoG3f12
DK23PgFIpvs6ysHPs99ZtAUkRmM121yPHYG4n2tCV6a30OLuvDPDPvOTBc/55RNAizRfWu3Xukqy
yG+tr70xeKZ/bBrQwYvM0ho4eXS2cHszln6n8lDDFd87mLP1icdIcMR8D+BeuRLJJfjiuIbJ5rYC
XPMjYqqzCW/8ULojzk891ATGLmAp+D7UvB0EFKMKvAvtbcp4bj27p9JQ8+ABk2RarjCcJ1OwpTwY
F+EPXzh+8EP5YR1MpxKENC9id/GrYWTsVLrtlyHklnmL6FezdAkXp7xeyrKZ7r1VYI6dIILD7hsR
TBZcLxLZxql0tG5vTNpy9xQSrjGnDUPz7dEf+Pf3sRkCEuDeT3jfW17mS/PiF6axfMvWhWsDlGSN
LiTrm5/mW3V0YiCu9KU1aa7MwrQBUZipzfJqNRSmzv4Y1PpibGdiRKauKWeuSjVWd1ChCnHs50D1
V3IztyrVXuvU30ZZZ4LmdgxlyrzTNS8kJJMtrjrq14NjrG0AisGEJVk9twu/1OyYJywCq+VmXD1a
mM3kfk2nZcIoAb/n9avKl+KXXDZLXvocAvVhcevsq5HL3oxzQ8+vmG7m9nExI/Lk+9ZRMXr6hnwl
rj83xdSs7r/lY50FNFhOtFzkA38o4d5Ys8uc7fKmPFF5BxOq83qCl2m9IkJisOQxrY9iFTF8ixHW
GA9gqHlzqMNq+7aKoH9CIW29rGFuBnRJY5mOoig74ANqxLgQaG9jwJPitqPhfgjx84DH7I6tF2d+
Vnybxny0Eu3JScftMKxfWntbZwpZbZoHS9ni54op+ZdZ1cuVgdF1AyGm9y/ViNk9nZmfGg77gnzL
+tKpKgFbYNpuAIB0k/a5dq97ds8cb7YCuBnWTF4ot5zrmyYgH3N2J6CH3BmGNtaFPZAPACQOJs/k
50e7WcvL0A8BM9Og0d1BNLDbD1sB5vtUcSK+mIYcmUZjaUouhBcUK4iGA/2gsXzoHgVv96UUHpzp
utfyC4yj8CmrW6s+5l0WBE89Wd+fBVmWUHXcxXuLel2vTGC8cT1kq9d2iTcvdSrzaNndHuoAk2Y8
xJpkXgjAvRkna8bAoxHtpTbn4mKGy9zfesiZiIcoPa7vSHYMMLC1A6nBe5KBz2ybxQ0ydq9JBpVV
OQPnkeheLv4OyFNkgRsLL5DfRM7dlC5rC5Ojol/nNq4jQm/Vlq0XzLJy9zCGY1tcw6MyWkINy7ZJ
y2xTrxsEgTGld1x/tL5V/MTIPgzjufCW6xYfKH1chSi/yWmGrRwWRfUwDW4JaGmHPYzFdZvAVyZb
XtMv0bNiwx/d7uqGPLFav5gSOD4gMMCq4LyT7kg9GFoiV2OyRkcuK924RiyybXouCtrh2Kx7zPMD
Kh15cJd1eZgqRw+8ksUz44ITaItzGTSceFYE1SrXI8d5FA3reLKYY34G0ofzoGucqROWJdPqaiuH
63yhxEo1yh3N4bbnEXpbKb7WwnFfzGjJGiKJZ9aNPa6TfWMMUpaxCQb0Jc9Hv6HHG2F096OswiOH
UVgcyVEtjsocDJUEwFbWsbGi8dEb821n/Xn2bZ9L/wGzHVxf255DPDa2OlzTolzXhxJS7rNTCtFe
y8jvizRzdZUnArrBlGZeloegPBQZx1CCh+9zA2b52lP5wADT8sTRstuqParBjRj60AAyeZ0WnajV
Ut867l43aSyccT6jsOi2gzBhvTFsK4I8NYuoxCA9cMZr4JO1/2JVW1imm2uE34N+DJ1EiG7RKZsb
P4Wq7VoS3Zcxci+F2U+3eiHgKsEYidF62Lbdld0bzK0Li07uSIFgfxKelr84Q4G16tLcJ0SMs03a
z8UKE1mRA/1aVXK7qCBRNAxeDUBZiEH1qyyk92It+BRfW9x3j1tr+dQDf6dn/sEogyyO01KID5JJ
TXdug9Q106ooqhi+DpU8tkvhXerqw6eck+/x/MUACRtwjOoiXJDOiPA0KcJvty5MhoHBc9Dw9b3e
gvVUw+ZYVidPSizJP/hpfzDz9of+QwRFlckYcf/v/2Lfq9ziJsowqXYJGL7GNrl/7okYOLWA9//7
owhMhqaLnxS3yrleC08eq1nrIUgGC0aBE5bTKfdrdSos0X3gXnLOp93tk/d09n9CITCmO+PmFfPQ
se10mGTV0MV1RlpCHbTlaa0qPx7U9pGG4Z0FslOFiaPG7QxO4Nmnq9dhyyCPRDAHVvuy2fRyGXKQ
fvAC3/tVcJnRtdq4of6xQJC4t0G9VFECeY+s2Rnut5NZ9aHRHoBvJb0PiJTvrA2LCHebQh6xBBj9
f9eGDTd8HBH+J5EvfpSuWR/yGXZ5qfqPvELee384JeJfxcHOajzjh6KQE4MwyihhAiKfoQIEtw1l
7wfv7w8bjX1ZRMj0WBE+ZgvnWt3Bkx7dIZ/JmJjcZ53ybuEPW4gsGuNKi1AnlvSCRGQmXZyA8NLW
hXOCTOPu6KJKbcgyz//z0YLiB/K3yxWKvmZ/M//af3R6AXoN3vEo4dAnZQRnBbqW43wUXfInXxWt
175EQyZ5BEE7Z0+yqwJ1N9mnCXQc8zBZJdNBo0DdwHVzxLrX5sPaXgFK0JKuYPTWQdYj0RDz8JHl
55/riqgWrKZ2hi6HanS2O43CGgFX6PeNol5+gLAAf+LRLb4gyis/yqI+13VY/Oxd1+s7u2U9P/+/
L7iqRisDCGE6Fljh7RB03wU49pES6CejsjZBhuEe6lzPH8h+3n3u7u3BZt2Zz2fPDSCJM4PbeN1k
Xx1Cs12BOPEDbKNhOBi5v8Kmmr+FYqmOf19R7z6YdGNWFbxktDr//cHwThZX1KBPE9MPBPCw4qED
rseFcMJ4cmuR2paAdNqpj7KB3/2ue+jIrscNEAv998mdK0gUapeIVTyq12Vclk+r0zB7nZe5vf/7
r/zzxEDyi2PyfmFygZ3bzpTOWA1aRNGO14Qnc17FydpAG/7+lPd+kUcLjAqJA8M6tyygj8+Yuwac
uIsnURj3oFuqa69XqPQfXFl/3v4sUhulGOLTYEeM/vvytjoaRYCJUxJB7LpbpjW7c6EJfbUwcTDT
rXOzOaZqqLz07z/xvReJhR6RaaQvIrvdX8G/DiCjMhmYKlrhbbbbb42de+2hiSZnPvz9OefS2n0f
IsQMEIB62Jc5Z5fJaFhkJ6x+hOoAaSEWsuy6arIOQBg11NaKsnFW3puEL3k3O2Hxwc/88+6EXoMs
IADfxFf1PCZeaRsQFwg6yTDZTlzM3uOKWMDDNFfYI5rTRyZ+760cbB93L1eHQf+5R2eBc0e1IntN
QmXqI8kxjxkBQwfC1MIPbrWPnnT2YnEg3cpV8GJzv0fD2loERlR1dmjF4F7+/Ru++6g9z9XG6wLH
srMNzvwry2XmRolrlO4P3C1ITXfK4dNQFh/lmb/3vdBW/P+jzm4rKhJfgUxFiS4izK5tskdzBm4p
eeAe3E1yKP/+085PTduj0tkdIMx/HKK9s+fRDeEHp2qVzsZsnRAqLRC41uhY29AKHWfRxyBn5uOs
zfjBSXb+Uv95Mv5CyA/3a/lc5ljZCvmjbas0HOvwd9v30WUNRny0G6v/YA++9yhMF03OZgwLPffs
jPEx7m/WyVSIbHX4G/a9m6CgeJm0ND7qK86/3/6rUJbt/sL4DHP7/vdYaRol7TKH8Go4yy0QjfVJ
trOMQTP8pyZsPhLQnZ+ePG4X82IvA70Rz8yzX2ZNiuCUMNLpYpTQKf3w5P2jr0BuAcra9/w7gPs+
+HLnR9r+UI4TKjd37wyjs6q19LSYgh4SZwgqemMbXn2hZ2N8lWiLj1QdXspUqL8qlAi/F+syP//P
S5ayhq9IP+Xwm882vs5B3eTaTmm7yuk01ce+f3LaXD20ReilYLM9xJL+ox/9zhpCyR9hjBZhnYjA
6r8fViuqfx4ypbWsAHZ829gSalj/dy5LGAd//4nvfdZdve+Gu4cui+m/DxMK+gj12YSmyimTqPXn
u14W40NmrcVxElDSjKE3P/is1jtr1+K9Biwok3CQc6fzpgxyM6+HCdK6tO9s5rzANKE//WimProQ
ep5fgmKrr6pptB9pCZvPTJGdVCDuFeTngK1lUVsyykLZkWZ95sQWQeQfVdHv/ivhse32gzBRz5f8
QldPAnUFf9lEyyemcItZJd6FbIzxQvpe8/Pv3+KP7mlf7gGyGBTssB3MP8q7EV6jXBeVFijK0DEu
wesUKf0898q5K21GxXaelS/RyAy4EUt3TRZreUD7lF3XZTNe6KCfo+MH/6h9kf9b8/bPP4re1MVq
EseZc78ZyaDU3kOR0nrw22tGd+0xID79IsjL+jCM65b04+TdjuY2pF7TQwLno6dCYeJOXGv/Qb34
3nolvSak9MZvwj1384H+n2e9DUy9zUV7Det8Og5TqO/ps37UQx6AUy3ig+X63jNxjaAcxnqWC+zs
5sLD09yMOZ9SdEUVrBlb73DWFDxWa6jrGACQiUSbucEHl8m7zyV/YLe+hNpwnrFmgaRvBaM6ss8d
Hwxi6nY7WkWWKYhMgejWMDE0q4X7wSd/97m4Je4HHzLw8y/eT8VSKq+bUtNunIugqn0fPvJUXWdo
xg+6Xy2AFaRoHxxF+2s8X2jsNm41bLZxhDxzcZjhBSvbQSeCA6d+LctlPNjK917/vp7fuVLICkJ0
zp7GgPLchQASauNN0TamvuyrNMK46BJRAUSMMf+N6FnTTS52QrXg4OCqnA/qu3deLVpPkxBQ14Lu
d16KUDqssrYKllJT+deVD+c+JObpRNE6plNn4z4gxo88d945x3goExkKhV0Df7Z+udzwr424xpQC
hw7Wmgt7ZTBfB1mZBN6s//c9iluSvd/bpDab59dmOO42zn44pW6zGv/H3nlsR45kW/ZXauUc+aBF
r5c1AByuSHeqiKCYYFEFtEEY9Nf3RlZ1dZEZK6LrjXuQg0gK0N0Bs2v3nrPPhbRle5MgCa62Ks7K
NFCLLt7OnjNf//yT/dF7S5uHKo83VifK+eNW1uG3sJDhd6HSL91urrRy31m1GuLRda91hO7YC9v5
5n9wUZOuhw5dZS2nP160LmWqFhabtZ0n1cVk0jtvXUt5jet62qlCPxPOO+e/eFJ+UCFQGXAL67yP
Olz/jxedo8yxCzPqwioqJY1yo7/rCOssELe3GFh//gp/ULeTlYHzmbt2zRX6XI50SA/7YaQGm3Em
G5jPjta4GHcKs1C/w/sdGJC/t12+tA8/v/JfUkzZehimEkC7srfW2NyPr1MVC7v+7KFJonnAjGNu
zg2DzO84N+ZtUhukqxp1a726dVTjfEfcjCBE0dVjQXD4VyY640WtjyLZoIzCaPDzv+5HTxU7NQ8W
jU7OFZ8+BGsYVYWVm33RRfDmkrWO9Si2T0zXVT+Kh+k/zNL+882g/00XlzKN+I2Pb8acuJrTNJxi
kp6+t9XBPtDpaO5SvdP/8w1gBQ4jOCW8TSWN5uOlmDcZMsFNFkaI03dUwd8ET/mOBYbjjNdaV55e
5uF//naSpws6DzA/kT6fHiQMcZWN+rsPrbKifaCJ/mpMxRx6EeIUk/i4259f70erBZg+1zOo71yC
pT6+RleoSzXMYggHM1L3U9JrOPBl9xXvpIZHX4v4DLXxFxXej+4ZAKkkw0DOXMGLHy86pIk3xngR
QhrjRmB7DeK0IlU2aAuVlWdg/OKD/MFCYaAsNg0+ThJGPl+vdlmAmVyPoTXH+am20va+1c15R4ct
f/z5+/mDl0Z3HZgcr49GsL1+/d+6XNZC93NZspFJJgpOx20cPMg27kWlRzQOf375RVX2gwuaWLTZ
wxkXrnTAjxcUlYlzBZNFmDdxtBX2+F6aqb4nfA1lM+LuX9yfP3grIXICDGZIDJDi80GJWXzP6Fgd
Q8maFSIOzHdII0xU6favYOR/4VnxqK9lEJlqgMLoL39a9+wE9ZmdTlPYZcm8twyQB02q9DeEGWsb
e+wkB1JVXKe9VI+yxpdjSW+5Usc+fkoha79gCTfBIxjtflhTXhzDiu7iqO3PLsfAI/dDtheYX/Zx
nHe/Apz9CZr7VMbhb+DYShvS+mts1qIZhHIioQutVlaojCIMXJY+WReE3on7CjEIRew8xQ8e2/Gh
alKgJaiNlPfOqFLMJNAE5Obn9+YPtjBmBEzaNEodhxnYx1tFVSrYqi23imZ3Cnql0l3RTQNIF0Rh
tWbm+0XxJM7MyvjFA/+jK9Otp7XNhALM0edVxuqJlE/iKcxU540UC5N6fenO2NGtUOv04t6WQ+qP
0ut/UWj+4HZlMLKGFjOFQ/apf3zJMa4x0dXaFAJZT1Co2blP6qARWs3wqzjvH6yk4LvX69AdB47y
6TUaXREb7IYTwIdo1febY7lD7DMxBp7QR85Lu3caffjFC/zB47+uNORaUBeo+ueu+qxZfZtXuOLr
GTyKiqgWuTesj/0yToIVAC5IHfz8NvrLe8rdTH1prdMKGnyfDyioByptcvuZpy+VZ6klYqdX5rhD
jfmrWeKPLsUNC96CIsb9S8JdnRWDnTlANFbd5hHPXurng4tUiR73L+qYH10KTJXBJ+jaFoXFxztF
aPWcubYyh/iI6dmXrdkDNx6yBKXTWIQ/fwvXXfzD4gCGkFYl+HWWOLS7n55EF3sNYlqYCymK6zMi
btQCy1JBb/n5df7y3HEdjllr/IgK6v1zNCWmhhHjiw7bYSbJ13aj+JhaNRFJuMZw0JAhnPS9ffQm
tM4/v/JfnoYVtGhTKLOAcxD5E5b5b/ugnXvgDNaOOu7XZt/1sg4lJs1N1yvzlt74fK9qxbj9+UV/
8Bla9O+MlU/LueBz4FYCbw/Pq4aMCUEcDA49vRUzTT2nQ277P7mUQcLB+uKonD7eLjb2OQ0d5KqY
6ojBtSQ6KFh2iOw95x8Du/96nf5X/F5d/+O+kH//b/79WtUzuLCk+/TPv5/S17aS1ffuv9cf+9e3
ffyhv1/V7+Kua9/fu9Nz/fk7P/wgv/+f1988d88f/oGpAqfRTf/ezrfvEi/QnxfhL12/8//1i397
//O3gHB//+O316oX3frb4rQSv/3zS4e3P35b37X/+vdf/8+vnZ9Lfmz3/PLXb39/lt0fv2nm71QE
KiuDRVIHAEuWxfF9/Yr7+7rU/3myZnlijWIZFlXbJX/8pv+O6AB5CY0HFjDOLL/9TVb9+hXF+J3J
AfkbHF7X0T35yb/9nz/rw+fzfz+vv0Ehuq5S0ck/fvv0dBtkZDK1MtgGdObF/LaP94Y0B/yThePX
kVfdWUXunpi0Nv/ROYgRDhMk3gAGEWt7XP8cOtXVpGeUswF7qKZ70XC/Q93QwzqJ2l88yh9fzj+v
xGJv86roVX8Ws7hp0jCVNohqb/DzZmaHl3aeflGbfHx0/7wIqRt8XC6GIBjbn46RsYUZqnU81I9O
gyGtiq8kw4atqyfVr6IvKDk+LL9cjFIEMxKdPQjI2Aw/PbyRgTo+tnLsHUi70NR3TXTymhK8AHQF
Fw6VlXmJHy/SDot4MPoL5gaRhAKG89fvIxslLcqrTt/UIpaN78ZdUwTG2CKr9fKuWu68PlXX6tgo
hyBDBaKf40TmV/lo6O2uU434lXBKLw4tq59qEDJOde9Z0VwGMbu2hgR85It63NjfU7FkSO5xDAxb
oxqs7wxhFSfgV5jZDWEuXFhLFe3NVEBfhZyAsJAp4wiVM68Lzz2uPRICG3Ui185qLuyvPSSWmBpl
yWsQK+WAx7ztnFfHw4vHEhZRlgJHRMaS5878OEl1eEgkps3AyyJwNDhMsg4dO05PvyMUAN6N1Yyo
XFSJWX4so7BQp/lliKLpHjFG+b0EYHNqcNdiyDCS/pZQqCXbQj0CPKBUZqJgY0+tBxfPSB0solJe
ZN84XyOakV+jzmpbIEyR5vp6jymGoQeDiAdgVoWOmDspu4fSHfsr7BK80wLjwZPp6OIW9kWBG4WZ
+2UJMSkPRnNFInTS6x6QZuUvqMrTF56annmZBxQKOI6NSaLS68GnbSqfHU0uRQD/q7pXlTht/CIu
YXvQuMxHfnEzPhJGpVm70qWFGGB9cB9jQxhn3ZDeTdvGOCgGurj8Ec2Q30+6O2NeyaerpV4hd0vf
5XewIsE7CWAG37RhUhRfgxP8knped4/id/zW5BBJ/NSe01cLTMKdpC9FVuXcjac2HydSoPCL4eJZ
4ukSjqMdbzQWHukn9QQ2ZByz1wE3P6THtRjxVUxgN3qsNz3icCE5Z1t07XeRyLQjVEhh+F6XKpeF
ToQY0lixdpK8Lqo2Y2mJm071etylS2tEm76ddcfHJY3Em4SGcrmZFnibotSGp3x0kpcYtrRz67LR
PfR2iqaU2luIoG3w+QBg68eO9r06kgDTIf0LAf/Ashi6Nmr9KdPqV9lIA6do6vQPWr36+nVnNF7z
qhN4tuykWHw7mpqE+69yMmyASn5WwCGZftXZzCILGJq3AmXHZZSbMNoIKjABHiMvF37m5vPTQD74
4BcN005A2xZi9hreMIYurliEGrDuNy2R4DQxuVP/4f4bzU3Cwfcr7Lvla86K721a1U7eerMYPfzN
ifNYGo19o7dMT9BmOjC4+GOAZwlOdzdqH1n6BfSOBPtmruGChCTC/a/WTCQ3NXALJDdmaT1KqaSv
rrTLa7JRsgo6ds19A81OmYDzqER9IK8p9cDA6ADFpZqGh6UcsQqPPH+vEzfQrZHpDxVZsFAEu36k
PJ/md3dIuZP6JspHQi3EihPLIzdkcL2GpOMyLeDzZr2yaaLJ/NayZD7h7QNvYvXGiFlEcWAOenYk
ntNypg8lbdzwvhpjLtnGlcTRaEQkCvmYmGD1RNQ4JjZSYz5VZdPxMk1lvOLnyq9k1/INmppN5bqm
kSYQx4nxfcHk/jBRhWbUT7ZsNjAdFcMXmIplmBZzcaMvVlEgi6zG25gXkG+HXF0Cd/V6220BT8+M
4gYCpG2OEb7SKpu2hkWpG4gZOfVukFY2BUOmG6Nvp4N9YcCbeNSwfE/4AFL+JoIJRzwMdUfeZgTE
4NqKNMWEWFnloZfWqkso8xRjILDa8tjBW6iAsmgt4QBpgiO4mfIuKAzWZyfCCW40h7l3WyMcNEeM
vhzx0Pja3FjXLaAKcj+WNn01uVvTlWyE5J3MsQIXS94bA8ydsS992pvJIyymdD5OworfU+SLZhjj
cb42C4BkmzgramAeajfd9YBB6C64ZsOhjFMMXkHheZNvTJWXBqkxdwnO0EG+RuQIJ3iR+jVZoahZ
fKXSaXtPxLrnp6NIm03ttOY9QRYY/qTjYEVnvPbeR1Vj+jMwH3wtjr03iC+woe/qOAdN4AB7WBjN
Icd25AWNZieXQ4t6podcegEgtfii5oX3ojRW+6TBuYWJo9Bk3IxtF58sSInnDuKJsfO0uBrCyk0b
gMtJkqabsi3Sr4oDe2ys0unW1EbA5OzuSr6rIOBelyLCZcEosn2t81G7j5MBpEM3KhEGtqHJaLGA
tMK8z6H1BSxwAVTNNQSopah6EWMx3lQtRj+zbLVrtgXnLGt6WwFEwK2uOM7ryO+ffeDMuHhHu+vb
fQ5I9Goe7fU+j1s2GRxOcMaQSIP0wcBy65XWNG9boMhvuRmBgtHqwtY2Dm5Vtl2H9cs3tbo9kq+J
AhhkgArFbkRHFrR6505Bh7n1gHlceWl4Nzok0VqFb9Fwlj0xhjaASfQPG2LbrKtJE2nFCU6qe4us
UwvLkdfcxYPjPGPekJinlgFwl2m3ka+YemeFABbKA3sv6lAQRSJQiWG6597UniuvwelCaiMbSNbP
ebcztIHbSRVlgb+lzrpHsK9xvpnnlBUgbQcku8IzQWiZwA0uq9la1t7tnJlBjTPo0eLmy7fOUhU3
M/HI35MVg9mzUXAf8fTFyA/j9Env1ucjM43e3mhq3DoBqb/i3iGO88mGDMLCPljK3qxja5sCUZMb
pTVGM5hSF+6mioSRkGHyp77GozThhgmnN/2CMx9MSXB59daZex32VjbzukaqSY9jYdxezq0xVD5Q
UXxtLGeqxnvadezK4dAtXkLre1SHG1FYVX6jwYAbLqTW4FM+NLFl3uhOM46+qks+O4M1SlLIQbsK
WOGblyGP8fwuiua7bquxSy+YJzc5TLopGGk+5BdiMEb7gBoastPoVJoRdkwZrrNY16tdD55HuZhm
D6fUNDrA0NwmXuC6OE77pU6pO/2MH4GBg3DkmoOtSEK3dNt9DUQjDyf8qYicLQiFeOhhl3K3oX0W
yqjbm9llKJQpTZNhoMJ2Gph5nxhXRsYTx0ai6Dc60Kl4Ww0Zpig5OZl+3ZHUMPgSfKGE7KG7l22t
OsM27ezM3mQxgolz4tTFvJknSWHXT5pdnMvGnp7brGp032JfxNunGA5gm8wd3ui8R1SQSTe5vtkZ
3Yo/KYGwQaLlb8YK5jbcWIOdBDED8KM5VfKtX0DkweeusKUQeK6V6OdNNpxYthKzv6eufEZp24Tz
dKzBiJHUw1gUhGXBMCpcH1lE3dws0yTlqRsMSHDemouwzS112BdQZzEgk882rBYHeuy+xjDuxRk1
6YT6AgsojApPlws1E23Zq7Qr9G3vKfpyKOch58FIoGMD8e4ExBLgKm2Y92pXblPisDWWHH0w95Ed
dzBlMZGToAmndSmJBZe9/awlK6ImijiEsC+rsbBfZO0YEyRnx2U7GOLcM0+Ni5PW16KiftDw2WmI
cUDlfYvGaqqf0zTzmuschoNzXesmnWa1jtmDqevs/P3PM/j/70b8hnz+Z+0In0ZqKp7/tn2W1b83
Mf78sX+0JfTf6TwRdscInHM5rcR/tSUU63e8FzigcCEgZ11n1v/qS2jW7ypdcdrGaOvol632l382
JrzfTU1FK62iSVsVh5xU/4O+hIbI+8PJly6q6SB/4D+0iwxUPqtPC8JZtb7RA2esODiiFSAkovSM
906hTIcOh/GRXAjfFp69K7EpPoo42zZDsleQyAQ6mnvdB0sYJkzdPYhPm1Gh/PFcWFZa7TkXwJNn
Py4wmeqzCfnWS/eYWSFu4fD0u6jFD4LpOyC2lVPnEXRgHRR6ksJf4NjfS8++qGR2lyjLbpwk6bpR
HF2l1dQGnWczypF+O0fxCTJsE9L4GK/cgTYtYdUcnpS0YPlou9u2wtiKM/dmnuf7SGCx5MDcUR2W
SUSYuhbF914aCUzp4nImOAsH/qJuxsXWH8pJkpC8MDrTGzPdLNKYgshuBj9S5dcSdNXV2OnGoTCo
gxx7Pdw6Xhg1o7yGbL58txR2NHdGn7ZoxUZWeXYgdYMxFRe9yrzevBDumN/gM9AOZYIvnm0ciY9T
ViNthUk74q1Ul5CBhnVrxqUSsNvcEIu9mWv7ycPG+cY8wyF5hfp53NCyVm/mSQzxpgHEdemCp9S4
qrmcmm4xSLFSRRWOcWZv4zJyv8Oas8IkMfo8tOC40Kuoy/ixciXIaGPS5XWc68590QCL9NF6z9dV
U5Rng6eCYz9WZx9CnXGQljs213KZxCltne9eB3/VR+u+DCHn7fkwo1PcTbPg2OrLzkvSnQ3nfzSC
NdM16JnzANgTox0YTPGGzRiX3gNNJXd6kTKONops1Ku6NKQZYL7VtS+NGqvnoXVuhK2YIWOztAns
oshJpcnsyu/iCSpC1OSX5Im0YZUZgv5UMZXHSS/sq8Hj00jytAYdkC5XHO3OIPaRWTaGmM4Fclcc
y+V8XGLnG2ZUPT+muil2lWbuhwoYDkL0GXe1/lQWCZBUVQ26aUnv0wiJ0lIJDz8+cQ2qtWsWy9hE
unNwPUa8cwvreaYdh1XPB21dqzC6yl6cIcdcmrl6maEhGdLBz7r5wWmyE9tBGLvpheh1d4MhL4yT
OOwhWwdwBnxDKPtk1jYJoSpADYIFL2qL47Y5OU5+ZQzOrqD9AdV9A3Thi4NXl7DsYjfBAGVeMoHF
SIOOmCXjdqjuqMJ39TCDfn/NjQVPNhyMQn1QrUzeoku/4ozgY+zZsRyBkMAehmPromA3AZp6osex
ITSUoRYFQp3piLXKAaWau2cPivaFmgZLSxJfrHgXLhydAx/Vdiimi4KTFk17fQf1XSM7mmnnaBuH
LE3kcTCt5dpKuG6S5ZOvlLETQsaowWFEl1p2PQPiddWnNHe/JipWxMXaQT0Lmt47GCQceYs4zF12
heM7qHMnmNvlAlEOJ5fvJquKM2nJAYXk9HVsDSC1JV2krNmZlWMGDs3SKHG+OgUSsByEAOucfIpU
XbtMsnkIED5/r4riulihEkvmuEGvNg91M74pRJOEDU/jQTd7ks7LTT8VZ9HIZ3iVO02Zln1naC+4
M6b4VCykr48YyvGFiqi4qXI1oiSqTFzc4DpGr9kx5Epp5ur1GUBDUBHSFR+koN+yzeoI4OOQJxcc
L1AblkXWxl9jj9hxR/G2cZNDssg3ClOyWQJCz5N3jmwvgtF4oCVuflMuI+3KPKyjYQnJ4QVy4vTK
rTlH8s1Y2ltVUaPbtoxS3Y915ZwlQ0XvsvCGxh+osE80JvONXivtfiSs1fZpkhxipCHf0C+CIytl
9aBUYgh0qk3U74t3KzDDManTlue8ld7JNNJtHOld4HT6ErY1jAO3sjOfLKsTw807WtagCVL3oVBc
ztJFNh1Gb+j9YlAv2zRLj4lRe0c3dvvA1LP6MtJnl5gLL1wxlbIuvzBJui4azqpdnUMN7YrLhr7W
VSQ61v7kK8qzaFOp3X1TVlszf2a+zfkyvnNWqrNTqe9uau9jOzoKJvVDmu806GYBYtPpIh4I41Hy
5lXT9JOb968lPJwgkiah5xwNWk17bZS2CGB6s/lo6b4EOB2MDo14m8YBqnkQ1Dnj/MWssZRkUxgR
KoQfUZi+N5NoUBh2yVKoj0ES0YMroaBFgBy3BbUkB7PsbRgLPAaVePPa6ki2iYo/JA9KjLh1OfSB
UBOy0srzXKZXTaMmK+/NIdcrCWnfBhF5d8DywCR906Zvy/Io0ds0OZ0a3u2Wk9d608m1+zyMl0XL
rkaWTtj1095SHlNF7FZIhG/rCyeyfJcpj4Sx7vtmPDnm9CVW8FmIlpwk7hIotCT7Wc6uV8UNTeKt
WU2HJbZ5HDgDm85wHXf1lRH3F2k9gKzLxItDjK2fuvKkLyr4jfYwCpPMhYJWPPigJnmITMyyQ3/M
uYkritoY7a3AfwRCfAgIhXqiIX22y/oAwS8ondPi9PfprBx1xfgC/hMkZaucaWy/L8Mdx2GoCAMI
h7FO6TbO5ncb8YGRWaCYnk2wk27GkU0FvhhN1h0D8IdZfi+dYj+U8Qk9pQ/8gpVYzc5Voe3rqLV9
3U2vM86bep9ceygx1/wuzmWzymMOfMyRzC/c5JQYF6MREaJQvDZqeohrK9Rlvcmg3UJEWHjLx603
PaWuGxh87NAuLSOcde3kRcOuAQ5ycFV5KECi09bwM46UasbhQN4nU3xhzPfzmOwwgW6naQ6Ap4GD
UMf6qOoTLap4uMW8uB+W6QYwPWMLT4R48N54aOloGruokDH5X9F8sBpDDUDdvdl1fYC/u+UNC7g1
grkAd17CU1jcnWixSA3KRrW/YEx8bhN1Z2TKZmHZiElS4QFszxHAZ1V09OBp1cAeFgrNMNrhTokn
zmw2WoPDolK1gBTKkyudFTlZPuby3S3s8yTkg67N2x4soZlbW7ijAFLozBWi2qjFjqyJA9hPd1Ms
hI6YSevtWtpud+An6Wn2G8siO6Y2L/ElXc4quY+qFt/0Tv+1Gg2Fw+DjUvab0i6qvTGUYH8kFAvp
ePOxK9/4KA+kse2iigyIvjzxaPmTJDYjN4+2pL3iDfm5hTPhw76/sQf8004PSdXA3V0DMfMXXBgy
0W/BoE98EvKW4T597eFaAQpDa2VjJeOhRcvueyqi7hEmyGQhZKKFYcg7UBrWpupGwTNRclAUdOpN
cxr2izQfPA8cJbkrIjQs6V14CrefDdAGlK1ifZmN9EGrvnjLdO5q466qpo01cERVupvEbS5sXb9k
BI6+RqfiNAltbeWxmzWQYM2N2eq3bjrsJz19GlX3uuvLLeH2+qhskkXd6SlRMbz3hSkvibz6gl5y
2C5q97Yu6CQXlOwH1bArLA9dcfe1EfqB0RIJbbW6BcHgQUxxv3pJFLauCW+z3DhDR1Pm3qSxjnoK
Q3hq9TtJLHsFArtJ90OfJKHqcG6eLYtbnWRUKytDxdNf4/ZFJHO6o1RPuJVMA0Be/00Y5aM2u096
MUVHCxovAkCWAI31Qs/uDSHC1LMPmkOxKHL2DNYFIFtewFSfnSPNLd9woufOgk8yFGdM6T7VSeCg
0DZKGYLN3UrY9lN5Kg2csvE5Sp8EiQiueUV25G4QysGSzaMcdHZmM2h0OhG1+mQgOMthFHcgb8d4
CXO1Cq1qRVUKgDJquyUhZtNFdIBYY54b29hlE2KJlA/EUr4443IQaR3Udrrj/LmfjH5Di5abZwSR
Xes7IZRolxLEkmRm2BSWHeaVE+06E1CiGd06zVPGZIqJmHC2i3lruOWqeVIA5+QgYhyDhJAZCq6l
HTIVGoHjkDxkbyMQbmmOY8Ut8m/NQFLm7OzTyTtDzHIDpXjxNIkm9Vk65vVsOi9a/FqocLPspGGY
kx177d6o9GeLuQd5YF/SNk+25QLyQ3ciKCrgTSd6FD58OeMpgQb86MYNG6lws0bxR33eEUUJFFmv
Kr9p27t2cqJvSRVl6/+L5xM8AWvbpTU1hN1VB6x4bJhS5D4dJYOUQIscaEFv38xfFMt4GFmffSIR
aOYBt/GFPYQyTq/12XgpJwfDUNrcaZODm21cjt4o7/UmuR0ts73P1PwtW/fSiEQmuI66Nu7aJb2x
8DSGep2eo159k41ybFOAV7YA15ODxYrat8Ycg5lbyJvcE5r1cwEoSxb5OuSsHKJ2qh07P2om5TJm
K73OPI57+EHzk6Bbfa7RAu5naelUp0XrpeFQZD1kaYYm7ZmTrrIdhGcc+jG37opOl1vPFclDZzv5
U6QQWVIIZpapqctLu6Cs72pleYIN2QTjMCjhip05DUj89kQKkJahMewEYAtWfNsVi3Jp6G4xAhLr
V3Kdk5bVRiMj5vtQJzQAnUyM5xyJ/VVstUoeWIvr8kBVjQ3xCNdx4wN4SdKN1tOSCmWq19plRZ07
NjuRk0Pl7bNq6t1N1OWx9a1USxvkozXE7U5BuXmiO5buuNNK4nnAn07piuxeKMGv63HIS39myQ0g
MKVnL4WkQeXbHbqWBPVBDhCWciJCjiTVLWvkVJyQJ7XkAB7qytQ2vFkao+bBIblmoP1Bi4PC4r5n
HaWliPOe8qRQ7P1iuIOkkIvGiUHnilOOPDElALWRXW/gnNrbMafYGAGBbihSu72dpbV5dqCXEdib
2elhkUri+jImEGhunfaCPHnvS1WyE0jDVgQlWQUrVCVToodGadLuFFPlnKMOGl1qe2QIFHxx31P9
+kxQxKmPF158z1z7hhZSAQFvlMqYXbmaYtlbsBnL8gVWFg60ebJI1APqgl7N09JD2XBc25jgO781
BDkYW9vkWWrzeS0745n8DLWWF/ECtzF0nMhpaMh7jqK9umzL6oHR6orXrxyrzY19tuRqg9hea7T6
RFisiLVN6vJGHSLhieIyY741Ue1qgNxVeD4D52tnctozJmBwswW6y+mOdI9Ce+cAlzjvqfBYfkYp
zGNiRfb0UKbLeNl15rLHsFT21GDTGEytm+51JvPabWPCzway02sXEWADVqZ0auadIHoq2lkds2Z/
JNaN67KasJ7Vwj1lNixQH/hXb22GaY1Gq/hflAReTMZiZtort3XJ5AnxKYMcL1cWINh5br1UmHHj
QHRe10OqF5bYqgtMu9YiXCkwmmlg7h9H1HpzZ9G5rnrVuaon16o3yEKVW4IXjHdRe/2Lrhv6zaxN
8r3qqFAKL7c2XUv+xSRmeazVoXqsNaY4SC4susmjuoo4ey9yGPMA+AkZUIpuJ/SluU3SrD4OWRTf
QKqNko0LFD717SkmYCqd9IPAMB5YgPIeUrJzL4apQOMl1TY01dGZ/YRlYAA/HnF+yGPtvSNb82AN
uXdXd5Z726RuddK73rohkRfeWy5G7djKum9Du7S8e5QU1k0jRn09dmeMkUmnbTvfbuRMY2PO5qNd
lvX66Y9A4OrU8q45P1nBxMD3IGF9+k2Cg9m3otwxtxOuu/vJSrrvaouX2h8jdWZMmYg7gezpSqSt
sm3yWb8ozZjzgnaZqgldLyenhiiRBBzsZWalm5jdZb5VxPpdznL5gIOwPmYIE+6irqUeMREU08oa
6LZZFOPnMtW9B9nP7N5lGmUemaRT/CxEkeyGkrNxJqX2mjuFCfhr0MpvWT5btBljRtFZnVTnxdDa
dy0WV9xHmIy6OvuuZK7GjTouAyzeTrLF8D7bW9tNSSFVaZIK1heK9rjub7Om1CAXyth8NCqJ2KHA
6+tedrVr32tTTTUTQ+Kaa2PQaP1oHN8WhnY1t5dD36KxUFlsBEFqX+m5jjh8mFDtNZxOzO5NimTz
ysB85RMuZO5q8mEwKfXEXfXMPPa04YyDNcXWdau5ZJMTK38wlqekvR1bQngjrPyXdD5nxyFHbDDS
I0Pc8mjYi7FNna5ilBtXlM+Klr5r+UKJA358PoLxi69JejTvRkNwQDAX6etkF32Z1ISDLy1ouY17
azoVfWxybK1vl9yczxDiIh4uw72wBs5XvN/djcEKQ9nRinCcvhg5HQKdFsO+8JggmXiKgjixpI9X
kdy4rFani9zQ6L+47bAtjIyUMJRWvj0KYgwhDPM3n/sxOakF26mV7Xisig1xBw/NbN0x4PXHaqdM
3sVUxm/CLHayMH2F0saRxaH05n3vmRQVcL3TJQpBBq6RyKTBVWmmBbVZ6dyczHxdh4azBmzuhCwh
OprtbHH4AXtpl51yn8UGFmG1Gu1vObLl0Vj5fqRHdemDLbOLmXzDF4QqyamcJ+P7SOGQ+bOpDhcN
pNmHoprn98I0ikfsr+YxIvDQnRLAn6TFI8uIZgdTQ+LW3gGSr4ThV+diYmTblslhgBv2UDgiezM6
IpHyfDFezcVm6Nc4kMyd3Cy+Mm/WHu3Kq8+GREsWjJlUnuO2cfqNo0yHJMn7L9oC45a8WW+4mvWY
vDCni2i7q539krVmftRTyli+addbo7pXJ9N+q7XCuUyokLRw1PPhue1M2hNj11wZoij3/5u9M1mO
G9my7b+8cSENPRxTREsG+06kJjBRlAA4Wnf0+PpakLLKJGaWVJq9Z/aupdkdKFMIRADux8/Ze22h
PPOQLQZCjYAwPeIe0IRVtwDZeU7i0zyvrMsOyQ4E8vR51qV1wN6MgsckUgpecsIWuI2hbOMZAsQa
E+52Blx7T2TPuTIB+rORM+wN11dywhKdLupyGEuSsiolomRITrS15EbgT8OUaUEJJeaBzkXoP43L
tJsq50gqafpGBpuM3Lo9dROaQLQ03RFKLhyZxXO3kxFcBAC7SS4I70uj5TDbtYBcEfZSK6Rs7MMu
8Fw7Kur40bddefBdX17gwzSjqen8HXzU5YbItJcp01/kMG0ls2mEWZJDVlWd97TiN/YwMTO2kvOh
K5+IwUKqqJxP6zAbhac09j4KkR5yeCKq+KwRkkbM6D9CxemugJcE130l6bQYpd7T0yJ4rKOkI4+H
FINeX/uNdz9A98Q/TZAI62r8aovqxDBiO3odKOTaeCEJbznWEyD4ksc4bAbNgHWIut4JdgxxpTdy
uAhtps4ApuduuI0Tn1Rw+LaMkcpg14vhw5TkmvfYu6JpI58oP1FteMOwY3k/xBlhJuQK5vw1851w
5Ja50D4p0no/DGG9c616PtYIas5WWudZSLP3OFd6eJntgqg/X9OscBLjpvCePVEf2l6fJ7R2d/N6
uHH8+RYAb7cnyebUAzQ8dgvR12RLwss1dRdsphLOS14I6l/Xvna0T5sY142V8y7VQrO9VVufRp0Y
P4uFmEI0xXuO180ZdraBsBGbwX1u3RVYmDvi09FqDtPOsNSOaczHWdQzXTbQ3l7ffXBzWucoIvYE
AzFLc73xxhCax4M6bNMZfg4fPuANtKazduqOhUvvEQ6lvh1Hnpi8mK4YKXSsdT7h72VfXBBO09yT
2ncZhq111hvlQ2vNF3YyvU1TcK4adQJmfiEb+RR+a/WNwEubwSTKtSxuGyuY3hIad2Da9FU7COOj
zPLg2keiQ49ijeplr9qhtipOoqwkxQc3M/Y1FGQ7fwVqr1AvkV7AdHGLjd2MoMkkzHWSq1Knj2QZ
0Z2qS/r3NpU98XKms1na/JYR4bEUwRFCKzJTQRgUZfyGXDwA+nrXGv115XW7ZpLP3bAEt7PqN9Ck
q1vZKu8TOjdxh9EK5V/MSke1ZBancI1fjibbfZg4CRCBM7S7cXEjjUpgD72AhhtTlsNAyszFGDjn
Nk28zWCOV23c9k9EXqTXsdHuPbvL7qxqoeXWIb/pm8mNrGFeyKASn5RirEju/WxfjqNFV6cd4jOz
dmmIYWUozI/zoqxjBdNYZKFNI3A8jE5i7QFVPPQsJSTuTvocm2H3OpFWQDGK6tbriWGD2oGv90JY
/p3RWq9YZg8FSyJKmQ2/6LmDbM4O7xHsnnUJiQfdaJ/NsXFKcvfMrqjPw/pjQ1YbPv7TaJQdhTgE
WLdBrdYutBObpqC1zsIeFlNOj9z8TJjHliBegt2kegNkd9fo/FQ7GemKejvLbIpo8fsHTkvzEax1
uh/s4mmm+QjH2Hlck197GnlIfEFyl9/agrwIU2q3TxPREB+m0sCByNSFQPNmo8fZ3lvp4p0CrV4k
aWtuLRkWMOFeIIhM/T6YFLTXmXmRaY7PQQviGyIox9nikdtBk+ONatOIsxGZT+7SMZ6SZkuYwYXj
nY9pc5I0kG7G3sz2/exdy+zNLkbyIWRLX0bNQJQQnE4cCF+ywZ5etZ686yEbu7csGXt/h4qDbKGp
XzvpmQrjjcEriH7UoEkakdQR3qIsA1NPdkz4lHAEMU5MyI1rZxbVS52sqX9rz63gU/r8S+v7hIxS
G2AlLd3ukAYjpCsNJH022R+UMFUBTXgwrYNnj3Sd4YRegwYQiC9T8xIGdr5sdcBAyi3M5XOQUmLQ
jym/UIwmzBFJxemComcBK6wkOSUOw0uawV/MmZAq6qCsq8eDTWG2SZHlvDj9OI+XsevMNDeJjzUY
IE64C+tu/m4F+/9ikP9jrdyE/9mbctFPX8rXmnjuH6Ug3/6j71IQH4MKjkcTkzOmEgdD8H85VLy/
AseF/cX/EAGycfAnfztUPPMvC7oMRhQAcjwkIZ/hbyWIixTkG4sV+QhkO0uIP1GC4DT7WQhirhAr
1wOEgXXJxFn3zm8xNwzAHMryyG47IMi0PHeEp8OqpvH0WTVNuJmasTymkkDZOYwbjpaGg31TltvU
KhG350ysOcRkSAGFfUBwIp5YoF+9FujEYo00khrac2HSoRkmFZlOXq3dl4X8oVQ5wV542VfH9h9M
OjsRmu41CLwhAUY7zaarLjrQP+fBnNwRjPkGi7tnn27U2bRgFW/SNMDLNvngSQqDsoVRtErjV0Xo
00tn6XkzLWl2P43ZvGnWVssCSP6ys2In8n1C76pkVbHSOt5VXZ1zn2u6TdUue5FY5jatS/fajE1g
fT5ZQ6EeWw4fjAHarjoEZGxTcX1MyqE7z+38lihEWgcmn3ITeoM6SG/OWShBoOdZANa1tz6Cy7i1
UznRKla82lNxjmYCgyF1Gaeok0hxjcSJI8hEK1+9bHQOWReSAasTtZd2iBC+9RcaELCX+HFURL48
hoOaWJe6BDru++LT2PnMm8aMcSdM83Om0cmp7cTHptXJhj6M/VqvkuttrElXcO1Sn1LJWQ0RMyPf
MSByqWBGaJTzJQ0bY9PYptxIx843loH/Yi7QuQmixLMWjrjSxK/Bvtl2Ap3BCpfYhjguUoDzUbtQ
QjaVT8c0swHrUkyRn2CRSIZaWE1Uil6jn5zVPhArZrichjhjherRkcR/uQk9S7P3nvy+fjAJ8aZB
OC1Io4enpum6fW7Nl94I239spv7KjjFlaHgfmBUIqCvQR0SZMR+hP3MOiOnwpNZA36JGuW2re+Sb
cTS3w2Xn9h0daJQxpiYLNmvmfVM5e2/9BFIUn2LSTZDfXhAP6DJsQySpVHq1DIjz2th+Zcn1d72S
fHtNvW9c86X3qSxzGwUSlfKWleBUAAGh8Tx36BitV03Y3NqZvTaS6nER/j6v0QDbE8lyrYfcxoj3
HS2w/ewJtesGiv+6QfCk7crekbmgH8bGPAonDcjbIXdiBLVfVyOOaQaOsjaNsxT+aVQIKPmh7l+0
kzw06RTfe4YiUDWRzs5JGRBiV9vOLpORVhyRjxIyEjfgManTJj55Zu0z/BW7sHARfjZTe2ZWBEeJ
TL+0HNCRzgrorjqIj4iDEyY9w7k5MCYeOufMJL/lGM7OofGoFweerw9mp187SsqtVdWEC68/Ajp/
xFeGmvfZID4SDv9ZDOpxwM0QYV2Zt6JAr9DymfD4LOHB6mt/gwCSCCOmMk04pXRD+KLrNjjlvRWe
DXazXExp0py39McQRPvhVno1cpuJPbxGP8yagNYdORYT1dUt5OcftNAkyrg5eux2vHc8+ZIR8tEt
TBmFPTgHwyHIJU4pMQdrLs5YG2nF07nf4AlewMIpgP0+jBiyTbsrTy87FLUIlRZBAVg1zpHAj2xP
P5g2NoUv31ru3s1B6z1Qjgjgv2NB4kFBC3ph9d9a1kyGQXfWSpvAAMPPdrIgQMDOW4a0Q3Zr2s7J
ruigSyOzNtUnl0PqHUkKZxjYbMYxgd7GJbV4uJgB45PuKkzmVx2P+cHoFl9svDh+SxMm/IqjiMqC
xzCUPfksI49fggY365fHvgowa5UXoGJ4RWsyHWupnH0cqw9YW/JtRRAEY7NkR0P5dUn4lYvAJ5S+
kPE+lrydumPuT4LDSQaGtx3HAYV1zOexuik5xlnwJde9GZlFjk/OGS4ne3qrZwMRc0YLbWzpQyWM
TQOyhL57n/+oNqG5zj/vnbA/OWj/d87aw5d6NaW27/+q9dP8txv3/w5TLY/fryqXy3r5VL5mqkf3
++WbSXd14n77j75XLq75Fzz71TAuqE9Wxeh/VS6O+Ze9QgBDHxMdvYS1PPm7cjEs8y90qmKFYgKB
cuCs/HfpYtj+XzQyLXv167pirTz+pHahPPrBO89f4wTAgzF1AiNEhvEPigVkYgPz5hiRsGQw2qu9
i7IX8lb5LavFD1/N387eH528P1dJ369lBTiCOci6kJ+44R9pLjlE5gFHOYlz4RAPm1iLgWkibvnP
bU06liPypPnNJd+5bdfbE9DJ1vgCEK0w5H++pJeLUkpbkYgI4QQnEViTisHab+zr/3JjCIpBk6zQ
JoDT78q/ghJVxd4ai4MePT0LPIuemim8fp/alfAiOFEcoH79Zf7LD4e6GWITTFigSva7a6ZF0QQI
T4kJ7ecQPsZMECvrnaSrFPTJ4dcX+7cbDM3Vzf0NxL8+xD/+csR4KcvGrMOAsKLJWYXeG11adVTG
0Jz3mQ7D3/xu6+/y3br/zcm+EtdCHNI2kGzglfz/zxfkgWSak5PDOIzpyWzn1ymNm1NPOdNKL7wo
GUynqt39+i7fPyzrRanfuaLLNZGc/3xRQiYncFFyYvy4yoJKnw5FURe/eVj+eRVhmpimschjaAfa
9/NVkMCV+CsRfTL+G66otrJL5FSvv76V90+HA2MdYet6IDED236PsUcxLJZGozJuPEs/hmM+3+S2
XzM8ArL5x5fCl88LveJF/3k/rZvIVI6IS2SyuggL5NdehEtufHZGEuN/8xutT9rPD4YAKOKJ9SQI
CvA9WASaDrJDpJxRkWfuYZ2IvtCO6+kLGv710ucWEWhyMn/zsr1//vk6YdZDjxTgTEBfrX/+A38j
6XylGuiYa3ZUd0uS0nQCW1xdOE2jN/Nc4W799Zf6Lw8J02VIfCyT5nq4/PmCkxSK7IEaaV+sBJZJ
Jz6KYJ5+81r/+1U8rBKsjxyw373Wmbf63Esm047d2FEnrWQ7hQSw//pe/uXLAy6BVdcRTHp5Gn++
l5iBNdon/D4jDu1DnXvGFWm7AROPQH1N+0rd/Pp6/1w7xMr6ZP1Yb4wWwM/XmzWO37pRC2ap5ci3
vPqqQ4WDuH9uyNWUgt5ep63fBEf8yxuHKhEOBh4Tk43g3U6Dz4mTYEX0kujmYKd7r94j7+XcaxC7
9esb/MfPtq5R4PjXMBk8ZsH6UX54GpVPEBV+YDdi72svxyWhr1wxkPrDq6xkXuwtEB2AnDvhu69x
MZQpXat0onzOmD8apTFtOTha9396GVYpEzgfCjPsPu8JhFLR6xVd7kSzz/TEH0PBDk1z8w+vAgOZ
bA0KLjbolVr681cGxK4LcpeHPFQoLO2Bs0xbV79j6/7jGeCNXem23roSfjcs/fjDzOD5BkGGPAmj
AjkT85EbgbZ3I5lR7v/0htZLQcpYCR82GRc/35CJCWEeJbpn7aUc5OayN92zucnQSv/6Qut29NOC
G3qQXxCPs9YiF3gPV9KDgOhhL0HUN35ssabPHSo2t0RkY5OEvmw6e84xPWAxwETiTnkfiVGK6Y/v
16f44Ln3LJOfMHj3A/K+OpKjDeGIE1nN53PchMgpnbKpf3O///wNfZuUK1aPFV0DkOjnLxZRMJZg
XDdRMTH5wAIcMNJcGORwSnz49Vf7j/eY9QkIDO4Rh3R78ME/X8pfmN3rEuNmOyzNdWC41bHOgTr8
8VVognLICLgKa/16wz+sFszF/HEVO9GPqUijzZ0WBsP4O0IVlrx3DwrDlQDCJncEoQp26bsn0ssk
UdvBSMA8RKYJD5qJ4NMcU/UWCLxqL8x2JUKAQFGfbtEdxn6ALpH8rQNzS8QqKPiCcm9PSrF8GoZR
438mnHhrY4cyL7KcFOPAGxyCweSc6y9EK5K2h/iMyG7Iaaa+T5x2CEjsq5DpLFJNFWyExMr1uTnF
5HxFbeqoIjtvw4HRO/b7YfY46Ndp7oYYo/tkFmfKlmF2K9MJWe7YisR3tuxnarj1JqKxiR6RoUuo
S9Vbt0GQdTk2Pdkj52tyIm3wrs/BYXakTk+9bJsnL61RdBMbWW4Ud9dck8FhBC8p85yCcIUyWCIX
UpC3GQYfTIg51114zLPQqm6W0KvnswkQen5rxG5GCmBrTNMF9fZckoEe9DQIyVdsQhqhYzlVGJPt
mD019+pg1yE/9u7qdorTfUrr0l1dPoZ7m5cezmyyMdStRGoQRmQ7siZ6TTvSdGsprqI+F8hCkfPZ
1TNtjcQ8rzsvdx7BnqToAemlZcWnIiUCedcI2H+0g2mIAaHw+pLgVaG6o3aHAIWSVaPRhI+YfMzl
KGhu6gmyBI6O7NEEg7Dg7cJ5uHXxuKf053Sd3QRYfx9FahcMqxfkk2eDDuBZtMNkbgsy5mkEF0Gt
+dWGWZMHn5Up4hkgDLdJjxoQ1wKKxK1f50VFHcrffpsaQwYqhwQCGTmlRxJoWvjwQZj4F91Vnpp+
eF41dnHD+N/xH2ZXtPNZ27qVt5r8yzEsd5qxt5sQ8k3Mb7/FSJkar0gEepdRrGNO7ZWWEA9OY4ZK
dtcYEBLe4HosZ5rxFvq2pgChTBOXg5nLWl3TrMqYJe6nUnQauZjqs9dZe43jbKrKFDrceU7TOe0x
R8KIL66Na9NG2lgqlPq7RBXhGGxtlZjDW+hgw7lwhSraLzRRdVNtACaFS7J3Z8e6MksGgOdtk6TT
btC+pY58iPZzbooKm0YYZDeiNNVXo/URCIV11jEQHcNg6mkLVmV9w7TWoms7tI4zfF4k7CNUEpow
krNwIsv+1RxLuzokfVh0W5vhuB0ZuYeCvaplRxtbaulFGh0JSZC4DaczWrfF6rbLVHI7FQ6qPKsL
h/By6tKmPaRJWb8JXqrhkHa8w5/L1kkxgRiqOgEZMOcLFOlGsR9FM4gzJ80tcwfv2xtpaXvDVcek
ODmhie2KO1HUvrvXpbTtXYo/395ZTppMqLow0aNDjYn4tuJ8aHa59N1wp5y8FIcU40+zYSVlB4N1
wNdAFjshp4TF+tcTPIynuajN4RDwV7o7F3FqitgDbc9O4Cuoj52NhGLTOWYPQ6NtUGUJids8ilHa
fVm6gBjVEUhBSiQqQtqj14/V+OLlrmrPUk484TEzdOmcmrZM3Js+TEb/AwEofXY34rxoznxBqjpo
SHisPEJJ4e3J1Aw/KK/LLs0mNCBcFbL+YlqIBy7TRs28mh2u/l0ek5KLcdUVxb3Sgqm/YZJVzQ/U
j5/cIVzhDnmdPtSjhFNVgQ2TmPfs6iqfqlFvektkM7kMNeGWFvIOL0Kbi7B6zDHAbitgHmjTeBuf
68BgKmvMRXnb9hrtWD4VxlU+5+qehT+wAboIIzk4dIaB0VRtp9ds3vyhyRV0JDsRk4YKHXvtHjG0
bK7nmDRcfr/Ob/dtpr0SiYohxK7xJIy2rkLPunetRulNPUkdP0NnglYy1RhzL9C0GvrKGsPsrGa9
cI+1BcOBLDk7q166pE8lsOQlfAF47rsbG1qN/1UBZUB/gYC0OxHDrbEpE7Vsb1UvSuPCx2wEkLsq
Cv98AWXgrUyLnlisxZppyHb4S3au3Xfz3hwGa9li6Q6GTQN9Ah1MOKPBT4hUXc5T3hZrr9f8LjKm
4H6dK2TbSFaREZU7MbeOJHzVjOl5F4W0H7uOoFVi6t0kPDfZyiFgAKlggE9TiBoFT7jaOxWNm11u
N+R3l4UyL0mWT/Yw2VyG/gOj9H1DXlDOAKB2g48DGFDmkUZp5udzDzEo4pes6Xek/Tcn6sKdjElf
1yS2z9iLvaH2FoYhbvI8xxatNCJxcnMTW4zIogW2QrEBkVZrOnk28XgLRvJl04S+/lKTGY9iNpuL
kQCEyqfGD53xOA2tZmQ4p7aKahQSyb5jD/iYQQa9l0SNd5vSwIeGBkUb1w1aAuSLjRzGqCCvp4GZ
N4QS3rANj2IOyQ1i7XJBJwXpoOztoCZiH2k1yq92uZqmOvRrwabty/lVNIpEUek6I7QmrXrWdj8R
eCVMqxXbsLFasiJXrs3RLBucaJnNDLIemrYC+TYW9oZFN4xZkQf/g+iqtDrLysrocSlZpWYKNsb+
hpj5+Zau31xt/LYh013bRiP2GDSLU1d4TDbharhPwTJU6GZbi4NpmxSm3DpDT9x7mcfjsg2aGq/R
suQBnyf1LIT1EhmxwiRP4DMDBBw1cACwhI85J06opfWzzdbHK4/0hkRkpQM0VZ5y3tJAI4g2Roe2
FuJ+ZGIIwJCBoqtTBu5ONoOtFrLC6bDk1SdYUzWKY6e2HgYREuxQF7Y61yZZvsxUJOhWv5IMGIhi
DhA7WovY01uYBAVSoZjtNUlMFrlnmyjrVJBLAGtNrG4SojmT6zktmIR3iSg7JwL+NYwnVUm0Qgbr
O9hFDPbpZY5GCzmXGuV0by/l4KEgcz155Up3GQ6528mJ7HWGkBH+XR8Be5eH+amhlugeKglDnjcN
xl127jOQbwJgJa0bCMyU8WQu+9LIBHojwqs7op+cOfM+w6Ml9rgqbQXogJmfgh4Llcl3801jOG7z
kbLFrrd6aTHbSDVCpHKNsmc0KgMcS37iewwGjZmsa/JaOpzggdfg2Okx7SKeIkHe5ST4rAxcree6
ANXCxbRFV7gO5lvRo5jZZvhSigjLQpbvdez385YhWFZvafwAxaLogpSYKglxyVd8BTt+Ge+8A6jf
HnrSIW6BUSPq8bW3fKhTD4KYTFSviF7T7p0mwO/ca3N8gjYr1EUSo+baJJjqO2yfwJ+imNBdvRu7
OBye+8R2nmfOtjxudthbxGt0FUB5s8wRAGZzl+z499DGACqKHJX4b/T6feZc09zj9zAddZOS3hHT
fNFYMpuWrTEy+sq4MrUZMI5sq5iPx8jb3wz0FJJda2XyOTZTVhDDAMIZgdOaLJTd2dCgT5f9J82m
Pm56ZdgyGuyyw5VcxOMHJdFIswwTxhA1VuM/tHIBa0ZyJk4WG6aBj2i0zMwNhase8ICibz7OpYVc
oFhUhefSdoxoHgwPZ2k7Bzc+KWdm5BSgyTZOlspn2840AldvmDCTi6I6+lUTz1yd4Uyk+kncWaM0
SohXslDbhXR60rFTNXzBTgSEL5kbXkPJeFsjturx4CRO0D2hmU8/17mmZboAODG3nNnGrwg3mw9+
Jv2jG8fUUmYOQhymJInIm8TI2wtEyryr2IWmdb/p0DmUEsF8NPRBQ9OT49Cn0eiAhlTutEooZeHv
psJLbyZWuuYxzLTyN1MaoDtNQVIFW4Wpd196gWnsNcgdiCCoUCq8eh4eypWz2W0GW7Hr5bNcbtHA
Jh223QA7qDEkyXkqK+NRgaMwHxthE3OpdT5cL8p1bqa2R6goUte4g6WTYpYyB38fQke+UCbOq6hb
LXArc6l+hY1W32BT7CZKbDSkUWv7atm4fRrjhbCqwlm3gzjGuddjZZc+B41beh7jl0RV1deiGTwP
LX3L7pnhP9Lb0JqqTxMpMi5brqsnxB/xMFvxBqsUAocomKsFZ16jK5ZpHp8af0fAahO+GDMpvrc5
hMqFj4hoe94HmTDzR6cqK1R0jQ07gRrbgS12nVYGVtkId2KrFJQEFAasYHHwBClreRwDXq9dUVTe
sO8bp0AL3Hnec9LK4QG/KF1jwSnU2VowOgWPkpzBFHSTEPvZsIbTtFC0b4Jl4RjC25rx0Jm9Txgd
0L4u/aKV0br4scTyaVJt/yZBQkK6C9l1eE4Bg0aNofqWE0+So/NHX3/yYBxiH4Qm35G9WvqQRTVI
mN1S2s5TnTnm0yBZvVlsC7M8EI7WH2VVOTBcgSteVWjnS36HBq1FQKX+hsC8Dg+BSPPnxiucdNt1
FRbNxs1w8NlL+OxNvdHcED024rJGOOU1r33GQe6hKBmSfeS7hXuTGyNQNNTpMo7yqfcf00YzJa8H
hqCQRIIu28ZYEYZ94mL5P5VB7z24vt1Ph4lSEM7iQDchvIWBmeJlRzaEkinIAZvYQ2seaMhCGpix
IO5wjVCsBB3kSA7KOZH3NJsoyOvOTdBXYhKwd0M7eUdCaAom99SbLR6GaXlYFqP/mPhh60T476xn
MXv+JRhsKyc9oWOryEZ/eBozbba8HKbydjxx1A60Tz32WmSrdQQoua8j2sNNt1VaJsVBwaTKI78Y
qs9lOCysfExpp8j35AjOowvacwepx7Sb0zDA1y7K0opQDfefjDHV2cVIwHxHG0QEGikKwgREJmZ/
p9sSfp9liOmqstoy3Nm1MkI2eTXdLV2GYHypBpQD42AYGeFb34wwvQgaHsMRzXYwYtsdBhrPkQeQ
W13VWYbxJ8NKHlwMpZU8V1rU8TbD1N5FgVfaD0YNvpc1lGIXwpm/1m4ANU5Z2U/TNlgM+UTJN1OA
puyhGx17vPwKsTeiFxcWXuR1q5A/FyGJP0Pv6s8BvMY2wpQ20OcJrBzuCnt1s+W5ZDmspxBYl5GU
YbItEoylm7zPio9qZJmJ2tmlzF7MBdGrEuBpZDJ90aVaeMsxB3TnYzMMbzyXhP4RBhdkX2HwVaBZ
qI2N89jKkPX3Hf74SAzaKo5C94jUoFOxc0I37Z09p17T/FiW7mqAdQhJ22mzW14nlbHu9GVq3UA+
Geuz1fv2QqCtpmgaUPTpCEfObMSXxiwmu7xP597l/VL9LA9jQ0nSX+HMnu1trhbb2tYLJ9XPNA5k
+dGU/mBtEm213aFNGtpUWIM5qz/klHGKjW+0feO5cM0svWeoGLgSYuiS856mnlm0d4WDmXzj+RMD
FwU2uLkUKPG+jlNuQNgjsIN12o45LQc55xVUdtlFvoj4C5EO5VeK2/6lGcLU/jDETV98lRPV9560
YMifll/b1tncNrK+T1EOqYNdiC598DuG1XQBlPzQJd1dlc84ALwBEmNE2P3JqRqKXWkgUQzBC8SN
Zx/5nj+2pXWhKn1NBMtXzrv5Nm2Ct6qwpxcZinZXiiQ8+MF43q4lp9FYQBpAu+TWaLufMU3N6ek/
Gl6lGFYn0AdtWNV2aDPjxvCJCNl5tsTj4WM3QotntOAXE+FxlAlowR7sdvSu/0PUU6w1xz8O6BWY
oKSW5sCgSPbXYe9Y95zMLBBGPfKnaMbBdNOENep2Cq388c86tpzWGIYw2FnxZSHDrJ87tt7kTIio
QK8il88vE/amrdvN0x/OobkKcwoiVVaFCYqVdx311vewguF+iXo30OecTCr08+7vsum+aR9+nB9w
mRBOG0QA2umubb0bd7dJp10bS24UjkYR47JlK4jiwa3ULmjz+SrrXHE1BiaFfp4o41GwC301fYd6
5Nff6j/60wEhbrTACdyxTCK23nXbgSB6vO8+tE2e4Q2+6hSxahxuWxMc8J9fyjLJ8FpzZhETvLtn
THOuZRhcikK534wdSeSG2Zq8E8bf44o/0mX970RX/6/FGdhrzvH/rBl/xEv69ulH1dW3/+C76soB
AohYHAkVmiaTdCV+ge+JBnb4l4cch3wXoFWQ4Rjv/C26cv9CaEU6NnKtIETsskqh/paLG9ZfsO3J
OwiZPqE7IN3rTzRXvF3vZiXroJPn0ONzEKmOCuznN3wsMHnw3twx6wC3pbOOLoQ592w99CmNyznR
9wr/JfCLusDa2rBIXnq1Q54XPcj0xaC8nCKa2iAxtOWDyOrsvvAIYLTwPhkQWGiWSGLWIpqJC6WU
RxoGvLNlfDaL2pvPRrH6Z0RimyLqwPc9DF2H5comX13Qy0/LT7NfrmsghZe6UK6J+vPgpGY3jiuI
aohvw2XxA6vYgHlDx+zYacVpL/dt7R5Q6jS2Bbe7U/P9OCdpcUq8FlLS4JfuFHlMPzxUxwjZIb7I
7J7Okq8PpmaOuBlgK4BTbe063U35MjEcyjqVbswByEGUlVb5PPYGprRkqEzUlzbVzia1Y/nV7G33
WfmZom9ZVg5/RPsOKlxSgW5oewpKeymEvzFpCKo9DYQpRILLohVhH0hkZOPdr3YlhRTq27IaDrEv
888ymLSx1c2SYDqNu8LaD6PpfHTQlD02dFpRxCa13gO2Y2pVJwxqo9Ft5KEwXb4PJdomPMmM2TRg
HSi8L6CS889ejDIV5o5a2g/ZOI7hi20azYucijwHAovIbDunA+ZZENHjbupK70OVdcsnTHU8J9Cu
ZpqpiIw5FLjjBBynKdgvR09uMcV1chvQIKSgLp38QgcWVVZea6hZKlBMcIStalreaMuvRzf09Bbx
FvtwbkzA3kvYTxeM62x3q5gq5Uci1N2JpprFxKxKOVlFAHHZ/INExAbIamcipMVCbARsbrH6fU4r
2dsYFSe2Ldsx4Hm2mQUZsWJ+QufQa80t4i2M5PlErPDOqhxanXJu0y8WvTSYx8mCGZhlnCiGkUYb
x++R9hDWh1Wk2I6juNIcy4toDI1QbydLdunlWou9Wk1l3RC5V5SHgjjxN9Fi84oGBHmQP/CSP2Rl
YN+xGMcjeJO81Db9/4w3YG3Exg51cYqsNn6ByxwWX5MSDgzhi6O/9GdJlvB04NKb8jVtwEMNXPOG
55cGcSRUH/3IeBzL7jrFwKG0EcwWrwtylCEPLgx3Lo2O5YBA83541kgxL0Mcb80Bv+iY7CuIBd4u
KA3w1FXggiTDapGd26WY3mbymij4+s6znyCdSYuTWZMWeOTgCpwtczsfHGDSr3GXBg/pgiULeyC+
RKaK9EsNv+hCCOBGm5+6wOgzrKvGdETrk5iRBpQuo8XDEDllfr4v80Ye3SLX44Faa3kYR/pm+Oft
8Cv42/wqjNUyX3LGUu1WO7Z/z7xjfDEHSq3VkEmAlbbT9Gk0CYDdpnZQwgN01a5vVY0cO5UdPHgz
bS7qSip1B0CKPqMD9djbMZduXkA+c1Jq1eC8pJUvgcshGuEwMVF857kP01fEpn8z+jbPHWPzYFtM
jcd4LPRy8H2xG1/h0aQg1qEuzv+TvevYjlXJsv/Sc3rhzRQPCWmllJmwJN0rvPd8fW+yqqt0eUnS
9cY9eQO9dTMgiDhx4pxt0EwUC2MasXx1iKFWrAKuHlAKVBGksyBdM34XOWhctcO1QovahMCA9o+8
BL3UMxkIIEO0kED/8NokPwgQBMpUHyAmCJ9OkEyCLycErSBwhdr5ENQIeUxWjge/iVEkgJhNX+qc
lDEsIONVDZ0NOGDBvBM6DCgzsvD8O7FkwBNaFbIj6DTwQgF2jhIpqHH3dRqZgMrgd1Dmqrr3Af4a
BQq34oBQj6pm/ymJ8IzRedgpf5WI868ArQmf0BWnzjAMQ2pcJ2SiSQPKlcecK9isUmqm8s2cyCHS
yieh9MWRfQZtLGGKe1sEpaOVR78GZShIoEojM15XQCyw5CbIIXQe2pGgiJdwx4BOooxH4nkNwvrT
eyOk2BIC7gaT0vrQm1Jpfqp7Gag2+G0OI0P4Ol2zga96SVvi0slBylPJKKLZzTA9GGPmZH8tJBQ9
UMCGZBUzT4HMcRVQbxD+QE/ylh78f6b0XwA5P8qUnj7C/uMPp6jbP/hHpgRAFFIlQMAFIFFR8Js1
jv+RKQEs8t+wgsIf4br8T+T6P1MlQNAZIMIYEhc5WP4AFPmvVIkm/3tOt3gSmQ0cPwD1/k8ypRuM
6d+3B4IGB5AF2J1cJEgwqBMJciApp3Cow+CIx9SkgWCV+V3zTGxcDObE/94YCwQ161fkEEC9xeFP
7T64yr1OvP2Y5+M/fuMn4H1x+fnfxwdO68/8TpDikMCphUakI5w9p3vJHRhVf/rf7IZvFW4ud58e
Uth/DtH3nABLthqankEXHxv4V6ErE1Va1KKWD8mFJldTqRrspCfMka5rqx1Dz+xrEhEREotzXZo1
UKZBh6SHEEecFCDDcTXKwl4cqnTNoCOWQsJ1LCse+p4lpYpdkegN6ElaD1EsyBRGhdb2VKX4UkQa
Ehn0KtBOgsYXHnRiKhiPQHwuMKiKF19ECg1ruhH9L4ps8m9wYZD8FRxrom+aqmji+SCTp6kqjfCU
hKwr/GjEpKhw44dyYIBmMuWfmzozARgoAJCQeCVKWnBpxBiZRAcqNUB5kuYPaXKEUsxXA0kuyMwE
bXShw5LTxVYSL34FLRcUmVDbLcFdJvMWgnTAbhigCIA/LtH5K1oKzA7NkAKNdvC3QB+I916dEIiW
KWQRYvojHnrCaBoxVLumptwu4LOnsRpZFKXCfpdIVeHEHTxJCJAQ0WSpIWgdgdPTpKn4JcRtrnIg
JStovvVKHxC+FZNCZsC8otzR0NNWUEeHphTj+Uoa+ZSco4miJdBosiKmfEupsHMjmgBCkkpLY2Ot
zjDcv26Dv1hAR0TbedVQUo5AOQTrhsKumswAEXtAU5QQdjx/6kOAdSwfbZXHY85r9N6QC2ip5GUA
wqB87qRM34MPCj+QZowjpWqLWR+1pA2vRY2WCKgtiP/aiIvLf8vmQguqHeXgBU1ehWgNY6DcRm68
0I11ce+NFsUUYRT8cpw3PLQTAJblkR1owzHF6xCtLUE0/RxkO3SUkQbIZSfDXAroh9CGeuHUnR9P
6o2yc+8Z5kjxA+gn8WLJISmGDEIZokNYP/WQ0phqSUXn0AXrV8tSaZ/lDNpHUazGgvAGLHOkBdWU
29XEKlNqhDMijnoJYFRdguyaEGj7TkL+1hPFDhFlY7bmKHjvQek/H1RoGuAuQBF2EuSSaXfq0dtm
cWsJ5LDecb9a2tyYkfm0uDfQ4hThRZ/hA4jtOFFnVNUTUmIvwTWwlV8F3CV4nUH/MBa1PNgJNlRR
Q0BaoZX4LBDHpjWr9FLE/xE0/d/nweKoqZs6J6aRGB3WAHmzhfIU4/AFBCBzTeqtx287n9j33nZJ
LKFANaOoJB4dRm7UeHfodMIZlUjl9rHbWZxey6GSWiCQKvDT1kDrlUl9UPalKhnSqdQvgBVao3ZB
a2pvwx1KbndbJ+0CI/qv9wfd/o+lKUJxCIhIPBolQgldA12I4l0ouCt9rebfDKr2vJL1NhqzcoiL
6ufjGVnJIkhxseuHEe33iYsmB4rtKP+W0KcZcCECpp2r9/kzGhfTjhejDQ9xal6/d5bbXyqqkBpB
pQFEWtHwTZT+5UGOFQlxhrF9fWsu10KNuMDzdj4HeysJo/CGZ0Cw1aockJyVwvQu0nNmdraoF4qn
BS7kw61oo7K5qFz9+wsuQzbM50kSmi8OWIu4NX6E0QFcaECweuQEwR7+eIrAPQUSGucV7sKx2nJo
o8gsvbG6b3yAe5O7iG6QD8rRx80nJ4OSctMmV5Hk98CrQ/sAslozxV6wOmlX5e8whVFnZbMsZvUE
GtplwM/eOokW4rtwPRjWzUdSwZah4QQtjXdx9oaWripKwG4Nk1OM7xP08JH6AtUo6ACC6UwHxaDa
EluLiJw6P4vZE42GV5nsyolR2twmimtNntsIW4g5hdxLhIudP+EyXMmkeKLxhEDcodpAarA6OFPj
gcHdCWJFKtwIhTEBU9vyptdWNABr2lFJfoxyYNwh0B2Azw6lMI0pDfCiVRDXZSY4+mwDbHCvhtCj
hTqlDxuejDcHDhIy/RnpTj+4Pd8qhUdaXB7iQ7EjWkAXfqBeGql9Hzqc5ID8alA024Ok9RVQrVuC
tf142y0c5/+1VoTFtpPEMGnaCWFXNMIdByiDm+woM961oZIdKbPRpg/xi3SGZ/6lcfsL7dQbAX8t
zixZAmE7dmjDYWRoWeFeCpXmDK4AleUBOHPNaV+pfXS87XmmxtJFIW+gT49fmlvJMITFtqSEBjSW
tAKLPmndiZEUgJQ0Cd1uGWVdA1TXI6xHLanPZba7ZgXwlwRU0EVa4USDbZ/8unytpTOIZVlVvwdQ
Fo1C2EkITxwHUDbo4ejHwuYd2E9ylGF9UJJaAlWGosKC7OBUwXZGAe+CtiLlpu800Q90ADpdxFw7
gph2RRQKlcxydfvJdyjPBjRI9uK3anBI/uC1WsFcIAwOVStzRNWGD1qnpZGw0nIRxxvHPrNyZbmp
qPxIUPiOHiAZ69NQg1ALuLy9joRVpfpotN8QQZwl/WTIxnFyeYHoqPT2gUcUD9Uz0GCQ5EMp74p6
1X42KqsUCM0NDgtcn6j48dPjT3ijat0JMdziE6ZTG4AJQ1DO0BqBPo6tkqJyqEeCygm7SC+gR42a
52USn2MD6BJueEGILxQgUVqFNnsrZ5yyPuX8gWgVfg/t7sfPtbaqxUW+RIrEIKJAPzltnaMT3RkQ
Pw8oVHwzEgV+l0rfmtjECkMl2xZRZBLQ2cyBJyNS5/ET/NlC+9eGFhd5lNenwEPACNRB01BJB8gY
OAzY4o9/fHaZvntsLpKjGHlLUUOa0gFCiXwfomAyUb8DzqyDDXNUSZCf6jxOzylgBCt0oG0hYCg7
gSQd3rYHPw3teIVOsNlF6BTrFIglZu21nVywElaKDzRTWRCpUoNRrE8SD3hrQ9VnkMUHbL0uab5i
sIy3zOJX3mbZ+4PvGy/CRmdykOiNnQmpcBmFQ5S7vx5P19pJLCxyqUFM2oytEGhGu99Leq5wGqEA
yom4SmnfxK9QD+wtsjk1H+93toSwOPbHsEALok5GJ/CNlvLeIdKkkekJd1YPLlL9GUxwGcrmkKlg
q10eHSpmY1WsTePiuA+DHk6PIJYBE2CgIZBAyTwnDhVcGB5PIzNvnntvNv/9RzCS+i5PfIDuHKjr
vZOa+PZVW71qQcb/qqf2vN9hZIt4JJqZfES5XKHVL0ppDEFtP+NPZDu/Hj/IjdJ+70EWm4vvikYC
bmx0Yspl+68x16ncLGUhfE+v9akLdd4Qdmisy6JcGYQN5+rwKXIJ0kDdOSVVopCp7/St880a3n92
u9t4rLUvv9iVAKX7RMdGowNWsCxF77F4bSLoz3fG9B3HldL7gyKVX8y+7A2usKdWDQODhn4xAMCE
B/FFlavtKdBGwQ2BdOa2kux5/DvTxc+Xyh/fDcQXJmojfDeoOMH65aPVOw3CcC88st2/9+pLCiDc
4eHD3PFY9E6tQe7wXLulgYQt20VqZkou/1oeIzPTgMySaSO9cir6kTp13Bh+TpPuveEifULhFRbC
IyLImLxIAVq7kISJKxkeNcC68zRAXATOcpUJYBYhAibzlZiRd50gwQfVJ0sEGAy2B+EbuDEqfC3q
TxEWX6PTbuRYzMrC4BelDo6fAnAWudHxPFLjCLc5NFyzn8ZdVQM89gwEJwyPGHiPBp0OYSPf4CsN
UNcA/a4Q/mfomOhirA/ZNctNjrFrXiVg1ZNAhjHp3Bp6hGmshM2xzvZBxUI3NlYez+vajl8SITMh
kwhQ1Een0gdV1MBskDuVkwUVDE8VMUwFVFIhZE+FpZXiW4nMW7xqxBbcRpTCxp1Khimx8fhhbhzP
ex95EVg7MEjGBEKZzhAGuwquD4L4lk4WIZxC0oSDrdIy+wr6S+D4aUXKoVWN3AKKjJA/hMqHLw+N
7kfvU4vTZcxgWAtZJg9imDxuYp06Mad+trXviGojXN40Wu497yIexwTcwftq3nbIPRRclSiUF+Da
9lnuIxXoRuiXohSb7Unh2Yc0sqRSwwbB/qbVcm/oRaROC1Ba2glpGZxkWpOu8JUmtEdVWJxIgSpa
OQqoMtxwrvVLvGdNiGaBggCMPepcB5gEj2Y66dErtfMbbbiMGn9JT+m3t+eJYwFHk5rSxI0Vtpao
8YtQnkJrXPREPKloMOqk+qagQ/VSYWw88wHqT3agcerGApon/t6sLOIzi4p2lLUYK9w3FmtzavJU
OKKdIhUglPQJvjcGeOi2f4wtSJgpxE5St+juc6i9M/QMrvkZgjvgDQAkxdC8zTmooKiDFpmTK2xk
m2tlm9sV60eID0sv6MBOoRyJkpsnaKib3Qvxm0fRyIX3h7jVQlnJarlFnA3RxxJAKaPm6hBE9lJB
7asrYL/uYEK2hLYEQUWv0qyQ6vPa46+2lk9xi21P9fkANw+MGXQGCeug4URj9144BjqwHOqRh9AZ
yp1AwvPDV+LPjVFX7qbcYvOmrUeCyQIZvt4eoRMBPdR64mEWDyyNxlD4A/PVdseQy6yc38HTG36O
x9YCq6BP9XwjoZh7k3dXzWIbB0ycEQOPV88Hk4ePSWnnnkJJOlpHoLhARRC3XW0kvukjqYOsRnRq
6KsQE+AMltIqF7hTqfsm6WMfqzwLF6KTCAmd1C4KnYEjKnA3PjD7JjgKYipPbxszt5JtcIsd3RBe
0tPzLmMO3jMkcz8oc3yDzmO2jzaWxNpmWuxjGixC9Fgxgnii1CcohB88Ga5LGyFprVrILvYqPNvg
aTHv1ciCEcPg5DsgqvXOYtTaDWHurTeQZlYQJ6zxCHPlQUk3Ft0szXrvey8liKCO2dNwAaGQxsj+
PrwyenmGEZedGaNZqJUFMtZHcqR2vNxcCZc/5kb4PCjdVbLhXLnH6ld73XdRvrOgZLwxHWv7b6l4
00DeVJoSPJR0gcAAUCXtnldQpEWAfiXV3EK4PGxlSmtd4KVqEA2DIhIIfMoBAxxkRV6RzsWVSVVK
i9xw6xxY2duz6/LPYAzILsiS0ElwOjXWUlvSaS03Er3QM1U0JpVXeTk4j1azA6TLaZTAbQxyxx1H
4z3Riue/t03YRVij/Yrvqh4PweixSWq/IRSuSQa8vDbeci39WKqQ9DTZJvVcmml0KB/ivWqDV8Wn
UClkaFEqYKWohP5rS9RiRoPeXbuLWOWD8xJL85eDEC7Ym1PtohQRKrCZaxTkrOC7JHZDXAIDYp6w
owhcWCxLW++6cvW99Xd+HH8BAbuYYs53/CsoXWcY2XwPjmDyF/IrfyIM8KOv7SX5/fjTrVVfZtDt
z/XjA30kVixGoxXR4O2nM0A6aFycWfxnUin9ECv8AbBBmVZTtdauwPMoovZ48JUjgVkEJ7A1ocwE
qL4TyzAjVhAJtK3TnVmZxaXyXzPWkcjPS7LRK9RcDQgS4wpPyuBsWKmWniFAq/h6rQHcYDI6VHW1
CFvmyMvVB63mOoT3D5w77NAiw/VLJTc+7u3V7uROt9Pxx8eFeesEBiseq1NJLdMHp73CncqGp6lT
WKEJLKTGGi0gm1p9hbWePHznjndo9dQZtMYwcZO2aFUwaH3EKdGbgeXrgvX4a9wEue492+JmNwH8
FwO4jia27pud02qtMZkASRok+oWeKrnVPjyyr/BzcAODN0Ql1B+PfKsA3xt5EcQKeE1BUgOVYVLa
tzHq3TDRUctIARhiIGSIGBSpC3WoptUhIcIfpMolcmABYZ4ue1e6v/hAklYApcrZtS10+gR9dlQi
ClAMSr0nCLWO9TDV2eitBDu4VoGlY7jjhA6VZA61OfRyyYMsiL7479YDtTUGruUKB+q0hc8qQCEH
/5zDq4UBlUp+/MY3+sO9N15ETCYFBqLjMNetwunJoTQoHQ0irX32tRdUm4zBYHVSp+x6t7XT1+6/
t7L8j6U3oykEkBshxoxGby4HxpXCd261ToXSPQ5B0AO1Sf4NjOkJutMa3BUNSCirz4NWGIDrWYF8
2Xj5lfB6e8IfT1KUIQjAc+ZNHSan13gD9ruHUqFU2CZYtQr7Dks4lcfCjdyNEdeiwSKPA7qZSL15
xMIHX144RIQ9yUfGM4IaEBzVrz8orLxU6ZRZzgMonY39vpZwMIvwSjLwiYaZHLJeudfSfWznisWd
NFpNtMvWxl0rySzVMgP4y/NUgUHgEoIGkgs1cu4raXdNoE34whQ20pHYd9YQgZGiVpw8md25U1hw
+0iZvlJWnMBES0U/kjx66CnoMAHs/b3YH2d172Zrza989qVEntD5SUgNIuVMX8QrrPawoWm5+oXO
ykcHOAKM6mGSKo8Wc+kt9rN82fj2a8Mu7nlgWBdNNX/7Sk3P4/ekFghqwRzqKQUYNRxrEQp5vlpt
LbY5at3Z27ej9sfyjtIGlSuo6jkTTu3fHnNpyxO8xBDVT1yrYm+hbC43lcoGqvS08ZJrYy4iKN2B
LQiBFWTbJ+mA/lpa68EvIMoHuYUkOKj67xUiYiycR94Nw41i7NqgiyDWQ+DbG2oOqKrhneKuEnDC
STRuLZd5b96bxsWttSFgOFN1mEYIYEBWiHb9c6HHLnshXysEi+vjmVtbHYtUbxj6KucTHht0TARc
yKGHUAbka9FAoEUSfSMH41+Gk87GcGv51pL64wkcKlMRxiuvAuT69+3eu5ZudAD/AMigp8qsnckO
rUoOv2sTjlA2raP1ojbPAfL2x6+81kK6XRZ/LFAmjGZaMxZL/82pnouLIfMaHWGgORmQFSi+Gbs4
V/vgxJ//3oBLEqA0cAkPmUektHvpS/KeWuhN48oFTXdJ5n7TL/QlbMFPUngYIYON/PZ42DVE3C29
//GeQQaVlFDECjp0l/zczHNcPyeHXk2t6Vuy/UsG/Q6Z3uUaLAZ43EzLQ/Gcm49HX9kcS7VruB6w
rZewwFWSASxjz0F5bSEb9PjH1+71t0/749XKXoLxD7w8gQKi7cYKtVwBumkujaJ4HXx8fJDmpE3a
nCMWG2fZ7UpwZ0Peyp4/xoQbsD92A94Ic+kEkQN/0cCTU9zt/R19TN9LVkaxUekP5Iv3ItiNqGTF
NbS4c9+boHMDcTOhKQtVFCV0h2/mmtRyYYufBYTuX3i4leyCU7qxxNcmfxGZ8mjyh1HAowKAosVP
4cZZMl9M7s3AIiSBDi1JbY2f5blXr9AT4X1ozv4b6aki7D1GY+Pjrg2ziEm+kKVEf4t8X+GZ3lMW
o9PQ3bJgyeRp2RNDy3CMd8UD2MfP8EGVcaSgjLMHsBSXBDfXCfQJo43y+9rV+1al/fHVJ6jSQKMM
K23UAJ3F+gIbT0l0SMjJvPqbUepDoMGmYWPXrIGHbsWUH8MR0HIUhwLDCXKohbh4THqg8wDn8+oR
xDCl05DEqLzdqZgK199Y22sp1FJXOhlrlhAg6+C09nzRoMEHNENQj/ZBJ4c76dztWoPa0W+QPHDD
I6Gyp+qr3gXvxQkXMlQAeJ3jdPK1sVO3Ogyat2P9ja0+pyl31hw5H1w/JoStO74B/Q/HYPMKAiOg
5D5oacC7kZCMhDfw4zXHrw0z//3HMK1UcRBUoCgn4QGRC+JOmUTCrWFxGQtfHnyphUh0ycHigFxv
iFKLgGQWG9RG8reqAxmM0GhALMU5i2xNMsRiBYC4iT8FiCuBzAg4f6NQzR6uOk30XKCLE4r1iQCY
iYlFiAJ+siS0aGATjOufN2StWo6cTnG9GYm6xL51sdZnouWR9EeCZmLSgQRgRv4VOq08QLyAHg7j
exU9VZTt8eQVfrtGEPNQboWGEAzsY8ozouQlLg9xAG0fEvd7vlIJtkOZmQu3iotzFLj3pebLx48p
hDgKSbWw1HGoLxbyLIVKfMJTr7o0Nt0a6RfpKVOv5S+PP9javiQXGR+8C0EUIyaktcTnUKkJAbmQ
EN5L6PklNdw3j/xg1i7UTAjUrEs4G0KLDP8LeIGI1h8/w/xi9154EWXJphK43MMjtBWtDDHOBB0q
zGZTZhsDrF2TyUXAHXq4LMKPdC5JdOqoxWaEDLAxu09CY62v6DzfShOD3hFPgP88fqm1Lh65iL5Q
/QyqzG+R1RqjVu+HHbWLLtA7Uikb3u4GuCLjLjMeD7YW7sjFxTQJkh4aemBf9PT4xMEWm/GHp3EK
9X7kZolGFCCifRmwBiUWCgiN2uBBN5P5NYJyyzRwWO1bmJ3H0Kl4ZwEODXmUy0Ff2Xi6lWOUXNxe
04wtWTh+okCH5MJl3gSTuXSHCDg4lUnf+dwRAJBTvMCBUanHae0FkFxoShHK9OwBbg5EWi+nGwt+
XlR/WWxg6M+H5Y/dVcKdPG49fBZxhCLYE+irG/v27mmLH14EWHh159HgFcjIR6ga2hXQe1R2hVdq
LT1zYa6llfZ4OucfvPcGwp9vAJGwGP4+eAPIC0EnjISNMaFFwq4ZEyMJ3Hr4fjwOdTcQ4Y3m/fpj
qib4oEZejkWFLsch/yjt/tk/CVryIb5O1+493vgi9wuGGGcRgoDArsuUw8yxBmRwncQKlEQVVXg7
4ZjmgafAlQJG0jK5K54TE9WFl63z+v4mxdCL0NOhlZjC4w6B4QiibQeQMaqp/rtwzszBpr+YD7GR
PXYb/7727RaBiKrCIeLmV+0V4oArojapgxnoCUpWsDwzQvVNUOAOp231ddbGWwQhqYW8uzdiPGil
WpL81Mils8VWut+YwuQtgg7E6VsuIfHjDVAK4x6qynJkQv4BidXjFTiv6HsrfRE3gryjQOXCAkyS
d6b/xZ1Kq4cZYLdRd7gfNSHZsYgFIZs3vT+H6E7P7cGsDqld2pEa6ahy7bpdo+VqfxBNkJtsFl3s
XVRuHA63ut2dN1syWbiu7puIQUTEV3lNdBgBc7Q8eUbMyRRnToVJUMrcVzWhZcCh0JNo8EP033wY
XLfauGM00CLLBi3QER7qgiKo4YE5Pp70+9f62crmz20PEbuy8HrMegmwt84ryJd+hbFMnEH72kkn
iKO6nZGqsL/YGHDlMy8JL2VVVGIJ8q6TXycnfmcg646OsuBOhncBTluy0Bvj940RvqVbCcG8gu7N
/yLkjEjUQR7HkKXmnWJz/tohADYgPPzNoLa0D4GO9RBDehhr10LFrj81FgyEX4AJUSGnoTVmYY4q
BK3s5CPD5Zo0hKetOu7avhQXQUYIhb4v53wKSuJS/pRD/ETOOLnYDZEd7IKNG93KQfoXOHkM62PY
GuBQH2hlLBgl6c3HC+J+hQArcBFYoomA/kiIW1SeqNGbPynxmaGU6uAxb+loVLOspNp2GoQAuAYV
0IvPniXqhBRfeO76J9r0dlmybw+gJ7aMEp0omJ+ymv9d/w5CJENq6OnA29sRah0mN4AHcHn83KsT
v4hXLITux3GOtqWGEpHsGxCutQD4NMTz3xthCQtPI1gFlVI2V4O+PCiGMtA27UtopavdKIM1BhTG
dZvTu7IxlxhxqOdCmCTv8R1AANW6V+GAO9C5sTI9tqZTcPUuzR5owuIj39iXK8fVkvIzcl088mQ0
FwlKGxJqHDzP5eH3ZgHxbi1YkJbEHpbooLONUwVcfSyplwD92cKFcuqJln9tfKG1OVtElsgL2Ywl
ENk7Si2w1SOthrR5whsZLpwFSmySQ1/EEndvG6ezzh6rMUZ/0aw2tuXa+PN2/ZG0kV0MmSUYVjgo
9fTfyaWzPXi7b/Uk5tTvTtwUFqGFgoA+ROEJ0pkOw8H76Kw+V5Ij/9yffbuHmJ8xxDLIr9Gk8J+P
J3QlrRYWGYzH+wMpxhixa2G1KzdIBe3cakIlP26B1OdPc++lluEGqgIBUWDKcN/9THYBu3HKr03W
IhxA47NKvQq/CzFuuelquSP2QSlDmvTx1Kyd1EsQe0FKEKweRIg3hKifZk/iaTYKcKQThOkcyiYM
KFEdiCdvC+q4EvKXiPYaqs7hGEukk3C5Wg+nkinVntcafh8G0BxQJ/TB4UbM7fOngHvK2tPj91xZ
0rda048lTdFTF3LzPAIW9IwN45abF+f7INHZLPDP7UKIHJ0OHqbQ34/X6JhfGfT1GOjPf8SHrfvv
/RoLBlnEhKSSqAjYauCALFYDMXwnvA5WbNMFRHVRd4XYZrArDzg/RV9GpenxrK3EUn4RCKDiMbUk
iVlrLDQs8mfKSMz2E67Mj39+7aMsIsHodfDHg+S9I0ioTZGcAsIG+9kKGz+/dvnk6T8/TE1ASJeP
x7kTOVYy1ULTTZkgiLGT5Gk6e3qZ6C2lts1Gpf9+hx3faBEEYE5QQtgUR49AuNQn50L0q41k3wpO
UBardZQPHWD6NkZbiTj8IjKM0ELvyBrn0Hz9AxZrI3Fa+SZLRLUIG5mKIjxEZ76Wm/FKFJHMXTlO
kaQNUDWzcoIuQdV52lWwgRRwvNgFgB4cSE6hDcn8o7AD+MTmTplaHOApzudyoZCgO/B6qAZAZgHa
fRV3tdbKgrUF/LrfBRVgMfbnIkF7Ruwl2MsBZATmv07atBGjouc9weTTQS9DgSy03tjBnjd7szUJ
FfmfygJyxL093gUrIX7JRYUfhthQPW6Q1QjddwXUZHgKaZBO3NgGK5t4ySUt+qgOofaJEozMOMQe
AioycfTOjx/+vtIApm8RItq8a3CA4Nen5D10gmY3eAacPcqrR6sByuPAuLSBvNWPWiu2LPHjI6RM
K4kYcCUC0WPSxFMUFRCetKZAQfMuRHoZiyoJEo2SXIOtFudaIOEWgQTGL2Rcz+3Gsv/8YCq9p3Uo
tZVWBA8QKAuYbfXiveN6/3hO7+PTMaeLOMLTDaTWMgwXidYkWRz9DUX3MNPYWIOkIQlVMqi5w7QB
KmiQmStZm55MMraKACYmMjTnCEAHUzWunBBoYlhmoe5u530A6y0ZThFKDCcZkBjbWfCccMDPipo3
lvlIUWIGJL8sXh+/Br1y1HOLCNUQgsfkAr5V5EzAPkLlMj8LOmSIVHhU6YNcPKEpigIdfxy+/bfh
IzzUEN651sfH49+v2AvSEnA++IMQ+ZCFcgadvLbXdu/bzB6tSpXTcieyUTj+4gEoy86w9Pqbye0S
as7XKIEKczloBrRxu9wW9PhU7EK0KBuFeCN3zakxPO3xG95HFeANF7GLFkoJHlQ4Ayj92um4krjN
E1zlz6HLfQ6OZ+VOYOYW4Ibo/Riww9v/HxhG81e8k/EuIeVS3TMTGyIhAdPIpDqsJwsCskIiTznU
X7UUwkLl+PcuJEtkOeVlNFxJkDQGjDJAQ/PiJW+DdKVfHs/j/Qgs3jqxP5JDUWghOkQHo0PWqdYE
pQqhdziqgVLJvT8eYSWCiEvEI0yj+CFvMQTIJ6FRlemEckrAaZ0gZnuOAs2mH4TapbvCO4RB1dpJ
OrTKAD8CJSChhxG18RaL7X7iANHfPw+8YEyh7yXwg5P6pTlGoS3mtT6GpfL4VdcmcxG8CB5SmvAE
HR2ihIOOQQ+6KBlQU3r862sPv4gpEJhg84HpBidMIGgyRWpeux1NbmyolWdfohfJJoRpFQtzQ17s
QfgkJWjBw8Ck7j+TLvp+/AYrFZ6bYuHP2zVT5cFETyQGGWEdBALxrHXR2VHKHmBguBOl6TAxIwRP
PcBhWQj3Px73fjQW6UWsKFu/LEuPHpxJem7TNzDkH//u/fQCGut/LidImnJFVeJ3fcqOMygPyyyB
AvQOssn8lo7L2rPPq+HHBuXDpi2zfH52AvhBUQ/jbOOsXfvl+e8/frmKCV+oUvwyDwB3E196ciPL
XVtKi7tNy3VU6sG3w+FRXWf0EWaQ0C0eNh57ZRvc2mA/H7tGzwEiGYPDCQHM4Y4efa5C4+990MUG
5tl28KP5ySVYaJBoaGkiJWdnWHf2W22ftclZ7OIg9fypS0KIkCF9ClGA5HiYsn5N3EaV4X7BB85F
f37VMIMTdcOkuctL4c4nIUFNCQJtQWEDxhLQC8VCReyVElyU4RzBq48nbt5Jfz0RoTn656gBPCfG
ic1ytw3bT7jbomveMqkRJ7AYyWOo8YXkVk9uLYjcygQ/FgDftnlS9VPkiiOQQeTzhBO+VIjT8Axr
u42FsPKVbiWjH2MUIZSLMy6P3IaBtwosA0JJhgf8ZySkJcqQLayLHk/cSgi5Jfs/BkoGGM0yXh25
bTopU4NezVUYdsTYaXH92gXFRnK2stdv1/Yfw5QpkbAsvDjdjhTD5xIffudJuWc+fomVLXk7+X/8
euBHvuRDBMllfbiTPUXdgdwq/qz99OLE5n0P7E82gdQGS8FZdlCh4FVWGyfq2l5ZbPce+qzwecKs
QD2C0zLc9kfVo1Q/U6CEJ2zF2bVRFjueYyLo30/z3CcKFO2rX0OtoMLbevIQKt3vx59gbVcsoXOj
SDUdXD8jF+aqcOWFuUYtKTBBb3i5ha9OqyRb3deV91lC4WI4LoslrHRdCLDP2kDUXIGDOczoyRUr
BxsvtPLhl0YhUoJ2UJwnqTtKL13ylgCmGqRfjydr7bcX5zak/CVvCNPUrbNjx0H2CrLbaJo+/vGV
Hb1EhGVRXzN0T6Uu6/qc3Ioa6mDxkSw1EFoej7Cymcn57z+2G9u0XddBfNZtmytsGaClufHo938Y
Vbw/f1jivKDN+CIBCOZAsA4DV8vHT7xSJ8a9/s9froMxgUFymrhFq6C6k7DwwIMjl9x+ea9wPBgm
pduqaq29xGJ2ChggBCJ8A9yI5JVSuDb1xqq5fybAcOrPd2ihEzIFPPwGxIkw2HRQqn4AygBm6ltx
9P4pKkiLYNcmLBTiMozQEmBmN2bLHD3iu6kok2Ei9fGnWHuLRcwbfUBaKC7E9NCl0rKX2OP1CiID
+bTFMFr7AP/D2ZktuYozW/iJiGAG3TJ6tsvlGm+IGgEBYhKDePp/ecc5EbvpchHRtx27yzZIKWXm
yvXN4l1mliCCjkm+l9QC6nLu47728vuXv/GA5oqThGrATUxZvp8++ovyXn1Hz9C2/f63b3ztuaaE
a7zPiUbzPRcmKkyF+oSB3P+UxFtzTQiPIGW0Ujz07hvk+hV9NIPk7vevfeuRzPbsKHMVkK8YOwsk
U6B9QToGogelCGr6BjdjN8qXqqm3ntBsEwNwaXYQQub7LN7HxaGz/lvItOZiD1ZPYJAOeK0SB5Bg
i0r0ibBt9cYXbj8/h2RrrujAsIDBQHLN9yR3lQv4pdLoWFdWsGM27u+v4UYDxJrrOfqqTBP5zys2
0Exs36qTdG41THzBgPzFXsELdrFI+vMBbM31HVz6/9UkYzVJB3NnfFd74i3dfW+95tn+1VswBpWU
5XsBy7B8es/bx4VndI2U/84SAHj6ZwSNSIshr7bM91BrlQcNsiRAQ0u3Qxn7W1z0yKMYhHqKF7Lz
G49pLr+QymEEwwW/A7Zd7WNzkc7ysUYLLCz/4wdct+Rf5/AI30N4AOIDGKyT7TVMLDCY0Mjr6W2p
P3KjdmbNFRcZ3A9sDVzoffw2frCP7Fv/hl7/nBouB3vvg++XprRuNDOsuXMqEL9gcVX4pOE7m1xF
c9MtNop2VnU/h+PjJvlacuS4sb7mboZUkk0ZGBlwe1jrglRAwP9dWGC3/vTsiE6GSMX84JTtYd8Q
OWVcwpvUQCLqgKxiuK3MPklqwve7mAx/AEraA6oXM9Zm2x1gDg5b8JyXEM5MS1XqG4Fnrr7Qzbbk
WqVkexghw149eY4fjMbJMB+wdNjeuPdjnvWfi7CVB1NvTZy27EPK3bF3YP2WP8E19i56Rhbz+4O9
9VxnIYHUpSXLCQKolaAybAqnxBDDf/rTcxFGUskwqNHx/WUNbFtLQZsmWvjWP1/zrbneQi400XQg
k+7JhGXGpFJ2tb4aNwUdau/3b3/rI2YhoJStYqJTD2t3s4W5geS0hulEGMr5b39+drjDm12UdYFr
c1GEXb0VaTgkC3WiG/eGuaiikDUOZh3+9HAXqWEagp06vhX3v3/vW/f9uXoCLFagLIc830NaM176
U5E5KJmYR/7aHvvX9n3hY67r74cDxZzt97xOY73K8CNyHCiTL6ARQir3rikhZnCI7khLRqg3NvJc
TjGmEYnSCL9nzINkADAXQuIQbND0o1q6f97ayXMJRUNMQKbBPd9PiSdBD1q4eYKbim81QRs5A1gs
bGHV3tjOc/0EYC+tNV6zsZpbTiStum6pXXxjP8wlFBhdGwHhQ4+ilzwJUJpMeinbpVrZja89F09o
g9RNJO3GHYdvtYwLXKScf19IP28GMndOquoustoW7dJo8DAsJgi87c9wUBRLX/2W1EKfrVQwSMAJ
agy0Kz39YVqrD3LmFGF00p6uUjPIweHTJOChBOdEdIc39NqyDF/BCnvvFmLJz0+P6Oo/DwrJMOue
8lLfqTrtHZXF+7LtFyr+tyTHc7ekIjKobhj4eXaZOLRas4usBhA46muNeJwEvf0Q1SezfhyYN8Eb
sfLrM8q3rH4q60cbFVxWPNt0PVqbLqoxoGe4GFti06aHeBnSSGPXG06qr8dwIE4srVRM0lnFtmqC
BPaTdb+Qpv28ywED/OcjKk2WQswI0dR05PGDxs8CDv1poCFhoAtv4UZkJHO3JbOSBk1JU2UnPyYX
bYUkH8aNLY7tPUQ+CwffLcXc3HapbM3OajsOxVxn3XWa/qEkD2BvcmNVEHcU3zoBs3tIfEwnvbRp
ce4MIFikU4uSgGmUx4osaWT+SIn+HaHJ3GmpY7aR8KuOX862BtCikhz05aXuzkD1mZEKjuboWk/6
UUUJIqUbJoWNmILyYFahhjHeBDCYqfVYfsU1cOxMGKnIK3os9K+K5gGAVZTib8I2aAyI7Rel7CSw
bpCeOuJQPUyBu+64R/CzcjfWfVP9kuFIqoC5qKMCYkEEP6SOpm9Yum/q0etiD55fvgrLUpvvZH2h
Bf5zJkL+uGP9lSjk7USMqsL8pOw29+bmq9+wTR/S8PfgdWNja7O0XOgCyJmogRrB+JD5SxQvbOqf
K0VkLg0ATyuuixivbiqOmKopkxUphRMvNU9vnHdkrguYTKoaTId2dKBrI/KKh36jbRQf8rsRKq3f
n82NBIrMO/7dmFPJQrEUM0pwsHcyp1orq2JNgyiA9J6c8oUt9/PBR/4I/v56xWapd0qjZ3hYGqza
8herAfa2W//+K26N+M39i0gZt8DIYyRFhpbzqICdBlYTxETFqlljNn+LWRgfK75ZsUe492z4YxNm
l0XvgRthcS4NUO2GJ3qZYI7BwaUEWib9kW3tXQpX5uuUEXHTcPITH+Y65MV6+f0n3xJnz22Kyowm
iB1Y1fm6D6KwDfsdvaTbwrc9I7QDgBXsD7Gz/uM6mUsEhJAhkQZEGeas4xFN0j3u8DpKOLmjuPIT
OYmFm8aNzTqXDCRN2dPCxqLXc5BXYRxAjcvCE7txiVFncWDkLdfsGEFf6bp9prUYi0gwBR4dLQ1M
HWP0tdZyy+hhlE2QhzEPGmmeIcFfrWihN+W7Std8vf9e+DbXi80Pgf+PMu6vDQHmKuClFOJI7g1+
e+72xf6L42Gqnr3q98l/quyRP+qwvz4lS+qqbFW8tkbJdrKKptdY+n09bYFN9hq9WLN2XNiENyok
ZC48GHRZvc7aXn2l9Q2s2jaYfnd2KCfBqNBY+JA/L+unxzZL51X05Il19Zlga9Vvw+uHxH62V190
D74b4RU1voUpchjf5yF9sE7SOgFBG8I6svANboXluS0R5uAxtXz9mRjAhjtj7aaYHoYnq7sUk8nP
K2OuUBA27eVGgVQ8a4K6wNG9ajOvDRQUYvimSxZOxRsF2T+M+b+rc80EbqQ14klKq9aJ/rwyOMtt
YOoIJ3nhZccl94Bbv+e6H/9ag5M0oW+gIjjz1scQdgU8TrpOT83d0sz9jY09FyMYUVTEmYUPMDet
g9vx3bhfske69adnMYP3WWfQEn9asx40/bGPAi2Dr/KxWmpP3Dg7/iU80KzOkkZ8gFDC7hzBIZ9A
q1vDx9E1l+o8t9Suc/3BODEqIb/Cw4diLQYK7C3JQSyHQb3GnEwcFCQYLeARsROj5O/X3yoBshru
1YB8BL/Hu1uK3z9R469VoBqaNg0KvgOqp4BE8ALE6h3MPyxQnzJnkB9tr5Qey3Tw6Bh2/NkWKxO+
2sXehmTC1ZD7VHtpB5TI5+9f6Fa4+pOA/PWFRJTGRTXgC033vSdty4Pqp3ehEhqGA1cxf+FTbi3+
WcrUAKGdygNSJi6ejHLdiK1cArQKqtZkvta2cPRulSYl8jsU94FHUDelvRLS1hov8htA12m2VD/5
2YzLInMFhMQsK1YJlLLGoJ66uAnSl5QJF2OMq94IUm3YU22faneCOiYuFfQRrKZCWcscqcS+kOFD
uo3YkuTwxsaaiyS6qkzAaseXkQRzOw7TPxWwXwvupgDSJQsNiBs39LlGAtlq0VsJQlxlraYJs2vG
uU6geF44Cm7caeXrx/61gjo0WiOlwm9gHTz5lBrlNBiWLgnVbl3N/yWUqHuJk+tBA/vfsNpNTr/V
Dr0Lr18fM+sof/y+RG+s0LlaQiKYKShsfEwfdG/gqzpXky55tyRQunU3n5vjYKqg15VrcqcCr3KK
74WbH7ON6VnPxVv/pD6jTgU+jBvvFTcnLgxyMy8GZ8BaKCjcWgOzsk6qVDnr+uvPw4x3Nq4BJyZJ
4VV0QSN1I4D/yxoHLfchSa8/D77U9QHXAdfGHOlC2nSrUjH3tmmnWDLR0MSlKkNwcIZHFtj3QAP7
9uB03rThrnUREPIbd/nq9/Xws624Bd76fFknU1le82V18GwEhpWyKiUnhwcrdUYMXKmrhnpmjLGB
7CRdg6VY+OQbhhn23ONGZVxOSxWfPH7AdTJvPAUtUIx++nGoH/NAcukjvOHxS8k+u2SAluDq5S9d
U/6ka/++WtrkGqr+2s4kjYnI4N+O2bP4tcTbnALdjRAg7+NV5ImXLBT7bg+nGA8Wduws3U2NAxbs
nm7NoFx1Luw7lsRdN6pg9lxpFCdo+ajoQMDIhXks6LfTXRtobhW2myX0wc33PLvbNIqe2YkBI47i
QJ5Zj6fp9jtsxcfIq11AQ3dRYPh6AKtdA1YGC9vl55hpzx1xVDa1Mh0nbWen6rfE4cBhCwA3K/bx
++r9ebvbcxGSwNxLUpp4cOSYwJK03S35lty4wNhz8VE2gOpHdSRsbKe+oQiOnfHEP7QA9bJq15/q
ffqAJeqnYXkqd2qzQlc43xgv6k4sPLobNxZ7bohj1WBl/nH3aeD0/QZmJuDt8OBqJectHdzxy3aS
eKkgf6O+YJPZxUW0U500UKrDAh7mgpBLVrDQ+pRPVutMmwl1rg/wYtunYTNszMW67M/Zvz3XL42W
JEfiuiT5c/FYw8wM19EP09O8aM19eZsFi+ay15/xw2afq5n6SlOmesT4cneWgApwrHDEycr2NcLc
Qu5968fM4klni16ZUo7BSrvoVrY6TG6b1c3CsX0jD7XntjaQmIKtpGA9xm8gpUh+7wJKGrsPytII
9q1wbM8CBNpgIum6Wt5Z9/EZs5T0Mnzrj5jLB6w7TWFADEdN5SQ2bD94ee4Ij+31he7rrbU+lzxl
Ov0/c4MJScCmCSbrWITEh+bcyQKL+o1XL2yrGxFjLn5qlZHmk97BdQDF8EluHWEe7E5xJLakQfj5
hmXPpU8WtZpYqNc52CgAuraRPJGAVlhgLl9ibgPIF10Qu91cFLPyiOCWMXEL4c8a7sfUi5q3ztJd
CxjoLn6RnqXxOV0i1f188UFJ7p/HpR4RAxpkuNGw1NPgt1qtefHZkWC0grHNvf8UzueKKL1QbEOO
am0XKYnyZtIKTd+RgojRDFBaVAXpF66Jt+LdXA3VJ2oUK1U37RIXCmUnzqiTts955HUwBik8gFw9
DVi2soYsbq1PXt+/sCbxtKXddus4npvTWLbd5hbtp10fbYZy2wnZYaAbMF+GHAaqkqiBUWhYb9Jx
XURr8YGw38VfRb6rCnlh+fxpR/4QFedyqohbBQGdGvDB5tI1qqNU1BumF9nyE21HR3+KwCGyp0NX
HTL+KuoIlwbdVcrnIg2iunT7vH4YRubqMvxLa+ZWwjrTfKWBs0nG2G+62i+02i2iFSodQPHlSMlC
E+hIpdiqVeUX9G1AJ4qpAGXJvppeWutTdMHva+nmK57FM0z3pPWY4QlL22ijfrMLZow3liuC/NCs
lLvywjLnnj4sfNqNXT+XcaVkYArrK/CQ3XglA203+Oj7BvEVIQOGU/KGWi+ArWCUOgub5U/T5qfX
d601/3WDLZXIViJFA/QSHsjqpW1RSWLsqMaAdeUPrQnDtfikG8DLTBdGjTAx4dHMMgjY2M60pmNd
X2DOD1w3tgDwkqbpxxpmdhOnoKMLYnQnvEovnV5h4IJDIpr4encQmKD4/ZH9UUH89P1nuZptZXyy
tGHa0YjDdB3tlEkPJmOVUQuViIsNH7u2xb5EiaZTRagmn5l0qMrmE6hXJ84/puytK5VQxF92/sQU
FLTWAyYOG33F6ZNEjx1YryCAkvsoCzNU9VP4uRt02BbY5SZIrS1sEKLcq5UnE40c2WBHvQyrSnIk
+U5LvuD171YJ8EqJ5BTseWzyfS+FOfFb4OIF/hy4EERje1iOuVbjm9CADeVCi/RGNQB28P98t1Jq
1Rk3bAwioxageNJZWTEPBdvHep3AfUJaaGreiOrWLKpTU5hdbehiZ8NWSgdW1IkBg49LyIXEhfQv
v7/pGzYG9lzVlmJB5YMBymnvDXspCkiQfTehgCXBSg1x9rYO+oOTYrtdSHfWc6/4vHQMy1Hdcqgc
dZeheBmcpdxXnXbVJ27XopgJN/n+wOGbby8syFsRY66Q6xRFB+kbGwoBOWPvAOtu9ePky1cgR/Zs
uZzDDhqOca5CvaVE44Z5oz33IzIik8vxSGWUhCu4XrV3+oTmAow7zWP6VNleXB0n5TJUH10byHd1
5ArbGe1nXRmdlpdPKoxG4eP40UWTp6FrJadBP+yFcJPcK1D0M/Y0MRcy9lvXtLm/EVXhCixpuCIq
7aaOp4BQPBMwumA2rvht/ELgXQ3bo+ZFrpdKIjdW6FyYN1W8GjMZHwkq1TkP4rW5ak9L6emtLG8u
zKOCtRm7mnX1sBkLkX2rB6PCE1737/oFZXIgjcFR24qtcSF37Ls/N7k7nRSAZMNyu9TlulGwt+e6
PWFqpMzb62a/Mzf0xQ7RzNora8XLNv02PxZ7VD4kEJCKTx1f5fc9aah//Bl+iL9zFV9r65B1cBVO
BAW9YMT9ThbPlZS9s767KzUTYjg9TxRHyaAqmuDUrXTPmgKxdbxp0tZrWrYv69jDuBVhdyI62WlQ
Nnd9eU+v2kaWuTXaDjAYcLSYePE4nqIKtOhCfCZRt+GxODRGsbJLdOdp5bYxBX5UBU41a3EBapBs
ksgtan3F0mY7RRxVmMGP89gfwLnLE1+LYHgr87OkEOFcxYJuXwZEVbx61D3QoB1bXbNil3f1fiD3
NSxPNXkNTZvPmZ3AceGoRD4fbVdS33DkeTwags4u37p0LRu9q+DnGvYLpRBNXgnishN170U5ZW6e
vwhSucz6jluysjG8mE1q7eG4yXhQjU9yEUgcNfXSbqibxzAHz/rUUcUp0fPC0ZTqEBcJkHJigM4p
Hapg4pnPu3GDy5LdrG2ZbnTDfI3ifEvk5KmnuUcy9mAkY1jp+kuCmY2xLd6TcTjyMVkrJOwq0P84
k1ecY5RsWKkt3VVpA5yIjl0oVMrAEdFT1jltaSBwaabPMHQTAfSivsCXoVA3NP4s287TwcGQbQwt
UhvRlzlWD8NavYcvW1fJ/K4ezNfW1g6kITRsrM4sfKsw6UdfqPV7B2Uu4AQ1eN+MjHiCYMrEbiuN
zItFRtdSDD57UbcWlKmZcPoGkkunV01f6L1jaAhesLv2GQHoVWqeE7OJn42SPdHilee83xmZESqj
4ZV9Zq9yXbwqrchXpWa0z0kCMivR2fdU1uE0tKCs+ZTfR8lx6B4a85gkrSsBjF4FggOq1q9AhsaN
3mLJKYEkMyK+FoeZ4tJoI1gB4HcRObVNOnRo1k3ic+suqwUMFz8j3VHTkwZT3WRL43VBV7zajM2x
xVU4ySJX6yovAvRkdECOgixW5h4GQrF0E8Rh0yukcAStlac7vdvJAtNmd8Dr5voKiSgwSLZ0hlA0
aSFpMUOjcVHAtnzbxuhBlD3K0x7E9GKASrKRvQaycElsc7neR7DOL9BHARDoZE/JmUBXL2DLVlaH
IbuvsG6tZyG7hlk7Ebs37G5XNl9F/TViz+kNEPHqWzVikWj9ueVJaGf6E9p18Em0kJJIo5fqFHI/
OQHsrnORpbsJ9rhSXZh+mqJLOajl2mLy0YJMLm+UfaM2fp3E01rw+KlT7CA2UU+czplyKGDvOA6v
U1Zu8TPEgN6kBHxF+xjVGHckfCvkGC5EZDNoEVlzpt5rQj9T29YudjS0q4IqrnSVAo/51qAoSmDz
VgXDMAYDzgVLQ0cDqwHxhDoVpO16/qTViTcKegGqbxB454mJoq0VlPWhn6batS15bWl+0Rf+mFVu
1wTFOD31NWyaM3XbEwl3UWeMD91LLkw81OLYDxDOS6CqJD1K5SlMlrqgl2I0srgvYakYeRogPYN1
qu00w2VUaNBYk1camltaLV6SXK+V2mOqL18dD8E+KHdMYjEofnvJ8npUVWSAU317tL3r39FTtxh3
zADzWSUhTQ0S1HJbrrQEvk7ErF7qSj9Vqohg4HI/DMeu/uIU0z0y2o9hVl9svHUzRbWIe3Dfwu4o
zNK1Otltta0prVKbRR7rDhNAhnZa76QkXxco9sdyVrhNSi6RAQecHqehJpn3Km97l0jZBg94CDFQ
isoTif2OO83OQmQ7yihdW6eeg+QH/74kv5N7R8pf4U9lk/siAxfk3SSR4UiQa7zmJJTFChx5aMep
6XJMor3j/6ynNeVuBby87SiDq0DKiIaA5vTgUpvpYVD2ermTJycuzqVySkF+YT5HAhPXga1seXQn
Td9JAaNK9qEUMLEHAd4CsjHr4oe+SVYSzdcYDnngtAaWMSvVsC02CRoddVuEdp9YgQYvSoMM7jCa
YYvzqtNUIJ8zt+2a0c3AoYTS2sCRZiAKXoFm21i7IJKnonYsAXDHq4FWQmxsCfIrnQ0wYrcq1zBW
iTxxl5UVPiHmfF8zK31X7ps0GA0/yuF4abrqtT0LvWURapYVwvMFqu7RcjGW4GDx+HGru1IJBUoK
N774NBiqN1nckWwdyJ99W3iqHSOITuviO59AOID52bkCmTxzRtRqzMzlZYalyoYXve2OI68w1OkU
KH0In+W7LENLFtCeOqC93ymbSvOlxK819IzBduD4XJu4yZByGI3hqb2l2aEFlDFDWjTAiXTPprWW
IZfUvzQ5xUCzJ8oDlR+KScLckd/wjWX6SosWS/MAgEpotLtY9+IE7ph1d2eUh6r3W4BrdBQChEuL
Cni4++muh8CHchiaOCxqfDtmvlp4tuV3KRjb+oMQiEdsDEwYMLdq53IxelLqdfKrTT8xO8M50pgg
/epsBAn4yZaIUxC8QDQrwk5Zl0RzVTVQFJ80lwazSOVGu4YKx+z3JduiG4WxTlP4DZCzqFDrDuan
qgpx7kUa74vpUiJp0Tuvj9YqnB27kPEVMcMINb7nKd6i/6hjc0zJWwXFt62SHTHrPW55CQTdqORb
Cve7ukAcouJcCWMd441WsXzUkYXmVcp3tGld1jRoR6E95+r15JNp3FBY8PuxjDGCRGRH00bdSEl8
appv9mvS+CmDl4JGXc1UV3GbbwFk2fTXh4+Krj1kQTcZb/XUuWoZ9Aj0Fd4FKjd8HDdwr3eVuvOY
OOTo0ve1dWq4S/gmT7injnUoup65dVPvDNQBzBKaS60+1nynSveRlm9b9Y12PhMRPKp5f9JS6QTj
NbcGJg+stUtnoaYkbUwp2Uc1QGvjAKeE0aU23Q9jrSE8MdNhWtlsO9UqXTLBzmRSVmr83FkoGXW6
hUuV3OKyh0tZolqBKMbifepx4FNL82gRQLwMJCgpQz02A6F3YJG0XjdpTofqP4qW8t6qsH+zNQ4B
S4eVcjltdGEHKkNaqZphUg/HcXhGv9ip9daVQdBqisFTI5jkl7qbGDuSG9BlM7ElU+1kNoz1cbCl
5n01tAHsRR29jwMJtQAiFa1XyMkzi6xQit5klAxQbXMmsiHWnUyhT4tVj8bXxQw7vIjpjn3XNKFR
RJuK2N9CizWvp9KpYOuokt8UyjSwiXCU9nWoVgOeGCrzDxxtpym07yEkNwwbBgJbCL5r3EKm5lWI
MSQNYCf9Y0FeVfmRT4+6wLXOr/K7qQ2owgMBfD0ox9E6AbkNVwFXNel5ULWvHi6HrpzAmN+IO6jS
CkyKVvuyJ6qjMWltVlixUrOy+kAtQ7mgH7pV+wnhAEle24rltGJ10wcNM/0hN6kDD+nRYUO8rVkx
7AazlbAhebJOxLjpgZ11YGl77ktlb3KRrDS5fylxhq/gQErCsnlTJgo7EvIFEzRHK6nbm4/UxPUd
kn3U2dMTaSoB443iPaNITPpiOLMB3IO+9lpMQjHRbXCbXdeRtGUKXSVVFI5G/wiI1VbXpVAMuOL0
LP3WCMCicbseDBnXV/tVFhYuaVh2ZofJl6GASqJkBxzOWw3q4rbZTfQ1JS+ygVBxsDKSOBk2POtr
xFJSZ36FIlNrtL5UI5T0I2ATaHdv22nUr4EdhS3SJbuR26sm0o6V1ewMNN3iqthOI4GRI5KBJgry
GM5mCuyiWCWvdF6iUT6J3RgXQTqlriGeZN18rUakaQrbFgo2FCqu1Pii7UuCGxIvqlWCMmzp1/B0
mbr2qKbchQ1Vor636PXaGruXlHMFhEAzPORFsiv0/DTyGJMGNv5SHSWHDp+gtgLM41zg0qY9tU35
IjSyKtvskSXDo4r6zKie6m43suQL9HenLfIVLYnTwwXFEujfFBIsJZ2ousQMAwdYgfc8chLshczP
qgMibFnCXW2boQmtBIKERX5PkA7grnHdu3q14URdKayxXJz+9YBVYuPktbp6XacIu7XhCQnKUOVt
kC+m8DqKySFd+VLz7tkYPrEIPeRjiB9uBBu3JqFelI1eVH+Y1uC02lfZ+5NV7wQucu2Q7hRNdiT+
ZdrwLyN+yR40+65IvcIClxel7hJm7CNqqRp70Qx6IpHSOpKUrQXGSWpTIMahhTqUnmo+T0m+EXb5
UKdQD7TFSpXhpAWsK4ZocsOzyMbCPVH7oLGH2MqzVx0TaJWbYgyD4sl1qyr19fQSwWOWPSeaZ8PG
XpZ2trwq3tFgbAwXpioTexm0Z8Ne45YwjWHWopKhbNJBd4w22VgkMGqc1EhTtsbYnabB3sewjce8
kdwyT0K7l3NcaYEN7E23B9OFZyAH4k7EP8fpyyRiVWjPkQgpkOUNTJPTIvZVetDrNxPjS3ZPP0SJ
1K4PZHOfoXILFFxmw0EtqK2NWR4QPRucMD3daXAsle9U4NVG7J+Ke7YsOeaI3M32iP0ax6nTRL6k
rg30IKM38ZBAmFBfKZyFGljT4whjyzZ3OYpOk9cq6wobqj5EWmBEe5v4QnKR6VS48XHJ66wDbL8Q
i7Y5B/NxIgcbt2A9q30FVBQUhLsm85SsC8g1ZOOW3RbxOkbGpZHMj5EtqBm2NVy6orNgKPpyrxLx
HrinsOXIKEa+kXgSEAXkuPRaSEidzqj9mH9FBSJ1LoK6LxHjSidtwj4OGyMHD+2h0b0OQVXxrTzC
j2i2NI+9kmq4G6eeKY9HmFasjRj9dl37lGMgWYpmhaP9JA16IOVBBM7Y+BxhfgNz9msh+5q5KYtv
C6FnZEg7fAXl0oiuVSgrHRvmxejkrLv61dLXPcT1pXhrqxMsWuDwg/4Sh6sKIkDu4Pad9X4uHPYF
3rlTl+Zj0a7V5MClZ9NKQ2mQ3MKGVTaQSnj6NvdMa2WTvZLjZhRtCY7avsSQGq1K1MlKI/28AtKQ
LVtWd5eUw/Bi1PL4okd1i1Kl3ekbSSoDbRhDyriP+kTtJkkWmPG0izgyXxXGx7T8trHXYtYASzzo
m7wZN0OMwVwCgLo5nSZFxcRUFnDRr5nSfE6mme5xBb4QOWYrSE1ccEsuXKvOdTF8xzESN/QwMYyc
WCFP2LmyMT8V2eQsC2I6o5kgexGR21DprlSF27axj9/lyaJ7t/M+CeNI+ZZsxS+76FMM56w+TK1b
vWr1B3qEHUY/kPN0npa7+YcJzA7tG1901wucxbflk6QmiINBBVCTHV6bLTYyMn1fpRjw8y3JqQs4
eTmC+coY8PKtTPHtHV256K2TV26iX8cT1tixeumn+cZWAqOFlUkTXM3YIkcUz6C04SLIIPn1uLxV
ULGramcy1qBuE3KCq0TKvs135ag/ai+SCPgeMEKl8+B4V7VBnt53sFwzWhedY+PEcVgbsYdiBfxc
QYdNkjArDw3+a46fN6LaBgOBfUfXDAC63mU0rMF9I0eNhnATIBAVM8uvdbdGFhxvJFx0ygcTaJXo
3Neq3xVOn32kZhBBda6s9b0GJSKmlan1btHMySO0PB9rTK21K6pti6JaUzPUGg+GrwN/TzpPTdcR
/ZKSt2i6xPyjz6Z1pQQNmCyVh9SPoUwYN0BlOmOJfMYn1bG0JoRTyNli1MCyDS5yU1UG1H4jPT3k
BsiaJv4ZtocB3Hfl6I3O3JFiaWTr7F6rYmSg/yPpvJYbR64w/ESoQmikWyIxiEmURGluUIrIOePp
/XF9ZZe9syORQPc5f3xuUo+7ZEldtaQIJo2PqImDpoufhPVknPX6iSxlizoJZDO1a39LY8OW7UXm
WwEyUZ67caesvpJkUPWU5zQEqg2HNt0zJkiEV8u0fWOqtF8Le1fr77GCATGfng3xbVJTmQIwEfQ2
cZiV76KN8IwanmieitKN5Z9OpfSy/LLRzxV/9XjRYf81EpYrj7o7RQfgOKrFBzhTH5/DetfotzI7
tvpTRYY0EnDyZ3PETbLkcekt7U5RdwwEa/VThl7eAHgWrglo13uUAm5UsKp07h82RHqR49Fw4z+u
pHA9GLN4LTvBMesPEkBLi2f4yDhS4zL7ZsZzm3qrUEx0L6qN9cWl0r1Vv3rjR81LbuwEydTHhul8
7HF2UOzZa/Z4Dovq2gMQaDUfZs5x/GyHQWO7sfXK72JW1/Im4rdoPhOdJa2vrcZkEydOmpSnumeP
Z6k24gIp0xAYMr/cegzvpbQSHKy6hb4TNCZlNcjNIbfzwCxT3niKsmxXiS/SXtCkWtKf+1Q01ZvB
LZkzhKkxy2z+pleXiNSH4hr2PPJHg3WmFHwDSAJlQQlq6g6LE1mXJbvZ68rYd4RZH9szcrWNaT4t
1aXUXpvwpDPQVrBgua+F7qhui/yQ4LMeNMDDzAe3Sstd91xxDlJR2qk8suw1t7r0TePfsO4LCYw3
aP512XbC+Gt+aqHqyFya2Abnf/xeZhxMsgqD+12KLeDmJq/2euITwZYPQBT+8MtbJtleL7YwoBMT
yHpJzNe6/B3yT6PpruDtqBC07qnuHZHx3b3zs5bpx6y1m6aFMjSfEYvafH2dLW9jsIi6us7Fx5Kc
VnLyo/eujDaFdk3DoGQfjzam/SpmF9jNPqUtOJgWaOUOdZZjclKNLGKAQERzCvOuNAcD2VEWH0ZG
Wc4Rw2k7nvenlHt/MFjnFc6UVXKBhhgp2nLHBMSynPA+kuDKsxDOOKo39BODetkY2Ww/5K6LPkX1
PeXvXesIPEVUMdjnsiodiioNsBLl0FXgKMYZEcNY+moWmOmF3alUuTaNfGNqbxZjRehUqyOjiO2u
DY1qBZfHX6ZftOpS5I4RBZH2o9u5qxsvWeTk6S5ug0FsITm4hkfTmSg1r19pz0zJIVSl41LeurLe
1KchvcTdXS8BcA+dNHkjnoE0/zfbO03+Y6JrpMgxmFJU5pj4kK1Y2DJXmtHgOE1DN/ym5JlnepGZ
RzZxa+2mUNz6KoI/4fejriAGudx0P1O15U2pYzdtAyvdti3Dy0vXkNgR/YbGwQj3KyLY2DXzYPxp
UkY1ekyw6ete/DaHbj+7anfGN8ws2LHgqS82iPuTlsy07eLHBLriXU64AgMDlERKd02Uu3n7lhnt
tidaezikA0OjuZO6z9UyHSPZF7R+dZUjm9sSiTN98yrXaWCestkT6tv6qyV3tXJ0ieX3HmKT51w2
Skcu+PZ9AWpZuiYnVnFESiLpPx1w68siLLDtTUF1css5mo9wM76EYbINZhiB+WcWXn+gk3dRkAAB
L75wA5khPU7qVjW+s/m9vVRcLPE2ob2AMS38NfL7hBIYKCvnqBWO1ocuGp3RYDwHdgT/2EzdbkEt
qZsfkXbsBL0RmT/FfEjzqzodeBLyBozQ0bDjNa7dneQeaSdgLxnP9wTwwbyMs0sHisYeqbxJ8N0C
JFlqDHecgcQQY5gbs/mtwhMpGIm9Ex8GeE7M2LxdrHPV+NOwMSxyB94mqXLRPW7W5eeBB34g+zXl
J3m+zkiKWP3rKlg6r059eXIqyQ07r+t3lLfKyT9r3GVp6c4TTJg8XLUx3KymFUQRbcvdtZx5w1g/
dfq9Uemd0/o5Gr223jbTvn1thJfQs/zH7hkihRT3CLWi5YW3AUH5h/k3ZG6sOJVMT/NWtTe4fKxp
O+57+IPBU7mjf7V0r/wWgv5qKrWiUHhD9M/q32flKl40YgjU8dq9a0tQ8RNp3rqsQJXPZUQyYBrk
1AexxYfJv1Uj4gbJFuEJemnuuJLBZdgW+ByC7AHZcfSeI/1TSTgpvb44ANbb6m8cuXn3leRklZOI
Bhr/qkiHrnWzeRvKAQuf8Scy02k/UvFTD5+AvApTUvpPZaS+ZaXFQ1Y/NA1aFRQg7/kpnJtdaxzh
sTc5ScfcutIACuvXGvjgfNO1z4EEAOsq/1XVM6tEbmxFVG2a+aBXXNMze+vOzL4b5UfTnx/4P3Uo
nGxqcfkPWHo8cmKTPiXxlgIF29GrLfwAKi4ZYChev4x0J1dlIL/mfOUTf3jFIJ3dwJs3cK1meJNv
8CbdaLOMBc38que3lGcqrqnUpbBxeha7vj7VWmCSBzv7oCUIwqjEpoq2QN3ILsPbRctHQNhXo/g8
b+b8b+BaiJ563TNDZ4iCsC7dpqB74rbGRB4c7OYGVDx9k0XuVO9C3Pja5c7N6es1grH1gaonLA9f
q3FIQ8q9DbCEwWkYaqSGb21506FnkrdO+l1bR+XBMRd4j8Ojjls8dGyOHRWOVnu2UrlD8UPagxl5
6WVt75oAX1G4CSmgfqcxScq2TNH14o3opSSu/6AVSACSU99+EZVl64dcD9JsmyuOzexqhy8WHTt9
YFmc0X7O6sspZGUskdtsCHg1jcIH4ZbWbQ2clPuy/RZ/Lj2begE3pTpjvNXNk4LMTz32zdZWvyf+
x3U3mrs625TSPaxf689SDfdh+gpz8lh67AGRfkvZTffeHQWQfjtrjpZfW+OgjFzmCrblVzu8zzGi
kMrhS2BWUxi0V91NocQ4iTsmZwOGfNzI46MGJHGzCm03/2mvTFT1i5iLw2ywtAl/4tnKsKFupBcD
s0PxKzTlo1Lw3uZgeTNEBu6qVtW4OQ5L6fZGfTT/f73TW16RPr1ME2UFnVNVn4IWcJwrxtVs1HcJ
AGIj6cODw64Kp2th7bmGLJBnvchAiaKDGnUvrdbsuyXeqWXlGEO9bevwT07rf/ZofUlqEjRQy5vM
SBzRbY0s84tJeKblqcbIxbIpI1+wzV4QMiEg3ViKW8U/avylokZQD6EVsII3QBnaTqkPDxgudmXj
D8q++LElbZtoVM/i2avOzW1oIm9Y/oZRc1GgdFxcYM5bwb9Z1jyFXohgJnHWocTIH3WvVfzV8kuo
Fn1I/mZjr0KdzNbwUQqPZbwh3s2ajllDE2k/Hsg8q0vis0MVew0gtZqcqme7+4h02U8nyo2azI/M
7AoE4GdDs8lT9XkcH4s9QO0scQS0jzlZpuSaK2huZy9qOF7r9QimFq7jh2LdEi29VuEu5Z/WdelZ
SDca9tqMa4K650scH7k3p8VfbWYsYhOj6XdCaR2BAJCi6xBBYbqKOExIFzU6YyJ6ZRyO2sfQCzPc
P9CHBeC7v0zRthz3C0gsZBVUghZd7RL+Ap5npyuH1QByV7064xRc99UCTLRbV9i4I7dwMjiW4Yv5
VtI6S4iR4VUYNEOPkXGUu121nKofE81VZo4XwGVQinG8SMNeel77J0rd8VCO5oduRXy6bq4Ghbm1
6whtw69BVEp1Vm+ztiNwq192EdWvWXfIOfXGwWfhFu2LsJ9Ru1CqipxAUm8qjz5zMt/RJNw5OqRM
GTIDAnktFoVCEEYRdSrlZhr5BwGvu6/c/BimLZnyC0lF+Uabf0Y0gQUE3nnkLBcD01rhZdDE4Uzr
rhZvu/FcpG+2cVymUwbLCtCr70WP3g5wt3FbWOfGz4cEtP+daBzYkxtDHiOKQkvZ67icG+XW/9k/
eUKYdeIZ4XdNUUWXJLfZGD4UboaFPzzE96r+zFGC2dNhTH3IzCnxIUW13pWwd/WjYz01o8Io8ZEx
PTJG5j74nTZv7K1dOHF4zrMgL2/2+NSOnpSfZbjlITsM7KuadV/eG1DPX5ldG9wzqH+q8Fe3nMxm
6UernMkOn7usn9bZ1fm8Z4f+SMNZBIOrU74lk4cgt/Di5KNujvKXxT8zZN5c/ITV20CvocgurICQ
kLBHQhzXKnV7wf2JY7BT9lHVHUQLB0giERRjQcrkyCYBcgzU5/Mu98xORyN/y1bodOQsA+KAvPMF
H29+J/pmFsuhYY5TDdfun1blnDfOPFF9GhC04YtDaKbOxA+7NB+zDM/vCO13ecgpUNTYHtuHhmyl
Ydh47DeZymCBiiR3KhA/RgaUPjZG3/Sje1FYTWqn17bz6mnP9mVs35p7ajs8D4CggBVKBLkl/eXl
PxJR68K3P0oGTeW9BWaJ0q1cEmVabiIUsoWrmZs6ll31kpTQ4e5jdvtYFj8MtziBZOurmW7RGfQc
izVM0dnmOqgUPvQpEP2+Htho7I4349AMX1hyn0yab8XqS9CY61c4opYoXybqF0iC6Z9IoOUnj3dR
7yccGvJuZlWqVuqujpGGKvZxz8AqqLUXDsc1OmXLR5O8R7Fny/9kKLpE3I3MDvSnWfZmA+7xkIPA
29A/1NfLifFqK/LXUEiHqOGmCak7e7PA9qX63Ug5Zt14+FSoAh4/KY6OM5ddo0RlaD0tOhFXBl8O
Qn3xO4fkF0qBDH8dhzt54gNKb8PY+HaRBY0JhwNxt55rtHQRBChC7PGpDjknItfg1a6r7zQ+JSDT
EdUMiEiidmu1hbPkoC34s9svXXrRiglx0IQmH7snb0hkMrwjfSxjP11LZghwbYNbqjE8M5u8RUeP
k0cAD1p27vNpUyvmcYDRp+VUcjT1OkS3vkVavYlsBFIb5u3RbFnvs+eYxNHNmOstGigQE7XeZkYM
CscWXpC0x64I8wxi0t+t+tNSAp5LlnEgRWk6ttVnbvNMJAAuTKdWXJ0US3VK6yp17uOjHq+iPxf8
hVH+yb/NTJExWtdc/IQ1nbH3lJTkUGEBV18kM/Ni3Z/J3K64nkfm5BBVOEdFsVX+VEB7O/ZBRppl
RQ4ZqsItjbtU86Ecao7C9bOyv7ooevyRA89/iirGiFgTjsJk7k4cVTxPc4zyq/jgyrYU4ETT2IxI
tAsz+9cZQKj5TKbNHRwEmw4CMoiBd7l7KuO/Dh5+Ydsd/1bRuf8JVc60hQxQ6xE7WsOZKFvWe8VI
lLTvY57tNQtNVpzuVX7wyDIPc6cfilm5DWQSTPtSvITZRaBljMI3uZs6d7WV89CPodeqj2mz+ojz
NCgO0vxhK+DXCN2cgV9leEvsZ1Ud/Tnfdys8VXgtIxAl7dpH+0qFOXxWpK1ueasdusb421ZeDLti
mDtROEy7erlLpNdEHZm0v43qSwAxJf1OF9Atm7S13KEEec/oRSye+6k/pYX6nAuwagHzX+x1ysSK
b9Eil+gXGda5gOlcP6eOizS2b5S58s7N7ZcxJ6+SDdder7pfKiP8E8pHqod2zcAbTncH55r5PfQg
JdzAyiRZ2yGzPsN42c+L+RIN+1l9NZEVV1gIkuauS9G1A9RuWTASUxqPCew+cJolO2UCsZsxtPi6
Jsd+rerPphElN00gEGoiZvpyrXbCjm6VWXl8kXZZfatR5qm6tpMa1IzFel/lBwTEkRPJNrr/Ux7D
5CKEEuFDGcjeKOz2XtiVL0nWuBfTiBeAXLWNKNXtYMeh06Rm5gxyMwZxL76i1ox8mFBUC0t8tEIE
JEIbg6pWmO7Lcyj5fb4Vio2/zcV3MGnTm8T9HuqXZXxh/WzTg23hnWgSt0SRVH7phnBN6sDXjd6y
TmVUSls4YZw2+kukZ23fSiyhWGVsbbo2YoCEUxA2ZAoes7kn5BnjzHNuSYdGkSbHkjRPJ5dD5UW1
Xau/DXriKuV20T51C/5LDfKep0H9bOkAo1vWaeoSrgTO0noQdHRxVppjEmS01s2pjeu7YSi3iHsz
6lUPMbvYp4p+HulgAiZYmGItIKxZxxFjbRMDrkD7EDFNbXE87tqueBqnQcBqhbBd1GzGVtA0Ml8m
hjnHtIrQCaVOUC8jFC+O+LxNG5pkUNPFheChPqK9FKrtWJwi0lyftO6fnVr7gqCRZhwqJ1R0d7bR
oepa/aNLT2ZV7JJowBs3JOD7RSCHZ33005aIOmxZWu5COp81izxskgLKU6oxODtMkaZCF4CjcVvM
0RGfUsLUuRSvi7GXWl+195UeRPNttA5ieAihNrxtfd1feawjv6e2HjpLrGD1qQQeqaEBU5BmKV46
a+D+ivkqTJNrviSkKVn/dXO7B19hG61oQWpfarrjI7abM/S2ZB5E/GzoXkfUROfaCTgTRG/CzTKw
WeTrlg3AxiCFpdWi+gJHg+Yhf/ArahyHxXS1iF+33kWNtRuW2B9QIAwqi2XzFlPsMgzbJtd2jegF
3BsjU4rmENEz5+9b81wBpw7Wt8m5zfDbj595bxNYo33U7Q/AGSH7pz5KTkq1zdWJrq9fYQF2F2wo
rbpfdJreDD6HWtpZ8ZcmGi+UXOxnpEXtc6WrHbuUP2U76KzZbWvkL3YbfrZlI1hEQkQkqPFmRbhS
ZXwmprIy+Qxu0w33XpG3ahrfljBzwsby5lI4epighKgkdLhjtwRdaxL3SQme/TO2tewN8mIRjxol
nqKHv0qFHpWXWhu60UvrHtlwKtM6Xuhaxf8BfRDX3ORrISPp7CQezMg+IMHWXBhA3o5uKPwsTbdD
Yx/ieYbJ09weFdMEIV/NEdhYrc9O3FU+UFtVCSRnI/CNNZbpIZ0bcKn40mBqa4BHhqw8SpBx2qhs
V5SI81B9TIrtJ1Z2Rp57ypL0Gj4MihRSBAPj/YpvpUB1YxiG7MlDOfhG/VCInWb9IIvUel6RdlaT
YfvlQ7SLzt2ZYsqiw3hnjKSmF1sbqb/OQCXYTlK8SRUqBe3W88o30Eth0TKy9bJnjJ/j+k80W5W9
U0NO1qK0iRlP8OhJbmQ8d+ppNm1mndrVBzdU9Y3a8yP+dTXRf6HxlKFAaBmUS5Mp3fjMpIYNRjLc
ubiXdfaqWItxXqC5wRJyVvOHelvJNDcfz2Z9MeI3qQWl3stl9XjhyoTcycL4qg0eNO0dTYs/ZNjR
ZBTEsdb81Uj5MzpN3pMoCrQEsqIBhctkYTtLb+0yBdl+/9eRCdPNzDj2DQlHO57H8icLv+IRuJNX
2Fp+ERlMTNhFih+/B6VYZMVrDX8d/A53hHwZRWCG11A5aWEfXzKcmxoqxJs+rz9JPU77tHuz8qDP
jV+9SE5dMgY6cjE7RePUO5V2Nia6e8YcYsXtayfrXxJDdQzyYc3JyVHjZlq/7R/KO1pf0YbMNppf
y0v6HIjhUjXHJUbwhHrVUgtY/sI14nZrxCixPeLtzIU+c56uzUS41GOoLeEnZJg9aWvnEubJdy5f
ZCdIuFpUIDJbd/0vIdmvUDhehdeW02mddkl4UK1zp6dOxBGTjW9j+wzpBLU8FRCpvl2CvCE6tbHl
OpKi+6PMtQZDE4/Zv1GKzxnTuGgPs/RvmGyfQ/uaiMaXplehCaJXJ7wJmltmkn6lC0gqcuQMY8dJ
m18jw9K3fbuSAcL471XhAG+qXPn3j2rsIGJiQOalrbL+KWETK4r1GCn01YJTaIBA/ZhCqy5nKzce
KiYlKORtXn2uC4kfs3DaVXUU5aMPq71NrvTjolCzT9NEO8Uf7B5wIDyk8lcMCGDVbmOCyfd4NSot
T1zA8HUxsJyCdOTr3tY2k7q6RR1DkFBnW1jRhK6AtTeVfgvLQEGKuhGhfZIGceTX5MNUANhZsh3r
xWK/2zXWeJnlBXfL2CU1oaoQ2mUOcS161s+GQBSjW8AcNH8c/+LGtJ5RBjSbMS6HyxCD6HPsz/Ba
Uawsrizj87ABqtIneUgbZ6zFm4kMBYNHZeiXutSCBJ/LvsWVjHFFKrdWod1GicF7WCxe2BUR5ayG
sftIdHqva3J/l/WeraOEeGOr9HLJBQg60iZ9oEbHeRi92hTWplHTcyl5OQKRoSJgTtNYF00JZkG2
cD3m7VYdJSStMxggg9h1kKJbNObuMmvWUz8vn7MEbqjpcutaKurhyrSfG6XMPXt+BnHN2nv72JQ7
Nfqr7BUtjHLRGERFPWVOZZsXtYNVzs9q+IJKPfey9F+j+dl8H1ouzbq5hdZVo8YVPeEg06dtvc3Z
d8jy1Tb3ePpQONxi66U37rMOqqu8yoCG6UMRdE8FZLHG3+Py2JzsCe9AGDfNk7lAMoV6rmzNJFY/
Q9yqBcRptMLJVWHo2gxX8uhrj+VugDgP18YGSTV3U5uJz35tvEltMDSHL3MybrXQdItsVl5k6ycc
JIdrQW+S5A2JFO3kBoKMVqtNFMGT9NXKEQ6U9LPrit9ojUHJ7vXa7Zo0fJOAF+ThJZmBZGMDwU2n
59k2NmeV1wdVbyXT+xGhGRt8SzcVjADRkzC2ufy9xBq2cA1dsfZdJNYR8GJYLRk6mdkEWw7SN85x
veLANIOy/NNKA4KxJ5JoVoaDPMcKYcHf1XQ3BnxCYPJC2Nx3WdAtxdYAxYuGz4qu4CF+wYmF3B0V
4sjHzfEwvQ4T0lAhl2wrqauDqKg08k2mSLY9YzQIOtjU9Pht0tYvmyu0bM4mb1sfnSk/R6X9r6gL
BmjwS2OhC2BpH+EOiB6DomjfetowOwC31BiPBBKnko9uPOrnwMQQhYJZQIhYbtuy7bTpQ6ZOUfwm
lqA3ILQLDdWLbiD/rlM9fAf45QBrfg21/hr5ZtFxKDHSUcL2sgtBxsAk0rM0nKxiDp2O/cJdmju5
jqhZtMgpJlBO0pIHbF3KwDnJMldU+pUqA9xoq9eP/W6QEYGs1mHANYWteFYQtbSWk/dJkITLxlaB
Z6T7EvGNNcqxNp+AII/tCPBtGRclqrbIp4toat/nJdyVQ4V/CLUaCc9mz38vYT9Ylpc1ECYqvpYX
SyfasP6bQoC8arbfh6yFeo7ZuiUczoUhwGVE7WNOmMk4PSFrb3Zdblvb1W6AX2PxRPFa4jMLyW5U
2c1RG1CaWUqL2FjehyrDcNq5aaqz1UU8hZ08MpfiROl0tOmxDVsowqsxGQBIpn6STOtmZo2jhKdq
aZ8MJnrNiv3OAiy2HI6xQ2Yzr0CARd29yRCnTPO2Etp5QTGK9wIecsFjEUzTr9qYhyK1PWHxDcN/
8fe9gO62xbSNxmaX8GMpHRr+8bVSJl9P/3Hwb5eqOCS2uQ27gOU4Ho76a4hmp66Nx6YJ5aHQ65RA
UI4OMux9HH6ELacjDwrimjhZn+pI93vYbRp9gWKt15qIuGqSjopxoS/EwW4N9Sw7zforUGr14bBr
yn92ozXEPzwmpwltHG0pw10St8H8QQcWJ5+RDJGCjm1wE+lzIqdbGDa/KohGS4F6trhTPWIiS1GP
w7kB8WfioqUf4XRhPK16MKyatxjRhWT6ci/d1Krd2rHmt8THO8uDi9HmaMeWHmgWCvil2o7SfWqy
wCDJljpTdX6rMSOpY7NXhOxYSfegOQwlb518pP2kerz0Ewd7SmDL8G3rU7wVarjLdPNfrBEh0+TB
bIqnnD7apsR4UyDIUzMDlRnCBEM50ODhCsybYRcdu/E2TUlQL1j/jHqvYSHAFOgRqPjwwQ+CT0oa
ITuRXZliw448Yp+vQMtYkyJ93meoPXRQuiK+tcaXlNxkw8VfhHztY1G/1PrbhJdXGlJdh4+qXPGA
ptP3Mld46+vyQ6nSS50QYttp/UWZzdd4pb2I7myntpeDlB9qm4i5rsS0uVNAxVK2ysfnEMX8mCYW
xJbvCUOLHMU/iJK4jw9gx7xbnJ6VmQVRhfw8g8o8DvUlDm8sM3EFKXwooodt0m+G1Ov19FsHOJ1u
i/TKvJ804WXUoa5mAgDkaEJsHfbsG0Dy7P/7PkMHrk/TVUaSuqK0tZdx27OcWFaSb1TKvtVmcVe9
2C+xrj6HFnAHhDCeyaSfPWtAgasoEWd3rgS1vnyrlvlVqp9mflkt6itbysFCtUOSVdjRydLnTxTs
VWZ7Y4iIPJxlUOXqMR1VYfGqtKD5rMBulPYDz0X5YMIf6Q5MNnO9sOsSu6GVUFkLO3EdmVvZ8pW2
DKwEdWl5ShpgErV1TN5msvGFpR2yAnK5t8L9nGk3kcZ+pmtuZM8YMYI6DRQJZSnS9kG4ahuU6Umy
wmfMEH3yPU3mNVre9egHqy9UPluooUuuGj8r+jWVtEsHzt6a9UmaZccQll8ZsvFszhlKqNjUfJY4
ApyKyceK+C+ZcF1NJLQVVio+zTAjbXZsWg/c9f/jupQjKlUy1hOrkSDOGqzAw8D3pM/+GqM5wjA5
l3fL+kT5t2rfNWSBhuRhdGeJGYYDpX6zjPWFnWlncOuUCtyIHcmnEROU1H/Na3Yy88PSwHRElUtR
GNYKE9HQss3mJYit6CShNWjm9Kin9V6NdDwys+4Ptaq6+H+8XG9AneR9E4IaJHX81mayJ1C04bD1
lgTFMKXsfTGdoi50IuiVal3Q5VN4rlmmm1cTGrquUT7r1TZioBUiXqV7Z7bOYHOibmlwALjeqYjb
JtoADNxqbh4B0p616YODd1Du1rITIV+ag82SYf+ZwhV7RrX+zIBdRzeeD2Ff0XNb3c5mZQ6tl7o0
YGNuq+HP1VPPJKE0gAaiDyYrvPF+lTJxetJvhUhemzOnFQNvSV4jTLRrpFJpLbmKZvVOEnV8wEpZ
7PNuIosOkDdN3ZbNPUrcBr6mmaa9WRvPq9HVbqdX1667LXGgaa5ItEMNQqxor31TMUJHLAJelYfa
pmmwpFW+DOuqWTO1MSBMbCtaeU7nAeP4HUvbzpbLIFIyNViV9Xs2nqkoBSK92NJPMd+hw1nRH45Q
CSlY6OjW6oRV6kPX5ouObtPaNygfrG4rx8rX2NWIjIv9DBCjlntr/Im0Ffl58m2qOVi4xN1nkwv2
1lfJcSYEfDPW1le8sqyF2noQMPgrs8Qwn/G7gKIs3sJFvpwlXuxR1rEiKBt6Xt6xDPX2T6L9KcaW
tq5LoZ9hMqGJF/zGUnOK29LVcOSnenvM10sr8kDt8V7AHWnFtS0/zPRtabkH8Zpbh3xCy94iF9dO
NCEzyluAlA++wq9MrFOJmz9UiPCzOkMrKrRuNY+t9EeZkJ7jGzZabDAPkdKQ1HjzLQ8HUUwuXddv
I1yLRRJ7ULyLgv4Xx62P+FmlIDcaR7daT8KglwhVTh5CiCTcrVIDtIgQFUtimW+X+qlQn1TmGzno
1z2ZsQD7m5UcJHPG0Lq+PYivyKvqHQ7dBFRS3wEYCRH047kZnAKYK7qJyGtKhmzU2eK3kSEtAUas
7FVC3YFOAqVS/ISYfJNpXxb7M2wC+ipphHhtcehKpyFGimL5ZoYYz2YpVzW+I9iB5AyjKelcrygr
mrBwkq70p2V6qjvIjWMyHLrlYxFuauiOmh369NrNRwPBqJqca1ni0Yyzj7oQO9Oy+PS+7frSSuXe
MGF5WxtVJtZI6YuxY8daDtyHURscyevy2F17a1/ZthPaGLdYcaseXnvW32Txpxclui5jT7Xya9p8
2spQ4FvB6tBMios71V3UHvlDFkgpAlnrED1+o+GLNZ1vHr0U6DTWv0GEXtnXr/I4PCXQMYNJcHR7
kMYIm5jkxW30EqWPpyK56nayb/ik1VDxYV0crR12/2PvPJbrSLYs+ytlOY8s95DubZVvcDW0IkGA
kzAQBENrHV/fK5jZVcRNguh8szZry/cGIETc0MfP2Xvt1rpQYnIgolLCxkGz6tDNiLa5xGxMcfdB
BcUDRg0EAAwEdnHDi9I88RNAyb2DqGSa883Uf3Eci3ZRR3sgKPdwsein1qz8hw5Subc29XQixTRt
qsEGyZmfF3EKmSWkCsv7lu6K2wfjzlftxCydZW81dvu5oAGR1Lg76Tx1Y/Mxqgvu9iYgEjd3YKzY
rWleB4Z0Py7cPrFxWd9vgt7pTrSkcRBoegm2RrepRmSiWKCwpBjTp2q+QtqZyIekLtZzA6kAPXzF
7PnR49U+BncVQyAH44Sud35cP9ntde1ilpjwgw1j9pI3mJ2nxqdG7VD2y+re6xl1ZR3l19A+h5Z5
XlfyVC0siDK7LmEXuYWKDkV/U9M4ZqY2y2QV0ARTDI49yWsRy8zoOLvK/Uq4EZyjeDzxh5cAi7IO
WcCF/o3uKZNyNZVXeY1IDX99z8qzMoSDt2+QV/6yeiwZhVjiMZXOA+gjo+hOsjR+tAL8uHk23Xpk
CdzRNT1QerY2Pa/+ekgRPklcDduGe63ubhW4HmT7Ufg8tSdmZGyFuVVed8J0ZV8CeirT7C6El0Xd
NCNVgy1IiU4yA+q+yf4cJFdZtgmQZ6MKjSbUDdN1BNV8RZ0NPwDpb2h419k8r63BX8fNNmyaZ7Mt
99xLm74JzzpWTlZirB2mj17K6Lry9yadoXC8sycKM/dO0XXdNP40r70spcSGjmVk/bdsueCinXa9
veWeI9ip/LvBdnbUD/tyKS/oulXlZyy/3bBTEW428qlceuTsK9aDytwhIlIFU2p4RoV3JdDwxawv
ZALM2cV/7NfjSCmB5Q3/IimCmznPeY/PzaU3GIsn8obuThF/qKodxlu8+NcRw9CJ1dtH9KLwAwR7
PQYmvjGaDLsg+6C6rT/dSpgsxgm3JZbWUu9q4/PQIqyJd52zHuvP6L6D4roTt41/Gg4fJnnS+4ck
MDZjdO3H5ynaU70Zzbu02k3D1zzb6vwpYirvfiZeM9f3LVPU6DHkWTHci3TrEUI1XJg0OI0cPE3O
enZuWN9n12NGx1zJReQZnQcehc1VwkND9zeus8nHS7O/z+071btXRuB8Lnl3puqSGngj+ktGk43o
Plbhaac/WRTLJX3wtPeLbaNd/0p1w9psOGkRHo/OxATGYqUimmTovCtdATtsUNkXqWefWYuptqoU
yE/G4usaxnkmGyrR5lI7SHvmmEfUnNFjzKyrtkaNZRXToTMUk6iiOfW9gsdCN5n7HgHWusJ2JbNP
lXhO42lf4SWZyoF24zwDwOkjfsg5myz/RMb1SV1Wh9TALZUae4kJQEGEyc7DJQ9m3Ibz11CtlR9f
iaLVtJjd01IKVh4S9TRdzRPN0L+hrVcOj2GSPuW5SQHjMtuQe0t7d31BFY8c+Kx2KIgm7HhV9hnu
3HkoWEQXeILj8Kb3ch6/017ByBmzfeteWeaVaZ0oWkJMIIV3nrJUb6YL5ciVU1X1qe2FxM2GzgOz
CYAjjLnrEIQUg8WQM95L+zkw1SHG45XMTLQTFPhMOcLe4ha3Vq6JJwtAloi/ZArVa8hoZjLtPe3b
0qaoVfNpbSUXmdXcRTaSXyP9aATRmY82wzGCS6eJrJUqMaG18UGr8GDOGCIgrI3FtAG10TMAzG9g
/6ys+r6M8TMM28I49zuQ0VPmrMvFfpQwJb7puFR7Hq7W4lR2Ex50VeWi7nYti/1sb+luM5ovVj6r
xdAcMQtETbbqKvFgVP6jETMWZjLlutAOQuery8u6TrcSYb5uTsZo50aUK+H0LYjjs1yjYMeoQAXl
FDTppkXZme873W09ZGyhzLe+exMG0UWLNscRdCmW+jzFgZu7+lTWQJ0+mB4YOQ8tUEJjl8laW21i
PPFdtHNwFzbGfUAOpWYy0KYhgo2bgE+ErDt2qs08M9vNp6+VRgZiMJIB+tJPGKJUdu7RNawRmHYR
kiJUgSuLeWCW5tvGrm79Ir9y0/A6cuqTMVPXZXcRD0CVuu4FIU1sHJRxFSTOBuTGg/TDMz9zxToJ
MSdQ5TOG1Ct6WBeJj8YpHhEU/xpHJX8ekKOO4x6TIJ8zTw/YbVZi/WX+hOF5tSATb4YVnsF3kIlv
4KiPkx7LJO4dYToo+OxdaHwo29vWv39nBxYy309oWs4RR72yQzGllinPhBjKRSBq1heTGcZIER2m
Q3Iqq8cuGbDGOrVDRR8yc33pAsVYyZ5D1AfvfI43ALfHsZBJa+Z1r1HnzOPlgs9N8bMzAtzNG/Rd
+JTMbZWuNZ0U5g/GRUy/Qbyzae+tQ3CEQK5by51dspTPRxuwLuwuN/AFhrxxSy8PtfRdohnmtyb2
2qxLz3rrZJAnbvc0toAOGi4wo9q3Gq8ibpCofahScxsb+itvsSY8cP/SmMs5mu6qovdgNzemM63N
iUpNs1PVbTh9ynkMN09WJQ8R+g+hMZnHgfsUDh95h2J+wpK5VjjM/HIkeqI7xI5xmtoN8nrI73NH
RYtxngvbwoufrdzgA4kkXg3hrOLOfhLEqZb5oerqg0za0zw00CLZDVMtK/yasj4wq1OTfxtTnHcW
U9xfn1JrOX4/u7SWU/0D6LMvk7TIcjETxBieX22yU/+62EerL5v75pC0K7FHWiJWn4w11jq0sqvT
YXXXbdSK5vQ62H8L1s94kC4EWujtrz+R6b51lR3BVUNlmI3hBdZ5YPYHGFUCjYdRPYCYf6g9c1Vq
i/ZksKV1twzBULWiGo3iAYeSRV0OvpHpRdpSnZ12jKt6Ss9DBfD+S9x8iqjNM4imznUVXmuZHjyU
3l0AdX1iyjQAMBWOeYnM9Xp4FuXH1DkbvznTsgEPYNd8yPLb2Lo3oCSWW9QswZUIoVYt8oBLc1AY
nD716PNy9xS/q91tkTveOKrdend0pefw4+TsBHiMBFzohUFB0208SkAm0FxSp8FjK1GEIwfCnLid
bTzXu3yg5b0HUHi72Cnp034bPLQuWA/XJLuIC+sZBF15PXRPFs9l3l1cHFlyljLwmcsrZq5jic/f
OEWQWatxNQAx61eE665y+h90lYZ77xPjW8c6t3iNUS92/YHRBYa3Zjhx4QZ1yeVC6cqsDyMwXWRk
5tem5CZgDewjJyB3bEYvMXxxbPTIYUcw83yJRZE3TBiaKyFcLvTgOq0DPEH2fWra11F8ERRoYvRV
hvwQIEFMi6jZttNJY9roOO+Uedn5L4TZtOOVNVZbp/oy52dYiphU39d4sNwl15sbFJASrhhJJ8u8
S7ilZHVX21EHeVvdmWV/XXf5FzPxNpo1j+SVn+Ws8eDUwYaYzhJHr1lJRPV2hBTAYpMKbqXiL6af
A2AodyEz1hoOQHDI/KdGXOYU0izbS1vBrgV9ZUIzQdZ0SFKeOtYl77CZ7ryF9DbnUyXDHnUpsrw5
hmNSUiRahKRZnybMADi24uZjPZ12+ZmJwqBG64yGroqxfUcxz0+n+6aAtvkCu6M9rB3zmzvTDSAo
Dw+DN153NiHVN1BgZHCiXRA50ZZScfDOqgYfWoIzLnhszOhBheF9kh9ysdblx6S9KXNzI/vg1qDu
y/oeyzNRYLlahx3OksYK92ORrBA/l0ggu6y4+/X9/D3W/mdPmCMUL5dIr/RUIumExoJNBXKj0T9F
DXUuasUeIavLxC+kYJtTeWPYV5nE9Q05kjn4ENYrRC6jhfMwoeeR+hdD5X0zbPTNWbuYMZ5KWlyC
ZSV1fA9uPbxBeAwg4SxE0Iy3IukQMLr1Gh1n5VHNcHskJ7JpGNdcDMZpm14Y6rTPTrUrkVd8SJm4
pYhj0uamnA5T3Fz3NIRSTau+7Np9SuN25YThjRPp58J31oX62vhnPnIfgbw/a+/oCW/LdrxJxuGL
5fcHe5zWFv75MQUXbAaX9vx5zE+s9sKb5/fqmzfejeII1py7g+90tswuppuYuRRIxpes3JnUc4vA
Yk0TnB7Cr8/mG1WOODqZnh+WXW6wqSIO5YnKa8zx8ITGZaj4723hiE485aUqwwH/hrOEk87PDRP9
9p233RsgbXGEJM6Neoiph5KL2NygUBRoBjH7LI3kTYUD6j0Au/3Td6p3HHtjp+WUK29OLgocNYZ5
ZaUnvz42P38zAn9+/bKm8LdrN+oSpsAZXc7GWnm23s0s753cvP/1Nt44w86yUz8UBB201JSkJfPc
T7izIoM3Lg95FDcFEL5fb0L9/AAp5/iCFRpVdmqM54xfcAEB2KsBryE5BQPrBPFKoQTNgnSHiuQi
RxtRJudG9OxDHTf8GZnWuMn6yxkFsPGSVPSXo+QkaBjq1MZO5adhwiNZ0vUt0ZY3dPOyfuNkemMh
io0WFX+V731Ge6yv4OcljboN02cp78K439APW/MCruVFAwbMamiCJtFjl18WSLPhZOiU94v8XJN/
2Y07bdyX4bNMxE09M9KLs00for2TUJZ1TCve6Miou6/sm54k7Ta7REgxlgQcjJ/LCCQ5WQcdY5FJ
nxqcRZqXhPTkz+P80awZx4TZZT1iTmGFxwQ0ZhgVpaX3zn0s33hmOEe3mWhZaDtuw+ig3YcG4Dq8
tg+GHXy0Awwqp34GRxaTe//v3XnO8Z2X58OEZEKctUHp3nl10lwxf8ImkBWFhq6e56BBUm+DqCoB
i6Y85/rX19pb4G37aO0kjFlYZT5ZZ0ZTM7ub/XyXTO6d0VHj5GjBco9nAP1zR7R0vl6ySmx7o0HF
ObBY7uhtFrTMtIjUOxf/G/n0yj66iYcwa/ogrKyzcGgMvJdp61sw5HPjMSoEDKeIWd/XwUSfbfce
gx3XFKgbHMCXdpuC9PDs8blO0kUuk5YnLpx1qJh5k5+1A0a4KjHrm9GjyjELv/kwaDdG8zpIpubL
TYf5P0KCl84QXTrV+O88tK3lPP7kJW8fLc86acaxgDd64XYuDD6PPkuxK0ApYo5ad77H0I3RjCg/
GyhaHVVcTBHknukqsKJlBoNWo4le8i67K9NpbyNDzhC8hSRMKnICA7Skdd0dhpoRDe7ToS5pyANs
9KJtFrjvRdK/tQ9HS6HR1r4wE10AfBoYTaGjWYsn/wnKdEzrH/SJsnD8qYNj0SzaIIUs0We/OHfl
TdQ/DR8N1hvM8L4Ml9xWQHr285mBRIndR0/ODhE1Ahzni1uD2jh48RM9SqCy5kp/ar8l6Tmicq7D
l5RAdpopvDc+1UR32FvjmfrUQGUBO/IFGZHRbJPTBnAAjmYy6PYox9scMNqq+oyRuRar7Bo2pbK3
SXMDnGQOA3SBZ7TQ83fyA76T9X92ro/WZ+Ykq2IG5nQOpH1nHZJTxhLnKClXIenRxuqDIvrLXrun
ZKiuw51GBLkyyB4rdy4xTC5rx2Tjr6heD/TVlt/aZGtMjxvwKGubzsyTtcXUtk/XuAuvsDFcpnsK
6nNox4hj9wwDT9J9d+jOwq3aYaX6d6/go/eeqwK/dgv2ihTlNZb7vbkXN1hR4T2T9j1swCZt3RMO
82pc2RtYpeuXx4/BJtnR7TzD5V29B8J/Y0VuH70co7lLRp76JoFtTB03uEfWyyFyVxRza4z9q2gX
fnzn4biUbT87lcu///Cyr3k8JMmyLf/CuMtPiCW4np4BbK/z7b/ZF7OPXjS6RQhSm5N37mtE4lVy
qUzUePlI2fXrnfh5UaTso1dLK/pKjcngnUtjsT52JN1UcQEf3djptHo38uWNp4N19B7JLV2DW59p
lDDtLIduY08fWUsgO/B2g0tqQXOm5i+pfq9IeqNWtY5eE10x9JWfInrvOxDykCmN6jSj8QpUDnjK
sClNEkfydy6EN4q+792hH64Di8mqnaZMzHhx7GfxZOHzdt87dG9Ue9bRczWw3XJKbIuwnMC76Sss
ecARf33u32pfWUfPIs/LVOGGHR3JuoBYlNRM1JNQu+0a/wSY69Gdna3wsMuWqGuu5MikN3KATAHv
D7eZE1JzkucK5NqCGdBVLd2RQgercRYd+mATKMiEGJKsGtDowojO3MYUJ6kKxVkHMWIztthXepzc
wKZy9WibMBpJ2vURmUWz9s5VJuF7+j4IrFTorx2Q2XVajkj3U7uAWwCK7tdH4o0mt3ecOWlJbjMV
R8nFEMTw2dy8n66kkXcMVHnry5BXyEws5QGIbbxlvDFs9ZxbB0OOX5JWGQcZ9MOf+Q//+Tz+r+CF
7MF0Coq8+dd/8fVzgaEkCsL26Mt/fSgy/vdfy+/898+8/o1/XUTPddEU39rjn3r1S/zhvza8eWqf
Xn2BbiBqp5vupZ5uX5oubb9vgI+4/OT/7Tf/4+X7X/kwlS9//PZcdDmDuduXICry3/761snXP36T
No/I//zx7//1zcunjN87j7681NHT337j5alp//jN8H63lh619oTNaF7Zy009vHz/lpS/2xqdh2AL
ppRacvfkRd2Gf/ymfndsrUkRFQLjD3pMfqspuuVb9u+W4whXSCEcx7ElS83/89lenZ7/OV3/QRF1
XUR52/zxG97IV+8Bx3OFp/l7TCltyUc9LuPUlNqdbIF/NpZX7DzD1WRQpIoOgl9FI01yU+CCMIcc
34zh+cj2K1Sd19rRpQMEv6KdrqwBbZNLkvrO72Y47W0e4AkYZp9hQDKXIYgu1h7neUCpDz7L625D
MwOPRV4KdgndBbOxNqyFbekXEZOqMkJDmhpJoTe96muXOkAZmLN9T6/LLsjOirAGdNZBJj8VQ0e3
2qo8FOVdKg0QNE0Pwz0zDX02OKb1KbVa41MGWUMe7DKIPyiGTS9uDhtTEWvdoeoV2wyfzWG00nFi
UA3myW3bGfdz6cd3jL7wsUclVmcl1fDYJimMiKSM/JUbdzAaCt/rPwfRokqj9QO1xY9cWzBDz2sa
/E2hv/mN1X8kn9LBOYnQZNcN9QRBf3ZBzkeF2dSr2pnglbaiQRndFBFlTz765sbIrPp2SoT1lDe6
PGHmF4tTZ5oI8BxN0HNZkhrnrLPKDi2eNj+NcB5yQEOpwtwWSYXvzQuAwHax1eOMr1W1aTuze4zN
YDgjThK8lyFDhdWix4c1D8Qdw6Gb8ZDPXhfv49JDT1E2cmPFznDroxg6C2avfazkAtGjy4ccsFER
RkUkMqpaVdGMFssqHfPCSQJ5WenIs8AK0wxc2XgprlxrZjQ/xFZ7BuCdIS/jJbhmaesVpz07d9fa
GTCoCtoqHpOpDOjxhilSFNMuF4QahuSrlD+BG9lp7Bd31E8s9Fh4E7nX5mvPRUGL8zh1r4ZSw9j1
Zd18GJWev/ZiGm/8TtkYBgpHowAPSgQe5gBzjEqwAu9T40Cwsyi1bn0nytHTTMXX0GgHHx6XIEUb
pgEeV3eKrwzKRkC0k4nYqWHGah7SJLWWXDrWDV7juxfWTNfsZCoNhMqI5V2LjArwyjrqHeyGZTTB
GpNZ/mlSARgyEzFpuzNZ/XwkN6Oud4E0vQ8ZiTLFDn8hYJtyNKZHORcdnDh0LCzfRY0n1iTznjNW
cL5FDpEe5HeJhievsmbrhLP6PIlGUCPlC0ogcRzsEZPs4YrmkcdCpEvokq/6CgXfxmWFyVh4HvLT
fBi6fqdi/vDWqzS2/LBcFpUmIhRepmYfYhiKZ9hIovMYIVRJgxtbZB4+F0tk36SITWtneRZtcxF0
xkPb6sygeV/g/6qa1gPe1zkw4ydj0A+FmWDeDnHIYraXg+Q6rBDn1hMcplx7j/gLeua3WjOmEElt
dBAqyvFbHVQgnrI5nVlKmplx3VSCUYAvU9D9dsA4psxzGu2FAbRi0yLMBEjfGsYTmVyYrypk+Pw5
gdp6dlKXQBQ1hhvftxx9KJOEbM0pTHFVYbo+zOEwZ5vadkE0GcNcfNBoAByIA03ZnFq1jL+5Te1f
xeSs2uus8pfcZ0xn4labQfi0uMTxwzuz0+A2hUrhbVwpsUmXfRI1t32bMKFvC1V2121o2pfVxHP6
RrlJVGOTnbAFsf7HRtbbjb9rZ7ug/eXVFRIAUAI4S1VTP4BJxlfcDAwRqiIfriZUCJdRDe9/q4yQ
CmnWKvrid2X72I+64X5dEho5a8WwSdwR5XznDuJZ9ZPhbYdx0tVthL6vRsUh5vs07cVDFqc8XHu/
08VdJRNA2dxoSRlfDUNrTVeZ0cIpTocK+1xgehkGvRgn765J50ytxzbVV7VveDEazyIom20eKHR/
llGAJtNTAzZpbjxmIWnTx9R2jo+sakRRelE2+SL15Cb73BQcq43RxmQrkPZb3uMrR3weVA42VMuw
GDAkRaU66EJ9KwNMbbWEjuAYCG+zhqEsaLVxyWnBt2sTL4UAs/GmNjkpdVI81joUN346RYC/ojGX
m7CJ0GMoX5kfprh3s0PMc4swNNAQ1/mshnqvC8xPwRgADIix3eGDyxK0dDWUtVt3HMdmlYueySWP
88FXZ1ISV3nlta0vToQ3RgScdYAar5x5rhGgp7mNEkYlzbXBiaSL3/NIm8o49tE+NR04MFn0f645
/1HB9mY19qqCuypfckgiLy/txVP5/0LdZrKuertuO3vJp9dV2/Lzf1ZttvxdC2oh7ZmOZcvvlfWf
RZtl8R2mytq1hDSpmliq/1WzOb8LE4kyNR6/JzwKt/+u2Qz7d88W7vLvgrabp2lJ/oOi7ajg9yzb
cbRwaKIvD1z1t7B5PzSiKcvlF2fMYazAMYxHmAVW2LbkTaCMdyDbtoNxYvRd/KKniblYrvMRkVNh
+AO6XDUbJOZ4DkkERFbJdnr84VD+VWb+WFa+XlT++QGVy7Gg9qVWPe4AmIFXlH7SfR1DVxaMSH07
WztIhugzjF3p7X+9tderTMWz0nVNRFfKkq6mwj5aN/fziLFvcbhEgQw2djOn9yUZTDf/fCuWUCjk
lakt6Rz1O8NwSqzQzGMibiqOWhY3J2nu9e9kVi+f9X/aMn/uiyVZF5ieRwa3d9SeUYKlqGcy4Shl
Fu/6chCXegy7Q+46wVlCoNVWhOWL3QTTO7v3+pT9tWGWFosyVQjxfXDzQz+gqlDyDsu7ZRqCdD/J
aZl1GwlS0bp6ZwLxum3z16ZYDtku6xfHFEdHcs7H0qlm8E0OSSTrruUFHs7V00DakrAy+U6T6G87
RkKExMhs2a7SWh53VagCUxkLSNPJFHxqbZr9ym5eJhfKxK8vkNcrKXaL8p9N2J7UnkQ8cdSYiKFG
1WjsYbJIaWzmzBS4C7Q8qdyc9qIY8jOgF9PVrzf6t2tfSb2sBJWEFMPzgOfRj+083+4j0lDxniVD
7aEhGcrumwQo/p6S7qfbcdmQJ23+fzxHRQEpWXywndkOwTb7cD+DqIy//HpvjkY234+hlq71/T/B
l0edPSeOcRaYRCraMezFsCREKta9vSc060NZ2xcppqg0JjiAcRlK0wOXyyFxe5IHmC8sQE1ZF5fo
xq5//bl+tvdS2aZjmsJS2GZfH+U+cvIi1JDN4hnQknRQ+ya9/94F9JMrlX6A4/FQl9LiUn29FTHH
meoXH2E21EiLBOwSeD9NU9LatFhYvnNj/O025NIxbURYFv0J4VhHm2P2gXc1BsXFgMbYDbb6LIHc
NNADA6cI3nlG/3xjrtDas0zFHr7eN6fwpGcT/wI7IssPGVimGxkVJBEkBvRp36yq9y6lv9+OJnch
3RNelFKx0ddb9J0xrgfJ7djrobqMQ/XQSHXKbG8AvMFKY94b7UOkJ6pMss/8ct5YCaV2X0E8b7Ey
2AGfdsrj+9Cg1/BPryfT4kybrsPppoezXG8/PGzd5b3JZ6bqRne+4iMJmJjZdPLrrfz9emIrNkfB
oy4R+lgkIv0oZEXi4VpphDudjWUYsIRm1j+QPxHF+p2dOhosLzcv20M6zunlacCBf71XWCdElTv0
MUpRk4TX9y5x7MUcJt/sukB571hB8BAz7aezXTeBgrKsjE8ijEFt1v5QvDN4/vtNa1ooZJeCSxBD
ai+X5A8Hue1YYmQ1u58lumsOQz9342EkDOu9McR7Gzp6nxVxF2KGZkN5RV59QZmwlbJ+7+nw/dn3
qjTg8PJ2tm3GJa5p2UcXTToOVVHFHN7AEP5tGyH+Bm7jh9/q3MKfy0zZvR/GuAOoYGJkPbHbmOmp
hp0ZvHOmf3ZhWZqDK6SzPKeOTnTB2H6KWh6HiWfMZPOFepcFHoOrsjcOv76Gre/6ole7vbwQOH3S
tNkmX7w+jaKxjDy2AJ7nwdDghZAsQSHOaIS12ZAHrJgipT+YAIfpExYNpn1znFj8zbYj9Vci7dXH
KPNzFJwWTcwWqXSJ5xUSgdGr4gulfpU/12FAxI+uyw7CFmIvqKWUXgHQnnhGyt+WUydPEeDQaBrz
yDTgx5hjcmMMkqCDrk4ncRuOEe+gnNZFjUp+ER3s6dA4tgklcMArKCdnbjd+IWaUg2MAHCPmM62N
ua/bnTaZQ2z70W2JNIfGvM+UNhDBdHH0NTAC8oLyxgjcMwssygJeyFr6TkNL3C5tQSbNbZYXLp7C
ycIVFBV+vWkBK2f7Wqu6OuWWdz5TG1nZOeCHGqgtMTyYMqvMgboCv45AK9RqHu72kLjaEEUjTgNz
8C/qpvQg9YRGP2EmFEVg1/EjK10Z4KBLw6TX+A+zXhMHoSVwlzW9KwV+SxkBBj6v8NsnGyzDdZml
0Y2nSkBoAE0g8sa1oC1VRXZJbEsqZ7TcSRXswTILUtLKHLZQm2Vf69rA5msliVzsKaht1v3g62uC
CvxHYuAlhUBXMCTuuPGiU5MuFYb9tAaPDKyQkNwIKXW0sQfdh6eub0WPveEKAqBz6in0tO1kkQ9E
SVg/iMGmVxQHqfHYWKmiR0MUVcqQt9eOwQEO7erUR7SCHtvzDfs60FGOGSlb7LBpTsVFqPGIcSum
u7yfp7Qo6Y60tD2xFAdPVZIRNejbPv2vIqHlutXQg8uzsC+ne9vJFD2tyka01I0+uQ7Ee/mwfYsM
67jEki0BrGcSwpdVEpvTKRcCRBx24y0e3SijhQuoP1YV0CrtYQan1z4j5B7sYMTENZhlWoCcAnhw
EXuF4eAlmo16xNSjVdCw4TRPueK8of6EcRM/et625Y1RQH1Y04qqz5vGBgVKaSS9D7k1j+J2yEiT
RCLchaB6bTmn6GXaoM/vaXl0m1LiB71L1Ljg7k20g3sWpa4XnNp2YeTqLO/dxohOYt5a0QmLm9w9
ZEZN72cIuzTbj7ES17R34i+DjNvwoqBRgviiTwEdJAburlA2cFCxt80opIscYhBvAWwI9GUw1zjT
4BuraGrCF2dK/YzhYDPqLRJt8izG0WEmEZsxjWumKzPWON1bCA1yw/U3SV+iuQG/IrpdWM0esso8
R+XsBmr5k8xxEFgWMYeuqyRmANMaiR8ph2yE+q5ayKVmo2ZyKeGRY9LWTrjpbe1AZ511c8WyrtBb
Mu9pRMZFnSAs8CQXRCOC9NxFquwvgxOb1OcyLXFU5BZ6pCSL5ET+7eIIAr4JJiyL2vlJ6tn5lE7S
HrZj2KeADy0AAH1exuSQCaN8DIdh0I/JXM3NJ9uPsfu2pg/0P1WSu2CuXZPQCBvbUVETKHyKGq/0
tpLhKvJOt2EtXaeZ9bn32xQEfznz1rH0WBHq4Ir4OVQ6JXhsCoHzsQAh+yKu0fBVXuISZ22bI5FO
dYzjkILAc9f0WyXEfG7oCUgJZEJU101GT9slcK2Rhf2Q6i7+BsOEZLqh6YCBBFXlgWaBevaQaDFn
4IpNcOGQenhKIHxvsFMPgLxWie+DBDDaImv3RZg4t9A7AUOnroV42J1LmvMr0r8gw09BmJ7lmKKm
u9bFqi/XirYstjIzzFEFEsAGcb1JalFvuz6NCxIDxujKmD1Jbhj32ZzcQ9oLVHKg/qee3VZRV5ec
xdqzurZ9gQDk1I9ZWDo0e2Vfy5B8zKnmDuso67vrsQ/IQmrm4jPjWokdzXfyeOM5VUKGVOHYS/jd
Mn/K0YQB0qhd7RnjurayAaMja5IhsPea7Pik+rNM/P8twN/MRcr6dguQAW705fXo9vtv/NkENJ3f
TZflg6A8F/rHJiCDW48WPG0SVha2LRa9zl9NQEzdv2ume5JeIKWaZy/Os78mt4ap+N7SoHIcU7Fc
t51/0gU8LsJYOvAfDQfqbS2UR/fyx/K2NPnQLJYhx3GtQQVoPzfSKbZuoszdD0flJ908GkD8rR9r
MIf1iHYk9SeEFNN2j0rPpqppAwVRtRK8XIkbgRIyCDYdpxkQ6jb3RwdQHtm5TEvcS9Gn2Cbccbjz
KLyeytZCTCsWbmsXZicqc5JDbzMJjs0M6X1ovmjDtQ9lOWLW0dZp0zXGddSZOFOZaV4nqW8/WlOg
7phy8ezHC0s+u4Yt1b9Mdc99yrT5OTIkN7QfPPiMq8hYLcldcO2MsRSJioyhbEMxbPV7t79qsva6
NyvCFS0/qVd0+uDFh80+0jbAkmZZ+kF1TfsJ62qxBC/OHkmcdUcmnJ93+ddJUWnSH7awVNTQeKYp
woZSEUwKAscG4thNvkfWC26FlzlI4DsAXkLBBeRwk1hOC3EsyqzAqNu7zCACnfzGLIChf6dD1wql
OhQZJZy7sToUOtWp0AaktF2PfRXAtDcqY3iYzIV+Hg4xrh89sBK7+t/snUl33Di2rf/LHV/mAgGC
IKfRqAlLtizLluQJl21Z7BuwJ3/9+5h1s54lZ9kr3+gN7qxWlu2IYAMcnLP3t1tK55sRLvC3Yo4Z
ajtDiRWwEJX6AgTTJc5BDN4lbb+M/J+6X3xsH73zGEaL/x4URv00EMF86w4L87AmSkeIS2439pAD
Fv0ZkJ2PBg/+Gvt8Irnm7kSf8qRxXDwsdRUCr+wzfEbVJObT4LR+DO/Hjy7WaOw+dvUEV2BCxu6f
vJUgClzngg6Kl7RoZpawB/q2uGLLY4JgcHJgXRHUXow8brHFxXnCRkujwAQh2qu2GAZ9jMscVn/I
B9eHqsVzTAVM1vpZY2MiSoeG0bizbJD1fG2rT9qvl/6M39DfZUKj7fUYOIldKgb/OWDECjepGKGh
x/2Uz3s3SKDe0LFGp+2uBiUC9kMJPWsRCVSY3Kj7LhsTQsDczbw/IOP9DiWJqr9NC/kUNLmznsPd
QOSpDKV0LsOEmXhG/2g/hgEKUNQL4WmdUvoLpfE4zSgaTN2+cLYnt2am+y0r3eId2EDLAA5kLsCT
yUCLaafa3f50b5/W3KelOYIogipeGdKcYEfDGpG0ICE8tuHSx+87SGOsCyxKS9N9h8lCXpcA/vro
FQ60wqp05hMtNqh0yk9CiwjfhyScOIVrjxVy6eRk2cHqCyZW5Rc/U/nD0ibM6wvlzv0Zg2QuThkq
YaGhdHHIqCwnQMTxUzK9IDnG75XOgm88E6l32ZAPzMUtxpxVxGQBGnd2u69t4iSkZkni4s8yr2rT
Yz4ErCY8PiXli4BjBoA7ONCe8t6trreQGLsV6Hsvm1fJAI5nBopDPL0vx9Q3sBb8EiFF0cKWWDzV
f8rqYfjYYXw3l0TW98DAW6QDu844y0hquE5prU91sqtn0X2vfBeG1JKmUJWqcFhQ8I8+CNnaI45V
McrLbgTRy09GdS16caZ/tK7rCmN84jjOTeySWSDmaIgfVBaqp9nVwze36IvbFr+QAtHgrdkeyvmG
QhImcukilrGHL0/BIoRBmhSrLLOjXfzuhjD11d91DfEVkIxhR1/UQ9ze0tMD1t3QFZa7PGzi51yV
sI6zEhLNaW1tMx+GKBuJv+kLGhGihIz8Tnibtz8s5x6HVBUhvQlUOiRnbQK75CgnmwgSOkYj6Y+t
mlRHtaEKCdNR7kXY6xpQRJbJh6GgRbGfZDgy9PSIx3Vstb1I0hPx1WJRnOw207V/XCvRkxMmhXXu
pGrjb30eTXjogyAJdog2xjd5WvYRiZFqeghSK6GO5u1IfR6skJ45YeNyn8qyC+67XC8lqIvAv9LD
1jDE3CxgaogC8EMbFxKyu7v010Woy/gzNC/dfw9aIFDPdqzW+WtNIk55yGkwagn+353a2zCbveA9
tkBnxWCmyaFegA8E20S/aMT0IXRISXq7VOmWhjSZiGNGVXYSVbCmECfYKaClSoqLBUKtiP6FLfeO
6+w6l2UA3xlQsT82EE/49yNy8Zx8eBNjduMnzUgu0VGhoorUcwaOv7zA5ezT2u360cHSBh5xMRCO
MK5wPluqClS9M7irPcQ9o7uOV8d2H6dQMDHfc84rg09mwbPG4hxn9rax3kSs8yIlmemLrr1zpEcG
ybSyI0sJoE0WPw6j6SlO3ca/0NgzzQ0D9cJqELc1eygb7fBQuklOFHslPSDpYHcAz0Z4N3aLNRzb
fTpepGeUNDu827zj7biocqA6l05RkpAFejJ3syc1uTa8XzofvjSxuzoqDg1pTtm3dexlf9cM/iiv
l9LM5bXWDSCSufSWtuWdrE0C/ogbeh6NTRl9FLlcx0MoPIJzJaV3ybfv2hX0Yjm9mybOqOg2yWm7
Zv2FCdmvZMgfxjwu9fsJ7dQVJyS0/dNqp5FEeTg4XCF/rm7zMHT6U5JE/rfG9eIF/HiYDUfkU5VB
MELG1c2wKPlVu1M8PLcL7esvqOjK4dobChtjZcI0RYZ3VWaEumAPTzjBhlYY2saL9c95VOYMdG7r
tWCMEi8GsiDW5WnW6F3mGaFOmKUlOCOHcoEqpZSHdmlCvLec7i6GoqEhA6y08A41cE86xJg94YNT
cUQ6vsB/e5dJn7Tu3BKyFJW6OaZrAcskSoq31Az4mGvQKkvPsgXA1SGvBtc3b3KwQBWfq3c0FZIz
Ok+y2TejZs11Gu84jpO99Ojcns9CwdKKLMHiNDKIfK7JrcwxAe4GV3IkQVEHPgXZ3aJ76OaxR5hi
5c7BeSs5ITP6Ir030G+DAONJY8yFatR05bod6VadeUIgPF4wsSa6VrCS5HHUwEW0gIj6+Wkd8Cj5
skChFOVJsZvq4d5y7r4JkX3vM4OUD/RR9lBNwDnnvCQ6gd8K2GQMqpCbXMgQI9gq2eTkQpHpFBrs
gzH2zM/0hVcAKfWM3y+HrhyIGPAboYAEDjEQSS8kZM2szrcw8r/ymHQ3s0eQm+pBf2WMma9bBTYG
9Z2EYh0U7TFRw3qz1EV+YOVrTta3kCfRG3+LPe8qSGayMp28RKiknHeRD9m6sTY/ZWZpP4z+UAM0
MYMjWMXa7DzokuehIiiaaq5mn6y2JMow1W/7uSUl1yOBqCUfb5rpZk7dJG6bCEym8TxzaVuENKQN
4aeJ5uWatqe97ukAX1aFpvgpAWRmEGXPEhGie/IpnyA6NSRu8cQo4W3clUKkV24vP8x9GB/dOmkI
FEAtHTmA/GlrAjebq/iBl7c9mHjoH4XEaJw6s7ye4cc8V/UCLX3psNsp2p7aVTdYqj/KpoIUmDnO
BbanZ2/R5cWEDA7F3nrgX07bXdDWw7lJxfKpiOYVTlHofdaUuMRq+fNlVamY+l0U/XQIVl7qQ+8E
/pchjMyNmtnWiY3Q1z4b53nj4m6fWwJjR83+kQ/qVMwGnhChu6BNcPCprq9PAGGKyyopPoSW3koC
A3459BG+45WG8jFTdNHAZnp4B6X0P4ap7VMY1ElNmEBFmpDK/PZZYre+rOGfHuSg0alCBIea3eWb
kNwDdxc2Tg80QTIU5rXL+u+ooGCK0cY92pHyFGTJQwY6lTNOoUkNzPWl7sOZqClF4qjsl+E5s8kY
7/88yv3vWf+/5IZf+c9n/WM3fWEVSn/Uaf/5V/512FfyD1ehugh9TRuQoZn8S6atxB8MZDnNG3os
jNo3F8hfh31aBIzp0BagdTE8C5rZxL8P+yi/XYO6AfUBam3ty39y2Gdm9+IIrn2YPqHx0W+HLmoG
pnn8/z9Ms1Q8KtnMtCFjEZ/bZktYpCu/xxTnLOctCjIUsYGhrwyoamC28A7dXPpmymz+UIg8/DzL
YPnmJC1Mbd4EGk9BTkZD3aTvRhK2wQGn6L4rbBJTltwHxIE1Y/oVrYiCmuydqh4Hj4qCI0de6gh9
x2fp87rKLiUMyMEnrH7YGEZyeBhaezPE2PcXaAQHZHvzUY7lnRoI5VJz630qHd8eE06ABUVNX6KU
phQfzinq++SOXKLoCSEuQALY+EX9YU4qarzEpVogxa2gC1DSXYDKDwPA0fECcFvYt3FlSoK42/7G
0eUImm6ZSwmxatqyBkZt408SYudwxy44FfvUtkt67KfEHZ88a7c5WjeO/WGzOxDdzKHcIWKOgBky
bV3Y34eln9zrOnHtFT1Kh99a+Pl4P3hqS2/LDOD/XEIKb5oYxKVsZ8mQDqH6+8TT03VCzQHOLqiB
sLIFsmIoWghAxKP4bnVDO7xVczWcy8iwxtciiK+9epo/yWjEHxz64C9g9vLZ71lo1p2pGRvHiyCS
QDjdhZxq3H4iPE55xF1ssu200oaXjhgiUiC76MISMD1NoGYzhJkDzOZ0AVdk6DDDVfDe0KQmShFZ
rsje9G1+Z42NwXi2VMF9c5Zif3pv3Dzf44S5X3WYAGlLgDan1E4UJ5wXD/2Cy3NvF/qn90HrhOXH
RJQS7XlfJoRfE6jCRutUniL+/Z+vZr+UJb4QMP5HmeO2ev7bqfL/h+lE/3Ix2yO8xj/z41q2/YX/
ES96f+ht4m+MCqU2xCP9tZR56g/JYiWR5MkwwFRCb/KvpYyeJgcN9HOsgZqOZki78a+lzJV/eHQT
aTNyqFQecpF/spT96Xb+sZm4qXu00Og9JN/Pf72StRY/VZqjiG9ighu2t5hzthust8OailuY1fos
mgbtHj3Xjt9EJcjz46T0QVad7o9MDtfLuqoei6KaiYyPW5LhQg/H3CgqujLJ6jMrnkj2udmaMglw
lcRQl0YRjbzA51iqu3i4m7SOPhXuxGltVH3xuWmr8qquqEQOFUx82mfteogRXl/jnCGLIgPydF0w
WHtYEuN9GIocW0VMRy8tk482FvW9QxZyuxeoL8ketoSBiCibaRhNwTEPpugebhdO/7DFWfPDRvY3
7dmfurNcTtQkAfcvcEWo5Cv9AXx9dylKPOGpLtw7PALtSXtBkZHCOQXv66Vzn/p8Ko7+SvsNBswE
CdtGnb0N3TK/X4DtP6+WdKk16hsXG3aJh8Nb0w8tEWHToa688QTCReP7nRhd/frLb9P7lw+D9miF
+1oaLFAorF5ua/S84sIuUPEVqsDjxDHxvGLxPvpOij4kS39HE3Nf7qMBHqeXH/hKTgCYJUnMVGhi
D+hkZwIwaLRzmdepwXu/eJh7DQ4Nbw5OYlBnTlJdFWvxtsDzg3jvnkX52AXtnmPIb4QOr0Uk2/dC
XxdgEQvBfCj18kLItpsnHnhsyPicdmtU1icnn6N/qIn581PwjmgqCWoK8+pRaZzOdsbg3Eod3V+1
rdsiwgE8+Oub+qpY+fMi+z6tAPqyCJ+1el2sqHylXUC6II0+p9wh9KLt2bgRgczFFH1KhsSlCS7t
ci/8Vnxqte8wU2W0+KVVq31OhI6IYfPxDinyJpgz9BtFvCzz764sOtLt18g9IufxabYnDgxTRInj
hQjpdETqeoDdc+OqmU5aVsTNh7HoqgfbJOQL67LtCBArjugbUHXZaqNxrLKrun3lFpczLT5G7rQW
L1VFT/Rfupn/rb7/y0dd95+L78v2O2zRpx/3q+0v/Gu/cvQfIaJZlIE+Q7FNQMsa8JdFUvyBnMxg
kVS+K9Di8Lf+Z8fS+g98kex0wSbQ9yk3/71haYyV6DT5r8zgKND/2X71coXipTQsT8hbUX2iM/+J
wIPUpeu6hdRdK+Wj72oQCE0NSnAtnXNN2Xn44cr8zWr+aoH61+fxzTe36Fbxv1aA5zJY5yrh87oq
p2UI/qbcNzImIyyU1VmPKeQ8jOiyMfUBLpv4Gkmd9XhFvJome7WcWN9vZ93kJxRi7sEZZM5r0CFc
//UX3Vbm/7ty//k9tXC5ZZsEzMU69nLBCukUr1VWNPQv2s8W+vApUaQfQQe3v8Fz/HwHEKhyMhPc
6E0++uqT3KFzxdrh6RzDxJ5P8+zTBuSsM2ZB/dnMof7NL3u5RWy/DJ/gJsDkFBa4bJUvf1kqi7Qk
rbUFuD6RGZythP7mdGJVki/Xw1TRfVZO8Jv7/jc/kvqLT3NRLGJLfTXOLRil0unD8lUxNdrTSQWR
2uUg5GDPXajaef713dsOtK9uH88WElReLIwuQmz70Q/nyb5rY5LOSOEhuxKRbJfm48eETD4MoKLq
HjLp/smXdZ0PyjBtOERoRj4gH9FPRtTofSbVZDRxFlrtR79JtDkmzkDqA7+BiWfmkkbbhW77jfaK
+GwRUJNcLNfgQ1bWrr349Y/5u2vHA6IMz6PPsOFVEdGm1i100gArH0VwhektPy+7ecXiz3SsGsj2
+fXnUSz/fPXw8gTb80GhzTj/5dVbtd8ri0pnD7YSvHOc1dUusHK4SVPRJIec0CHilMVAS2ggdcdX
hXoY/Rq5jY2HZSe8UmVvPcLY2O9XknJ3XlA1KBeZnZ2QY/sLYbg+t8WG1fJdlVY/AH93SmKa4oQD
ZRlzrM2l1503SZufGL5l6ohhsvo0tPgad4mm8UhaSBAUOOe0vqY/X3dHU/Xy1DCPeZ8B/YcACAuT
OFGGMsjSJNvzLljq7HYeIEk23Si+2GDxuG9I6gjcCtt03nRV4W2PCl4eVQ9j/yjrvi72o6C/QOer
t58QxvUtaQp5PCFeS8czy4kDmk7bEEe6ZvSTLzwmtN+ilKwB1jTotjxs9gEWRXeTD8Ry7K1JzYWx
AiR/JqbsOE6xuCAGTOmrdC6Lx7ruG0n4l7BfI8Z5H702NMTzJYQLTUrNaKRM1EPlHvQ8HDj7im8M
QOQjI12nuLGSqfUhWTpOD1OdL3Q8KiTg1L0rsrq4TDkSJFQlsJ9xsCS71qX/f0R5y1DUbRJb082e
kmtTGfmxLRsUlE46TgtCssJN9xoXIIkby9Rtsd86uHZkNi+7dcwTwouKGN7+MDaOOaQaf+fRyyIm
4WFnho/o9Fg+kznBZTn0qfdIf5cp6dgw6wHrT4f+uHRj+7nEy0JzhMx6Fvg5zMiBRmh5tlKIJdRU
bpfsAd41b5sqwLJe4ljy9obkE2bq1ep5Z53q+4kuO8lCpKsh7zzKRqFUQ9qClhClR/VpSieQI0GW
MTnzm3BgyjvViv9NfNt92DQrOXlh6zwWzEjRsBODiri2GlaArCZXRLgMA6hTkc33bTORylkHdDl2
DNCnR1TYPEUtI7gvlKHw96aqtzeJ7uidoyFsAgBpdHmTM8+zKxx3EfpHRtYst9kwF+fJ4JOtaaOB
KB3yGRAb+kscXfgLcY1nQzZ1uH61RWbqpZ17I6E4MlAe+ywEyJEspAsTKnKdTkX+PJJxTPC6Oxb3
ha+nGx/8By2kcQW8my15/FYWFeSQhed6OoujutxCQm3xriml+igmFjtyVWRzyVwXYlwMZ35XjghN
Qf3PU3aYeuN/pY5d7/LGAySFHhYC5aKr9MmMDPR2sdv1j3kwRN0hKea6P1OtSomvSTU6FeHQo8NZ
b+dL4AiWyfoya8JTqKbnXYwn95lL3qR7hJp6PazAvp6XPIGv36rR6Y/9UCzhAf0iw12N2YFse+06
b5I+cCsm6VFcHmZGQfADkhRJhxwr3vJEp96Vr/OREzERId3B8XwIsH1ZeESUx8LpD+XSk1xXaeaj
6AO2mUrXN8vXTOkJRLhj0xta85yw+6Gbeub0JWoA+l7+g3RGlDZZXpApU9VyOprCkoBJthKAlE10
coiYk95Vfb68B8VgxPlIxjvjNAakjUDtvr3P3rm/VNbfszKNj0y7w/tu5SXaEfVLCM6wVGQ0GdY1
wiubMvwe0k5c2T7F9MYyiEfTzFwUnznZ2zx15HlCf4nj+kPaDyNZ6UNdOzyisrsCtAYA2BkEqujF
b/33HbIWxIRzlXdgMpL6owSlB9YZX9aTxr32uadaqM/pNer+MuKVBtMqGJz0amSY1xviL/dZXg+3
fpVWzT7uq3k4m8asYiAdGHr8KA3FeJl0W7aBl6JCGpssdPfaJATV+Hpbnl3EPueJiVR/mItY3cup
JThpiUR/zqhk+ByuxhZARgl0O7qT49GmqCXD8rzU7bGULgHVcUKsfb+0BhbT2uXfcSyE17yJzedk
XOpvfia76YBHnXDcxuWIfChkOb6Zx8kBnIiN5J0ILDQ64ZP4DHg41k+rRrbLBKiRn4kURB1DTGLz
Lus5UiIziGEcuI4rrt0hKIB+UeDkZ6OvOzLGFw7Yz9zOqbpFxq5d5m6+1x8AATCL7/pYPmVRXKyw
1PCgMy81HzvHKT6vsBYhj0OwyUmAmgZxqjkf9Bh2EtjxfZmhJgjiHG+YWfW7tWq3wMvGlPVFNKbM
IZkxbdnq6EeJxQ3b+aqhNVPu3SbS38YgzAqoHbwMu9z60DfSRo4IUoOZ2qVEqAEwhL6cZhMjgwtG
9uJcIg/DSjDZGakG6cpkSieNQ+ZflK3VVeZPnThygIDIag3zX/Q6K/F2na0c51x6df7OcsQHV4ly
iJjdJYo+LlSmaEMrixMTA3Bxz6bVs/JOTHcbikSSzJto/ernoFOOPKHLh5Jweq5G2bJ9I8mBS7T6
NQYGWwsvPgwY72lXlH7d78Yyh4qd96VPgE9l0ssy6gjTNWWOAg4lkWIPmJhKRwRgJDxx5FHsuLeS
QXdCXBuZQfwEqsYWvqWtk0NaGBRZaRLNiKHo4T868dgHQKzr9QEPHpAK5RVwwr3FqOdyjIgAQqKf
O1SYK8vp4BTVI61Kkv0gkgff3DBOkqt1Ms3n0R1sCbxo8W69lZ+AiE9lV9RWqG5owbjfDEKE7zQN
1IGYiG0U0I3Rc4yhwxBXKofhWJR1dN8KxL07TwEkOUxlHl2lwaCe1Dr1yMER4pYD2Z5RMiN9WnPV
3hS5I6+dGuMYW13xaHxnvglSekB7nUaoetNZ9EcWmC16d1MqCUVQnYnry7TOoPqZGiS5VZhMkKU7
w3eGK+uj1ol3h0RieiONTWNOkV2bHOHOdI9Tt+VN2ARWQgl3wr/2VOV1F3gMp/tpdYlq4sIJ9O9G
LlCUg+F+pEj6Mg9h516iT8/vSF+QrKuy3Xr8gnTMyEPgfGW1yR48HRG8iLulO5M2ZzrRVzmplvHI
IQ/fWcqLJZCMndrGEBVXkyC3MtPnz5BGHy7P0VASvVu6WA4AvZCNuOuz0f2wMuRV8FXJC7a1j/yu
m/XyNqstzZ42nzui6nmEQo6jtDpvZ28L2IbqY+7s1LAyy7nzicgzCSEG+86Nu/Asq8g5JIBtjb4M
aIWeuqnL7/zQBXxWuINsdiKru49lEoYZiZ2tfuChNXdJMzUn9jmMKCEaEvw1c1BWB8pBGx48sUnB
LJGy9mCmAM+PQO8JqzBrmuiI9j8mTydBMXISkHIuscfNKVFWIIh2aA7kg7MYNkS/dEgLss5K7OTS
SPK9EqHandG5/KqkC3PHFcxBjmlYZl+hh3RoItoFqJj1tcuxuLTpG0RSM/nDRRHeisH64YXXyRro
o9Ddhz7iLwIKIU7AXTUR82KEetl5GfPrWstbD+f/U1OK5c5FgLHi3EuxeVX0zim/GrMuHD4E2aTF
OHqgw3sUjApdHzEk4VS97zYZ+aFAupqyUyXqnU06j2BTwmLEDjEu63swxiQZVIgQdjP6pHDfZwgw
dpJCwO5h5Dg3bRZTovlWVpcjoI5spxwnf/JQ+QW7FVHI+8WNpOE+yfHUtA26TTOMAcpeBS37fDbZ
VqaVU2SPufKC8FCFzXqTOVEL2LAzzZNAxMjRw5VRuo/Sbl2YCYxApmPfv/DrojufUTMfkeZU5L27
i0/O6UD2gz8MxGkTj85CS1weR9a58/KDkB0xd/4E6HyRcei899AgrOhAEoLg2nF1v3uUiN+7xGnR
KATS7xkfWPoKMz1voiC8Ke8OGjHghImPmInO61M60eRaN3sz2OGxbQ2iYDEKrmnEYvrdBrHB4jEQ
ZYLzgsCxwJRkU9Wlm/pnPhg/c4iriC6OzivihZE5VjxLbVR/GSmGol0b5dG4DxUr875q0aaRxMm0
IrNdrs7MOM+sA1SEWAwEUHHHbcksjdZCYaBchHjvIRrSJJdb/A3EeNLiKfA0eYfJWmjjatmMFGHL
Npp34y5X7PdU5fxpxnuaiWDkqPE7LhBSS5FVEK2u3JJbOLdrezHXE0LPpFWbIW7EEL4b/RHBUVBO
V+g1ckVcvckvMWbBaUE7hwClGnngoqLxbgc0kie8+O796ApS5wZeTUV1b+fPkZTlTlaBsAhyqQdp
rzTyrNMWUQneCSzsjeMBajKwxna9n5u7xfdpHhPd6tZEwQ1rhDRl4gSkS9acvUNdAPsoG+dbb0HJ
t6Px7N7EqBi/925PWY9oCzOLKsvnUPXdtzyJg/lt1q3NI/aLgXrQZDERkFHat/va1k35fsCbwhR7
IUoHwSzDICT4gFjSNsTFkggGyIQgiyE/Juy5yaFSmbCE2jbrfde33vyG+S/dui6b1Vu3qIj2Eypj
JS6MYy/WFnzMfuaxR9pJsBQBVdS84JDSsjybglbm+5AwKTDo89J+chaklgduvvuuQIGf7/XYkoo7
dNl6aESnT0zwIA5J5Mj88CpMrsIurgHX1D5BsvxzObUJopW7XCd+cIAntTmA3JDYyKq/6huAkztc
9GQN1FlTPE6mnd9PceR8x0yWoYN1dJSf1Ahpcz+VI0lHNZXrNRocnv8pyib3SJ20HVTywCMB3TbB
ubSmewxNVXQXAgXlZa+6+SkMF0V+1NIO/qELnDQ+rI1LSyFUOv7qDUpwwxjp4ddJVrWfbUCWx8hw
Lj8ivuSCWhcqkZcxot57eQ/xh+8UK6C6QygOdIKd7KwPdXCR4DCvKZi9/MvKW0wwN3O8q8KJudoJ
IsC3uJW856xdvO9dKts3QWrMeEHxxgluRpT0Sa5Gf5QYTUlricoo2jdJlRE7XUFD58YVTAlslVy2
fVpjAch87xn0VQYY1PRz/MgYCztYIHGyHsauFadNahzs2jpegdW5JaXjnJN9Uds59zgyMg46GzMU
u3vEFxnQjUgVxQEROgJ72F0MwOA8OW9mL+35VXGSsfakI+dkh5gffLdV860nEsgesOtPb3OGLp/n
vu+3dDvns51L53Mh6GpDpaslu/oSVuqEsUpRFbBz9iTdNrhD8wwKzBknxuZLW/WR2d5/zGZNXwNG
H5oyDt56biU+VCmateMYTA1thrIVT9DJCITqw+2YjCghui26DjlbgTt42OVQsT7qfvIeOl7i+XKz
Wn2HAL3eWhwmwNILL8k4TcUQ3usMvdyu1hECWFhOzOIK2jJvchZh/nNeBx9xCpbheYr4sj6oGo4n
p4kBJQsNVeIaJ28Z88tJjcFVSHocV3xMkkvVYu/ZeyAKKUmrQX01fla2MLK9rro02miEc02bnbq8
Ii2EyS9BKhVhbzT6yTs2h6oP3fBss13FZNJnkGwLxBjYdv0BFliJ6IT+cQJW1GP0em7Ri37C9tG+
s6kikUbkTRLRAfIrj5xXOjT7qpTtU7pQaBIMrH1UnrMYiIWPHRDJcZ4/eG7AyTSd+lBdtrzM7DE1
TvCjGJrcnpKso5TceS3nS0bYrrZUh2UKzYczTP8Oj5v+mrrtyE7ULw6bYTVk9zLpq5BRhdfCHCsj
XJNxvDg1j6RT5+eweNbnacmCq5XSHj9nmJZf2eLmq84t/eSwtSQxtYtJJzz32NvQjkaYL4T2q4OH
5S5ETO9GhoQlL7qxbUFlE2cysCf6J9kbDhTA5ZyBA+Xedp4PDTZdJ7VfsPbi5BybriemJEwp72ci
pvIPiIMywk8Hx9u7o+l2LdpoDkcqGLx9rMZkOvqLHL+y/w5Ypo1Mruc8ivVlWWeGwPF6yz5Wxq/1
MYm3hzLzi/hdgV/z4b8JNHUF6iZuLl3Em2a06+20Zd3/N+L9ZfXLiUZ4UcniINi0LxBZxuXZr5vG
fzNVYKFWwDuhqIBqQXzxY8N9ySPOepaGeyP8+ESCwwS6uMjeuKaki7T24XEw7e9g/3/Xp8azJdxw
G4UxX3/5oZgHk8blFaCvR+k6YJE4QxLmIxirvtqIGMjOsEFFORrxX//aTWXyer5glGGSoiQrHgP+
l58snGhrpmTbWi0n+IwFfnFkxw3pnfVy7zboslGO0hzwMwL5mnZ4g3efbDi7Bs1hdfDe/+YL/d2l
CDZwE7uKCeTrlr3G9lVTXZHpYPIG2fpcHORIN2Ga1+/DOI1XJQC5fbdmObk+/Xg5em1xEXrkAuT4
XfEfp0CB40YeTG3sjbBrdOtHxZYTXfn//FFh7VDMobT0N13hy2vn25YU14n4iSR3PPpKQ3XlOGo4
dFhh3trSiT5Emf+79JVX+I4/x14kWHtaMBLCvma2KcsPE6HRJz87HlLwJyNSFryrboYYsGjPW89m
R+EUBFJKm54VTA1IJp/lmSo0PnW8q7+ZhW2/7+VokbRi1xNCoFII0Qu9/CaODrpaxbrZr/MgT6kl
vXdJg/mDL/r1N7ytbcz100cF0GrxNhOi9zorYtXB6M4ccverM6vTzLCPjNJAn//64fvbT8EXyohq
m2H+qZf44dJ22AtdzN4NcgZ3PRZ9DXq9JkL4n34KZxb0P64XcPfYwV5eNtrMNOxbyuHBEsVQqQhh
/zafkv/49gRoaLhiCn+rDPSrRQXldKSmpK/32DDdC7v9EMgQdJP7Jf3nH+VzW0Jeh+3+/LnK/HDh
NIWzEVswl+bc8sYBtXspi0wcEZH9jkr28z0KDFIVVipgrps+5uXVIxpuDmBTNHt2ROIetnYDvcTq
d8vQtsy/eOAQM7jUpB7PmodM4dWcF5KXg3mTjxE+Aa7ZZvdgVw2+zqNyj3mNHF7n0XyoEr2icq0p
O8CVQGGO/N88+T/tRwHdL+A4jLk9vE3q1V2Mjd86gy5xvo8oRQN8eRswVb8pZrI2OsgZqP+hl/36
Ef1pEeZDIRHAjlHKbErDlxcZxsQI3IJHFORERlg7BVkE+3bv9WSCd9KPz0fRBwfYGOn/w4WH34Vc
AcAW0O3g1e91FxyiTsrvTVA47oQbhfssI7EuckiHb53Y3U9Q+d4i7pdvhrGmkM8MA9FIzr95pv/u
wvOMoQnnorvIw19eA3eInD7nwLXHh9XtnbS+KrNt5tgxuYtpW5xIs2sv/ul19wIfECPLAosq8rKX
n+lz4AadQHeO7b4hqE7a/doLfaqymAB4UxNRW6sV/Etc/eaO/7ytsFjITTejufculcjLj+6Bvtop
8et97UPqCCkB3tDE4chdxemnGcnxYcnBTvdOnqD5AlgbD155YI79OwTZT7vK9kXCTRiEpgiZ0asv
AlYEoxDhAdznNiYDGLqGHinVsykod7++3D+tJXyUQvbPp1BsQIx8+Zuh4I6y1xT9eQUvwhZFdNRK
LMd/+ik8RbxOAMTMVt29+kGLmyTeME8ggIVoz2VaprezgxP415/y82XzWbFYq/4Pe2fWHCeybu3/
cu7pSCBJ4LaoQbNkDZbtG0KemOeZX/89lPs7R1VSqML7enfs2NER3e0sIEky33etZwGLQ4R1nEDW
6sPoBHOTe2XJWRLcT7ILZYKGoUcD8PFQb98MZSwffLgJMOKQbh3eNj+u+rAzGUqrCaDeDKXUtm3k
qE0WK8pkc0exLA2a5IQo8u2ixHeZLQCIKXgOINEOh8UNoDU5rnavsQFeTpZmXpK5ml/1OgHCTQvH
MYPNv1LtqdXw7TRZBmY7gHmEtWDRxL3ecenpIOCmd4VnG+P4mAL6XE/kcJx4998bBe8KmwIHzh8X
eTiK5Y9Nqcqs8CSq/Gu491/GWPs7OiqbRzyvjq0vV4FYy7CPFpi+YysgupQSnZnIM6yf6V0/F6cS
YvV3JiPDSPR+C02X7+fhtXQYSPos93MeVSdvzKGno8ie6IoikrZq6HWvdLcWW9XI8FMnjNibmw7D
uWER/xfGMeRBy4gunWbUngqrd14+nr9LYsPRx12xMYASifheCuOYE2n0Y2T4VPs8UAm/RRSQ0VxW
9wRYFZdLmMxFClIe3HhHnR9Hf3eNGjjf6HZHgFQw4UHH07Mz9Hh4/vh3vTfBF5MSsw2ArX4M76xx
skuayYWXQZXdBkVE26YHlesSwnAxV/2vIM0zSK/uz4/HfedpyWVKLDpNGnnO8s9f7d4osS0mBCZF
oiiu9L5DdcSnqTiI7NQqdUTH209AxlrkntgXALYcvcS0L7HVVRHiIdC8m75MxTpLJ3OTpUijWjIU
vD6I3Juiye0by4UolLqzduLcZiyz/HBzp5Cw85FZ5IM24rDDC05dIPaUX3KgYobvobw0Nikbj5Ut
mpq67RSf69PoXtC0GF8wCBrfgCr9rlulswGhJ1IZWnibOE2+CeEf3aE7JRDTyCr1EE40aYKy1kCB
ARozsNtgZB2LSOCnr8QpEeo7EwYfnAHA2RF7YM3hddAtnESpd3xZdNn9Auno3JP9m22s1srvga9p
zzoKguvRpHr38ZRZHtPRHQQvu5xhEEFa5vFuIZSiLQXtAi9j5O+D44udQPxKsrom7qvJPfVqvPPG
KjaFfNaAhFKrOFpQcuREhiCNxEsREd6zy+5uJ6xKJ67qnRcBowv4HLb3fK6P1wW+MFGsg6clT7mq
HoCyVKxYQXTrJKV+Agh8BAffvwh8T0weHmcZxNRHc3BswZpZXZ15dQvjTjcz8oXhF17qvYZAo4XT
1Q5Cp2UteFcio9zVQ/ZZj/wrKlL+pdFXJxaft3cYZwdaSc4ay1lxgSW9XgRKnPJJ12eZJzVSfmXD
NrNEwHji1Xs7b9gzIMfk2MsywHblcBSCFqbU5B3ygnSMnvOaYiUQlOEsR6p7A6GjOLHDe/tEGc9i
i4fsFPH53pPzammTGlma0mA8aeTRtpF02ekz+9uwaMRfTx6GwnrK924xbhwrdSMafmk1lqlnd119
bi37oxm43rkVOfGJod55VssWGUn9ckhjs350FxP0GnbKjAG2V2ytTMld2ON+/9t3nCtxFR9J/p8S
wtGzAr0oyErmgnzkMzwmq77M6XZ47SgRn+CsPLEBevdZvRrv6DNkjwSDwMHkqupufqiU069QlMfb
cMxOFRHeG8rkW8eH1sThhun3YLJDJfUHTefSWKudFb583WuA0VxqXSBPHKzeG4oPHY4htv+0Hpc3
4tUMDIyhHPUeuUZctvKcFBF/ZY6ZDmmr1dYfP7A9Y/VwVUYHT/XYweasKMwtG/dXY2VWji6qRTGX
Q/79XpF+s+tl7NyV+IPjbVHUivhw2T0B6kDE1dTTdinr3qmw8r3YKqsMNK7vrFtE5nT+27KC5lmf
Ar2/nbzLj2RS6UizXevYQSVa9o1lxyKrxqRcjzj+tgEN1BMLzdvbjmkf18Pi+uY4fXzooiVN6ai3
U89AZbgLIXqeV5Wa1zKxqhNDvT0O4XhZnOd8h5dK29FkKqJOpVgQUtRHc57ASfXtz6ODuGbSWwgb
IrVBE/bOEnPxv96cuz+P9XV4wzu7WFDnNHEMEP2c2N2jcSOnCqiWW7SiyxTCVR4EwKlsvT3rdR+/
sFnc8/CbC6b6fGP0sr+cErvYlQSALdQVQeOlyIufaejSD/r4p729+ZRgFHssjGXsEY7vCE7isRSQ
j73acLoHTQTFdSeoJoUBeT0fD/X25rscyJhLVB+5+cd4vSpLBA2bKAHL5brfyMJxVj1yrHE9CAkG
065pHE/hdOJNezuHIXtQ7bTw6BEZd7xTj0sECFVJnaSoZPPkDOZ079QzYfYfX9xSGTh8n9nVmTrL
x2IS1o/NJqXlW4WTjFTg6CRezGOGOrujoYds2gEZ3ZYIZPrBGc41GpArN0X99fEPeOc6OeizTZZU
Rzj9Lv/81YKSNBjfjYwGA3tol8DlLt4k4Rg8fDzKO9OFbaRN5YmtpLO3iL0ehQWyRm7XYoT1zf6+
nfpPlGWzL1bKd+bjkd67Hhf3iY5xhy+0OlogSQTRokHrUTIK19/6ZdZ/t4VbPn48yjvHX8pWVE8p
HlLwMeyj8ulclFi60i72Rq3uNrHRIgxIWod8vcmP1xH0kY1q0mktjRYdRTp1m1ENP1qrcXYl4t0t
6i+U8PHUejpF7v9gUjGtltOXI5eTw+EzRafps+Nq0CZFYXMLSZWucULDfm5GlCO80pzDFVncdlxN
a1GpE8vWm0fAbWHSsCLja+JBHK1aLIy131mwfGPoZ08kpSTXJLFlJy7y7eLItnpx0WNUpIrMZvPw
KhNtSBs+xqEn0OgR0NyG4S4efBToeUrPmnBd58yNHSSgMLSyTRbOL1IP+12CznyjRV27qbXUfgpR
F6z3s+O/7tL/WapJ//sFWxI+DxI4N20YIaVluvzJ81xCO5f/4l8cgv0PQJelzEZHlRdnOXv9m+Vk
YDxleXGXJpZLfYLl419zqS7/WR4vxyd6kAayEiYbWqolf9P8B382xVCynKhV0io1/waGABblYCmm
TMQ3nkYvRSOWY2Dg/PDXa1ScToiK1QjTg3fFvuhRCd0ZeFgAjRMHWF/UcRtgpkkBvIOyRnGMNKVP
ZjDldV2jkYg5hXypQhhjXu6qAL4U/hK0TZGdxl/NPfk83FPQASNBRF8ArjgE9qT0dk9Nr/cE9XBP
U48XsLptlf4dGu6E6LQ9eR1AQ9Xjktazn+2CZk+yRIeQxD4v2MULvD2qsHKvo5ptGRXvpOzXas96
J7KAiLfKbO8Q84faylKBNe6EBaqK5geitBVMNkAkMR+cSwOCuHURTzPJeGkgajQ1uVXqT00UDxAJ
YzKvkDeS78zlsyU5r4vWZcMh6yDYjhmhiBemqFxxm8tJq3eg7WGJJX4ewiEMDKfxlI2ohmabViNl
Ww2jabq3cdHOJjYwVJHKI6N4GlC7xioeVkPb1g0Q25m4pXVu22G8sYq6VHDHcx2VVzWyr8V00iXB
/IDONWge+4SWz8zBmm6v8x3GxTh2l6Rutch8kLPQNfVAP4Wxe9MNQjXDvaEB/a68DEtJl52PPWxy
imMR7Q/UKTN+jKTzei6KjNGkyYmV73szGlwP5n2gAwfD9bZNiqzpNqRsIVJG12+Wl6UVZ+1lBKHi
m65hI+hWo40G6m6YQqDnM0pf+BRunfcPQcr7gq7OprZkjYae3xeow5Jrs2mbZGcjAxg8M41rbU3/
CAO+XnUGOfM1ZDRMN3Nhrc3IgIBHLCjsblQkOHfgXRD6eTZZRnfe5B0Aej4L7gwMHyvguo4tzD8w
O0Z7i3FLMquCXpgXBkav4rqYhkhtxijKH12Ai2Qt6El7F/Q9/6VOXKiNSt+W64b1s9m1wezc0TMb
9XUzILdZKf6oK55QfIu1Li/P3G4RfidmNH6x7XiAIlI4wzJvFV6QrRJjPJ73DXhI5EudjtvCaaph
M8T9ZOxGCl0BdyaCtTPiecU1ZdUEEBpaC77WifLGAdTad9WlOxpAIuH50Ltc4aAs609UoG3QGuUQ
neFHbYiQnH0iIVc9aHH9CceMyHYGPjRrGzHXyy0ZrkV3HqR+aJz7gNXTboU+1YqvQUE2A6lmEeaY
L0IHdY9hDboJ5vMW0+aXPuntFnWiatNdG7epBNQbCACmVmpp2jZqXc3GIzYmhX874+Mxry1e/v4m
rLLA94ocsOcPErjm0QObq5C09LmLyRmFbdcnErifyuobkh6rG63Sh0WUpTufqrnq0rN0JOpjJYsG
Vxney97DH4hvMUq6UnrVGKHVtaxEfDICkCRoR8IJcXyQYM20RULiqj37zkPnTNaZi0+gQx2JNBD8
phV+CkYTaVpSZeOqcWcgt50McQ7IKmvowXRAILci66JzGw8KTp3EQYwWDx0IOaVU+Z14GaBMkY+s
ZzULNwYOH2vuhdORw7DOmSOfFHjm+5CWq9qwmkZqBek4rKEiJ7hxA+T9kpTwoqVqWzjBExL26aWB
D0imBCmbFK+jRh+3lfR5F+okSn9RVqaNnWgTTfxZr6A1ikp8U60m9HWl+865DC139AaYqhfEgmPV
QM/qmBwnLNzW7TRWnec3IUL3wvWNHvFjP8xslUJxMQeI6le8IdlvW8vTy7qt5VOfp1V4joXGD4vn
xK2GB2Ut68iku/0vqqq2dRGZDcjlIPbLxwhl/02JDBsle0/hwjMHvZs5HsfTjRodPgZGJ7KC6a/Y
JeIJi2FR9qr+NNcLGcUJW0U8sVk30ZYvWThfJax5d3liJ9bGnHNeqMDoe/SAqat/VVpLD4vK7fSp
tspAwwgbYIijGmJ0zu0E+LavVnRDAfoZQgSYCFTjIiQpXTFa7GITk0dQZ40q8TZlki+dowb3uYyD
ESZVy+K1sg2Ns6/eOiG+YaDkY+9Vg4ugEJx02KJZVuoT2UZRa25B6yVk1GDCdFZpE4tndl4APwnw
jdDTLjljtIKdzPaIfNZ/GqLW8g1tkia/KNORIF96r+SOpDmlo41sbRcNrTL1nyBvZ9qtdFVsiIhl
29WrKcEftDXHlEJIpuX+ZYkZoFoNMP+idZ4k5jUWCugB4Hxl0W9o0iK5QAhhYvt1Zffgz4CSEISn
1R2vANfKIWNqV3hs+/Ms8rlshG3F8wyrGSvpCFYLZE2GBJ0gZ7e7VN2cgLq0ospKfuPmt51z5kY5
Y9+xCCUtx7RffuRUJ/heoFHjy7NV+tlOGgSauBS64JGQWK28EVErq+9xI2LuLp7GDGK5b8UCQvNc
JxhjO6cqIhor+LK3JcVkAxpOOeKkjEtNoE9jmfYyrEtqlQ52rK1E6dftpghbQIszBqW7hJuX0E9F
BA7agoopPXg3TGC5JukL/9702e5b936KaeZgxhmnx0H09s3QpNj3CPKqvlg63s1VPo62CUTbQDM8
14P7W0MUH6yTpMtvXDFED+4k2zvD9UuHAoY7P7utL7/xU/uvsVbP1xHRt/3KrqPyU6rC+tHsCbnA
3DYm3TaTfB5XHakjRNzCv05WuREBlQNnhstpdCLcrqHbIIJvKAWylTHhtXmWiyV7lUKxDTckgsxX
fjOMHLTyLDjji0ra8KxoV6qoCqgbKdle5FxK4+Ghq+81ayR0OzJFceUmBrbd0LGKzw0Zszd94BvN
Ckt+fO/EZfNzaBrrPkn8TJL0QdQKNmRM9ejVMbZ7OKX9XcrRGwE95sodRMvBPidIAChVOpQYGHDd
Z/lWmGnxhKaqvNDqoAYb3gzlTyA7FhjQcKy/sEPrDDaUofmDBXbkUywtMgURrrd0/h2/voUglwPX
mvsK+XpWpETvuZBCPWbTcEYiAF7yQW+Sq8ksAZDoTil+qAo946qPhtol8NyFje5ME5xuGlz54ywC
M78csyC2V3HmsOfJ86I1oQLVqtm5mHe1VVj36qvQExTik1mo/CrkBV0Q8nXMYq91NQrTVpflZhYJ
Tmd4ZoGzbuyW8kUqm/5rZ8CMjU294o/NwolFb+a85gk2MM2KFwkjXq8RXuN1AGB/1h2EgVVMIjh0
WUqBKYD3yccFnTeB5OA3OU/L+MOmGSHuRqvUrFpBoQw/G/YiH8ALX4yqA9SHxJvgetes9DOU+mO2
TcpZ3Y4+eaLr1hjNEj7qiEE6LDLturOLWt9p7AajnXJnP1iRKqCaNfZdcUbg69ysiyZzNohZfWeb
ZdpwP/gEgu4mi80ibpVQcsdQjM1LzHfcWb+KfR7PsI/moZOQfy7+RPb4UuLS6vdZPrZrzOIe4Zpu
P9b7vB9VJA2BsUsKUIbP/JPWLtlA6RIT5P6JDIr2+UHTrC1hQtGfaCG1zxmqgBkQOjQQDAE88U8c
Ed/s2domS0xRTRr17ZKpknnREmPkKzIO2VAt6Ua5jghlJfapR5qxj0CSQpKH5LcZu4V9SpLMGrfb
Bn05fXb2OUr5PlMpgzUCaDFTZC0hHAxeIFGQwESUMmlM0RLMZIxDotbJPq+p3Gc3/fcI3k7LgZpI
2o/O4NcvP1+Cl+bHS/36FL7/j/4cwy3xD80OxCHU5nVqxAdUQhBNi+aH3gH4ukW2+u8xnMyOf/h3
l8P2chKnsM7h/d9zuAZ8FYOMTnmcrh99P5rxf5GpfFg9WuSlCxiRn0DN11jawYfHcKf0O/pSITZD
aAznswMKRGLU/1OigR8Z/CreKa0fHvb3QbRcDN01MDXucs1Ho0CAg2xK6G1vVZehqJ76DoyoNbLz
S1HBy2Y6Ua46viyGoiBGVY57ay0NqcMBR0IlfTZPldeyo7gNp9InmmLQ/qr6yWVRiqfmpoSBuhBO
11FNLAa1jmgWg2MlFliqaIylzyvvXs2od27e8gj+r2i9HwXlJn21RRoGDOq4UqIlTqrXkNqSbJTe
DCq+pY0MMAFbd/M4xvEPCCGnkjqXG3Q4qEHfi5m7tHvlm9DFaQ5IBWm0xpOqCtZ6p9qtXU7axtKM
6aoQdnlihhyWrJeLpO4gGYkgRHrmxxpuYP5IwhAleJppf7ExTmNSQjMkg6Q9MdKbqQHKEycKin+S
RhWVzMOp4bOxMeKYHUrOjvNimmXiGWWX/gej0CdnrEX/oB/nvuIdjBWu+9YjtmHBngPRJzDIrZq/
U9XubxzCG+SdSICQ4BzP9Fi6fTCH7HvStFtM6GQjun1hkQkUmdtSK4zf7MGys4+n5DtPi94cXWxc
PSxGx0GYRHgocJtp55H9BgZL5uO2logW86o8la56/LiIeOIFo9lLoZDC5PHsp+GpiF0yIYkQH7Yr
Csc89wfS7T6+oKMFismHOZG5TqXOoVa6F/O+6svUVhIWTj8nXjL595bVEiBBVYVSxgZgzLlLg+HE
/Dh6v5YBF34ffaBFR0Fp9XAWWrPIS6IQMMl206UZkvng9q59kZYGvny4ySce2HvD4afBicFjA+x3
NOkrSkUOdhK6twoQyUY4JGwQYVmllz0bHd3rJPu3E/f06MlxifTMmR46Ojik5cc5tNiDyPBJ6CTa
g9LOS+k+JJgc//rCDG4g4dzcRJrgxw8u1IOqwTnJIOPQnAcik+dYPIFD+ZW+GQezPvHc3ruoZXmi
10KRkA/04XOTzrLoZ6A7eOmjbWeX6QbY0qn017ePi+/xMsgis1m6+4ej5BDqplJH5kINi+wLmEPr
ogaGQXUGi2VLdNbH0/+dq+I7xlTkeYH1Pb4qW2r4yxXTH/4qzVFHJuj38Of+7Sg8IjYZ/G/ZDexb
Aq9eMpewiN6aVOJVJRX5tkcbmHRNsf14lKO1iWnHXGND47JJQiFyjHptldtEDkmkngOZZwVVctoQ
kIn6yzT9Exf03lDI3GlMSoQoEPEOH1NrwLiB25J640z2YtjJ8aHR3WFFXGF8osv33lDcOdrCvE1L
r/FwqG7uyUWZKcX4Kngkrne87KMFWDQN3V/PhcUoYKLhxzLA9+Xoonyht1EXhGherICwOrI6NAjz
hf0fXBBrOy1qdrrLZR1eUGgW9tA2xAirWGuuZ03M+o3RVX5wI6Bl/JVDjBvGnMBPJ2w+94iPjpmd
Q5xXJH3S2BEpBCTerv6aUF/nhDLp7VvEXhALIUZL7EVspg8vKdPEYE28ot6Ar3NDLfurnFL7xPR+
dxAEleyiuao3Mseo1+PQ1xmEnLJ0E+W1vA3aajhhDXhnuqEK/b9Rjp6OUQZJlOMa8Sgoh2dUJTBv
txV4IWOwH/72fcV6icjHERjg8Ycdtc+tAeRD1VM/s6hvESjmWkh+EK4/p06nnXhCby8LKwcLHMd5
xaHrWP9BkF5iDBKljkO4w2Vi2/lVS+bVC2cJeWJtePucEPgt3yasbmxd9vHerxa7wTe0YioYqmBd
3Vg1ZRyyV5sTo7z9UCD0wCiKbhF7F8XQwymXx/aQOrmdoASCIHNtQHP7kgYY4y97J8DdmRgEB5+Y
gW/H5BCiODEunjJOkEcPjA5itqQvpF5JVxdEvajXWmJZ6xTEjyfNk/q2vfb51VmEtxdvrgMeFjOV
znnkaMCCp6OHBTrGgPAbCodm6QaUiMqGkEt3cj5rg3KTnWI9pNjbtw0cyrgUX42mbL60utPToou7
ALRDbiDHV27Y3crOzbSVrhLYii2rrdrFMz2dWZrBt7+d3hanDZxnHH0F0tKjH1/HwPZ0k8/RMGcQ
e9IZcA+Hgtn/jrE4tU7Mh7cTnHeJMzZSa5Y7btnhfGjqFO0P3FIMzLCTtvSagXVKIDNejRk4PDHa
OzNBR6y1GFMwubGbPRwNelEcdRnfP2kmgFllSEoQedVJwCnOKvwVefKnVvLljzyaC7pgMOjEtFhZ
BQ+HFAGsFC1RhF67YotQ8Nc0iwz1EVS2CoSblMPDx8/vvWvk7V20WvhkOcsdDtgJ2TQarDIvGuji
EfDy7I7RdZVGPvQ2kF4fj/bO8+NmUikC34fS4tiMa6a9aWu1zDwiGEie0dqmfNSmKjmPZWSeUMy/
N9byOYQxTbWEM/7hlTmlVQ/TkOIxxhe0wamoXWZ9gFkna+bNx5f1zlMDPbCchBcp7b489lrskYd5
oBx/EXBDUV2TA2Y/IU0Qm0I6+oYjZLwhizA48Q17++TQsoBOYPUgeJh37/D6Cnh4M+g83gXVNNcN
fcONJQb93MWTsHJRpWz/9iKxPS6b9uVgjLzl6E3XCG+sloRwDuHjsHP6IiIlNaq7qzQcxEWMqvJO
M0iV+3jUt0/R+SPJwc3B31hH72AjJ1nYHaPWw5zuYKbSh6aJDBqS0vzHQx0VoliHWb/MJdwA8aSh
H99Qoj3RRuRl5sVG3iFhmGR2B02S/C8zn/PP6ZykD0lTzXBypg5338ejv51DlBuYr4swaakSHV1o
GrEbisok9+y6bq9pvIAQlFQuV+48xDealcaPvpVZp/b4b77j+NkE5APef7jXrDyHsyjpq2nKi5iv
nZu551hC0yvXJM3z44t7bxTWUDIw0PcuETaHo8z9TMJ5FXE+J86QfnBde/RwuhMz9M1cofDFi7Dc
QcC3fEsPR2lJ0+t1i72jXk/hZtmQrYgQ5XGFw/yfDEVNhbMiSTd4YA6HSueupm+BKN0gx/3MIH9m
LcWUbUSsjbu/vndssFCYsZaxvCzZ568XF5hzjh0ZNGNH+NKrjDQceIhAef6yprwvGxpYHJfpT83r
eBsyGE0XI1ziYETTMFgJml/flKN1p7TQbyb68pQonXBsYVVml3V4PYE21o0VWBkMSwMwUuP4veY5
JTjThDTL87EggnHbIsM/8YK9Mwc5yi4GtEVjq9TR8SUxYytW+YSBynIrUl+0+AVjqXEKSPD+MAS9
cOgDBeEuk/TVxjio57i2FfRZDiAdGZtlhANZoxx2YlocGfC5e9xHpLG8TFBVbPvN9dhJATaP5yXr
VeBMGxUGj2lYk9NqpeeFMM/KiOJNPkBUrxyCGN38VID8e5f66hccy5bddGzsTukcCIma6z2nU/lz
h0vt/u9fgNfDHH3oFNAKcr15cL05jteZCzcsIxbmPxlkWT5w9yy7/8PHhtZl1iDKs9eagqTeOgJS
kUaOuzjx2N6b/RQfFMZcpj91lcNxSMLuk67CmGjBa1oNctTvG2kMVKXY8UmCgiv/Sg/zvzPR/DtZ
aPOyKLLbo+J8OOzUWYUrCoYlACrvSNOK5+c06MxPH9/F91ZgAEccjCjV68jzDodR/USfnV6u5wsA
5GVBJN1kt5RZ5GAilft4sLfTj5cZTTaadHZBUhx9VAwUlf1gcU1aCVAOMiBwEZPg679/oxmHTSSH
eKAMfCcPL8qif93JggXLnJ0Ekmsvg52F6vbEfu7tvePkrgj4Zk3EpnN8krKLUZaGDJYwU6ScnNem
dR/aoD11DBwf37llMh+cMsjl4YO/VCmxs/GcDq8IbXKvKY6ShKRm/jYutGpX1lN2GyI4PUvQaJ6o
Tx25uJl+KKHRY5NJwuGGEt/R2oumFpq51o2gWYwkvi3T1CpeUnZk6PNw0LefQqsUz7ndusUmKe3U
+GzHE8nT7Bm08uHji39zn22gKJRjdGS77LaOV606N+KwLHr4X3aFmtJGtikoZnwiPuLUjpJpcnSn
YSdAZ6EnbOPgpaR1NHf8Kkc24oMcTYtcY6Wccq13b+Gky+ZLbpYiTtegyqtOrWapSX9AweXM8y2k
Q6fdST4dJK9Qhn0EKJ5EL/HUQNqPskWR1CDUvQH6ad8DWFTWRTIKoubrctDHzVTb5hcZJ626HKvM
LVZg4hSI7XqsgieN79O+OwKSkPrnzHbP3Bit7NtgtSAlTQfFcQ4SGWSpAcIgQh9d4xMfJY6btiPG
7HMmUvesyUI5LmpERHLfiVfuVLbhKwVIciVmO3JClGaTGSN01e3S/O6T2GxP3gStMf80oRiygREH
mp42K92pMypw6Gub7LJIAiZB1+I0rFcDTHzzGqm4D90QUWHYkWs2afYVYaBozzeuW2cjIGQLpWTg
OfHcxT9HS/PHC9tyEGbHuTmNP0wnyCIqfGE1kMuSjz2B9gEqLjR8yC3jZxMhPS6WERmQurf7wnXP
a7/OrbuiG9BiV5Mym3P818rw2qlw9Y0qAUBz6TI3w/VAuni1k1On3JtkRsruDU0/llc+Ctvpdpjr
VHvSgsxoLv2+rftHslhMkIuRLi56ckktmLAkLv2qDH/6FRedZlyZ3YBT3gkjZV9UtpnO10omRD4b
wG1QFAeFX5MZQSH4iwt50PJYBpXj2YEf/JRsqpwI+XUi0ThVMg8uzWEMQLNSDAyjZ02GvkG8j43D
qJeynn7kk0lPf2XqAHW/8bYl/poslxwWnZ866kK3SsfeNokxGl+zUY/ISc7zWr2MoFzA+/QlQYkI
pVujCjbA60HuJGE9ivsgbMkXkVrdqNs8MZBgZzMR6hfVkLu/a8zKv2pA0APB92oR0nUixM+ORQ6R
XWL7EpqF0G4bDqToHJshGgmarX3dSxtpZWuDIOj6VxX54qtphg2kasVvw8pQtnwIqiivtnWSD1di
UiBgKeeJGZFoX7WLMrADK+8PZImQ+K70lY7Y94tRG4vSrYF5t2osv6vWHUXGzhvDoAg2KQHrzG1U
6uY6FKP5Q8f3ji4T0kTuIUbToGmS8ewwD4v4FmOa/kMYTRKt0RjP5m5ItPHR9XMHl7cgmG4T4gAb
4VU1hfRwAFgK5WVZWdu8FMYvIn/aGFG1Yfe7mYO4hal5HgeyM5P2qx1nprwOJoeBwVtiV0IIQuBh
HmhTsamTQn8sB3TV60IW7nBhlxZnrjpMSA1z/ElMW8DtwY+h4JiyMUg8yXH+qvabPcdW+xSxGe68
OtAGTryJYhdEAbh6aPJCTNd2EhgktAwE2VB7BWuJoLev4BaWhfCbbW4lFj6OzAkFWrs+86/D0ndM
L/DR4F3EFT5pL4hi83FOtDl8niOV8zBIoiGzPsrpr8cI/J5Y+MPn0h39e9Zu5IV5o1T8pOVlznLj
VGI+G1gzf9dCtl8tLDXjJUWD+KvbN1F2OYmhw2feVGpcswf3tTUw5+yXMHz9KexpVK/oYLXDykLY
rO0oopMTM4x+ob71RR+JTyN47+Y5g3Z+j2S4vdVnMM/eoLlyvmQdym97+AvpuZaVbnFm+XUye9SC
qoeyXdzaSPyc3/3ku8X51I5dtXPjzoiuylAXX7VQWMGunOJU26EMCn6h1dZxmTiNO5xnbmV16zZH
aUs+kZTOVo+qOL4K8sHVL+QgrGck441aaZ00vsSCA7vDfp94RF52RKsXpL87l/o0ZfNV2SECXhO1
lGgbZwiIrVB+OIBY8oGqY34pGvMu87VQXydVk/UrkcyS7GdnGLrvPu386hpSnt2uzC7szQ1riT2s
fDubRniD8fwpnSmpfatFI745yg+SJyRPiX6ZNpqSZ5MMWfKxGEPbdDu9NTy9Q/27Yy3pjW3mNITd
rSZ/VvoaU+VkeQ229uBLSubH97KvjGdFWIS/lbqWIYYwwUSvEPHHgMPGbugXoxJ58fe+ljbZY5qY
tfscJGUU4GfhdYUjzlEE/bFp3JsoHhd4NgL1S2hwJsr0sM6IcBWwrdd2ZdXhGr9E56+BAxOoHeRQ
ZZ4V5Dpjl7ipM1/ZAbIxrHwlNd6hLPlKJmGfZuuENqHDRIxrCLdhPYSrto81sauRjzpftbQLlRe3
fXchtWAczuXMw9u4qE0b8kdqjPyE603JWY6KuPiNywfxtANC42UIbfsX1HOn/kEAqY4ACmqftYmA
+eqrctYqNgllpqzPLBupCe/VT4X7idWqac5QUgbjRck7apLR15I7terGlkABI0BI+mxUqooeNKcT
cPBGB+4uYQNOvVv6/P19gqg2fMhKUnjO9UJH3e4hbZfZxuntPHt0xFy44QoPQ8csmZHXX9fhMCQX
TVm76VkQSBdh3ezIySejNq7q51zDsILBHKaAC5p+NvX+W+vS1X+xWiik91FfZs0Pc3RGXqHIDy2w
p4HzSxZ+z8deuC0eB2QbJNnE+jSfT6rXoo1fsCzvfNUmCYoB5XCHvbwYo+ozO6OKaVxqeW+fjSrV
5SMIM7DqdUYt8Vl1JKg9jNzpDjZeNaS3tZwrfUt7EedmHExmCNeqS58H+GXT/dSbubbm8uPqO93W
Fpp1MskOIIdRiXOhOQRhFXlnj1SVEKlb8LibL2U4U5MD7oRXxKIbfxmLeXDOcjumeD7qLlTzGChT
tmKREP1ZDaPPXEOE1stbWAkLzr0ceOZeI0HhQAskW077RiKqNuz0sAqGrSYY4Uoa0WBvOVem+nWi
Q2n1xpb0l1XVi9jYIkOJ8xUuFmO8CxotMT73Cj5KhQfQvupp57Y/sGL0ww2RCwXVFjuRevMQGuhH
VlkzGO221exSv7PzOHZ2opXuC/Y20Xy2/QEOnSQsjPzUsQMsueHzREVU02LCXz3CySdRQJ4JHfFS
BtOgfamKIOJTOmXT037f/l8f7P9wrHx1hHljhH0kguO1/Hb/r/+R3+r/kIZKvQ5kOcQtCNScP/7N
WBX/oMCi07L8Be2Jdialhv/vg9X/AQ5g7U9ANuCiBVr9r/5W/QPGlN4af6H44HSo/kZ+S0P44AAE
Ccamhw9uAU4llVkEModHzVLME6k1v+0ooQmZD6l2ZcdYOa8poCtit2y3nl9Ku5huzDxz9auwGalF
D5Eb3mgYU3/bocEZw0yVfxdko/85RjzyLRyS8qmI8lD8P/bOazdzY03Xt2LM8WaDOQAzA2ySf1TO
Up8QSs2cqpivfh627bHUy8u9PcAcbGABPjFaEv9AVn31xo2u9wZYpdViuUpiVUet5w3dMxgiZgBl
5JSL3SfBl+RpiFj93Br6i6ajfBWCLemcIHEdej9RzNeXRmGKfq+3Qm02s9IaT7g4TOZjlm7tQeuz
KNkJiallF+Mxm85sHrqDt7SlGo6ZZrd3ldbQaUz4t2bfGQoW202DH2xrzvmIt7Wo82mDr89uMxYv
qOWNMzazhxktUfqDvTY87bLWq7XtZFdaBijUCDPoMAX5Ecnp9qkax+VZTB2J2GZOTQ1iPswutpVE
iheFZuN2Sws6rlC6MfMLFkzmTumk6eWgmRkVXnOkCc5LHez2sh1TMcwXVNcRTod6hRyKrl0GquXo
0XN9+DgrOp3TpooCs3X620Kjjy2gptb1aPeYVUnhT10O8q2OSsKnNMVu7iwKg85Zl9Le2kpOLlQv
GXrcX6Ez096o6yPiUWX4/GZ2HEmG0uGsmglz3LRdQ5lla+ZjvW1A70vfLTnGRJGHCd+xZE4x00oV
qmWhudsZyLPDf5CJGzdHebOzYm+YQ9HWGK+GlCz2QNG9JTl4ERLE3Zxl7Sl7UYK7amjyzm/VXCF3
ZY7ibzT0xcxgecddIOYiEoFt4c7AJ+xhlavxQ77JwZXJbkT/AOrTZamJyzFhzFhUBh9fttK7I0eb
pb2eUwwaGe1JlIjFox3GTRs9yqIZ0oBcY/OZ0+hJ6k2AwGAS2GOrqM9vSEnijcncJKJ35JRH5oPl
FOeepagP+J9kfZIXA+GxgyUL9nNjdO6AlMc8GGcH6xB2lGQOaP0s3+zWlkOoQ7IsofSiqQl0V3A8
7uzGPl/SNn1fCJXCI1ul9dUaKGpsavCDl8KNxxPaubx8E3lKUoZGaXVyM+MDeZwsvXvJOEfSIpKU
zrs+pKk8zIuXvcRellzO4EQpJcFjpsDIsYv6eqIoNMg19kyb0kB9pJ810LoMT3Z8IEGGAl7czVl2
MtLFqfqaJRZlbeBVLnQaNvqQI9Q4h+wv4yFb9GFbxAK7Wkmxe+f3yjTRWJrS09OwASlrFyHfatvZ
xVfDU/InhcyMDiFXjn3TiE3xQkhgafpm6XZhptaO7lOr4ER7t9aHcuPFU2UHbqp7SoitjZfaKbp9
Y2RmpFJX0nQvYqHccuOYQ6ZtFy8SO28a6P7jPTjWzh1VQYMwRLcMoqhDh0dBh3LXtYQeB+OQRu/k
bXntFvgjFqcL8yi2J83oMABWU3m19EpyZhaMLWG2FNn7RPDqXVJ4WOkb7nvmv6Ysr2MqWXtfNrO9
WzKdfjuMxsVz3yftV+6YSd2omGTrPVF31GAacdQcgU9MnbSo2L7TwSRGMFF3sgPTquy18qtSTswh
st6pATUAXeLBPq01guF9s0CXS3MTNDZldJWQe2dZAYLaGQZM6J4wd1jGiiE0hinZFVZh5we66MAm
/7XD/2qzIYvnr3b4m/RdiOdfTt/r6v3TTr/+2m916pr6BZXGCqN6xBwzAwCH/7bVa4RXwOJCy6On
BdhcRfK/7fQeWRiEmqBGBbn+Xpn+x0ZPQhCeCwISV/Eg5oS/s9F/BlXhrVddOdlSKPZIhAWQ/7zN
i7mrKNp1ESd72vNcmvVMgE3fvVBSUR8+fDSXv8LUH3OsPsP+3y+1Oo1cQ2N0QR22vpQPBJvUtKxt
aVAVlimDEY0E2z/1hP+Ti0ATroglWPwP70dvdJpf0unQaGSAWQzfGyVrf0Zg/MmHxnyGoslgUlvr
6D+/k6k3XOYHDop0mr7ZVqHuQV/Hq4m6o5+Ewv/4mSERAYCGclXRbZIrvUofPnxmwLljEo31IbPw
n/r0k6BhavJahn/vU/v1MtgYEAQSS2z88IY6TN0Nh+cDrmnjtk9ExKG76n7C1K1/5A/ygvehQhvD
0yGXwCEI//n5vWTkRU/zaO4tzEm7fuyMwTckWQmoKjX1gC+1/Ql78Y8fHqHEMOMM2bDWqM8+X1CX
nhC9Y+xtuqMCyrFVCCfxswjkP3tXPNrwJAiuLXwnny/Cckv5WWnsh3Q17Fht5KsjZYWmQvkahV8/
+6b++nLIeT5frigFmgxF2yulZ205QtJq25TdRbL05pZ1pP0JL/hdRvbDl7bqUjmr8BE6EEGfrwd0
Tx3hVO2Leay+1gQ3vjT9Eq+9X1rWBXmqASHkpZtfTvZgx6FO5BSI19SLO+IEYkqxTAuEICaL6akp
tdmmrYW9dl/lHp1eS1Hbd7IkSQKsOJH7vs7V4ZlWTEu5It5D57JS4pf465v9x6eXgDMWu9UFAmHM
A7yefD48U51XRiYdJnsqxy3Y9VGckcMNDkbn3OlfX+kfvyxEGWgXWIpYj6D6P18JgJedf5b7Ku7U
jWLETtCDI7wzDFNm3i3N9JPF78/e2eroRNZCbwxBeZ+vV7SzJptYELLqyHAZBzre3GncF+qU3/71
O/vHR4t3BuMOPYbpxPoxKX3KZGbHfbu3F1qrAZoVYhloy/7bF1lXcAwn7BjsBz98UX1eEQ0R1Xtj
csB9HZikdCy17V9f5E8+M5hUXKarrNw2f1yVdCNVtN4p97SXI0ueiCfI4niEgsER+j+4EhdApYwr
EyXB52+HE49rKOBnmSvS00zrFII6q2ZTjJSB/vWV/uTbgYmGYtdQQgMy/HDfcdLTUeSUe6hbeu3K
fGDcT/qfbOd/9sGBXThoWVb984/yJkJ9WlU6+X6s3MofLUIBSJVgC6n6nxlN//TtMJrgZkXlhNv0
8wc3ljEuxbnYK1467+rRSEOUqD9r5vqs71h3p/WdgKDgL+Fx/9EzYwOZmhA4+9rxnq2mmM8ap2/O
RnKErukimN+wHTU/kWD/6SXpAlt7iFYlOWDSx4UoUWPSl+Zsny8tNdJQilt11Mq9LeZqP88dSQqK
Qk3AX98bjFr82c9L+iofILXTg4tZraCfL+s4fcc5q9hJW4vdzWCP6qusU7pbJQ/bGBLcrlMXDDPo
e33TPRmqyF44ZFr0uBu1FBsmWRX2qBov5jGnIjaya3G0J1s8YpfES+2yBKk+KHyToZOR0ZbqyMXd
JLn05iAXXoovuUE2dyUT3Ty3ckf0l9lK5WzhbXJ5bacVBetdiwQgLBbBeYYYHvoKKeIZkmcro/zw
Wk9NZQ5SbhozsGFgL3T6Db+lCMTkMYL2tTbwSPWtMilNsx10SSI7Nb17kiUwJxlTop6pxOw4G9ny
YQSOVo5H6Aen9TW3Jw5JltGw0TzyRg9DId3zmkqgJ9vAu81xbNAPFUV331rTkiaNuN38WPSmw3G1
yN2Bl5PF70qVIfaTvRqj6kqdfIvYfshDjs/zKeFcpBPqTsTRcC3wBHUop7bdew210H7TChR1cUJA
mc/j5WpB3M4s4m02zGOYLwgNqTh05izI6P3Sg9q1xmQTOYv5OKiJxo/IofyWyDk/p250DXU2uugG
RpsDMmhOs0XQDG6hVJP2hmglVojisYcnNdaaZYMdejqTRWeSMutV85syN9gmKApHDdAnMFCUPxft
STdrGEjmsY4s6oKqzt7H5OFXYe114CuVYiVFuBTVfN2bdv/kQYC+RDxgBGWYMfml7QKbns1OfQ3X
uJIxRHBYBr2fCn1VnT4Sz0gYj+WeDk6WZvtZlvnVYta1cUZzsIJeTtPqnXCnQiPCxXF3omlvqb4u
AAlm9rwGaErdttYIc9YMsicUeHJIJeJZu8bNEYvA6Gje7Nw8v58td/laxKV25k5T/MDUP+UbU8ly
uWHChxkVPXxKTHiU4VtL6zyWM523ocOOngb93HGSaegELbd65nkqN2QnXwCpnCGcSHdLQwO39XOf
ZNab7NJZg9CL5yUw11jZk6zMecRLi3I5Xxun4ltMDjtYT1HoDhF8ZfK8TLTHHgbiYdO7RpF82otl
wyKOXQdJbRYiu7HG0sCczlmy4+BmUHHTs6SQnqKOlYoUAX7Zby11OYsdvYh9isI5G8VVO4V9pE1T
6JlC2TEPxRAoQ6LcG04Za2HUO9gh66kt0BwIyq63rhI1X5OB0gGIqH6mcgZtxSZBRVMQhpiq2tUS
aUQOJa4tHmytreu9PdUiCkn7cO8L0sMav0pwtW+hZftkQ/SOdz/36tSEBqn3hMHFqtkEFrmBXZgY
RXmHmoic6s7TZOYTiWdOmzZJytd8mtObgugS4K6RB/28cZyyCFEjmN+Kua5oC5QVjgtcLWL2jchq
69Dju4gJInEjQDkjZylJEUq8IlCM7WAmegxGlTLCYtvYUjf8AuiPtDE7GbrQrPXpNXONbto2qTMs
QI76nAYiikXjt4lVjPfT0OBlCMmYrS2Dsj64vNNoNsAb5zjRqWHXNC05swm+/XUH/hex8m8Gx5p/
HjDq9zx1b+lHwGX9hV/xFkP94nLuXl0qkCeIbJkmfoVbdO8LUAeHXPZ6RlfytP8bbVF0gJj1NzCF
I3P/tdju92AT8wujLs0XHMI5t6KBdv4O4OJ+7/b6sP8yz/LCWEkZNLgaKr7P+28m+lRRjYa1x1Sv
JHxx6SkjeXWpepwkpclzYR4TKAGfqmi/HZ8Md1cCkRr6tO27fGNbN4NxMxlk6rh52M2FF+gpaV5k
aY6DHrjKdbfcNPO0VUV5rMuTtotO637ofXuKtQcjZqO71pTnglVb76KNIewu7PtBua+1N4D8sFtO
Wh0e1Ags+aK04qSnjvmAn5OHTBNovzK1Q6VT+onWbRy84JEdhYxV7yivAEtH3+1lGuSuUWesMYDM
Aiq6jS+ywvA2puwPBbuLh0vCzs5htK+t5TplCPcbO76hJxbAfzySy3kkUZH5xwssNAa+ltcKWVJd
2PYS3EhbTJJWGTLSYReJdq90/U7oZejIYpdY6gl97TTRfx2cQYTxKBcWSCUEzX6rS5ci4exsNM9q
lUAtcTCixBcQUPTPUB66GP1Rokoh03OTARtrVRzCnNMmD+VEhuOYumEvSUfQ583YfVNqWnnLbz1C
PHOpd7W4c723xEAUaLe5Py7e9WBq5x0Uli9Js93JqAuyvD/LLftumWx7T8N75k+qG289i08FUZll
pquM4z1BY2VqKIyskTBDJ7vPxnbbpnQiVxQhzm4DVcsyp+hOe6ama1FxFh+V8lQ3n/PJerRtnG+e
rjwt5UvmTaHinI1IXIYxNzZGQwWCr+kvUb9Uu0JNSawzTHnew2QYlXXfawNDnRVQr+wnlmD/KPFx
WuptC0OCWu1eqwp0cJa+SdC4pMuuluN52XP+901HHmdruURIkOxS96SqtZQP/1Cwv1hFbFGejRbN
bwvjzBjMzTyMKJtM0g8xei3tCbA2usT+vY0K7mjGSji1jVo3B1j9kFDdbxptsEQEogJCqtwzMRJ/
Rx6XJgIS2yY/XpjuIvfMLrLjSLxf20QhTURmwdyp7BSnDwgxpPROjXfaMAc42BDwuHunVzd8ywE1
XBtKwMJJTGiOlHB0s3DJr/BkokGC16KYPHDdeac0Lu6w9CJyso2TD9ty0K6wnASqe2OmyF/EqAex
8EJFnmGtObAVY3O09jpl376joJQwEcqEhZJuK8nsfSudTaLeR0Tj6uZ0mKMCA1rkXWoezdigwATa
LdSdKyeNq/l95gVV/3VqUt+urnqrOejJmmqnrtthc2GU8FpstPtJHa/7ydppS31hNho7q/AxKglf
qdD3uer1WD9EqXJEjeJnhRWu4jN2d7lVp/OsE/xE74N2nchsgvH8piwPqfrIbOYXTdRejWUeNsQD
+ujitrpyWk3oLK9RbSBso3hi2/VXGpymqjIZdccJ92PfZodFXtU8/OkgutDOqtNsKvfkYSJVutCH
mLbBtaMppnKY+Nc5f+kcrJojBoUIngfLyUag/qBp92A0wm9y5bLOn+xE/xbFKSMxwaTD7RSlj5HF
0+AuFXfVS+WMgTNyixh1KLrJn6cX8LKAkukNKliSWTU3aBM4Of2uRIve8pg3qgaTOpKd8B4p36oc
vSV22Ma6HmydWNerLItYIs4HK/VO0Mk8otTj1iZCSotftDkn10/e1bZVh62jEkuUn0LNwS4ek1IP
JgybPh6no2uOl0LkQcTtUnYj0G5SOT5hn3vEnVvAtiHEyDdtE1oxrSVCGpQjLuKjya86shPdZ0/p
fdRfvsqpsdZIDSaImCbwYddCqfLiTc0MlDaPAqccvjliOS6ucrpMN2pySLqd2pvulWk0t0ylYRKL
p8Z0dsyK+1yLBr8uK/tQ1BR3UU/uLaeuJsxQN5NzYaXdeccc7CP1KV6o0cU5yLkQyuzSKb2v1FQF
ZLxdqRod7YatPkn2GlHl01cxpuTQVwgFYkbrdoh3nkFoJk711u/q5KIsrStd2H6FjWrmjaUnIuMA
E5XzVy9TA7XVDpxCzsbFDrGH2tumS4fzum4GX6vH7Jjr/balQHPfmlq/QWHA/BfL67ZMtGAW6MA6
anQO7YiLcFX1WKdGk0wPtkjlLvYKcWdUGg4ENlnVVuT7QPHog6bKfC8mkvsGW5qBVev5o6hmgm/L
5hhZ6hTGVRR2UWFuBimjnRwpbeANbgkU3Zut+0q3W3yikMl94MDcEBPkpWTh9/2xGJz+jjjCDnx4
IcvQZSWqU2sI067jhh/chwRRBN43hwzE9F6SSckpftoSFHZlFR5PZHLWTtpdpEQbSAoKpOqYkBxX
u/dmPjthXsuU4tZcLFT+ueOhWHSYVPMB2UVU+a0+NdupO4nj5puJpAwhg1q9aG3jHGMZqYvv2j2q
psijeZkba/HzGksNKYbanW5Fx3zoT1AM7iciPDuCKqNlek273A15ByDQ6RTMln3wnOZAJGwa0uPI
kteXYVulG5NNKaD0tQtA/dMtAYph1yYPajU+kt3/0OjNBgtP6tfVcEjK9pIJfqvU8kE44y4RqP9s
fSIaEwpjywmG6MaLqSvDgr1fOpA9jPioVripLNSugako+zItSHLs+DBTpduTaIlqvj/pkKJ9K11P
nBRNJUO17qr7JkLxMc8U/RIFZGy0XpF94NEfx77apQaSflt2V5wCm7A0pXlROE60bPM0sdJQ7aL+
tjLrZA2ojr/aJscCVlkhtKBJTFItpW35ds3UgJLSKMhGYdHmMDGGVjM7gd03+mUVmQxEaSbPKmTU
O4F79gr2AEFWMyX9fdTYZnKwO7O5iuh7IbfWyNj8Eb6l+1ymAPFkiwIjkVnJKQ/jO63tCdR1GnEe
Bwjxjo7SMFHSbOgVfi/z8ohQkeetTBTnhKdaXuR03jwR1Y7iRpbdqVlqU88SJq2vlZoQe4a+Mn1B
sSS2dqv0jzU3w2bou44jH8X18bb3mkElK9h0ju7QFfSpmYSPY2U4sCZaG3OI522+JKS7d7rDLprP
u1LJl5POiOMrfWTj6LS5OlNg7/zcfBXebe6MyITT5b6v8vnQmSPYRa7Ffk3q76kxReONIpPpyeTV
n9vUoCLniYzQww28caW0r+plds88yi6ueCnRIc2mazSnQ1hmyAFQotznJDQfMq9wfavsTSI6kS6+
9qOe7grNOZAYWtDI6EaXbMYq2hhDhtlkRMyD6kneINPrtbp6qVK1uk+cuj61xs7m0ct0v59drlct
c0w0aIPZ1Eg2BmqeO4Q942naIDJeg4w9g5jdotxmeOt9LL7tUUWiHypWfocG9GHWyI4FMLB5JFHr
ZGIjAb++Os1SH+NCTzc4HeZbZcnr5xJJzX0K1rapa2AuqTIpFxrZf1E/R1sdvdGdgxJgq4y1vvds
9PhtOyo5XxezFaL0ZOvl8ZWXaSAMbh+dmaLtTwhUz67Nwn5N6+goqu4BgcQ2da+WVj5hWWzrZdyo
0ZCf5UlzGBGZMsJpzj6yxkMUR8kFOfNgKeNwS9QnyIOQPc+ol5yak3mL6oP8XbU9U6KRA1BECLdG
d32FVuW9XZUpVToTiJM7p3o73Yh6CqhT/T4b7sHEIuhdIU/TmIG9SF9j1KlM6PYjQP59NqhWIKZu
O2TWZWSO8mgP5mmWfyv4LsO5SK+jTHaXJCqXNK+kVShShdzmeHmwFP2hsiZG2yzOTrqkJUm7SzmP
eNfobQKWwZPZW4jKgOql1vmhGrrLzpDy2Mme00FbUDFS6TsgyLt5MJ/q9dyic0ghreioIU/Dfa4E
tj3mZwNB3yEAGwcmzwSESRxuFJtQdOkUNyymDMVCW7a1UqKynxBmCUW/j9MJpio19UPXJV526Xiy
QfhlyvfMStrQSKLoIBTF2Yyo186maKYHT7Hq9sAmi6RVRN64XYPOzvKi78/zNM12aJgzhDo0xvNk
lF6YTm0VxsLpQeqKEncG0cisp8kAeuYN2qbs0oVzFOH6p/PS1YCPqhRvAwEUY1DgJwhL7u9wFHXy
IruWT9tIjoQzSnnaUWDnL5UZ9349in2j0A2zbYgCT09sOfnmssettzyStpRvWmXYoat7z1S6EPvW
CcnA63wI/ScOxZmvLNNzTGIXCv/Y+xeikv4uZIG5/eeQys2avfvL/r14r57/zy//V76+VzKtq1+e
q7dfbhmDuufql7fnX4K+Sp4/4i7AF78DLwodLRrj2Sq7APxz8Wr/jrwo9LfQVIckA0JqTWr4CL04
X2wTZQCRsnBVsPVrcd5/Qy/qF0zflkllFF2y+t9SumgrE/8H7gIPu7ZdogTQXLYpG7znM+5Cq9aU
lnVyVFdTwFYy9+gFDQQA2HtR4Qy6gzVu6heUc1PDHKYYYngxtF6vSXV3ksT4CVn7PWrz4+tZPyZs
5ghwkP6gUviB/tEpYqkUO2VptQgFICMbjPNUyb3eZkJGcOs6vrBXT4Tfq3nV3k+jYQ6HXPPIk6f7
IYNeDoxRmReHw2nVaqFpzzK7LbXCeViLCKchzAWSVzMQg9VDsUfaTOrIh9vkT0Q93/PQPrwLG+KP
L2b96lhGIJ5XmvADm67b+py7HqagIkFgX5HmiHpkyEhzNgIYkzp9VQbpdskWI+5A+DZNGp7cT3Ix
CA8kpJoQQUqxFt32kQ44PyHg17vx43eO/N8jcA8OmXQmEDy0Up9eXUwRgecMBqtOl+kTTaclHu5j
jgKz2M0UkHGKqujqSUCxCHhCMtlZhdteZlUxeVvLMRTnSotjV/31df0vILe3dcl//77+5de6mUWK
/+57rPIf/3eWvgpEpd+6H3/q0y/J//z+z+Qirzr1T/+zqTpWiav+XczX75IYyt9zm9ef/H/9x9/K
nm7n5v0//u217qtu/Wsxi8jH9WL12f7zVWjT9s9dLdLn4pddn1bvn5aa9Vd/E89rX0xNW2M1AXOJ
qlb5Vn+FeImgRiuF53sNbPOQr3M//CaoM758/+k1VRpBEBgs//T7MsPf4wy2WsVh5gnF1d2/g/B+
F7L98UjwemBzkZZgnl4XGp7wzzcdo6nEijeT+B+p3oatrjV2rrE0gEh45h4tj+EzbCbPOMOzxjaL
66yadmWldeKsaGIOBuUqvPB1a1xU2oKsxNlEg50/VtIBmrRG3ER+DwLAZKYqzxb8TnFiEvXcoN1W
EYctuqX09JqZ7q1a4TME8BrNbstaIC4iM/f01fHS+05ULXSgkaiZbCMzmQ5mY+jVae8oeK/MnqqC
w4dv808Wi1Wc9OmDwfZvIEhYcxTW1rYftFKxuUwYyjlyetF4VNO6f9S0tWmpWJLTIlO0HRJuSqii
so4f/vrKnyUEfCVceTXouzb6GL7hHyQECUEABu8LRgbGp7eb7nyetOYnQQDf+9M/vj8s49x0KBtX
U4dLFMDnL34e21n0nHEJZKEJ1HBakON0ya0rVQEZMg5WJqvhxOksYBxlUIerTMHbq7HX9HSHSNAN
kYZTj8Cv9Gcc4RwdaZw5NRWZen6ezeikFIzVpd8X+tBsy9nsHF+rIMfAyTAioRhunTtqZ+re70TH
RLogvzYDc7KGguKnsbO2XWzAXw6zeZM3tfk20wddhyqNOMZ4ndN/dN1jRH8SrZOc5wngGrO3nYZN
rM7LkcVWfUYOQqxtos/ounTkX2Fbk9pLqn/bvHiLLN4bfHkLAkIcfEdMbmYWKvOkZBtRLGp2NuGK
oZ21Lsc6kGJAudyaavuUZ6PZbhbpinfXHihEnKC69U2+ROic64zB2HeoZOqCeu5tFYClkPNVxN1+
6VFlNmO2r4dsQxCD9qjLIYqCSOnpKkrjoX4ve32Z9sPISWKpOtXc4QTV24CjWgIqnWmpF1LTFOUn
uKIAMMirogbZcYU2Ay3XsY5vAKE4TOKLacVAXLpHz9Xmr2/QVSD84dkgpU5ne+LGRE61ElHrFPRx
H1WWOs0LnBn06BytVihXA83hFFG4GhWnBS7Ktmn9njf8NCb55BeucV5WBR6WNm98znrx/vsL+l/Y
oi6a9+qmE+/v3dlz8//BHsQk+eG7+QfX1tlz8TymHzet77/wG7tofWHzIEttjfxyVqbw963H0L+s
6USI1diPUEWtvYa/1yZ4X1h5CEM3GUOQA+Kt+rD3OF80TudsFPwSnh22rN+3399WVHbuf1po8NvA
9cciZJGTjbaWUBWC82A7v7+OjzdSGWHOXrjhfUzGcB0Ym9vlVFLvtI3yqL5PkBSPPu9hpNPGFNu1
Tu2QEB1ymTJ5hpWrlyeSIvVbu0vd7ZQr4tgCA4ZV3GinEjeWT2vgGMS0iErfxJp/jKeiPjRNN4d4
uoNqbE+EvSI3pf6ue/NTOaD3WSJYyYqDftYEdT24oT2uppKpuTc7deaVTLQLteax4OoN+GM3jheG
mKxwbqr2oHj0iMQAfb6SN952nIcTdWUgbU35pujeA7rRLdTPRiqJdkADieVxpKKnMRkt8TgdmxUp
h+avN4snAAElR1PaSW/b9nme8blMqbXv9WzaxqbN9VvtBtHcFoT6vCPcY0uS4y0m1V3cVGEyLXsI
kD122dAT874mqzNgPvc2wyglioDkooLNFZFcQuRNQZ/aZ5TTA9ZupCwBjwvvAmHIA5XrQWuw2BTp
ps7NMLabr3gyO9gAlFiZob+rUibIcmhTUztrpsFPU0Iw5SXoYc8Oaey4rEleMHku/EyM2K/MDR9v
XX5dieTEZPAW9JSdgOspGwXTTVC1Jp0WvfpqdGYSdtZb0tjHRFWumvLWypLQKrdEHJ3R/0WswTg+
C2vsd5ZhxqhmxHmby2PTPVR0ps0eFZESJTqDUObryNPHTnvkjiLbwB3W4kgkcxUp9SQHGYOu74gY
uVyq+V04XhYakFreMA17q55e4nHe513erizdcewT9BVL+Zam/WtsWhewqCcCyzdeojYNslSJiE0Y
v6FHJevPrA6k6m0N1OQ+JVbGtjb7bD8VBVynxW6TTVgZBjLn/KYS2UWmwi338VAcC7mc6pWDNwae
YUu+0bWwOQ8S3VRkDD5RlOZ7tZHnpFf0WGza16jXXqvaDPt5Phh5f0R4BarqgWgIDdN3tDJKTZxd
9nn+LlPrShPLN32MGLDijioRLX03hbH19Il8FVJGrAYqkeP3nWt2d3kmz+NGvTEVfqIkhcNBXBXq
OtZxd8JrGCWHemnRA1QvksIewixi+3nAJmUOw+PgGdQlTRm+6ZFMFE/cerURGuSIaEph+VqiB1nU
vcVdF+grxKjaNyndQJctiQ6+YRAfCH+n7bNYf80TQz8migCXmlASIFCyw0wpjlgKn7EbbwSdTaIn
qmNevZNY9i6X+MSCeHOkDKvVfKjto5weKU97s2frqEcEJ/THftgulAhRnhSHJKS4PPw0AsFC2mWJ
pmAH8kk/mSBFPtrOk/iqrWlTo6vRwsmzwL4XToZ6WhUPhrypJycUpbY2QMEG8tp55IO8fR7NHZqp
wGkeBtd+S/BEoSYaHJUfgohvWso6VEJqsFQ3X8duXIPQBYpluigjgkdoCBYZPtOitvoESN1IUImp
szIfB7FQAmMYc2q9WtlgeimwXF7CQFdK6ppYFSc1+apm1ffQuNnJqytqRM3qwtEoDX+iIrfU9klq
RunRE61Gp590ygaAFAXRHPSdwcRB7ExO0dyox3qoqisbRp9iwotiTHsRTeleqF6SilBTlOGqIwdD
wWNgNoeJSnfMY0s5YADISDvx3S5zk13SmsZDwdmfRtVZbcROtob9GquximapyhZjI7NhYHXOlraj
W0zErRdQgWnaJM4VLa2ssZENoSQPrNx0vVJk24X9xgql3k9+0zYxhdVVhybUN6ksu+SkwdlECpoK
CzN+KmXqo9TlgXetQGUoWSm+oTqLhDwUPOXW3OWPpFEUz5JY9SorLiguUM5qWRm3OEHxttQR+DlA
xo2hNaYPMtQ91cKFyyW9yPAoAUjH/s0zzWbfUR53oXUDjw4EH/WGgetN+0oXqCAS79gu2xnmjLbN
k84az4hk8r00Dkq7gXFhER3kfsgyCKeBD76+XJ11g+ftcoPvneIJpYnKDSvtf7F3HsuxK9t2/Rf1
oYBLmG4BhfIsetdBkNyb8B7IBPD1GnWkpzjvqaFQX817Y58gWQVkLjPnmMs+WY+GqscgTqLa1aqL
xO4I1mF8zrKsIKwiZsuZbQm2c89K8n9Mw9/VLveuV+kb5aQsody96icWb8IL5zyDeYwedMpRQVh2
Q5y9GreqneKjhmoy7tXOmqT4dMFkb4gig0UABSBaeYsOKO5fnbRhnIMOzc6Ow9qGqsBxMkteSbNL
kc7GF+S30SrLJ0hu+qaFx/ycLGl1npfZCkwMmE4yP5SMlg+4B09Vj7k2s+cYEy2bX6niHd/mjvRO
JurL8Dcuy1/YacbG6o1sn8qlDZHFlnsrWUAduy5FvZg3c7ts25l3b1XlFpFdda+qJWKk9ttP2pnc
JiAQA8Mo/c5LPyx7GaAEZadqaO/HWgSQgFA4oJa7TaSTa106cis9/zXV5nPbro/wReIN9QVxtX3F
pYMgYGyLHbEDe1fvfwlmvHetqrzW/OBwttfdYODyMWbtzNjrzu2hX/WFvwii65rsmYH7V6yucUEU
pSCJdHezFKQkn7Ho7p0qnGoZSsolrlJP/mnE+GrneYbKk8N/nI10q1VgF4hwjlyYLdt26V5Gdz6u
qVzvYjT3jt4nZwZfEfSJe1Jrb4ghUBfaXN1XghAcaefPa/rF8mBbZVMkV3UA1mCQ0jRt4pbV8px/
VKseLJYXaM3N495NPsvU/OQ19rJFnsnvkj0OrN17IlZdzuVZr/aD1yRB1jr+SSvSX9dat6WtfZd9
g3GWB6k1tihMkWwsAWE/oDQ7HoBbWjI56Mtra2J5bRK6IGOfuNVHEvcX1B37LuYF0V1CPOu/OeoD
VVVbSLtke/JTs6Z4s8S4dwTvYlxf6V54DXH9RJ6Y64NFsrTVNah350il/vdYuKGd3Q/xOUWe0aKE
0RYkUh6Hsf88gN1aZ/YH7Yu0422sO7tRvXXWsNcXgjGnVucWvPqr7u+qkSCaWNubpraZkYdZJI8I
13nTuy9ZaT9+kXL1n+GS6H+Z9p7MwgzYi5GnzEYs9hk7aS+VAXKZXENzVxde9doq/81QevnEOwmh
x+WWaxJ5aYS+S0rn18mtLfu0x7rzFadvBusDKV7A2PAxSwdytpFBkNfcvmlkOQQiNrYeXqmdYGtI
DX3bp3AUeguEEEAyg3ZX5RZ/8qeTbM3iNGQPVQabQ4pkM2RrihBgTe5V27wJL7ubcr0IBaE/PGqI
AVIThXE8neTIlaE3X3AHT+3o3fkF+NUuQxQz5/2+YA62Bgns6XSzcIJty36IKlIf3lVGLmzTf7al
34RJR1Slr+R2cncQXrJA6nf2CJ7KBSS3j80ufslVvCc7uq3n97VyHkqDkCitsT/87lsS+z2Z6R4H
/bglv/cBXKoKdUvnZBhQ09qo6sZiGqLcid2bgi7IxBLYOc/PQjR049wBfEV7gSY8E3pHTVT1L02N
TWzDrmD9ab3Grzm9FsmmVyIk7GY0yGjDQ8PUissAkCLsWvu5J218Y7TivkHY/LGaw/qL2z3MJlRY
hpVecp6hLf4Cf1Qv69JRWbMKX7tDKYjozE3w8wZC9i4L8yU5W4Ri4IKPoLWFohu3wi6RVleu9rAu
Dumv4Ahey3R9xi4GAn1BWQkTrI77CaM9OvvMeNNi59RjVrcqeejHnqW5Vm4q1z97c3rOGeKwuLvT
au9tquafdsjv0vrBn8R3nCEFc2GwkJ6dkiUZT8gPPa4nFffOs8ABvl8dlniDDccKg5czNicjXy9m
TvA4SdL8Hbfc7KneSqE/MWS4VqgF57gOV+jRjBAZr5t6x+INKOVmoL8LEjZ/Srj3rach5rZDfxl/
ZNU4e7qHNBjGNuicZD8MecAMRAWy5cMbhNOwDy2WveHNL5Y+0cxVno14unj2uWRZwiPDjA+Wml4o
BI8TQaRRPCD5wn9wzBS6SeMNpq0fMHAyr/Vg/wgkaIrzK66rb7+GIjeV8W5dsu0oHrhWngX/UW9P
agvxl3zn3rY3mpAoXePp2M7TW2GxU82mu7U18kD0xq/qs7/JrEdTkr9O/nSeUqg3tZG928N8sRfU
TYm/X/hanHg/Msxpm8/YjbKensCmvG1yh/tV347QGwPwIAQOlfVb10z+K2DL8WzZ3h7zERHd5RRh
LryuGTdy5uIxbnN6wsRSb05rfdalbYSun92Vo/bVrbdlffWSdvMS5JUfABH8M41+QESpi5js2pGh
FLv9vus7xE5aF6rWvvfctH+CBBjlfQkSwKQ6bV3icTsvUjeripWp32SF4z7FZsMRQUgJNL9uQ8i2
tfUnue1m80uPUaRVi/UnTp1+0wg0rT2qO62Y64h0sdAiJ9mpG6y4Hs2H5crqRCIiVaL9Zbs15wgW
52Milidvtb6TvnmmvTfsChQRIM7YR+hHPm9JCPtQuEifkkc1tZGIzUeVJ1tpuluh8m0zWaQ093tP
zU9O3L63FO6lcROi0CPVqFW8k1/aUT+WL3FzrofqgWUhzDDhhpmEvWSPtxJn06bfEyz5TL1NU+xe
+q4Tm3F18k94Cv3WNuL5pqPrHhNHTnQK95Prpz9JmumSY7tM/zL5XC+5naNG0JvaOPBEac0W9gpf
MAUJca/KOqQy9rdL5pnPg2G290iN9TPpLGgD484ObmLZN+ZuU0AQhH4oXcBc/ULzHK/rpasoce3W
dQJIbk1EPZ/SUfMAZyaeCsdVw25dWcQJ7CnK17+ZucNxIXfbOBSV4Qed6OZ952blrpfxp2am9Yuh
9RoNXWJ+l3PZvQ2ugU6vr2TkJ262q29pypDnhoNdTM09LazBTFRT+xj57j7uZMpnX3VWlKae9WLB
rFQBTDukyVqymCiv41zw8xvaHI3N3nPMVQaSDD4EgEQbpW1icsyXMqaqBxPIpeEUzZmrpeh2LgSM
UN3GHAPAAKiBqXGtHeb6Ve1lFU62YvkD3uDGaMHzzwnUHJIhXQ4SduhxRZPl9KMdNOjjGBhkZrTo
/rSF0jITob5WBwG48n1oXZSfKzDVcOLXfHRgifzG1FNh5gt3V1sy3uvkXxDdWy1/CuHT9OoVMStN
XbbYUhPPD9ycLqjhL2vOBR67rUEO9w7yxwyvP/F2Gs/DVzINzs4XSE45yI+sTtMtWB19z+YWPjw3
1fzXFl77PkopUNsXjvWsnHEJ5qm2z5Y16+2mie14L70m2+udbYYVrfqQI8UdxC1CaK1b+t8OMhv3
IaJquKgR2nhxIbu4DvTkltNsTCyLUKwLtjOMCluOEsd6YggDG6dYxZ1jju73bFb5s14VfF4A+/Od
r7da1Jp6/CxV2pyavLXOFaTqsDIQKWlZAc7H0eutBaMW/gxatwfXbvXPRKTTR+qaOmfqOK4PLujC
bOOpqvxOwDqykxrw9JpUt3sXVkuxyRcMWvZME4ufTfyp9VIum6yzUNoBUikOncj6E3b34ii0Jj/n
lEfvY6GWQz5Z4qRlWQJbJvYdLWhMMz5a/FSkRmOH2LXpBeV601kIjFDbthqXTKy7hyyrt2O8HoTv
PBgAOsH++Y/z1HxhMt91fYzCu092qWHKjYNPdaTgAGN6GGNyJTcLmhwdEErjeUGJkevUArIaMQVw
+2/AxqJuTGt/R3Y4sud4lhjIlAle0ILs49LX16EzuoLeo44jf9T0AHBsu7MZ4Fph7rjxY6PqdKfz
qSxikSGMomlXxGPCmqVggY/rAPGWxs+Jeq81wmpI4eV6rvryxuZNSt+41/TZpg6oT+iJLiQEwGYq
yjEsfD9/MNbVvWi2+9jYFQhGuLvzIHejtY7Tvulu8tleTe5ldseuCvtymJ6Suv0kR/n2pqp0PFRI
CW0sI0vrboAeZKeOrFi4QoCKbkq+ftfO9reIx0UxJfLmSyIAoW6WsnLOVMjGtl40pq0V68ACufbY
HY22Yf3QjPHO6fHIBVZbt39Kc2XmubpOwjc6g0ad6v6B7eTIAIteimJkkh9pW6GaXady5fQj1RfL
wtzFYcYyLVi7un/Rhq5dsFv1/hFXVb7NNLc8rxB89rmZHEbQC9hH9OmiTGT3gAnNZwsLGaXH6smD
so2SmaIbL0dAv4AZ86IdUD/ZQzQZtjibbWz2HCGGH1nEX9PzgQdlqDKOB4Yy26yiDayR/8tkggfp
ygkp7IRuVdEN547T4kNttr4jIy21dlOnsNKY6tEcK7p7tjHzj1s2+kYAtsTBshRipb/2cPNyiR9o
r7q/AjxPtHpDzjJO4j0EbpBe5iqdT7AVGJeYZiq7oJ2a5Ogszb3wREvxUyX9A/pA8zOhB/M3HRti
2H0kGREZBRnY4MQGKCavppu82lP3AhKEweKYPBjSIEEWJlLYrU1gNTT0jDsAYDm52jQG6lrXehrN
3drH6oOA+OZcWkzaSrc8mpy1tDbZp2Vo6V6V/YdT5ffGPD7L2PjlGAkUHyVlKX24did7F/Pi0jCt
sVXY6cO7t7j8kyV+H2Oj3Dqlp4B55jxLjYfI1gk0G/QuJRtC3ZWnNK7OnfthNvYTkyTjZuOxN35p
3avZhf2mml0lMEPi+9lnSrwOXZmGyWqPD8yZ7jPAsxmz1Vx/ttAcnhtRfM+cf0bZM+/VhN2dwTF2
D5p2szULWJTrwhcJfAo3MG+SpxGy5TKvSxcVpWZsfsZLg92IORjrP+m+ZL2DiBRO4qQ/L8znN7Pn
XeeBykH41U9pm3e6DS+ACnsKJ494MZEvUSv05kfwrLScyiFkrateSEySXUzwvBUqVz2Vjj3uVkIl
HuWk30wk87krkB2u1s8wOl9j/jLEbqDHzTZbpbVDydOUbCCAdzNzGiuixop2CQ3xBWGYDzFzX5Tu
X5a5UhuNAQB0iYAp4rrpdINhCj7QdlRhw2xMJM29ZMonh3Y/ty1UHDsSnAgx25dq1NF/pq/z4nKv
VzaGiy4/+qquMBXNFQNX+9Ht6pixaf+spuka+1OKT4eBF5TkDM5XkJWmvs2WEtsSa2FvdB+l3uFs
p047M2/YN16Swb+kyMMvF1laHd8TRJtvDL//azkUpCssBMwE3iPhswDkoITziIgnR4jjQtxt2GWu
vx2xZgyZ2rPTsd+nRtIVtK+lk0b0RTh5vApEVq52ZdqOITdTrl/Ba2ovlunVB+XHTrWzHO2DycEJ
SbGP11u9euYUrO4873U5PHRL86edpoy4UUWJ1lS/Q5Iz3tJ/59p4Q9qUh41Fuptt55LVssh2vZcW
EROVF8iHDNOT7oFNcnFk/LxetCzuokolQ2SXVRsACEFQPVjnZpk/nbI8+AkB59wrw0ZVzTPTeG0z
VPqRHfS462fbDoZlYHnEMuMgCNFo7KFzN2YsmkszOQidCydkX77TrVgPdaPjk4uDRprAEg38PIk+
vy+iSMJa+udiWs2LNug5NkNPPcyTQeizTheLqylaIB9s6QzwN+Ev5C8EBwUi+9x25UPcZt52Tsxn
1+wI5SEF4HMSKUZ6pTuQH5Mkg4275FfCMvONxPKx8diswTj94/WDOKxaMTwtqyw+uMjnU4MwdNXi
7MNeE+8uHuI9eU3QYTSH9qS7rUfyJEjgANEVAUiPt9k/wuAJZb9VWLwT3rCcHb/QIssy8T8353iq
d9OKa8vzv+aOgR1jD42RFIsx31ouozA2alZ/Tc7lrizeU/YwDeuhQM7FfmWKw4kW37QD+L/SSVxM
h/e0nY3tYBd/iBuIatzWCOGxuKg4Kq3ipetHvDFGG9gGg2oDN53SNL4kHMwafVxsvWSaNmOWHwfm
0eNvPnTva4Hq2XfzcElcY1NhHB6pMDYW6a87E/nHaOfHGlLtYAim2hzRKR1uZqzyU3Rav5UxVkAo
5C+rsn6km520PD8aubuHN7Dzkfy7WP3wF+xTkDqiiLtzRuLXndINouB87CGtyVHt6/EastJYNtDi
mkDPfA61nD+S2VXTnrtpPZiDV1K1TmJv+OcaXvvebsviWMSahrXiZlBoi+clrt40a/5li8Wfu14d
syYmx75VCOm7z4BpmsoZHmFPqa/0J5L4XuZeg/5Xpwe7Aw08x6e4Ni64D3Y5S6wNW79TZqsjF+PA
DNhAMc1eMxoRBIe5TSvist3IscBtMt0/lQY0anMVb8OKSS1Rytt4szCOrEOeNUyBcmqHoNO6j5jt
digh0l8K/pKocVoN9Z+TbzxB3Wa9NvnHoH478ItsjflQjBWrxJqJv2PifN6sYr1r3yDNUASNmoGv
bfkv+Luro2h5Yc3kzpLrc5NlX43ef+gza4UqbreQOQOV3HUgL6gcgJiuZWpHeeJ5oU+H6RsaPMhJ
Q3k+wPkXibGFZL0Rg/EgOzznFZ9DnsGMRyfNiCqAgXEC1lHt25HTAU9HE2DHoYGA6wLbfiuMSDko
WfJ171e3iBNE2AE2nxGKx3RXzZURlsJg05XNx5mcsl1a2d6LWzBfVquRko/pDlfEvD8T2w45aLvb
ilNqaRE4ZpyGXWpAJW/XT5E3+N7OChRqRYQlcAebBqZsnjs+hfNaQC1ZDecZly4xPDlX3kr4ZmGM
rNNeG547IfVfR//JZa++R/aHSCsLfvg9dit3MzSxf+e63kMvkgBU/zX/J02grV4LEzqojVwod+QT
oHwTDw80EH/6ggu+5Fh21avFQDbv0Mouo/Ogm8l+RRPFP9sxU2Wpgfp19rnaZ85x3XjUHcCePi/r
2ucv3ZrckELWr7NixOQv3thI4cM6TcgVyCMSTNksmsnDWrFsnGfj2CXrY0wJgtaOvTMrkqT6Tch8
ZKKNGxN+9E5MlK1cNVeYHTg16p3lCTzL5qbx5ySo8/iUqOpkgUMI3NVBiFVUe7IuDn7LXV3oQ/nD
hZIE0rfbqNaGHa6qdj80TR+iWGI+wxpPjyuQ9orJ8NSsj/RCeApYysXNaodjbzdI95ELma56ZgLM
uGtq9/C6N4bxh8J/j+HnUrf09rlb/kkGhVW2f7OJL+Wr8gOZ3rMRCiRPcmFwIMOdD4HvnGuKwuqt
VNPBiFmkWB4zNWfKXtEaR9bN5pKNRvzoFe0PPNTHQfGW6Y5+sB34fnN28lsEA0byXrhs8Fuj/UWG
HdBiJDugsnBo9ey2KoOXyb5k2QAsvWDc+54KpyE5toeOMdgnPZmmsLTQMsh069dq+XT0qn/L1lHu
lMbwz2UohFva3Y+L9jGTFF6nHSM6oUJ0ICro8/XGUzna1Z8yj+/GGrr+knI7zs+pnYSerp4agygG
c/xl1sk+U495seLlBRNw9jnJ+n6hWVU9A+pWbguJUWryupM3jiezne7r9SPR0Rd7FdoBwilK94Gx
3Y58kt0UZ7A4SWbnWYytfjcbDO8ad+F0HrzIKnHojZxJ1jKElczuRkmOi5T8D2+8G1qu5qbZIFe4
sh44tFBN58b6wdrJ6UfeYC31c88Z73eEgA4P0hyoM5F01Ml0tWr4xdZrNSXgQDSsJk+12xzHRT+m
6a0UsBVKbczqRqqHHkibvae9a8TObGiyToOrUP8sO8OaqZSGc97EEbds6MlpOCBnDzS5172KIpJn
L/N245L+LMOyAaPFdK1h2dJRiuob7GjPA7P8oonL3WSLyCbtiR3iozl0b+nSBWORbFMyOKTAxcIF
mf5aCafsLQRhhldKj49NydkCGsPfPSaH3lkug5HxZplq0xXJm67JY2EwWqkeKDdVlLMlBkYNL4Cg
OCw2ia09j9Ww1bEYo4EPtJW+waK36A3WBuZp6u1D66xjuGpAFaDpMWYXUWX2Fe4tPQ2EzPb1ihJg
tjfesO6MeDhWOcqqFc16WX2J0n6T7nJl5laGM7N9pz5JoAS1z+UluvRBG+pYY/+z4KTWF+b0ebv8
NWNap3ixf+e0DlBGct63j7pfPK3iiJwep5L5lNXyTrE04WCHAe20w3b2s3GbFwWyiGbHqhGFo9To
oz2e7IX7cVt3xZ1VduvLQHnKAZkycGWcYif2USz11ptK+lBj/RkonLK+ePLL9ckb1D6bPPbklX/J
V687d/qU3yFJWq+NnE+zuVLqxH/+par7X9K1f+NA/4sf4x+hGnjV25yU2E5i3W9q4X85B1pfrnGB
C4qjyxXXBfElaTz1VPyp3b5862bFIDWrF/cMYEVSAaYgqbaqZNX7f9Ne/meXAGq+m/Lu5g6AXAUs
8qYn//dvkpEH4FSjgbfXFMOXX8Z80wYzwZJglLrARqxpfxjbe8/l1AxP3mipiMXlMIba6hR///lY
/r/u8r8RxvavJ+T/0F2e/w7NmP4nYP4//8X/FF4Cb8F+4+iwSV2+Ihht/yG8NN3/TqA0hB1U90xH
/BsK5j+El6aH78jABIISkgCum7jyf4v+AcUAh+LZg2Lgkm32/2YuMm8i0n8LeFGFWkhv+CUtC1qm
6f4X8ffgLgTdzCALxknKsMvJd2Ichn9QeSHyBpBpVf9o2CwqFlmeS90ct2MzHXWr+yQL4xA7ct8N
NJdCT5HdQZUwe5qEBhZ70LlzyuDIDyfff8iYnBb+W9x9NXEbJPTnHeHI6Lg3yOze5MiJ19rjndSz
58XNxivjtcgdLagX7h+vo4OoEDf0qoziarzvs/Igx/wzuVVZRQydvLSn+bUeURd5lgCVZfWvMdiP
1L2dNTFDwloizaxTtp+WHaY2+5oy2znacO9g2A2Ac8mgps5nl4cKy7S5fQvWIxDUQGoMf4W1fi5y
3haolW69fITb77ebHRWh2wpIwvjOi/JK/nnF3LIsj3Y3huQQfJImOIWO1d9UF8Ao8gYl2fSOIOR+
Wsjc8nUYDsJnnXi2RXLIGGZonfzMddEF7uhxV4uVRkiRtl4u/JpyJNQnwAOvPaNC4m+iyx8BbyvD
pYyhSGQ5y1SOuX0guvXdYTA7lrO9092aIsQCuE6ckjUYA6yW4Vpn6sGW5pXlYLCStjQYzaWg4SPX
pv5YezZdfjsfsdi6dN31hQjyOjD6PkOd2rRbgPg6ztw4361u9ZDmICGLcic9ICTJ+mDH5cXqqzvN
t45Dn7IwI1ivn3Iw431KaIHWRASsBMrW3B9tju811znOrjeEbLsn0FwW2I9x6XZaaVchgkHO27Ui
Up53ZTMZns5+oNkPVXlX5nNgWLdSprcInsm0J1h9CcT7BOS78usdsdWvmp2c7KJ56nrM5puu+87K
WQ/EbBm/AMJuzmdH7SWsXFKClvg18wwGEFaaRHRK1sFc1HFCnbwt5xQpZ4moc2FMEORi7sIisXeO
M4DFAK1nWBdnalGb4ofuG3i6syiuWdaRscZSzZSuG/lUG5EWC7IJO/+SocVdMjZDYnRBbfRsBpfp
zhADCAG97KEaGfY9GXdf2MXXqCuRQxpNzu/Vpe9Fw2dkepSeBVIoVoiCgUn/3pf+i66VFxd/QZR2
+m12a853dl2BVCD6aZnyDzUZBaKtTm51iE7FhCi5M5s71SqXppimKimzbyufLkbj0sUyhd1miCT8
/FKinaZwstVhzBNEkBPhObR/BvPUuaHFR6SDiX3ZweFm3WX4KENn6vrUK3+UARegJjBzw3JZhCww
Twx2Xxw/keGoqn2F8YOQoxRWDwQfN59//Lo4S8j7mxRyRdQy2KS6ObqIrhlWdKyjzW/CnnbmkKFK
nsqa/RUukxRmjY/rOCwm6jpiCdLyCke/27a8IOn4QFUT+f5nfusUui7/SdRZTpYfkuV5n9qksJXg
7xmW9XiKJGxx2DVu8mRhXdlbtBdnRyNJRPhtte1XNUSmnqQHIy3J8JPys3RaFS1GbLwrv38S03Je
Ekpme57QSNYJ3LfRF8EyixozGmOoqUa9DgwvP9jk8pHXWGzmm7zFq/w6pO69Wut8KdYENbs375ml
FUdp1FsehPZe+dppaal5S//P6sImzNUrS6Ogr1K00LP2N3Okz65Aj7d6El8pjAJ7NY+2XE4Dtg2I
E8tEF5ZjTvEsfhAz62Es9M0ilNoNjVVdTPIPXNKcggylTdWofaPJe+KZ7vKG5HBDT8r9pOhkQc+e
JuEdh0Izw9avnf3q6+epQhrijNjJO2RN0OgYeni36G/Ty7+L2qwAB7DCv/H82O3MZwL+GItVCZWs
i5YlJ+IjQmkQLbJ+Iqnio+gfSXjc14rYB3BLPEc2uyGZoDIoyuU5Lg+wlzi/AUGNr4tjDhctMY+1
WrfrVB+ZmQ86awQPN5KYV1QktoqmzBTcD/ALlbG2P3rB8Ym0FTiAk161luZXluOA3DhNiSqApqe7
yVVVX2ZR66FoJvq3YrkrFxt189T+yZJx2PVGagX2KPZoSfZpA30L2kRDo3tLFtyMqXNUyRq4RnbH
fvF1FZmzTSVkC604kGp1Iyu2ZNqhSiNMjbnk+HdxPQAfSXlyYhgCplOzCmQIF2BYCgpZb2udO6ab
LtnoveBhYDQVn5xC/WG6GqyJHxRiRGjjpRfsUH/7oXwxoIDAaupFlPY8TI2A5uCks7HJUhYDmYyL
aBlZINbMB4bBMjbdfANPp0iJrX5CxzipR1vqH3OG25+cx8Bv+q9Ch5BSGxwAijS/aNDK4uL73EBo
BT8yF5HgxgWmv+vAvCC9QR4/e3EfLf0qopzY7y2zDH1v1tr6TkDlGzyXcmMpQkIRWXFfsX7D88lY
YRaNZAk658eySfNv+GEysln88w/dlADs+UZtiBnppAhsvnXQHYcV4uteS+3pDQ7B8iqWpflY/Lp6
0Aux9ReJQFtcRRItQuAT8ecAJsgTu2ckE8XwTAYe0Af3rW7FeAADbkfpSKZKoqAnMRrmNC9cVFfl
WKKIjj/9AYuD2yIDTnRVhXbHnN9vjjNKgE3d/VUDGJCYGT59m6DRXcRXnvs7WbviUIGifOqS8c1c
HO4y9zEmSWxU0nqzEXqgE9IuVmLSGppdfVTGWAdWZ7DFHbgtS7S9ByYc0aIhqCvYuAGaIebvmPr6
YUJYTdwgS2yj2AggNCNnvKlLcGiIWN3mXLFmgwKDb0C8slQ/o8TY1GYZVB1tshr8iDyfISplZgWD
1+4BmjxXvt1scFtCyYNe08azuo5E2qXj7X2Eqd5iES1olPXO2ea5y53ZnPUJawvMlJotUMu4yUtZ
AZvW5wJZ1if2ryr7g8r0KLPtF0JoAstAcrPmGjKvnKQcoDS+dPGQog5MjTsDjVANNUqUGqO2Hkga
1h1Qeo15rnUPscWCklAyW072trhP6uynNNvTOgBjcqCbyJl6KeFFcCHwMdSp4mkfZ+2x6bB+eBBS
FXgYxzkC/fB2bHz4ymutiDLG4WFsr49wvu+sRhKjg2ptl8zrC64and9EIQ5Op2nfTSxqULWF9sKF
Ni7Odar5u4X+nbjOydC5z4Zl/UXYfsm6Jo/wzTIwH/alkRyszLzyUFPyZU2wruifOxxEDXr3yt7L
Ib5kU//dD48aA6DWdsDnxmFrPeFT+JBt8gbAbofGMpJ+zzajPFeJdnA7/Q4mXoipEedCXprhrBiS
tHoWzUNnMeFffpvCexclVxVnQ+HgBnD7v7Yen/DUEAPYnAdUPsqcdlrGULZA8pG1u0IoYBrVNnPU
UdryY4UJDKmu6RKq+Z6Jo3+2ijt/VZ9yMc9DctZttE7rQzP7pwlGmc3S2yPUtU/7s6N3vLyyYLDN
QdbMiDNsapslmS4TgcQOtS7JxAiBoemFoq2/TaCPzqChZLiMa0sARNKJ0PdYk+HnxBehO7DQeLCp
pu3z4rhUVP4F2Ni1sfoHqYmI8+PigACEz3Iv5mq79o/WwCpEr2b0V+W1JOVwo3UmtMKFQSVpekrj
Mun02/bUJflp+ZglJjWnfMuy8mJTqDIXP4GVgGyTvrQ1uLaVQNztwoa7RMZYZtM9hKoPFnFlKBsU
5Bgk9stkXd3lRxLwi4Bys87Ecdeetuln/zDV/uvoULx043Rcej2aTeZxk/U/2DuT3ciRbNt+EQuk
sbWp0xv1vSKkmBBSZAR70tgYu6+/i1EXqJBLV0K98ZskkEik6HQnzY6ds/famC1t67FRT/7kXUye
/MmTlG7LniZVXJOV6yUI0Isi3o3J+Foli9wFKt+LwnEuq1nZh0rR/57EVZaZN6O37Mo1n6vtPGaY
xD4hAP3lpSuCRc/f0pVo2SD0DdjG4vWxHOTzRK0EgSY0K+OiqPxwQVzpeweFlJtVNMWV4Qx38PUR
iXfXaEQB0+jznD0QiTwCsIEtANTfaQQojtj152G4loW6muP20jaCe0lfNG/JlY76jcWyx57RtoD2
1KNeXnPvJXONX4t9nhou/fidhxRuXfZu59k96RZ9WTfaviVw85+pToFmujR9QVC7aNER1IQjny6J
jCt3THck754JZ0A9p35Lq76d4mFXqyeR+b+AJ52UWXUek2J5FVsufuXoWhFDu+kGHBflGae1ZQNu
J9nmqOnyKdqnFt3m1MdA7f1T0ZcPk64+NQgKxTPn034cO8zyxiEVyy5ukpO2bX/kgfG9Vd46g5j2
LqrUXdAK+JNsDQVxLQaTGbelJF0MFhtsFkzZOiIcsyQPwqgiKgbtPigtGrBuon4bGdQZ+uv8TOYd
c1N8dhareeoP/dbvkQpaYwDUB+SyXQQPkUpIuFiNcYO+iC1xhcT927AUZTjZ1XjG6AlP8ux+QzqP
+Scflq1tZ6+9cu5rg15e1ecviaCWtIO6OVCZPg7DvI57cT+WjIi10T4NUfNc5sjvKeDjEPZVGZLi
9bPk0IptbmJ0XNf+ftFY+9PAe43H+o7INyKrdXDTkqjGX8MrPNfdtUBOg5HsKndo5KPRwCdFFBvk
wsXdRREt4ayTzCOa+NnwWAaMjhGUHyQjEzvXoys6LQck7cWenHOGYbidGCRPI8DQrMJeZ4L6m9Po
O6zth6RB2MT5eFr/mr7OWYnJtKNAFm2y58cZNq0B+MkUEYw5ndPmc/Q5DTiQrW18W2QYwUdxVwU4
oT25i1IYBwXWVUytv2zfuinaZR8VNZQ/H6sKzeZc7dsxqi79VHCYaMBs+kFjbCcs5fvEq2WIB8S/
TwcHpbHBCXuBtymYxmQx1cpUTzd9hIcn9oboIq1LHJu2MsS5o6tqr0oc2BmyCOS+yjoVyAk3btMU
P6JgKk89I+04ov0kVDoMzGw/Ozwbuf9UG8EFI+K97MSZ55a4aUCUzuWPJDKDkxptCet0BupvEsOP
Mh2/QWw7JTaQo3tsnyGvMiD7OpvCtC/EwGM+VWK11yJfZq1C5AppV61Bqs6F57LC+Vb9oC1FI3gu
CAwCD5MQg6pKw+fkYUVsfsgLCTIP9j6a6BerYNY95UNxkJytD3FPDwbe3Bgmg0pWZFrhlzsTN1HY
BguwT94+Vo/oPIujy7mzMTI0ixfGhdFS14lvOkKhiznUmqxzgmivHJ5EkvhegC5cIW8HBNb5W9Jq
d6sNuGirfVLR3WcSuXNBibYRWTIQ/ZyTrKwd3HkICYj03lWO3ggdn3gWmXctw4wW0QIRjSDMa7IE
arc6tyz7KqNUK0V1hhXyF/m2u9QZzmRqnwwlbtjmlSTKx6kLbgZilWnz7nUgznxsWYPGyKT/UEm7
H5GE/FuUr20+XiE4Oi/mZ/wgUPrnW3yw19OcPxFqfaHy5sSlaPPIcSllekZf+TaoMxCSWFFbg6mS
MV44dXZjlzmdJH0TD/Szs7sMWwOsq2W3iknpKjinPiUxBWPdscUaDi0Cz47Jz+utfZHN6QVU0LMx
aq5QeG9KvIKXKBWvCyFveS3hGXcPThytkIdfDnUf7OLvIzMvXuP6PK3Su3wS8mqYMu9bo1tzx7hw
S3hgvEkLTKJG+4yVh0R1g3W3ti6MDKMP2hOXSZw8J9/lcehi2lnNOJ2RC4muWCU7rBrxBhYRQyqB
yVQv90vhy5D8bqJTjO99ZV3HEwImUQuqy8UhprxtnuKczAFYEXeG7PANtsU3gZiwB7B/5hcwzAwt
92voRB5b9spM/93lbX0amaO8rCS0xE2f2Xqf5cFJm+Y3MH/YFsEiTHrf1cE3J14eURDnBPWW83m0
+Kd2nMCVQ6mLEdBjY7DNNeIhSw9YIMSJIIpT79w4Pk2WhAOi4yOenO6ztHgaGkrq/9/O/zdRzKOX
/n+jfLa/qvKlzf/GKKz/w/8CfNx/USMQiwSU5Q+MHR7CvwE+wb/oxQtC7RwGMUTkBv9p5rv+vwgb
4r+JleADaoQJwP8CfFzwYjBXACyQ3iJB2/5XDIV12vMfgAIUoABwj8eVhON7jv+H2/XXXIoIAQOb
JpnRY93iG25kusXi3VDWYGf76zv5YAa2koCOLrUm53AVRhg2E8u3g6ec0/zi6G4KhU2GNJcTnIq6
/IK8iuqCfBh1GNuyeETCHhwUAdtf8HhWFv676/sQeYS3Bgryrb+9vh4T5Dzx0oeEl8XJjSUSNIlk
0wcwKQe6I0ZaDqgyGzISQuJxGzCHSWzd+/bg/0T/F90wemk59BdwjNDouBxyF6v1G1ATBrZKsWRl
deDVQ2gzNgigKi8h6qYJ+EpbyJfoZIeaKW7SNtXvicYOZimqRYuWQJM88PyAXWwJ1eOYNw+opl3x
yFmvuiQ61sA0WxXJ4+e/h2W9zeT58+MHPkWM7aCLYZJzNAqclYnjaqbsQNDH+EWjpsSr6frpZlZu
yVAi85zvJuaglwLFyFpdWCCcscuDiPEWu/lnKUdBfg6NViTDRextCZlQPztrQoktB1VGoVtlyFWK
OHazQ1Fq+6c1Cdc6xG7eP0RY3JJtkhXFK3b0ptgb6xzgJOhV/TRpmPohkOz5zm2QaWwQH056M3lG
Bqg0aPufmZ6nhw5NT7kzuIvxypp1wg7QwTzrSIx3r5NIZ/ke6FTZnZqNW2FMReG5bErJSX474TFo
d/koES5htUpazGjp5BOnXvUvZoHvYEMkl1WfdhrY3+US1L6xpa8V/IisJsjJTkpGRQ9uhVcCGvDZ
7NlRfSB7ur+HWxLHN3aVTQJ9aZC8+C22tBO2Cpyioz+VROe0fidolFVLs8t7dhwqXZcxq7mkThMm
bYrohXj2wNkszuKuQTKDoymnKqmdkKmSiQh0gXB/MRiR9M+7KOqaMHK84i71ZGru/MmogCvoeNRb
Jyha/yS1Jil+csOeez5jTzBDsC9xeptHaPUvo9iQ0Z4IXgX4NBsQuzCEM8swN2npnEa2DWyCM3Yn
dr0SsrrO8OTBHigzwdAqYVS9LTKrvabRuNRb3IUjW6XbVd4Gr3UXYWZyEpgCve3THeWcumwyo2Fj
X0YJoMPPUTCSu1vS4ZJ51qqdowti5fNoSvfmHNB0+vzh/2gxIlyLQSk6TQuIzdvFoMswwAym7sOY
DKwDgzxn23ldc53jsFg2ekRvvQyMmwYzo1YvdPT78+u/HaD+efXwA8GCJAzV8fzjJLbeMuK0CAB7
qizG+cHY51zAvOBIWVqH2pLZV3DADxZ6CeDdFwE1g8f89u0Ne8jbCPR2dDhWoLZ61Ep446r2nMlK
8KKbqcUGu4qqXAz/M53306JR9ms95vW8n2YOTWUWFfARDPvcNrLY33z+fVjr6v92d3BMosgk82lp
Csc+migz8lQWEK8+LI25uqmxsNOryJwd2q8BHs6UcnQlZ/ykGrCY0uPBsQjahU5yaQCsJtTii93q
/W5BcAoCWmbt7NtA3N5+X+jRKky12gyJK24EkMcxJgd9zsp/10z/J8Tog0UY3CckUQcqqBMAl3x7
IU4I7sj5EiljPTImKahGdyxnNj19p/N/EaI3w0XIkAtskMC0K5UkZat2gCMUVKVjNtPwmMenxgXQ
T+uxbUwak04BcbqLsPjXpdt98ZnfP7yuRYKg9KH+gRaVRzspHCbXH6L1Iw+LerUISjtEuNL2KV39
+3QxnMMXD8f64//n4fBNE7UKjEFsO2hneGeO3lbDzxl7GTjCBya735rIIXcT18KoQ2I3bcYYqz8J
fR7BK5Kgq3FsOdaPTWfsP/8gbx8K6hYqFxOiXkAhY5Kts26of1VLyeIi6LOY9jiBMd4WJCBvTBzC
D59fxfroMmvmrmsGMLao0d5exvYsdsYcJrNBt/NubkiVp6deenepLuaf2lHRvu/a5bFUxXARxRUC
tYnMcnPjZF6es4aXeQktAadZ00/iC/Df25Vz/Q5QmFA2OiQHBlRSRwuJCjLR4XhvwnYsI6xwEJcI
J0vACwyPsc6zXeAQrIOiPTk356G7//y7+ejqDOoDE0mV6fnOURGZtqKLHc1M0l96PP19UdPwzVPO
dXMSA4OcauOS4xUjFBoDYCF9Gsiff4K3RdO/718IgWjOZuF2V1Ln389A4OPbxBvQQLzM8Az3qOyY
z2XNdANGqEDsXKQnYu6G3eeXPVog1+u6pkNosXRZJTFCHD174CU80aqRaWxm1+kuAnL2WMQNpdFg
x/kltZq/M7raunYRfrthNSUjviEX0B6emGJRe890k2n7+ady/sjF/n41170TZhzPBAGc0gyOPhbw
FNHNctVlq/EmbuzgNjUmGleYJqGcEK+85djbo2LvB/b0K1eTa5/Thc+MA+pfzHVeluXnTGDJ3ok5
NQBCt1tWPHtBIoe0tPd+lqImgK5LHKOGzQhAfpvkVvLkwXHMdkVHRaUiBbEMncaNE8vvGQigC59V
JNrRyYRlrM3UZ2Vl2LahEtK/3UQmT0zOW5L/+gT3qonOHVxOZ9KmqfDk/DSSqEl2/RiI01G75bRd
yn6YEJqLaNtWHsgtonHUs9OMJgNfK0DNnnhoHBidxXhRh4DwHEdazAjpIKXXwhgzFEDKEqdmrWR3
Shml6g3ibOYVKInd+7GWCFT12ICfaZ2IYJhqhti7MX2PWS0FI737KrX67mye4b2XaW0VxNikwW86
fsTeBZPXfPMsDe+poZYnsKPLYda5fdOivkx8sPxu6S5bRRDPWZV1FFixUS3bgliDh4mYhaeCfuMv
+nDNEk5uSScVOUn2K7GoCk9Zk51gY3fz4MLqnMZXdnK4Vgub5IPpkOi49xaiRU5s7J1kyuLDj/dZ
IBCCWrU1X1e6sH5pQgdfA1xAV5yXBvuBm5Hfho45y95JO+dSG1bFSakWSUqERQ2GoWViUVIPaInR
sy+hf4lp7XN7Pob2jYp5rOnHLnwyFosmuCqUnT6VhSfnLaxOftDeTOgBk1jRNttJJPKweH6VhrVS
cjtZFeGEkeXaoLkKH+DXvMpFR0r7f/AyLt+ciFcMSJAbnU5Nh6LLGOfeogMJCzRsXEPy+xVd9i0A
0vmSDb3EgpqZ5rOgVPmHypK4JW2Vy2+UYvFTkifQUXJzgmw0F7NrM80AA9UaOdMyPZq3zFhpdBWQ
Wbb4bLMzVPixovvEd46GfyTUiunnRCtqqTt4Tfbs4/3V/k+UeoWE1uGDNhKEup65eeBFB8pYDnQt
c6J2J5QbD+cxo/dmiwglEIduMuJ4P1AcI7xOciLNhj4njnN2oQZCqJumUxRryt0UM3RcTC6BmZ7Z
sMMI9RxyzbPJPLvHOJZwUrG8unnxyhwPkMu8fgw5JGLKm3BnWOGgpua3gwLqBTKPosU50bEP5zQP
hl1pauTTMT0pAkIL3eY7IpV0wKzKI8OqyXPjlNFfgi8xKRjkMkXrXiPDQRmNrRnQIXeupis9Yyw5
5MnMXoxHFctvq6bM3OLLjCwiUGyOc1iXKKsOjurQBFCMKTPMe8/pthpHINJghM85ZrEutvfYoyQP
Nrz/J85wYxYGaWQTIGD1mGTM3itPhDeY/RbQkqd20WJGDGoruFNSl6gO/DiXVzW/UbDlaIVVfuDl
VvyCaX/RGDUJ6TAOB5suuBPwB8tYPMVpQBO+QRrUUF7Tvxw7gLc4sjXdAxzZ2dMKH8MzjKLGOMX3
7/9QdW9E20zW1s/J6xV43aYjC9OYmaMZDN34zeeoOm+XOGHAGius1cB2i9AIKl6lorflszDs4Hcv
ZfRUuhXenrLQ6/c6ra+dLbuHeQYXF4pFBdVKl5JktdFT9/fIFIxny11VQb2dk6+C3cK+ia10KfcN
IXL9ibAtcYmPB/+yR1M02LmqQCijhoZzpRqcO+kWsC79Fnn5ltRNUCsi18yjZ7YXVJRWN6MazTRI
O4GoBVngUF6kqeXiZgWtjhdY1ua5bTbLDbP44t4kcQwle2HTHM77Fq3aVCRxjewMEHioTWFPO3zG
xglBqAOwl8mzCPTN7GlPYyA+sZb1ya+6LP7HJcmpgMXLcCnliZCQIVvLubRmh0pb9qXUITm2jDeC
3mPv7RASbUh4Wm5x01e/oDJm3/kLzu/OYBJKfEpTPQdlO8pNsZBAsU0j0lPY41KVbOcA74qZeGAa
7cQEfIYDOb0Dzust50C2xVbbwq6uA6F6fI6NTffIJGz+boqa+VtWTYMfctKbvg9FPamzueNhQeal
53znDq07hAFmwAA301wUJ5O1ECiHmhdQsjWOy29WTutKZhGHuqYLxnhDGGqcbpfM7ltAoqZ3qvEl
a1SbTQSc2ayLRe/Hrs4VM6BY5eJaj44eLxKa8jdFEiGNWKwaUhm+744pezs1yE+ZE/+osPYTSBaZ
9CXCts4lK4JF3s8hJWzDvrQaMqQwWtYZFs7U8Y2dLRZQK3PiBlMYDCqK9rWpB1jPCud+OJPycsab
gyG0lN5wm4Mx3Ft5Ss9fzMbdUltLf8oUMr8UU8dOmIgESwP9dI32gLCNYqyNC3ROKj2BENFkuCLu
0sgjgArKQEn7v7tEQNf9KpHnfrea8aYdgF9S05ypuERK83nt9L6UdelFQsLl0Cf8dydeXRPxXUTk
cOVAXHcxSj3KyIVdS/nGOa2Baid6mMc5g/Yrr+rFF2eZt4e4P/Uk8nJk5BI3HwfuozremkWBu8ro
whZf7NWSROpgzGSfeVqbe3QD2RcH6vd1M7wIROggs23bMo8l42oinutPfFM1NfFToGYH3ZeeAKi1
6lG22chqGhW3n3/H1noyPCpPbWT0HKWEKV0yJN9W67TX2iEbkF52MlUXhWRwk3XmcDZLNApTy4YO
1gVod6JBgCn0g9IIvDCRqr36/JN8cPtOYElh04IBBWOuZ76/jo4G2NAijRI+SE3iD6lTHkCycTgZ
HFhhfoLJ1pxz8/Tzi9ofPGO0FiA1r9BlcM1HB+fcGfzCr4aOqX03/FPxNDihNbRSbsdU4fTswUky
wKYJFB0qb+qJuJbJ/JL0mBHDhhUUqJYSbbWb+iXeNxY4lDAiUudSigovoPBbNnUHf0i/z5lSPpt2
x7YiVPGwENi5jZMMKvCSI5+oSQCQ7lBbRJL6EHFKvwWT4HZkodPTDCZm9SXCzAWYLgY1hgBTCG8u
Ii+cXmx3kGSj0dg00diMZjqR/URg4lcpJe/P3aRcCBMsOQkJvJJH5+6sHBKT3XgMdVtF3+csxdYA
EWuevmh2rX/n6KH0Ob76AQdpkxCGozOTwZX7TEUIZHsLqy+bAduw5VlMLetbYpyALbALYqcQ7fjV
PX7w2vMWrtMmHgmHvJC3zyGnepMq3UAgF6Gw9uFVnmpz0t+cwlnOh6QNvn/+CB45n/6sMwEtfd//
M3axj8cu9tDprqYQDXXB8r8sqbFl5mLtc8NwMV7mxQYQb38PLDbYjU08nQ6iNf677ue/PwSTJ84p
kpt3/3zIv96+UbpeAWh+ILkpKU/QqUf4DGAVNdqqHnThw47VxqvuqHAcDANAi/z4UfaxCUXNkmdd
WeenWetUL+7gBl+0NKz3L6ln4fUx19AGiyiPozWqqCnTUrBnoSugGXAkrRX4STIR6tB12/wn+l7t
rXiR5ToTk1VuMN5wQFTJDKmrNITuCEzFYYoRf0RbjIdc/2hVgXW7b+CQbF1pplXYmTzQG5q4hf6i
CfBBa4Le3PrRGQCZtmMfrTKItFRZTN4UygZrCutxdlBzySKj6en+Y/rNvZO6KK8TK29P6TebP5Xr
TA8pGB0A5WYFGvyrh27dvd6+YjQoWWVdO3CwJx3/4H3CI1nlObmGkur8DEnhWgmNtf1CbAZDGalS
SSqdMNJvPonEaDrbvCFpCKbGt9K0wWIAZh5uZVWTCjnGJqMUCjovIIqVmcw18ubklytI4tsiVgbr
IJOABHZ4vuRbcsmZtodhJP+MvZcNuygZUQcILaiLYlsVr00rI+tsqSTRq6nrGyfa5PfaDJZh9Bu0
UNG9Lq2hZig7xw8RZc9LZ0aTve1jbf9mgGM+F0uMRDCXjS45JUZgCczRqactY15kMmqZJ0KhR564
k2VENH7uxaX3WKSTTlCw2e1zwmD53rZyhP9lNTQtY6uUeGTga5zz+95vdsRrlMY5wdYOlvYYS9GG
RMt4U6AL+Z1iGPI2KuVMCJ2Q2drWsZ0SJTMw0wtsh/6PAPrCy5BhPNq1Ncl7qLilaQDWdytIOqMx
5GFQYBHfunPaDyFn4HrvVsTpgj+vo10R6+a7li2OGu36yg7RJw5mWHWy+BEbqwUCNEixI5B1sA6B
3+W/Pc7rzkmhB2ff0zygJF0QcYDyJfUPE2qOyrMAOQ9X1QfJSse4uOAog2C3MZXqtogAMRazXqpL
+hSuhRDayI3NKJNafrH6v1+BCQyziQyjrR14nn/0tqCtx283JUwARWJBYpvGHbkhQahkMJ8ZaK6+
eD0/uJ6DlsChXUswFAjMtyu+ObS45dtyhTrL5Yrnr0kZJ0/RdU/5tRo05tT44hbfb6QMtSR7HDZF
/inWFe+v5dbX8GR9BYl9xMWGeyZgvE5FgRX88/f8g5XTCfz1TbdW7cKflfWv61g4VDsoAH3oz116
Q9WVgcLkxBpbrfGkS1o0LieJUzaFYWeXRnbz+eXfztTWVYUeABsbPVlWDQ62b2/TNCPYDwOKAuJL
gr3GDnRjaYUgHdX+0+eX+uBHdNm1GQpwZBCufbRHmEFHSmY2cqf+Mt8nOgbgQBJuvYO70qLgzLtv
//0FAyaF3ByTFxQnb+8Ns5VptDXq4yB3s31As/8kov3x0PjefNF4Y/bF9cTxjGf9MlGiMGJh5EEF
dFQUITvzOs/kmWlLToWw7iub3a0sq20jAv9gdZZcDvmo5wfluQbezUY63wyCgvAmIFLPQg8xrdpH
7qCvukkyrPez2GlDAM36LsM7lm1NoGUFmlAJ1QNUkfVVj/6Dx9GV6zyXWs2XwfFjX+qks2abzlhM
C/usJcearOeURkazBpL7yLDOptGwd12V2acFEW3uF+/D+0MGZSW2XM9dKy5a829/NLThUldInwkq
iBJkjKV9mMxZ/Ubn6dH/iCfAHUgMPn9SPnjZqWWF6droQ1xxXDUr6c+6ayXiVcFDuTCNOVuRg1+M
nT66CuohBo+862shd3Rrtd9bouAqXu0vty3HVYisvjr//F7Wv3JUNniO45F3szrjqZDfXqXlFK7N
LhrCqQ3qvTWXahtlqOvnCo8V0RreFz/YByuIzwHNFTwvpEH+GQ7/tYCVriJJpA1onYjKPYe9mH6v
x77cW2CI4y+udZS69Ge58qUNXMbjRIz+6mi5Ys3w6XiVY0hv6Qd9/vZcQdnamhQAp6nqmxAWnn9D
c55pRt/MOyLUxNVQQbfPTQ9/VDxAnPvqQ33w2gcWNndyoJgp0gl5+40PSyubNJ902McG1h6nUifB
nNXfekutPkNzhE1HPAF0/yzNnnnAcUoIrb8qGNfLHP3wAYvdelQmjupdkFBFBEWSDiX1om4cf6MY
fz6SHC3umznuwEq2nfHs54T7bsx6mn4F7SDnmyJNrJ80acCQYYEJ4i9Gfh+8zcSLMmpm4Cf4io6+
mm6A8OnbZHOD13whTpZAFmxgZ+YwLTsJMPQwolH44ot4fzRdtSHM8WiucmJz1rr6rwcyIImzwGul
Q6dastM4gvFpEaIHy3DBXM4+t1syKCwJzJafn796H9wteXKUDDY9Ij7B0asXT+w3mZRE3da5eZMw
Db02xFwijwPNPbtt/0q9WL98flHx/qpkKvrwfpFesIcfLyt1WsZrA5NlxSN6IzRcLforarZUbTtq
ByD2wE7BpzaSaVpE5wFWuUmex0UjCIn2J5FRvCoHrMlsJqLd0/8FxYUWvJjAuFVjRq9ZWVfIxOZb
nQfOr6R3WZptK+KkFLt4VZcGwvRmpp/iHZIR0zX7ejdflkvUfVFDvF9sECRQsJgIV3jVj89ERlEE
qg5o7Bp6cA+tkxc7isZuI6O0Pv38e313qT99TbSFxH+hUF2VrX8/RnkExyWpgwWRev+wNMYE8hKD
m0pAcn9+pXcPLBUKS9vat2CmFRy/JGlQzqU1cvZk3JJuR6uJTmHRwBk2SB2fOovIPlt1d8Bdu/3n
V34v0+BhDcB20FCA7MJneHuTbAy2G0VYmaRXmPcVbm7MDgwr2gDKwDIv3k1RodgzFuasTLnsqy7r
6lsraTCH97F/im24u+rqdfn4/JO92ys9PhmDDd7hVSjsHe2Vpiztmltfwmzyokuc1x7pRYS9fH4V
4teOF01OL8iXV/0wccems75cfy0Wbq4FedqQBacajR4mJokfpPdVIXZ4hoKnHl7skzm5q4rKnVr0
g1U2Mse2a9yeM+dw4o+YIRehTNiTN22ftD/g7QavdVbj1UiqsQouBW3hajfmpnlvYJy6LgPitgkc
MXGkUP01yzaC6xdxlodSGloNFNRTZ2wE1oA6Jn/GQHbMOJDjYLKburJp99agg0uZNYApQMsD/yAk
mVP+7KTEknRjS+szXzpO8GmunzEfI9MUZYv6iLO1Js1J0xnYjonyHyBoJ+Y5oAqHlPpmTbIcW90N
NFFNszsdc2/wNp7E3XCqJCJ9oguRy2zVaOvuBJNo49+VwdxG2yXmgfhtN6P7KJtp+MfFMFedJGWZ
QSbxbYUusG1XfHo6KXtPW5RpZouGGHbBMPSvUQHUlTFfJzeDEcN0KvXE0MQdyuamL3tcXfxQEeJk
DKu/XD+e125Qg7/R9RrnZ9o4ooYo1+hnuFUwmhhbnOPwQ91ptLmSO5xEVUVGVVFdMp2zsrMly8Gl
emilUNzYcX/PVNZNKK8J/gvFXEBPGdCj6I3pzYWNrLPj5Oennoc3abR9ru6o9r5y49Y8qBqhMMy8
Htnp2FfLt0pV5mPQJc0zk/Y1C4BnIdgwcZtBFukCmrLuRnUdO9P4MxDVZO7IApt/9IRnik3TqPLR
0I3n7pK8Dwzs3LndQP/yYErwspgRmrURP+2IIDc58ReLlBot4urERC/UntCZDgqS45Vlbp3MbHrG
rpwltii5EYs0+TyRSBT04jdkjbYLI/rEmtMfKxw2QoNIlNm02k1Vubg25CjqSzR0MMY8ahtgmGWO
Hywh+5YWXlkb6rTplYp36M3GNS9Ea2cbEVkIjymKfZuUqXF6VUzi7QuwvXJvaq9zdnpuGzJfDA9P
c5Y6oDtY5G5qL4HMW+CIuUQfVH3PkkY8aJQT9Q5LdAS411i7NyBA5Z0sRfKQyUnC/6Uv8moy6n3t
lmEU9Iak91RSqnmbubEWdO5oQenQpuMMmDloXHeLGQX5PnhgY9tatGIQhhri0XYZh7eAUn5yttGn
xPPB1OjKGTp7kmj5k0raAAswNP2+ciDNbHrX4YsZuh5VdzviW9snTOr5iWejLsKK4hwJeYB6eVOR
XoheAlP5P27tNURq0YLC/mqT8FcJS51bcy9/zeMQsxR4ycD73HkJbFeQdVieSAlk9O+AxNzatMOr
bR+4WG+B3brpOVSW/IqTDW7R1gDWDqHDBZvz+UL50Ubh+8LCaRHQkXx3lu4YYAxMmc2wT8iZ2GPG
9x8rL6BhltHmPWcACa/PB/h/xzsW3TWMuU9hm6W3YxXn8E7QX3mwDa32+0r20V/sFh/s1ZxVTaJY
A1rQbGlvV3HKraLCrwDAmrSeV2BIKGScqnuGUvBFtfV+X1oPIQJhrYdiDLTV2yulfV4W6chpx4kb
8tp7B6OHoZav9uX3JYHP5ocslXqOjsnxttRHUS0ZraNkwJCM55L35kcBCR0gjBGc8VJ1N6Igu1E5
aj4USd08I4jh5akL8PnmOhpZRHMyzai6BBqxA3KHZ1UbxmPN89h+8e2/n4/QCKTeRWYccLhlEPD2
S0HhAvUa6m2YMIrfimj1sXd5kP2i4YP3f5LNodZzQFhdGV8mKbycYcQ2+vkj+n4n9+kM0nRZKxmL
UcTbD+Gq2mbPZARRlsI4wDXHONlMz0ReOVeDJlDr/+FyHHsZelv8UMf3PA2MuKD4YQhPBvsqNsvy
lSyz/BTvAE4kmUZfPBLvGjN8x5yx8dBQrWHTORp6Ef4sDTOlMycMzHhBXhIfZZTVfFmZSbyLZERq
XbQEdx3d4V0bRGx9n9/wu2PG+gFo3SEcFZLv96hUhAg+j7jzp9AkpYHEptInFWLxX9ws+zVk5fg0
JY77/fNrvn+vuSZVGa0FR6B8OrppaE5JKbp6Iqwpz+hqpyQpItlBOQqa64tLffD8WJZge3c5u0Ep
WD/LX5VgJGdAKQxCQpoZaRqmCIvgQreO9zyO0tfnfjJ0z7QdivjgZC4NaM9M04slitjaWe2cO5XE
cFaMTNz3RoxiC4PIog+Dq6xHz7DIryK29gq3UnS7YudKwn1K7EZ23dIPMBZlvi6V7aSwA2J5KOgi
PlZKJi8RjFyUcxyTz8ehkpdLOgQQtZwB5vTcZ+VNEGWkJHlTV/lbZTXLYSJXhYCswo4RT7dZ9TL7
VpLuSsNWr25HfcsABPwYxSLqpR44tdqkRmni0zdBaR18Ox5+01YfIbt2Cwb7HqBTfDmgrmpuMecG
ZTgvZPPuAxtBVNjg/fuqa/DRT8FT5nGqFfwYx6cS5tq959oNB6KpeC5LT1xMJXdnDCMyOdQ31ReP
9gfXY82gZ8s5D4XDHwnCXz99YMsUWilZe+hde5xjTmQgmvOJiTVY2bY82OYX24j1wZNt42KhhcVf
x9BytFphs3INi/eJae6yXE2s45tYEWCMiql7gbuY75O6gwYN1+6CaFz0fxyp8Rh5T0qa8wmawmA3
ZCbhJkaZtV+sbR9+OPY3KI0ctoPgqI9hNGMgK4dDUWNN6Xc7keCH+4F8FuV5yxfH7A+WFRTRvNuM
XtHwHBsF+hWkY9g+15IrpL9pmgulF/McBXDDv9bJIQI19MUNio9+cQ7ahGStAwmwkm9fdl1nCfwM
7nBIJA6mZobJfF7BvnL2yhGDR4EexeneHwvxPWkM3I4EhsLV+x/2zmxJduTKrv/S7yjDPJhJMlMA
MWdEzuMLLPPmTcyDwzH612uh2N3qKqmbP9BPtCJZZN3MCMD9nL3X6gmpRmmWjcsN38iVs5Izz9p0
+Kd/tX5slaRMcvFKfK5/dJjA4UeWtph3qhL+Lf+btrdlLDdsRyfHydS2efNDbJsAyqCNvf9PHmn/
71Kbe71pGj4tLRvEpfO3R/bIF3eOGfCFMKW6l4yB1I7ZNHbL1qiDLdZIgBS2pYXJSKowLVc7dKH1
Nk0YV950IugO//Uz9v9zeOKfB6wn2EJb1//ePemMNg4ItpOgq9si4xTL6mnDViz5J9d6+sN/G4Vy
lTdtzoMstKgm/30/2VEXDVo5TVBxluwwGHiUtgsh5vvFqydj49YEbFns5emnYgDUR4Y7T4Kof5V8
5jOD600ZW+kx62Kn3diNWz3onC28k7A5fnMnl/DFBm+Z7xkcza9ZCYckVDAzwEjJVINXZaZxEsbs
T89FUig71Gq3+ebia/wuzNnjLq479QON2/zGW4L0Do8QUWdX62W883Wd/HwOReDVUC1ZisIjY4gR
Vbg/MJpLNLmpSPhqmHBg/slz8M/x+V9GyCQu2bLyjmeeb1Ps/uvXIuk9P4cE5cC+BggTuRo1Vk3F
1sSaWo2kQj3jldmc+eBrToCgs53nClSKb79kTmzdFyOkv3uOHtLexSwQhxstnqvPeqG4DKjIY04B
w1sMW0+KoHn0vFx4W96oWfePsMx/Q3n/Zd0P/+ct/k3Ty+mz5mX0uyYavBy//+eff8e/M3lp/PA4
58FHkpAz+7/V+I3gDx6DHLV4YIDf5erxf5m8Bj1+Ov5rtY/aGshenqX/2uNHS/RHQAyS7j+hDGbJ
LJv+1//4S29Q/u2v/0KYZlnyly+uQ5iTpzGTULbDBrOMPwvw/+FNPPnklbq+ajcOgBwEwlYniy/8
BoCH7NKYmF8xAuA9GBOaudUWNEV8pBzpD3cTy5UsQsCBjr0xEirWCT8E/ZJRvljNeFMS76BGBUxV
KqL6N8lAzv2k97Lk+DZziX/2mCboR4sjz2s2IFU8uEiI4kswJeWnPkG/gDuYGgFxpdH/ZDYA5jsN
hjvOf/anx4ZtW8SyeIMv5OxcRNKMWtLiHZu2Q3wpxpYZTIhq5syPfK/EKpoE2RuVQ2PjGWAS2QpZ
r1rtlB+ZLOutDdXzrivJPMF97be2PtPltpeO8WyXp3f+guMvXPiVclpxNS3kt0ZNRPfWBNWg2U/m
3IrbrtJoT5aiSe6HOfHPoE8c+iN0MDzwk6FUOeS+fJDe1ljvMMbUS2LXwH2/dSHfAySIoadzkI2n
zriTyeQRgZniZtcw/UAim8O5t6nd7hWXYtiIgjyQ7gw9rxe3IV/kxdmXQQN1E3vlE8gyBgLpnDwF
SQv7WBN+crDcyd8uyBufMwoJXHMriqNsLH5wsL3TmEf1Oiiwjm0+nCRvLhJlM1HLNHCOmmtQDyXJ
/exalKynJkrBzpLcUomBMgYwXurWzq6JB3FmLodJiPAEkz4pn4teGBTrjQtG5OfMchjELH4XRLRe
khfFLPMMidOGGxiP1Xc3plmkdaU6GFY1o5GVZXpxJ42Rj+l2DbpCr1yZbXYV6obb3ko5wl/x+G3N
pcLjRVUqPQ5xt+L8Te2RFAfQSElVG5tSsW15L+yDNIVwmw68UxbdOcUlkbjcH5edVZjom7OA/z95
RQNOqZsNH1O6fJ+sRCNJhQa+v3WpO6VFLs5s3E3u1SF2cNbTVYhG+QUMV2fuWfAll9ic2qc696or
ke38m06+i/FDDvBx+2zczxYaVxyX4sWtS/1B1QKnbOCnvyQjZ0g0ROLquoFfW+v5VbgGH0BQSx0/
trsMuOhRVia8CU2JU73QiOqqCtNI1R7qxICr5w+UO5OJPFNuYszAotXyS6iYqlKblRvK7MPW7RiQ
UmyDk+P4xoOglLDP80Rg3VmezSzg/cqDAx4iJ0K0ePVpqBzjrDSwMEzRPibLzo99ZSUPMRGkBZEA
kD0ajUU08aa6RZmQbq3UIkSh4RopAx3BnV7dkquod+hcrEtMU+xWJrW6IiPDbGQ58qwyXaWbFujj
d5PYFtNROR2lwJIhstTb0T96M8h4bRtR+JvFW+oL5gzSC5b7QhDNnc9JEpRkIely+LuZX/0p0TXa
EkA62uOS2E8UkShABmnn7eIhmd96hT5dZWi+EHEqYpxx+eHPIClZ1mRUiCAsc+ro0eklfLfmlWes
OwAlIXBnRTpFdUewkkatxNzXdfmRG6eI2H2Xr5M7WCcxGfYZ+E9BPpd9SkPDUPe6b3MsvjKj9e4E
hcddpTm0FVt6SRtZN/JlrnK1oKwVerxLOMfDyuVXe9AY7lH/6AttGr6kUaTj+jVz+oYOHCZH+jZ1
CpQgcYxDQEbys7CXJCx7G3VqbrsXsMGUA3JYWTi6M2E8MP3HfNTys1ubVKNn3CiHgNDGtKTNqrHi
F3g/y4QLt5GsjqmJM0o9ojRphss8pohX9BZQWXssy+JWU3BUYz52BzNZjL2BKepPd3oyghQ2WZZ2
xY2ejVsmJ1+23VLKSHeth/yn5yos7OWgl+k1YekQjk352Fu0p+ZYhQ3mMh1gM//pXhr6rppi/ro5
lO7MnmP5ZWePOjUezXfehTLCOdF3RjfuQatffJarjElJDVZEubJNk/vn1SNDaPw8VtYZH+6eFtMm
xveoUnyEebtPZX0FirfxOsTOQI0rCl41GqfFghtLeTwIUh4bI3w9mjxGL/FxoosLdSlP2gp1Ndi8
cKiPH6x85qFgHggAREMd30xlE2n2ctev1NRet594sNFk0YwxhiiV2hxBTRipXl3MDq4WF6JWRZI7
Hlpra1bpPX117NV+fSssFGlJ/lhUxa4ru323UjYF84SDo5f2tSyd9FszoWidsmIy7o2Ol2yKZyyq
/dh9FmbSBWuG+hnARHoou4mHn2fhdlBEHYEQK7WDEIa3JCg1fJhtEXaJ52ydPvgxa1HtxyrQ8bUa
CLCSX9xPV7XWpDZjGtvhuKjhCOjuK57z/hKnukQB21nHQqTxrTuzexIe4T6WeaeZGy8otX7YmkST
dkFun3gccihnDbfJuEtEOnRio0kPCSIt6KBAAfsB8qHmN6xnk3bbxCROJ3/9Bvfjd6yai5HNRw9+
3DrY4RsR3FaWMg8xtzK+RM2jo8ePjlbRORQaJkFQnFVH/9Yp3YJ1LAu8qt2lpdhNuXY1Zl1dSs/D
l1lO9yPvw8CprXAGZ3kk7PCaj2MCNM87DYs8JbG81xPrRkwswbSxPPiDFW/8Tq9eMddlEaeH6dCL
or4IdB2fE1POUxmIeh/3McCvIABYYuHL3kz9YBCzJTbk8vCWVpZwdCcUvanG1v+RRmveuMTbtkzD
cLUNuvY+4dHjDVLC96aohykksH9DSDq5tW4eWc/VW559U1g7BkVD1/6IR9PfIguFKEdvdNoMXkkm
JPXfjTlx1r3n41QG4Hlynnrsi/EgLSO7tqZDvEBYuLpzTULZ+tADQOKFlLXqNQ6IBwVdeVsomLOj
o7FXkzz7LFaInXUzTgqAsuywndECxOPu62JgcC136SzKMJfWvaMq88oi4aYaMsK8pqGhHVY8KUzt
h4q4fUnU9KD04mGg8cjpxODz25770t1pQ8O0KCh+cp1XhaY0N4qtvtgkmcJvFTSHYqRPnXI8hS20
uBzm+oCEu748S0Ydm4KGS9guGmV8w3r3jerHIY69E1XuH5a2PbteC5GmEq9uToklGemedrk3Aqit
uh2yNytjSc9WdOenXXuBTFyeFMTACILAk2lydHIr+zNm+8VgRaoj65w58pjhaaPxkEr/Ns8dKjOx
MJabLvXknfS8blf0qbHlJFxGItbcfeEXzXdiqq4Eg54uz4beB2gkujj5BJXTbUYUBqjfkkpam1pb
boga9fcNP7FNABRID7VZfzFj8LuOPzG9UiaKOW3kr4dJKO1gFAFJay2xiwMOaC3qh8Zrt4gCJow7
YsSFVLpiCUVVYZnjLol7OK8b676WVvlho8m+aUzl38bYVrEJMlUT0xyjxpnVXd+WyjpUyC6msC3d
+iIXU3zoM+T9DWfdY+GBE8/LeTyKVOeDhrpxw4nAv9EwEG46U/HZ9rTC2lc+PVcO3B7ihvwtp1ZP
zYXlzF6OtnGWRmK/SWwOHL9KGB+9I3Zzhs/IT7M7BcKGINL8NWMiOBT5PNd3Sd/rrI/prYwvxuxr
NA/6GIQ0MtTppLpOznt9zJsr7e7lPBiGBknJmBf0SBSxak/u87lRxvfsKHmgj5fOF6MnqRpVjY/9
LKumAyW9BSD3MHfPqU9leeNA/vscA5G+0DlVY6hRZ73B4qYBtrTHftpXXpJ035ZWsLWbmAmV0QJs
rNzWC6vZkz5UmXvBc1XXZ57VnbbnMU4pRstqOtxd1nCvoBHUl6Eae52Jqr7guNt3Lvvoncnl39k0
GVznV3p0vnwo045fSTp3s/YwY+FuD0Qb7UJugGdmA192YgbbOWH6cFJD1ppvBZMU+9C6SC/Czok9
JxrSWn7Mc0sUyCOvigJhRB5+9HjtmHejreg1w3GV9cAlinsZJCo3H7bKNXwSNmmS6iHCdOcL4jPx
YFPrxqPr8qR5FGMVm1cumLymPQFb/oZhBkxFAqOFwN0qu/GzHpqaoXo82Nl9WgVVe7JSzWmOqrP8
7jBmqAXVMmL0K2hSD+cp5phNpp8/F8OrjcK3DrU06ZOog9izsfIm+73UIyTs3ii+yrQOolSZ432s
9c7RX2r3Lq18PWwGlQGXQtCdexIcLtBjVBgNjRWf5fbdbI7lU5b4UemlIR/Lo+9oGGNSBSsWsWiE
2u25LrVbCzc9lR0XOpb0DqLwIouEDwTuEQUl+DegEN1bTupq6w5CbJuKT08RDDuI9uJhyLIeGnQT
XItprN4aMEyxlP7BdseXerYE4AOvi0iWGHeAcdNHqhWPUORojRNxUEPabCuCvhgwT0EFrj8fprs+
s6OpbQ08a9qZrk3MP671JE3QSXZbITYrXya3bXdLNhdbFQiDdZR9vzTWe1cFJ24HMRpPU0dG0+zN
ov/dQw5nsg9PJ7hOS/4aD4ttb8TARD1w8hd+1e+9SO/SxuGap4nPsrlr0KM7NXQ2vTlUJMWVqpzD
mMt3mCRHfw4ocii4FV44uswSk1YccwEJI0+1FxPysJD6Lh2N27X6semr+hQH028dXhu4h6C5mpp8
tEtVg4it7hJ7eiiUoEXMKFqOK5a1HbFhy3PsmXc9jINNo/c/gclABAEGKLEFf33KKXTkEN/MuLdR
ALGJvldN+bYEgN1yZBVWER9dYVHKdLkZ8TV09Xa/vgTr7FCJn5zlE/PuO3yJl8SytmVPNxo2Gwsg
tsy9Oqdr9E8EYxQrJnnaarrhmpGU/le/8PNwliOjQ0QCqLgBb78vKVvBeMqOi4rfSz//ZTdQbw29
/mDucSTrgbSi6qNqgTlvNtULflropva4H3TvU4vTEi/Xinpw0QuNdIBQGzaHjrdgm/RXr7WpU4+m
+uzhRW2yOuefe8S1UA/2ivfnu6y74eDCUMKpPUYrNMKU9TstLxJBXFhRb5TfXabt2KpAZuGBHppG
fp5L/cYnYZ8DQ1rXbz59TgNtmW49TF7+XBfOvczHPXGR7j4bTW76Pj9l3z16QXYE83TwV0I//37R
2t7e78vHVpOHHqhw69X7hC2gztFdnxNAt/PLLKb4uQQcQ20v8kx1tYLi2QIJ1/b+KQVV1qxobEV6
R60EVFFGnQQV6FGqJiG7183pPPbxAeTuyYf4lsrimbBY6CKApa9PXLB+NH3acvFUnnDLRMZoZzeB
bpz61tjrmU3sVnuOm6EO2yH7PduEcAqBDFq3+1OMZy4xgwcEQDhpF77gvOcJO6X2VhiFQ1hMIGHq
7nyl+bejK26ZnxwZ1bzlMvuOORgqXtGR3xfxNYMGfaNPI1KDqnnv0sXCJWmSTDJhWqQ8MfJxbaGl
C2yBTgvupokYzZijsGgJvGy5R73Ms4FEBNYnps+5iIi1VPfAEFjmozDAgGftu77E/KNDqK/0R4B3
Wz/XcL/LC5yLJ6cgjjoFwcNAcXePtoAtKayM2RDMN4J9NeJ1YbpzUq19MuD4OWOxtYteOzDYAd1A
7M+0ncde8bm125B3WxIJTZyV8O1dsTBHYtwBW3c4MdTi9s1k8qBIBc2xtoU4eKD/Ve+F7u3AN2EW
a5wvZadvUgtOXtFumTOtq2zPCO2ivlq5FXZ6cBQIm7gP9VCsPQC7auuTKsrrFoAJSxq/PNjkii9a
d+0acYNxgb4acCEYJ4xDICQUQRBSmPiuM7HRW6pv7exzmuijPF7Gly5po0Akr1ht+MTKveSVTbQk
JNJ/x/MaMUcXTfRKvJ5zPFFt7WI6xUNMVKus3e3SP5Std+yE/6ybJEBV9WDyAwciehxMbms1Z3SD
I6lZ7LBlE5ZD5LrxGotUVOzY3M0VblyfT9RUiE8/hfxOGZAejhVlZe7uDHpwG0cr2jXLdwAtCqRW
w0yrfvwuC0vEB5u8c0u+04hZQOZgDJjHp8wbL5QcAF5Q4LNK9yFtFxzmuU8pxWEWqPdsRzzxPa6u
kGL6oFNzKdFB98YcuaV6pVf6jtASVjVQp651GcjQPRy06Q500LZ2+vNSiwue3q1HM7Ft7JdZEa4q
jOw1r4pb9s8hDNhzLexrlmvexal4drD+4AlWwFrw4mTrLs47IILbwumu9UIe2iBkzBMfNiB9/SMH
iRdizDu94Sg+oGTRzOOM7TweMvY9cWId43i60QOph4KUwcYk+MbN1XxO4ibq6T9wmetZYxUz+sfB
2/h19ujr1btf2EGUzSTDJrlsjGxFX1rOqXdqY4eH2drnovosjYrU5AiifoaKczRS1q4cRN7tmQOl
aBPMbjaj7TrjKriMbcd+x+bHkmK7Yaz3NfArwDAyefvJlQfOg++F1PTQSLutuyYbOZK24SiD+yov
n4kWBtNbwDWKo2xmL4Hqd6osp1Lwv5o1VONncpX8Mg8+og4SyJVMIcVtNb+dl0ELPTCBVgjbowYJ
51dmG5ltAUIegWz8IFN/sXaZ32TN2Qbkme7LOLefVUVHgt8HDYmtPbnGE4i5tIKYW2opgnLH+1EG
LYBtxhMWZj6fjO/Gi6dxVxS985NR7X9oCBI+CN0v0HEEGnqgmdMT4mO/5RmRYNxjstlqSm7dpGvf
JysxwIZ3pP64Sfm4QKtqKq6Z27JTCEbzmZMzZCUTmnpKtDRd3mavXbg4JrFW7sjjptzqU54T/DP6
2bM5x1RSZSzBqfbWKtVM5lrFh0IIfo3BnNd8Ilrb6cQetYUnj8BkXAxGsw4lZijkwCAfgcZ+Xprq
w8zt/h7tgbo1ZojB4Co48/5jzfzfy7Z/WYMn//my7X8Psu+yv+7a+Bv+FZnt/WFQKcOwCxyFVg6R
uH8Qs4M/yKdRDaHf5hHtI97376s2O8CM6TqGvtaLiV+guPy3TZvt/mGRUrB1Kur01NbV3d8Wa//V
oo3mzd9X8esGELcIpCj+//iX9T//D4u2PMn61FdzHurBGJ/YAYRBuWxxuL7FCWNteq6noJN73dpb
rX7IZpsl1PzhZTlZYbN0EbrU6VPA0H7Z2Oznnqe82WoChxgFvSl9IhLId4c0UQwCmSw/0ujMcQET
M42kNbjLsidJzZBJdn8cKTF2tsXcjiv9mr/xk/E4BD5MpbdeOs2NFXx1HQIYet11GrMHm6F42TKL
mgSal3cq0ltzCHiCEvMlVnSpaxNL8fwgOVTX9quG9bEPlrDUvKOo0IeVurplj1gCO8tezdgU4TSX
4QK7R+sukxZs1nUKevaTjk9gZi3GW6jYC6NFfpmHHblxW8ZvMK0P3DDIEXOTZP0ddclHU6Psm05G
+9Ez2Gkz/83leNGie7Heh/qbe82mhnikDWa0FKZ18BAgjhK9OeBeypb6syirfS2n56Gwf6lUgU/j
nNiok7msWqci2PlFf4Oxg2si7yzNms9BoR2gj4dcmXcDVPAT+WjqHHl64G5hzfFpQhn24onVX/Xk
Bbee6PhzOn5IPX8VaNyyT7R4LlTDvqhTouoes13ezV2qH8jlcLOvbvT5Ix3z4L6kcfhC7FE8GVo2
XPSYjltvsmboPxL+oFLX34we4Ycu3k0m6n3RwEh/zCHGVFC1sQHhwajwZEUuq5lN3DE1b+hZBF/K
B3kpFTM0Xi4MsLdSTac1oRAVi3Uc0cGNvsheKCaEYqrgX+d6t9X95q5DWolxWXwpMUy//Zb7HSH5
eQF1n0dJ7N8NOXtUcwpLcY9SdqNRJNDKOAqsOeExDZ4CaAexeK9SNyY4c9nZT54dsPEY6uelXGcQ
VV0dsmbJYYPF7Dp0veSVbXCaNMLAAiiOmNypn6njbSdWiqq8N10mdbE2hpVqQuxLYZoH19jQN6Db
IwDJiHWceyRgL03Dj3Qh2o/lvISjXfB2Cdz91FTHmDewm1xa7uVoCi26g3pqH4j4RuuRqTOrZ58P
t+N950CfmuZceNWtxH7I6S/ynTP1QuSB49lkPBaAQuMF9JiVv1RyTpb8mYM0/9WLa+FVMEdwSeOH
Yj8t75nPMLuAPtbsB9ASKaeTpDgHJi/AoeGf31jOk9Z/GUyn9Jl4np3er4DBmJx8LrqYrBPcORZC
C0imWmTPYtHvOpW/Lol/1ZW9UyY7Cje0FhYNTFtD3zuxxStviN9x3WyfhJvcc9y05vIIpcyM2O4d
Kgljh5UP7Xuu2RtzTAaqjTPnde1nzrzs7Pj5HYOCiyWGnynLPqpuSJlX5m8MHb095vStGK1rYOb9
ZtAyEdWsGn8ZCoCTalv/nj0I0IiYt7bOc2NbW8ZTao/jSc2+vK0Uow5g9/YGYghfrQ6vb675wNaC
7s6UzmNnNQ+FP2GP7fZ5mdc/hVqcF8jhTAaGhEGDyZXEAsMeaBt+YW0mHwpyZY5MOXXKw5hq6L30
CFvLpvPkhxp92keVy3Xf/DKgUZZxf+Zg8Rj3PsbF/N1mtg1tu9/O/pjs6pJmpeYvxjYZoI7bGmcI
kaBX+ozZT6PC8hgUmLc1wA1RRVPuzm+DfW6UInU4jK8+dert6CYwPmKEP5Zj4JdkHhUsB0zyWz0G
LWF5HVe0SukfSEO8G4PWMg5Cv9lmsu+3XqEHXCn4mApKeZtindiuBPIciRfNddAocQ/owhJvlek/
pQZlmTzQJG8Kpf8ahW+FQVPaJBGo6q7nNSFeTU+8sVNn9Bq/4TzVusB/ENl3Kwl0xFD4YJ5tFr5k
+WHky9HOm9qNNO820082Q74h2PfWr6ajistXo+UJKc5L2RyrZPxw8wqxsR8fSkw9BVMaWG4c7/nI
Wp9ZyoMbijlGmFD3kdlMNL2gQzezzd1hvd+h+iNGu9eXN8nzzPQARSmuTYLDNHjtYu9wC8ZO2nhM
PqcHI/a39MRuTF/dtFX+kDruI0QxIC06Gf0zkSkGG9mHnGcQb8N84/PHG0l3jN1jhiqOgSYyMj4k
pq4i5d/7dvJeEW9JkBnF6wJP3tj2I20tPmAgrPXkw85lZHLZBYa1TwhMcwW+Re+08YH/d7jn3uJe
fGiSL7U4jZbHlgnHcsW43vC2QVWuvmh2WclVjP3eA0DskLzNPLgT4hmE4Mo6WzY8Bc8ALCCMJuv2
kbXxxo+bdTtU7tKg965uyxHTJp5LV1RAoIQqLKfxRpuKe8Ze7dFWLXD0JFEHUGph5V3rZGKrHOA6
Sq8lENRm5Le8BN8kXXaJMCPf72CxOj2Vo7LcD2N2nnOxXj0Zu3HQsBwvRIo5HiHerZocOOLYq98b
rXmKp/rLLtvz3BEd4i4eAfkPKz7BKOCZBDXj48BpOi38b3Mu3MhM7O/eDV57Y93oJP3J5pu/SSQU
UFV17m5hCXSG3BlvaoePCkCeUPcUr5J3dA488GZlYZGDvjKVb0ayzCtvle8ifMONj/16U/GH0ccn
pEJHRrR9SEue6ECwzb3uzbGqJ+4z92S3jR11KtzFMRfojDVHq3B12zyqUiTIBm94GGRhj/ytdedd
PO/ByzMIbkOKai+9Ox69yuaH39IZUhmQUZ2kaabgofrGmWH97YBs1zDzjT6Z+l5AHpjFQhiyONXe
eCgLfEL2hIloz+mgGazsyEvMDBEs7vBK7VUVRO6c3TZso1n1/R5ZqAFOwFCZ3RuVeGyt6n7RBuwJ
8wOx6e1sxdW7xcYOzfljIfp3Xf+poDkMzQ+EidMkz0bymTjs3qz6OOlDOGvTwRPlvqDxKPna6KvJ
7ZK2l5Gxpkln/MXgGx3XdphV26k9Ocsrc68t2zMWKYeAwkNt0GFOx0gLXqwFOs/0KSvgnd3MiPua
8TeOeG35dfK7s6NZd55yAiJ1Mx8mWMxNUn3k6wEP5bf52pUORRbiIxbxMIDAMFhIXbPeJfbjnQ1V
0iRnr6ENj/nku1wm6c/H+Y/u81UaClC1Ez4y7FFeN17z9Aj7hYkjZkO30q8z9uxssH91DNaCWbcZ
YDUHo9d2upXw1G0PLYiA0GyzCOOHwVf43i1Mjm/zV92Kw4TTd9ONWmj45snM3GOZlEyJFQY9t3lm
UbHtffFgyIvZ8TFIzfsh+/EQcTDC5WmrI4cyT5aq78j0Acys0Lp3+Mgtb3jhIs75o8faRirN6mJm
IdMOyNSLPXbHjKPTVStxk4UyNkJZ8OC0HQ1p8hwX22SsZoI5q/V0RkfI7yL3GXD0tFErebKcy1DN
Og8d68eN0YVO/BFgcYW09L2HILfiA7oALhW5edcI4h1jde+03Zfrg6mFdwgYhc4Qw5aHsg4+5oUG
v6Hdmp1x2y/FcWoo1Ykodrg6VAjuT6U+cQ9goO7kj4N6JhiwCTp+oI08Uh5ZtykWQyr/opeSYWn3
goPhgDP1FQXIS+GZlzIzzrwnGGtxrgHUKiw9ysz0YjbNwdTWaY4azqukJWQ2PfHMZvHietWuNjHk
prnJg9hst22enpnebFt7QISJoUV0IPCb4SmX6hBoWNf67GnhR65BepcVD5Vc1TdjbQI97cE4u2P/
7FckgODIptspZ4NM2WujJ07U5v2nzLgFTIP+i6Nr9+7Cw46K2dCvQLJsHh7jygS2ZDgOBvg0dNBu
5BoFoyvNMxcs4uIM6Dg7JOayF63BbFC3nGOZJ1HWx4+lq5K7EvkKg5yufe5UxxMXr/nkkbmECDOr
HAwLbdMd8UbwYaSkSVLZnKX3scGW2XD9yK2DnTeUHP0FP4y01l5nv0F3b3LZGy0ToCxS6SW21jVZ
e/AG52nWtKvvoyTik8MnsqUzu2MLYIR4DMaNWatD43Pxa8Zh67OqfKUULsO89uIPzQ3uctgLG2aX
0JHN4nbJPcUMtpDHkg4txDN8lMTkt23TnIogfvA6i2lv017TDLZWXddwUuOCXPp3ljvbsuvNyLVJ
uhBsYMFW1Z8GjPc7lKny21j3rD7ik5A6P9ohjm5EYFTI1gAefKPJm94DleZKEkqSIpHIhuDG7XmR
dYlG1FTXTs5IQpNuU2S5fzZedebGdQSJ4XM0pbVralC4CJu1aBKgd5VcrfAjuRXOP/vW6Hj4tTlB
tLbe0Pby+SXt4LowD1SM5nFpe9291EmbcPwjPQY5evwGN01eQg0bl4G2p8zfFob5Wrm33kDiZP2y
mAMauIrTI14Xbn/sZ0OFkuKWc7wGMnvR9n3Pry1WtRtiVpL4q1F7Gg54i16XH21nvhETfbBa87BI
76ZhWdiD/6WuLs9F9iNs/50W44Eq1U+d5VFRF787UOyZjD/paBzM6pcfvCST8WIZ8rEr7SectCm7
ifSX5rmfTic/mkq+e9rwkFn86TXbvGU1CZpNuZ/ovVek5paNFEfmuT9KJoUWNbks+664xJ8xSRJ7
iQmdjCMBQkeyQoeQDvIE46zkIJEPzIV1TNgNgt+NWMoo99urpiFlAI5stlhbyBe0Bl3hREdGmjk9
ISAEz06JU8gd5EVzNOeKhBnaO9idgIuCavQHXEsEl4sTedxThZU7netp49Wq5SHj4jYvAx56TC3m
/tQkyWuJfKSpy2vsyGtrFqSCOUy16nvMsCbx4sWphBSSBXYkel7Xs8uhbZm2i69HeknLU8uY14+7
vrCJznrLJ5C6w6CkBicu+ck45pA8oTA83tFd+Q56goGNDdVfITJkJfnmK2+nu2kbYpPh0I5gvfPf
urziB6T7/YY+Wr4xWZp4ZpTkxkeW93dZGh8clsrW+iIxmZmz/yu39FG4rCYADdSptIN9Jx0++cap
NkimYlRGrPDsmDBD0sqjbeKtIPeoMKYowwvo4dqmis1DmydV4S6HjuidR/aSKYr5qnL61Jn9f6g7
s924kW1Nv0vfs8AhOAF9bjKTOUnK1GRNN4RkS5zH4BDk0/fHqt3dtsptH182sLFRhmQzkwxGrPWv
fwDeMCRtNgyYsTvEPVHbrvsqEka2njz2CSdhVx96C0iD2Qze132GwMPPLyNK1GkIjeu2jU82XKTO
0h6Sii4eNXvDiZt6+iqmbN1Hsu4v3WqKKUWx9MwnSdeadt0jFVEP09b8KjjrOsbqxkjp58USNG2I
7NMwLVIQ5jDGIYZEdhrdpTjRrJikBAaNyEaglEeMXZzxJpUDRBG9vbOaOuU/rOmJbKrjCM9tVL5B
liLg97pP5dtiCOCrb6kSm6zo7uNEnYbEeq9K0bFjjs1ii6fVa1u0E3MCZ8wApAqApoaTd5Hc6xOz
lryNtqguqv1CArjFPuKCj92t8YO5Kyee4MxLEnTQm1fKUucB2cxQynXVeTnp1OWZIF+KK4avVXOF
z+w2K+Av63jjbTydE0Z0yz2f8403NmuEbAHeEg+4HAYekDkEH9u+tAFzTiQAMDGgRbbS6anOvUOL
lTKietlsbPhVR0dWty3Tn0vy0abATcotTpbmrujUcbY4lDPlKtLc0+y+aeuWwfKANGtEL6/Vmcdb
1bNCCvW1qGRgG3V3nfbTFqvdYlW6gk5kP3YEmQ/D1ij0aKuHUdYEiWLZdwPBp2zy2aNnAuyl9ALs
18/91C0ePtQvuMftWhtaYJ9306m3pfoyFcn0yugi+shK4M7+hOXkHm/wrxbpyDs0feGqz+xqDSVr
RURfcszrFm6PcxzyB9ugj67CdVSjJPN6+66HrKF3ap/hSLgbrINU4sNKwD6ySQsKO7mBs7i10nk7
hBENmd/MV3FfP2qWfii09nZceAWkzt5iDx2uotD+wI5kt9QoMO2DEM+j9ELDFqKCSi9suTPa/N6z
vlqIXvMkJ4nGuvXLYdoUjXXl9uM3E1bA1myqw9BmF4lb5HtzDm9T0Vw1JmNlBTSFWUy+HzqWfr7c
lzhPbttCvypcX231iDBCrbGSxzx8lqm6NDuMG24bp9xHo70t6hkevk/Q3BITke/qVNkr122Ml1lO
mEynNgRTPd3UTX4SUl0l4Vttkc3kMrWZweRa62nCsMF+MsHlwPQUgSXekJ4SRQYvx5LWxVCSyjAQ
jRyoReYnQI+j6+p7wwACgbh0ZKTY4GhCM2A0d0Oo0cAl9rOmFz2WDUxhltE3QD1ya+8WWRQqSOdl
UgjGLMKNHeKQ10ZXuCArzUVq38vI3dhsZh1nbA+YUEa4M1TG0XNAexIQIJKW95E+rSF9YscyAiOY
4hDR9ky+uTbHYVqUCI8qTLFDDL3VqImCVhpKL+kIeOo+S+0sQaWnaOXVJuM2WFkkx1CArxwMwIWL
hnU1I7Hb6JEan+LoptBeqs7EKlOCkUQfywvmDLCDy2antfpTl7MXyzEDrp9OY3SnXA/tgn1wYibS
MMDhPwz+Y8b6UaF+0xfVCwHUNhHoYYA/9sHv2JLHjkBstQqn+5QQjmq2EWlQNqvuahgEo/Blg/Z3
pfqqjPxF+vFmDp8cgIl+2I6T957S5WgAoFlfbApi1p1J3zFKPmYkxJD8UPZBZt7F6t1kcOk9Tfg9
h/G3zisu/HYIjB4ed/Ysky+gGnqR7OD6Bzpmr+AKJ5nbW7kk6xrGSfgaibXY09qlRN3xUVecLEZx
1SLxriJ95/VwVSemyBgbbXSiOzDLgt7orUK8S8iFfHSdbEujy50T0dGMX2KTzJW8OGjDdW6AImdO
v29JQk60bNXYzrVd3nnWa95bKwZ+AZPt2yKnqW+FhlXLQIZPm51lkl2E9G3M+q3AYMytrMXDFpS6
0fobZx7fChF9qwxOQiVrWC8m4I24tgud6SMU6zI55EvKM7AWKcq6+UjAwMppHpvhBCkeKsiDYSXb
OvpQzBMaeNPmYzmeRwzS/eKhmhQ3V6KnmotrEn314ygIsla32cA4Qkln52CUlmfeUSTDpd7Ca62i
zWA9JeQTJPV4n5svORqLdHBvByl2KcoNHGEJkLyI7GeRePuyHkg88d0vvU3A1YRZLQkVpCbkF1V3
Dv2+ujeW9HhN2zepi7xZ0Sn6KLvukjS8MC2H+CdtZ5nTNrWjYMZoITNhYgtv3ZXXDeyrmfyQrLgd
xX3Zz7BDzOLKSYKoe+nN4wTg2x20Pqb/hmBGBsqgH5nzGO0lvRQkzaK+mnVuHQBlfMy8g0zmgxYd
Cb7kiA/QpnpJUJYP+XzOHbjn+ovGMZ5e1hDFI3cPtRC64r0Y0qsxCXJ94hAJWTtHv7YQYWD+3jQb
aNzbpTUk8mmfzN9CS238VN3kOCw16tET0zqCuzXk8gqMuRoX6Hk+GTZt5Ght9TK6xtU0yA2G9tY+
Fsmpba7sjClWlZF+LiiVQNcSb9ig4T64jX1eWInhI0cAeqsSKs0FOdt2fuXoD1LbVx1w0dZKDARJ
76p8sCSDryAxOQNr97Yp+FWjugoTIBEz3+cDVGYG6qtCe2iNNOgShh0DigVslgJv3k21ta+I8SKI
igHPqTVZt9Gu8cdnK72ZJVaTS+oToHlaX5blzkv6NRBxZ7GxJGxT5lb4MOiU8WbM3l3sQv9pi2us
XUyGFYxAPHtlEAeqmVqziYqCQaAo8B/ASCr23ceJYMGgmvt9RgtGCYUv/3zAOGPFtGCzhBzFPEQ9
PtUKGUZa6G4Qm0l2P8Sk6wAzufTrFEIxFAsIPAz5i4OYJA1aflkbgLZIAyXZOftSq89dHL6OTvVi
aTS4Xf+IVr6Bap+XRzzLKAuNrL6a/PY5U0+zPktMe+TXKk8u22JeW30G2oM/fl/D/N10uoeq5pxB
JFlAcn+adq0Lrxw7zno6o+BZGdOLVjZ0wsQNNFXyRQgdiGMvRK/tldwpE9IPRtPw3Uz9PqO/aGZp
B0WKswNCl6K+nBoK/jIo/IfJeGjSk4WVKSX6atbgbbI+JyvfhuZlYQ3Xhvw6WtohqdqD6b36XXKb
gsKayXWo45brtoGL3Afp3LYFSc6qQ5wfkGfF4RM8tNK+A+U+tYVF/d3Na9M24ZPogFCy6cgXT+O1
1lnPvj1ucv+ZBJTLmrAT0igwnwoTWLQeW0lxSPP5ipiob2X0JgCPNz04pW+qBocbN9k2pNGDF1hg
USi1yYC4HHQ+pNSTdTna+8KW2bkM2+zZIWMNYpZ5zbvVBSlzkmCOd4TlrHztmT6b18llCiQxBpvL
dZzNEEutm6iIUUs6yXsom5XMTRKKI/QpihjTLNo3ElGIr6hSPK3epCkruTFAp4FDNwQU7QdXWyhX
WErWrfZGBsqpnJnjajpql8z3LjzswO+HWbw6Om946atbA3RI+e1H3y2qHjLFpizqGHuB+PvAk5CC
mIkodeP7qf7a2Zqzl4RMHR1aFBdv5sZ+nRi1IyGEwiShKeJj6hQwEacr2VtNAJHN2ZRhpMAE4+ZG
s8Pbuaf76O34CzJOaw0SWWOMhWcwvPxonxaGdUPec+ijWnWT8xg3rC1tHFdFYr368Yy0L44mWk4l
zg37EQYn07ivEAmza+lJ+Ehj6LOE/PliUbvtvNHXjkXTGzbUpyjbukDvG1G0+9pVj5HiaTSjUIFo
H8fR2+My8upb9jZzBINsYT5E+kwLZm4lCpDMnM/O0ByYEG8jLLVaGR9qU7/sfP2EBcsqTzWMpEyl
jumMIUXvx5cqa/VNPms6Ukq/u8bd+QK3jMFb5cjTDjA5861euzBuBhj5j2ZfizQwQUl2UgoTzzci
rHvaJMtER+tE91jm1QiuZAx4SeaZj0RtSmE75YGsre6oWTZMxbyyLnrBd5JMHcBoYT+GKP4TexuG
UI+lXt7aGDbeVgYDUn8K3XMdmc0Om6wuyJzE/OLK+iqDCRfQalaY+I3tCj1NsRpqRBlFBVQxx3p3
14C6BCD6xvWYY/SzVpPT7a05Z1bdEwQNawJt5E0zNMzIBcbU29qkN0Z94q0Ky7jLwvpr7/VGdipD
/KbWeQRTeizc5mNYQN7INNBCjCBNeda0H2gdF6n03L/zDpIhDM/xPJNrGFhZC7pSkHLo11pzReaX
AZNhQqPqztiY0MBEYlgxoFBYDwFX1BPm1nFuXreO+zD4QGSiDveEbGNr0pfWMyN3BtNV3Z97c9aQ
N+NzIHFm2Oi1nm/tOfGfIvLQQCW68QVH0PcYtl23L53RvmzkaL22EUPvCL7De40fY4HTG5W9bsA5
GbW9D2e0XPk42h1tJ+4vBa/+ftRFeelogE5VuOdZdOyNyj7Cf3zvBqM+2z6Jg7gS5Jy3yl3XHE1g
PdogqOvGRbFGXabLEXYV2XdPOPE0ODVK6X9gaAjTWKAp3Zl5uwX2GG24oNW0ielodnWsgfsSNird
VcQ8iz44n/L3VrjZXd+F9e1QKskAhcTpZJxfurAstnox5+8+QoB2IwGLGMUONfTCAvLzjewJLkbb
KNeEpaPEsgiJsgYvozAoyIRA8/VslL15RqppPnf0NQfiHoorEwH7zmxthE30D1Q4NRVVNZFOCuHf
MODLYOkJAB4y/8RmwuG9NqrLNPWBB9Fj7WoUr4HwypbnRjoWgfG1syv1q8ybNCaJSnjfaswaAyba
OlIt2C1nvSr9t7zVjF06a24AldC+Qquhb3XqgyMINUUUZ+kZ3rt6hJFHSmBrOtf4j8utQ3YUYGVt
Oxdta/knLyMyc6g7mDAWLYXla2A6kKoJ3w6d4S0fI7vdJRreG6SD6OvWakv92EpPXE5Ie26NDs4k
xRlm87DxUXEXDKirRKu8v81xV5HVySsoIaIFFJ6i6x4AGIa6MVxnjuL7dZ7GVNpwx63fd/GVbTAN
jizoqbzKtHKZ2e0yK7IjYg31Ry9EwLltSGLfEyjhvQxZFyEVyYq52XCKabcmGqcNRpbfUJsoYIYp
/Fa0CM6LkqGTTXZvkECnKoEoQv/kR6AmLabomy51PR5LYh8MaV8TowanniEmmu0aKnDpOkiL6gqH
DoF7yTUADymA0qlz40Sibg9FOlx4/6D96wwSSaBpHkYjhmFWl2Ab4N+pPWxwQ9l4ZoXP4JR6N24d
TTsVjumF3pIBUo1QhiLXcfde1Xa3YQ4VGvPHj8ZEUp5SSEL6GMOPBCrkuAqbyLuqq+Ra+VjUYYy4
NspW3/auxSA3nEGJa7wKk6GOnsbMFcd0tB/HqmzOoivVtWl2aDhT0wr4Wib3Ogz3gEjdRZOFxtOy
FSIIpYcy63L6MuqwWdndtNsoM+3d1Nb8XZWwikSrHwiNm+6d3gF1UYUReBYkmgR84kZvzf4GpApX
RayNE1JM9cF3NvGYtthSasImXKUrvsRMEkIPVUKRF+NFmE3d0Rsl5j1NhBeoZ3jvIsH7MLW9blvV
TH15hxiqNILlYVDmf0vHeLoCkHureibmkEh3/jwwSe4y4JhczeXJJSu8XKWS8h4rBXGI20zfE/HC
Eh6t3eTDnJG+d3AJDeXvu8260huE3FNxU5eiv2JoKbZGo6YrayJ5ELUW71jalhuf+PhbFZbOlemN
/ZnoU7UvEKo/eFUK4lTjx4QX9Kj6k8WUpFmR7kcmIz+6Vh0aUHyO8EYw49upaK3zxLOFgG1j/s84
yd3nsXpIUi+/IV+4vxyEGz5WOHKAuGVPBugC4h8MrGal0HJUxdYfxIhtLSLakKrxi2/3T+h0vKAe
F3C0mvL+AUFg7K6qJkJK3TgdcNLsdvW+bVAg2yozr1I02qsoqvQt5Q9zJOwNdp5gUDkzID2TmQQt
qwAFYpJ8obIRt+LGabHOmV8AesBnqlG9haGFi0iu4F6ghwdCN41A1e08wNbvMabgbTSDWiHDbjSs
VgvCV6BllG4SuGNebigYOg4NCpEyk8iQ+gGjUI3QZCR3kGfCFzPKDMGG7UAa8ulBNlHlZ69GyaPD
ta47WgX58assWfgXjRrJcYngnHRNEb5jlOBdTsB+DdwavCo0mDz4mOh+5a51fdSPLNBs75uj+1Zk
PuRMhpJnSBwWF2rdXT7HyDZGw9ROuhnzvSs0lF3fgsBEyjkgy2AIpCyc81BzhmdWG315IhtEorhE
3XYQGykxvaEK0tpM9h31x4rLeo953sp9A7NuWnnJwGOJiF0dNlKaMfpGt1Bn0i87ICNYbCdXz8HW
CWc5pGaYQvns8R4Xrkwfa3oEOF9NYuJTF6kPhKzJGSmUs66cgZYsi9UiYPHVEf4rE52Yfw+fBHse
jEvPq5tr7APCN4kopllVTq+fp1xrvk1dNX9keV4d/Zn4ucCNNCYF1rBMYFX0AgPDPmvs5FsTAOpo
DkNCJpFvxzca4qAAt5DuYuyByce4M/Z4zsjnLpqjTUSozdqw8voWN/3kCgwLsdpInmgcq+ec/oE3
ET9NEA5IHvd9qOaPPEuLKx/zyy1pk3j1muZiF4sNz7rXYf7NlWoxOwGyIDwHdmweT/OmnRt4rAUM
7bOK/L1Ks2Jd49d+cLzSOOKA7kNFUgi1ZV1uknSazqqCztMmLtJOfJSVa6XPsYc51Nqmbb3oFwWy
ppyg1eL5pQlVfS87H3pWWjFydVX3oEsW1UolegtA17kXjsdUKR1vLCd6AoGHjKBP7SnHDmPXlWZ/
VnrIfDrJXP9L6/T1vnLyEdG90QRa1csbS1sOBjXknEIuDisDLtVw2bwS+tI8eae5hHTFO6NdxogM
3tqImxlbZsT5GTWM2ck2DDxGQytMyMebOUVnaQ0OVtZR7aQo8vHxDUhvMR7ZTN56pooHxsL+SgAt
BOOoTdsyUelVSNyCi+lFyrsw2vP46viTf+NFV3nI6CO+8O3rsIiLo7OoWosSG4MmvGyyeQeevXKd
roNTGc5b11hO81m7aCJwSoFa3VcXNkpIs+1WmKdDqS0uRJl0m65Ff09Hhcc0MxMLS1XibN09BYr9
lZmEeObkCHdwFXNSuCrX/uo3WvjQFyWiGYAMpueM6NWKMAqNwj51Ni6KVrEhqQ81u2jatenFu8Jo
91GWPOjAf/3am43omhwwV7TowIDX63ZcHF/b+ZCjE+uSqN3UOrLAWSbrHucOLZsvEd88aBU/sVBd
Egx8GOzp/W/S+x/R/++rgv/9z+XvfK1Q28DX6v7mp//fP10lX9tKVh/dL39r916dXot3+fmXfviX
obr/59NtXrvXH/4Q/G17ddO/t9Ptu2QK879Z8stv/nd/+B/zrPupfv+v//EVUVy3/GsRQ8DvfbXw
Yv+VOuAWH65vP4gD/v4L/6gDLP0vXLh0PLVsBAKGYf0fJy7T+2uJYfJwhNQ9C7NXLlJSTcX/9T80
4y+d5AWBUxcqAAwrBdIBWVFw8jPzL3578T82Mc7XDcQDfyIQwLLlkxEXkVSLx45n6zSoZH5+0gdU
+GdMgLd3FCm2XCU+Lll6FCJWq8f2gepMBJLIgFPswE6iQ/GuRsNWb7hFMR5IQ2jRcYFitLfkqe0G
9WxSRd5Npm7e25VVb3v0SQdG5+nDPBmQ36L5izECqqpY4h+X9/OF6HScuiZNIU4aomnrNPyZiV93
sHpBcvAAXmclsXfEG57pX5cnFnntGhz6TW3aYdDE3fCUec0kEObic79JStd+sQtD9ZtIzCZkI8eS
AGwVNXVjA8OFoWSD6Ef4jS3VB9P1up4B7RzLzemJ/Ay+0yi1zRRpCQ22DqvfJ3R+Yioo6pvCQix9
gO/UP0jHSMB4xSRu0AHBoI9pLopQ2OumYu4Micddd4JhdzXZ9QFKnWaTf9dhut7oOEyVkHBQbaLJ
gJgcWskJ2at+kQpjU+i1ukah4Vs9OmlosCmDF6dpPhrrxY618SYax+Mgvbc2QyZcyiAsLuYqOY4w
idxCXxN20AajgrzNvBmDqG9a6A/Hph2f6gqhbl/DFW4B2GlNIYWhB9+YqfNm6sq7lF1z5FZhMyTu
sHOuAzH08BTHCR+wOHrDOALeW+19tc2UsDTbVa960X1zHAmPp/CNZ2XL56TxD0ANx6KN6NMh896O
BsCK3ajqW4kyHFfGDzEbX8iruAttfT8NGGu07VaGdLclXkbbxpRi0yMyxTUy4Z+ew6rdprVX7ydk
+px54tapi/uW0+kyNcdX25rAEJJwj3EE97TvNyPFIKcX+tILq08ZdFQIUXAwp4c2SQRniqybAX5n
+kdF1kdjaivcmNMMH1gVmysnX3KWs2pnaxyJQ39orC59GAWqXIVOK2PEmw9PA7YP/TcEEnc41Wyi
8rmxu95muCwFVOEJouDkSTNoauKglSZaSMlxC5kUpTFDP+przG+ScOqPkMZNKlSrKYZLo0nlq6a7
5bVkSE0X00cHOzZBPNraWLzkVZmAaFAkxLJ40KIGvjwHlx0TpdBE/WlKAOFs179m+u8jIJX7UTAD
MEXQWsWtNTL0jcy7FJuOJp/EpjPrm56M0a2toJnZfiYvektZ61wkz4RwbtEu9bAOYqK1Hf8oc75P
D1uilHG8R2F8CfqNSLGbp3UhvMvMQbojh7HZihJxvITdUoDZMczPPMY6UbWxuP2wf6ETKhdYDydt
jCiy2t1h/3xGhSxNuv3wstQVbPEiv9Q6Bl9FiYGp1OgEXG1xSSh65lFVdFfEiXcg8ta81wo7utFt
P1wT+Q2FxvGmrU8dT7JB13/Lk+gRr4iDln/AIzTumaY1QdE42kPpCHkwGn8P8vZIj2Vu88Jhe7Lw
7GDe2ztevxsV90OnbQ1kCkY9OO24CSVQl9SQG86QooCWPVJPZ4vCQYXe1gDh2llSuCgoInfbx+Ow
plc1nyfl07qW+1AjXd2u0z2SnTcsZW+qmL6TxJ9NnKKarro7OUz+eioWVTORnyu7QJvfi2jtyfQr
PJoZdNiVmzq0v8ZDdsDqYpPH8UNUy68CvtNbVsp92oqGmay5VvjehIVgIqPgf5r2ORH9qTTsWw2u
9ho8y1rTH+6Vpz/pLa8jfcgebBTwlWeAOBuPjbBalW2+L8vQPkHar6/5Oi2qojk5FbZFb2mk4V4T
/RhUVC5RB/LkhLB8I8Pdi5jKxpk3DKjNZz+hq8EKNg7vCdCIjoDcuJAluK0qJ6lWaN+jL3mYP6aN
2OGVajGAf3Y93O1HWuxyT79ihQSsuOIx5vy8tqza+lKPPbu6F70ZCZNDB23EVOC5Q2lL/zC7w04k
eAwV+SC+jkOzYetZKEw0uIcax7aVpWKyQ/VB71/hEFL3GX33VikHpYQibPBraWqlYF4psLEBlLFg
OGV6wxC7cXeJkQwn4LvMW0ijBnIumnYlUk3bFbp9yv20PxVDCWkY4xzrWrWEFHZta2zYuf1tRIj5
YWzt9MI1wt6DXhixafgyP7XlGG9HSMRrDYUCLyZOHqmGwkINPhMkO0n2c2aD2cB1fKyjKBBFcSJM
b9/20a4u9kuhvocBXi4QMj3XwBboSOR2w+IakTsfml81F2TaMihQOaxLqbx+S7qKtve6MSXJPgu3
UDTWOC3MF20BLC01tY6ckVvAdxiU89CpcRFMJPUt8ynEQfJ1wC58Gw61+0Xrp5CepZAbbGE69Hty
3KeI6YLQaxzGAFn1qln5fB959NsK/0VUPVn6QHZHfJiyUtsJPKiOgGMMbU1fg4/cTjdagltkMhFQ
soopRTg9Jy88ZKIwObA7h8ZWKy/JMCwfOqMq3zBrnO/AbLFtwzR9g3Re33qFFy4DSKh8pR4egCDn
r39eJf/3SuBz/V7ede37e3f1Wv9/UAe7OHr/v0Wy26TMKYS/L5yXv/CfMtj4C2NSFxksKJ7PIUAV
+o9K1tT/sm3TsnTdoMP7oQx29b90kCFfCNNYImgXR9z/VMG2/xe6WZ+YeISylolY9k+K4B+9aBcb
Y8e1KIN9z2Ve4ovFQ/w7iayFOjT2kXsElGhkJtm5Nx471FJf/MrqDt/dlOt/LJa/t779nPeBAQah
deQqCFtwH/7OPfzuWlAc2GO6JMGL0RNvfV9INiqY3BsgV5cYJA2154wBVQKDJc9+k0v504vTNhDS
JwzC6z7V+joB6lhwGHHAe55c4JlR70g0tDaC/X1DlOmiYgypjUdY37/+2v9KDvn7e3uuyZxhUUnb
izv8d98bF6y0bAgRDno9L+4mpG67tKrHE8CYO6wK3wIomFDIryKI+Qezysj76ZH+/u5zfDYM//tz
+Lq7RLt4gg/04+cwXKdGeuLGQQdl+yEXbDBzand7ViLo79xUH4VvQuHGPUsyOMiyrSCd5dJJI/83
3uX/Strho7jIsk3oDqw60/i07ObQgD5QVQluIVp6lZalgz4KPtLB0fHlQcMYF9faKAmB0ERTPft0
Sx8d26Kz6tvIh/ECfnPpxIbub1I/w5rizx+Z62HfTmocoXhC/2Sdr2hO5eRMadB4Y3IrdKwUZry1
sIDz7KBdkopySSKQBXV5KxsNEUtUydNvPsRPnhdpDQwUBfEEyx7x4/PyGCHHYeilQSxadW6SWmww
bs5PSS+1AwChCzMu8iF5R7h84sOMBEM55fDqOrm3+fVn+fc2AQpnIUZ28B/0EAf/+FFo8/tFfpYF
0JvMbzDXs61K3W7XRW24+/WlPqcWLEvju0vZn751HWIr39hJFpg6lMYVivX+CK4U0tdO03WfG+72
1xf8yXdb7i47tEM6nmssO8d3rycol9WhcWdc3i0xylXe7yLIuWQp++VvbuPypn9vPc93I7ZU6K5r
UYY77qdLlXZh4tyis6zGOtx0mVWz4dm4C+QuQLpnv7qZcH9zzX+lcPxzUdANIjhYztanG5pqk5ao
SKWBw3Bn2xfZdJ1KNsIi17oXPLiZMtWq3PIW+Ou2WfQP5UCQF0l+hMwWlbkz/vbtNHvf/jIPCvfV
P73/7ALucgTaBnmii4vE9/efzYp0r56UeEmVvMOQGe4M8VM7q2F+9OtL/XtteTriP9uzOARM/XPg
YsVuN7aoAXBItjEErBPy6flg91GTD5vZdaPzr6/376XF9dABWLrv8h3t5effLa2CJkEyOYJsJ7p4
yyGwkKd1BKe17gd/fimbfBG+G4csRcOPl+qzlq20ivLAG3w8YfD/YeYd51sFFvKPF8oPlvbfn+PG
v5exh0U+9AqKEwud06cDLRPSTUgu4RXNfMZWhdCmYzWMCtJlHnrrdCQSGKp3ZJ2Mqp0u8XmoryKY
yrSOof/RFAYRQr3wr5tkGp9oq/GV1TrwfFH0vwu//NlH/QcqpNQx2cF+vC3uaGLnECLeC2uj2lIp
w8Kk59+yx1nUxp2+ZQAw/uYG/eyxOyiol7iwxebk026Ja3RIEc6cJpEVml22zAG/+MmNT5llaW9/
/uC/u5j36fVuPHM2dL3PAmhB4gKyJE5iubPX0Pb/5u1ZSqQfdy82L9NmC/EINwG3/fFeehAejJD/
C6wqFRyAvrhKxez9JuLsJ/vVj5f5dPdGu05aAxEcUQOM7WKcyRiNR8neiPRlsp1iDdcw6lxPXq89
1nZo48SqFGM9V2TxUY8zyGGqhKY99vWlPU7u9a9v+M82EUeYHFKO59nW5wy2wU3wFo6rLBioZ/dW
r6Kg7jznro/9CuqXGe5/fb2fFEvcEAyZLYB0QHPr0xqu9LpzMH/GCtJu3LeOwIf3aXBrk060w29m
lNhPLQqaa1iDyOg7PFAPsYET1QpAd65XhFLqrwxGHX3lJEgifnPA/Ox++EvGE6+MZ1Kr/Lgsxshn
qcXQYohFAP+eR01boVXVHthjs4vSmX4XWvyTd5oS1iXAhRuik0rz4wVh41vu6KoiSCMjRYpmcGwk
pps9di7/1TF5amH1l/7Nr5/Dsu4+LX+SUi2T/Cy+prH0cd9v5llsGLARuiLIWHQo3icAeGVWW731
qrNtJN5qNg0Mgy1E+1XkGr9ZBj/ZVLg87cPfgw/xuXYwGyxUZVEVgemV8YZsIDRBNQqq3JrUn+9f
ZJ2w5hjB2Cy45Yl/d2zZFTUxpDROZFwSMDsb5EXaQe0q6hH7iV/f1Z89TEuQ7M26Jtvb//Qw3T50
qh6fIizq4ZEzEPa2WQ5BZ6ZrAG9Z9P9oqv78CxKezsls27rgAP500cGSM1BNEgUxPiq3MnTDhZeG
8XCmt9tff79l9X9aNY6BeJccVHIuHbEU+d/dy8yzI2NkFByEfWodlCFgDeVmj3lh3K1yOhy87Lri
MMfZx59f2F4uSLkDi57Umh8vHBtjyFaubUxSNZ5yI5ZPZWzGhBfE9krCBghSz8Nhs5bp79qnn+wI
FAg6IZU0eFC4P93eXIhWVAmJuZrw43PeRB+Ma51tP2Gbk1YELf36m/7sclwNHIPdgDL+0y2uyErh
jDc0zFv9GNfEyX3EFr1+aOIyx6QkNH9zZ396PbK3dMiHHAOfOxSw8wYa7UhAtOrkJaJkcH9m9fgD
zHHASOg3feC/V5DPc/QsnYstz3P5ON+toNS1oyHGHjBgEpQvnW+H6ZTMgznX+50Wt9ekYt+Vsd38
5raa/97wuDCEIiLrTEHkrvXjhZMiK1VPRF2A4MAcsJUs+nPXuzUCtg4jjpWbKv+mshQUE1iFHtiw
p0E8wSpxyi5q11EHN6X+w6JAjy+YsGFqhOFW+y2vcMXajFbqP7ip5Z/jqmgQ1oSFI2EmGvOEyoRg
YTJgbP16Gn2Md4WRlyi0/xdn57Ekt9G06ytCBLzZdqPNDIdGFI2oDYLkR8G7gsfV/09RizONqdOI
0YLcMILVZZCVlfma2NL/xl8t849tsvgnowlieyceKdKPAIso3SLQol5nBZvlFvbgQMOH8tL2eoGG
EEJdhmcDk5tnGN2+gVXG2o8ow1BIHZcMww1fg4dXA+U2C6SatbyEi60ZLnZiaB3fP+rGy5oAv42T
7phcQMTNza8zAU2mU4DTZYPqxbF3VhP0Nb7tuWk4V90Aq2SYEM/6QooxTtNwWQaYgvD8gp162svr
KJDWiZSTXJxhAaTeHo7SMhaaG7CWXGPy0K4qqyMgpfgB1wR75+ZTbYmEC/BeJu10qMrcjtUFfdEb
I/4z3TKiHo6yikDfR/a789RBzsPss89ON+tYX7fx+FPTEqs/TPOEQIO7wjBoe8R91xJEned4Z9TE
6r3a2stbjMouZVTPBlHAW3bzqYwr8ptNHycnmCHmsW6hteOpJJ4ap/FPpkZrIy/FXkagCAyUUVkV
cnKPOtpm0LjzR92eUGJtzWX+3CcpHOfU0q/oVYFpFGuV/zX5fJArQNCd3ZcR/PZWk5Xs/zf0JsK7
mj7NKCIS7rIpg6GHTM4gquV8/7SrVtXCFxeMBncnL7XbfY/xu0+ajgCU1pb74Kw5FpL5BJYqSpyj
yCrnNM8Ape8PqijXYjwSYHLoebx1QI/ejmoiSVgYtQ2jsQzqP8wlbq64EoEqRlz+Y4DU/dmXSX5e
2cSDGjYqJQ1v78jLvdsuMLGHOpFHf8DSNz8iwNeiiuSPqNPSeg8HI6ahWIh3btH3f7C141dPTMkj
usLlA6io8qEuEJGcaB89upZpvnWcBZnG+yujuA+4fihokHpLfc/NZ2i4vDWFR+WIlBz1wllUbzQa
zed09r1DkzX9E1a95aXHOvw0UJwN7w//wulTNwMXCTqduMd1SAX7dmMG7FJGLWL8zm2788gL+4xP
i/MUiGSCKWnOb2pECfRjbBTZj853rbfV2nkC9Dwq3wgfWDsXsyoE2lyP/CDDoKi3XY+gb8dWCOrp
oFuvxjhMZxzovvixsxdelCvPqfxdn7S4m25nzluvtBYdZy+K8s4V0WX7m28kDfBwt0P3U8ujoz5M
1tWojORdNM7mt/tLr4o0tJTRHwiYsGluZ2qljZsUpCCFTflvaSOkVarh0yym4eo1SfZgummGp7SI
v98fWBVnHDBlPC593+DxcztxyNKzN60scaE3E85sQSElfeydkyWXb/ux0Yjzid+06GDR3o6CkZ8s
eXQ0aJpKP9FExaijc0QIJjn+BMui3ClxqLbTkV8S5XTD4D6/HQ9RZVrnqECf1tRcHtFe7Y/daEsR
rBrUBl5pOsKYvQHEGBm0i47I9J6bvSqyolDkWi5251SiN+uKu96q4+WQnox6SS+j6f1IgLW/d6f0
H0tLjWvrWv/c30nVEeK+sH1elEzblWvyLItNsDnyY54BJ9xKptCH0ULeusBJG+kOfQ0SF2UezfD/
6Eq0J3YCl+pDdWUSTXnU8p3t7Zx6fgW0N0/RIEPJCYo/Ngq1QO0GR/admKA6Ss+H2lyMVVXM5Yhz
DOreWBD7rgAqaKEeD1mrP3e04HaOrnIjed4EOCtCStG3G+mziYGBUXtUkBWL1YePAgnuiI95f0xz
PTqUC1jm+3upWk/pWe+h04zbiL4JxHbXdVNkMsnVjpH1FjCSYsu30FR3pp2tUwUAAizRFTdjkJqb
9czBrwUkUTQKKbudzZhO5dLE2en+hH73eLYRwPMlohSrbIp6m9OJz0Db2ywhzl+pQIRZRGca2DTU
EFNtroUfQ83NxDdksJuPnl0jUd42/T99uw4Xs2shNEObCi0IbKdcM+hXmRGII7zkTp7pNDvBWLXl
9AVp2HumQUl7k/Z5a4mIOwCf0+rDFNbaCq004VgnoafIZDX1erHBc/65s0Iyn9+sEAgB0w1cHyiv
vX30LjO8HICKELHNoHoyzeGr1afrlyXS1iN2tChJDG1xFUaCBhnqCaNrTv/6Hf9/2w6KedO6Bjtg
WyAfaIzeRhANwbi4ryDzmimKGbY+S3q9SK+BpUmNbS+96NAPdhZb9eCicGNSdQOzAA1L/qpncauz
aidOBG+PwWn6r+jo8MQaPaQZKMn2NKpGRPsNqPtG34/vNNBvy2Ft0+yMZhRNtPuboPju+C1OYFFp
JZZt30GDbZZzGdvxqXJxXLSJ3e+9MQYnZi3jTudKHvjtdjvANCiO0TE0t7X+oSiDTrNqpHNp9QAY
jPrkm1W6cMta2i2XKk7yX1pSZI9NUqUaubG5DMf7s1XtN3VBdo5sz7btbWizccZBkjk50Yay32BA
ZT1AZkIPJDb+aTXHwv4QfO79MRXhm1IZ8yb3Ns0XUA2A0wgxJjmdGyPNL1YGagyMK6w03S2uQ5Mn
X+6Pp7gV4bPruk9jWDb5t9/ybEcN3smMB6DhFNeoQHHx42cbdj+Hxp6f8lXfa0IrThGXBV8QtTLy
6WBzogNHm7O5or/CbYzJnD05l8JC58qanfyP+9N7sZy8XUD4O3S7HQ+/9c1Q0DDBIPpBfoJpOMjH
Gnwu6C3XytZQLYpAEt4f7+XXylnlZjLIFQPbYsjbr9XQC7NsixxjZHvoHihNOCcorBCRIPwF79Pc
WICvI0kLdb261o1IvqJbXp5w2it2PiDF1Glqmzr3o22aQLxuf0k3Oe2o9xStUC1tjjY+Sae2OE90
sGpRnu9P+8UlKWdtAmzmNqYy5G++lKwlbOHvgp6/LnkChgsE9IiXInTq+wO9ODq/BwL+IQeyoE/c
TiqGuMn7rIcfEOFbjftlckQLE8mSBe+W+0O9vJJ553BKOZ9YOHmUH2/HqnWjR88tirD0E83FEZjY
iUmkbwHHJb/ajkZuhvHHm1mf529Ax/r3djLb36APOOe4G82zhybFoYlTpC5aH3x65YmnHNXkXyPa
KDvn/MVnLH8ryRBdcTpDmCfd/tYAHGmA0qgWRshrPJqo4P1YwdR+M3J0oFGSFOJbvVRopIhS21kn
xZZYVN/oRBKpeSptTrxTtiNOKDQwwJouD2PWmp9wYnLOAq2QnbtQccwAHJKNmQFdIco/t7Oc1yB3
JxtFonpa4sehyPB5Qo3xy/2NV41Cd+t3b8+Tr4XbUdZoqu3KyjSkLKFyIXAwvBmaZq9FrxiFphMN
GUSW+HYCef89u9bXZpB8/SUKtaF1kSaToDOAKA+vnov9u3bF213n1t7MBTNvn73BPDmIe8Si4DCf
fRDRO28OxRHgWcUrOeCNznQ2o2jwIalk9bKHlZYPsNas8+ig0SyawXhtAKAwDoRRdj0cgA3+Zii3
8fySypATxgtEzxmk8lfsFiuKcWX88/7ayf/qJgNxqTTxPenUUy1aaJuhJhu3tCKeGEpkxqMw7Ogk
cgdqIbH/iDx98n6JnE/lhIrt/YFfLKd8E/s8bnj081Hbm0tL9ANgsAwAwZT76fsCyZnQbgZUk1bT
3zkfiqGQxwkcagB8WeT0t6cQSdfYjzsjCB34R8esH2vpkbp4b4Ygw5zg/rwUC0q/j0ag9BRxCFi3
g42u28aIX0jvTMiAuJP78xsRAeU5aF3nfR+qrvnqxHl2HGzUtl8bpiBwUDzSfbJDOknbfDKPrKop
jRwDmd7/O40oXeLwtfCNg1d5/TRdh3oxocpwX6SNq4VuGAEKYOhswn3v+nkJjaBPPtrDGvtHxCjs
R7sMqq8xunc7EVK1ny4lR/BeFnZD23sgdUYtC0Y3CIuS5L8UHqoyY++ElpHswfpeBDAWFExZgM8X
OQZ4nNvdjAChWhVye2E3BcYDztnj46C53c6EZEjffIRIRMoHH+hlNH82o8BZjicAyn4YBJh8ugXW
9vNiVe8AbZnXGAW91x8Tj3xfhxjKYx+a5+2sHBAGAglgPyzTBpQvarMnuueo3dSNs3PPqKYG6B6w
HF3jl4C5fEJYAGl7P0QsNHjs66y8ZjRvkZlHscEMYVWM6fX+0fyNcN8uJ5LzNFOpEfkkmrfTGyoK
YxIrGHo9paDDiHvZekApxzghyDJ+LA20f3BUhjO/tPjqYqaj+Y9asKJmYuX2KXARC3PRB/t8/3cp
ji0FhQAoE+8B2p6bMIQlq9Uxf5+LPan+1rnixzCOx+WCleO6g55SjAUmQK47pAOTMW+XwKkhEs5V
jIVfXoNDqJG8wXwIYUGrNM/3p6UIeACnSB55fLBlECVu7njcvaMY5qwfim4sz0lmDAdiuIFMrV7l
ODKI8Ys/rH902Hj+uj+ycpLsJdgL8FDE2tuRh9qEsLkwyTXDwrAdo/aKnLiJ/MPY7p2pF4UZ6m86
qThbx1vZ384yz3zEEWPE6IMSrGVrd/iW4qBzySfbQGGhLc+LNUYXqLrDwfSy5RwHdvX6ewxmNpGI
hw5F3i3ONVsN6Mc9Pp3LAgxqXJE3LirDCJ1qtP+6v7SqTQVOQ42OJx7eCJtNjadg6pcUfT3T9rT3
Y7pg8kUf+hzZUIp1OLo8a80KVcYc45j7Q6t2FSM5GDyG/Ey2XBlh9gDPAuGHUdn8KlEzu8QWI9Nu
WXdKXcqRyHxADQNDoPx5e35aO2iXeOh9Eg+Y2qtLu3HM6x/uNAU7O/cyCoIHQGiSXIcOCDoYtyNN
APWQDMn8MCsBFNapV4XOJOyDX9TuU7+Mexnxy5kxHuqXMtSQ8GxRbINb5wuCgl7YT90vqMDoKg/p
+7m158trN4tHL50Gm1WkmvMb3PIswa957zk90lqhATLmqsfE1ArMRth6exeJakqET/pifOw6XYbb
JayWwJqnwsB7ojDMA2fRucbokWPejGf86yfFncVr3yNdDLYdWOSn0OErBFRZlNof6DPkwB3xiU77
YK/6ppoVCam8ELiPqd/czgpelqyJNi7mxBkKth3MUrwrOmANpnt69azgFvAaM0mGaYrJT/7ZViG2
R8l5LdzQaeklHIYhMiC7VvX7YXGmH/fHUpx3WW+jry+nBUTtdqxBx3UAvpAbNqP3F1Ba9N9jYwix
gkdOFvDJTnR+maWBFgX7x7xkA9PZnI0C2VcMTSc3DDwIoBnaW0j4F+lra00EfrbqX6QWX9ZmUgFU
/4Xys0v5gdZl2UUSfSK6hyhD4xV4IH2M+6son0C3ecztgJtp2XbVsY+cQyOH6m/YGhJXDm5YMNbx
C56s9NQFVbOzljI52g4KEMKDqaPLL3qTOaDfFM0iYC2HqnTfBljmnHp7Ka7+nKTngjoqYrGz9wAj
yX4oq2X6cn/OqpMDV5O6B6mEbm5RxzwDhzbD4xfloRXbHANrzdruy3PJrl7BABs7EBu5aS+m60Pb
oXDAKxitk5uvYqpHvjxr4QPUhfMN0VckQbV2ch7h8davLuxxglhSCFBQJGB4bU5QywM1h7SPVXFV
0M+Z4hm9nXq5AqvMdprfqrPDN+HRP3OZnrSGff61V2jul8nauuGkpz0kJPhGJAwd3h6++MgFnn0o
2vo/XHOShSMvHu4dKqW3g/ZoXHZ+xhfSLl1+pU8kLZfijr8Eos99pr/6HWPw+qNKQjORssw2y7V9
YrOZMsmmL5vz6Eo2uWNrD4FeJzvv3Zc1b/aOWpbHOSHTBM58O7fKagvqohwU19YCNBqMAbdBMa7R
ow3E+R1Mdu3zLEiMdMAb19kQ/Umkrn1ZeGHsTFsV7jg8/BwprENScftTeK/mWE5YTLtBP8OMkUeu
vcTayY5UJwir0d8ISJ4twebL0HCdc1YxOmHhxT4iCVhP5omFXApirWc3QuGxQwhn5+p9mXdKtCOd
Ybo0JJ9b/ILd+gLYv8tbHt28i42C+CmYZve8ZrRr+qWZwjgfMelLUER8feCRLwkPvB34xG2/dym5
G0VroZrpJyW2k6jE8nLEFfRAhxmZfZcqY74zpmojeaLS8OWthoPyJgGt7QX1UGtxQnBHMcaANTbl
Ra/v0IBVIe75KJuog9Uq3ufpSomv0ocThqroE47BilPiuAfxUQ1FeR4QAYmGSWvv9mROFiLoa2o4
lMkxIFj1aD0m9AZOVeOkp/v79RJAyHrBbubVSXzzjS28Z52LIvaRdgoFwrx6OKPq6B9izC7+yi3U
bR+yPMHnZcBkEn8r3UoPY+5N33xJgbz/S1S7SA8Myr3UCiBFuJ10WlmY+BqUUB0LCsXY997bpPTX
r/dHUd3LMkWkbwpgmtT0dpSEeyWHXu+G4wTtEHe6FQncBquaw4TJDl6ZbTL8mKu2qI7ZGnWPo2bn
exh5VUggL5C8flj2wZavzb1YNPmKx2URaFVY9fN6dr1xEiHwq+bSmUb6j+NWgDjvT12VE4AR+lfV
AGTyZoGtzKn72KccPs8rgrw0lo5GErRUrkYL7TozQrvq9SMCUANhrHN/Av+4XewKUfDUTQeU0Gvd
/dDpiAlNOMYdY3uIkMeDAbozoOoMSYAxrDKH4PP7sD9LzjVtjAaR9uzubOKEY8f1O9Qro7/vT0v1
efoy0lDJgELmbeJNW8S2t1jcl0AbpQBT7J/GosTqps6DT/eHUu0ZFUtc6VF8A7e5KSBYZl1a40Qg
d5MIYq6jmdBx0bj0G7D8Yi6XnTvxJWyVcPB8QPN2y2ozMRbYaE6Ib934xvDbIETerTy6A94ObYsJ
ix1M+Vk3Ov9t2+R/+5NwT24QxUe3H9Kda0z1a7ifKcSDogF56G6+VldookLUzg3Xtmr/TsHKYpco
Gm06ItFW/qonRHNOiRvnULBwj9E4xWn51FgpWtQrfhHzdVn77tXIFho8IHsIFTIHNeztGnXWYPho
1YYLVMfT3FML7YX7tMz4Dd/ffsV5vhlp8wG1mW1GrmAkQzO+NiKvLvOKFcH9QRTHmUFIUWQ7mAlt
bhtjiVbdKmYeZMIprpiVkW4W0RR2cbqXcimHAtuI9DPMiBcahqtT4RU5oJ61orqPxF5TPjZ5+2m1
5mYn7VJ8OAR4WitIdxARtu+vKQtqCPRUBDxh9+diMvHRA/J29f3KPllOlu2Mp4jpIHFocRDnaK3b
m50aMs3HbpfIM3nQb9LOs46LUenXJPPbRFrE5J89PQF/f3/vlNOESeZTYoF4sK3dGhMmz3NFOu3U
q/8EsmX5QHmCx2W+Ru9s4aw7X6Ti+qTdSOteVnRg6m1CX9YuAr+llaeXkU3UWOr15IgBLR6+iOro
VwNubLHUnkzt7pighLIzvnKZn40vD9izAJ+NQ9+sBMRwsrGINXMtx+7B9B97AbQfmT6sSRcEa+8v
siKbpq0Lt4LshLbDNmfw9Xiu7LnwwqzummvieVgw1zp4gjZIrl3UFQ8WvjNHZEvNne9fNV1yIvJ4
Qg0XgPz3Z9NdskYgEVx7IWTx5MJNFB0s1BaP6YLJz5pjSjrARgvvT1f1kZKeUDCj/8lmb8IbAI6c
S5qPNMPsFmQOYsN9UWVPBNJXq5kQSSmRSHgOtQqe87fzKxdRWONC3XN1YxjJo9MfF7R8ziNdhJ2l
VH0pz4faRLlldI3RKTwXQzSW0m8z41oYGG4sDeLUDonQ+f4qviTCSxgAi/X7OqUKuqkAeXGiddTu
eF5GkfarnVz70cdGfAijNSlR8xOdNxyzZRzf1JYG+StfUuy8skmcMDwVX9Ngzt+N3eC+sybN++v+
j1PcK5wo3aIMTK3G2wKVfWtpMQI10MIsMc4UZfRzihFyvj+I4hxxo3B7/y5AUa6/3Vxbb4fGmwaM
HSdIfpGjZZc5b9CWwOjlPyz2zVibkkm69HMwRIgMuYvw6mMgVs8INbdafppJ0P1K27k33sMV8MoT
0HpMiqYOjcYmbjETzhNX8w8enQXvVM6o+/WN5opXX7JSjog+ECVq7r5tDPECTR8iADGhm2n946Rh
MVSI1DglU+vvPFRfbi4PCy4jOE8UdEj3b9ddG9Zcx/LVCUcNc5Epc1fkExHnvL+7L4MiBWYSBvnQ
lznKJjPV3N5KVi3jjUp+dvbnBk8qN6akkxc4hHZLU33qJoQYTZoNr4UQ8XLi8UbmRVeWLuLmyxI9
RBWaeE4Y9VwCnWE2qBO1eFf3Rf7qWMhQ9MmI/DzYeFfcriWi5IWVFa0TekFVvMUeQr+uyO4febx8
ub+eL78WRuIxITlLvhz0diQJw8Ygo2bXAq0HMz1IyaWOjHY2rJ0k/+Wtwv9PakS6QLLygj+g1zXo
cXTYkcqssL/s0m+Esv7szVlGsp9PCHLme6QFGV5vC8Q3Y9qbPWsXDXmPjjEnB88ulFJT9Fnx/0vn
Jjmn+VTuzFH1ETyb4/Z4rnPQT7RxGK/V6tPqme055vG/81UrZ8UFLYvsPDm3InUrIsEWSqsg+scJ
e+Cg9eFgj7hh5et81Vw/vtw/JMrxKNNAbiOlhWJ3e0imCQVQhJnsMNEz1AKWzj/7JkpGbUnxMna6
vZKB8iOnI0k5hvQSDPbteENfFiklUk5K7mOC5CDzFyXL/B6ieXI0zcE/ajhtXExhZTuXh2qmkr9J
ukXz68WjxBVoQHdZYIcOXj1Xkc08QbW+uopZFw/Gon27v7CKMhjkVbrl3NZEFN5BtzNtxWi2AMsd
nBG0CJ9Kv36MHBxvsmxCm8ophlOETQNm64n2w7eqvwyqSDuxRjVl8KqSJ+NK/bNN3OYmXYThzTy9
Gy8/YXuNB3jqa85DhxbFw6LlewgfVcih7E0KRjOdt8FmzkMTTAnNbCccOr583LWSQ+82y0lE9ff7
y6ucGgtMIUgqEW1fRy3W6kPbUMZAWqzBiiXFFNlD6mtwZ8xHDTPeOT3q7eSJ7lPUNHGZ2RxccyR1
1SoGNOJRP5clvshJPJgHM0ibh0KL3aOxTPZ71M66i2VIp2UtiHfuYXk3bEMelxR9YthPwLJkiHqW
vJtAQnt6jA55tIdXkh/zV68bYeJr3ccuAeFCZ2L9o4XafYW4o/U750m9CLK268uOP+jk2x9Q5EOR
x+bA/oo+oI4sOvPj5FjFQ0+V5Kc1aNr/nAXBhcJL7Q+mFw2XedLGvZqc8pQBbpCsOKQXtnRc7Lis
eY0byo5BPmB2lCff8BP4My5W43z/lClHktUFcFQ+PIbNpkNTpRgQkZKUvW99RK89eBpsrXtYqW/s
rK1qKHJ6+ZVSbaRZfru0re7Gi6YzlLnYyzVFU+DoDZk4L2mxd1srh5IRGIwoyfqWXB83mt1NKZEp
4xF2TKBX/7XmeYZp05j+vL+A8kRuT6zEn5B/gHtB7Pd2VkXR+2J1MN+Og0B8N4eUO8ZO9ligimCA
yg5gV9CgiP9tQVFiNXpjoCUfYsMlTu4gvG/+LMYnzTU/9kO87ExKsX6oQ0kgL1w0CrabrTKLaR4N
TVq5LA1csNz1Qr5H/ztmOahi319A5VhwQMDzMuQLfSi4ppNdVinHAhoIdGXTe+wd+weunPnn+yMp
bmbuZJ5wvM8lMHGzVX1F+9BD6jwshsayz4NjxX+4RpyD0BxWYaFS7KegFjEBhdY77Zx+VWSxQWfL
oizbSC/39qB0Tm423UJeMOledp4yW7zt0t4ONV/rPxV5ga6Cl3XZISYuPVbZ2Jxgp+df7y+BarHl
R8EpQkYJtZXbHzHX0eKLmYy51/AmwRoibR4zH44JIISm24ktqkMrZVf/Le5RJr0djL60OWEOyHMn
D0i1MloLh8mZ+rMYxjEPnbXVlv9wmJ4PKY/As/tjTpYRk9fOCQN77FFAL+dTbyT++8hI90QylacJ
bh9Sth7v0y0s05prPSlanoxzXTXpkSdXe+H+7E9O7nt44/Zu/hkzA/FFcydjJ/VSjf2vvQ4BB1TA
Zpo0OKa6JWCEdZkaT0GAZEpsGuUxcIV1orQ5nYa4/J7GTbGzparzw+HhaqLNSnFN3t/P13ft15Hy
rB1WwtMvXprgKldY9qWel/X0+qMKpxxm2G82sruJQZWN9MnqUo126/5/lZc7H0q36C7wXpydSanO
qW1QWyddx87o95f7bFJY4WYI4tUuDmaJCMdutD+Ms4C/uOiwgmfvx/2JKfAcsF0RvbGgeNO53RZ5
ZpDD+EbTC6O2lXwvCHsPSZs5b+bIrH4E1Go/LfDzQg1rzzDVJuePconxqajTbgdWpqi38UsIh7Li
Lye/CQdpMJpYSpLy+bwYDprQFszhQa+vwviGb1BDZd5N37S2wIA4AtMZ6Bjw0ORrKHHmCIbFBf1Q
LDKO91dIBobNnUqIhIwABwls3ZaHFtWOM0QT13euIbkSwCAMdT22Dl1MzoDFaoxL3rynxq24yG8G
3USrpkAFMaLEK6k647H2zO4SATzfuQZUZ02CeCwDdAvwIfkrnp21MgqiFGcJN0wb88vgpc5l7YEJ
OHr2ZER69cf9hVSk07LMJAvhDEiJ53a0RTMnGHKGG+pRbRz0NDbxqHend6kxltdYb+ZTnE24VyfU
/6aoTD/cH14VLRyHAwBkCKrHFgvsBNnoAZ8BlJWiaBl1+NINwoyPTppUl/8yFCgIEOPkLduHw4rk
V2dLjG5TJ/MVXfXqxKu/fZ8Z9l5yrtxCSCVUnYLftMzbRXUwDS6RIKWVPaX0c6rYfN8O0vWZWlro
NvUeVEe5is/G2xxM1BybDqcxIKaNVpxXyCdHqovrKdD8va6Ncmo0zqX2Eg3H7evH95d07ijqhTH6
H2+oVRTzIWsbfGSKqh3fOnb6aiVSZA4oqEHEIwzBmJGTf/Y9uCVFu6Sn4g+r2zuWQ2oe2shdD0EW
vZpEvRlKTv7ZUG0XpANTAuiwTjh+GhhpdW01vv4FS9EaLhWZgayMbD7wrhsNkfFBhZYWdMiQBz7+
65ERPBZmrF+chASwaILoTZ2uzXczmLt1JwVSffM8FEimpbcB5ILbaXZRtHQJKuwhGiL+dMhy8BbW
OAa/ytrWTlnF9+5ao3bWtLgIDT/dkwRQHVdMOOiFcZUix7O5U2obmWQSPBnhhmrB1LUpMSVOfOvP
eU2zaOeqUM5WEo1YbYQstthImKNF5USMZnbGfPAiDIJxstTDpEe5yk3TEs1GLX7yGsN9uzrzXr9G
lYjRLaDcTduKotDmTNENxKbcIZwbQVJmB32qvg16pv1pOFF/Nic2Nx+b/ijKrtsJeMr3BP1N0hbs
FMAPb8LC7HWDLmaAQoExrD9He+7PFONrXK3H4NoipfbkabXATsn1gabC+KCs0ux1NFSXprQ6YKfZ
c3fLC7K0Dl78Qm+ZOtb7togQyoyjaWl3zrQqLtHxRAJWylnALr0900WGSkimA0d39O4fu+iMc9I0
+L8Wdn+iUrFHuVfO6vdFAjqSfs32CFeFn0Y94MjOFtlxnek+uVg8nu9fWaqjKzMA6m3wukkGbyel
xV2QzwMP39aMMWHTerG8FQWCl+cFRTRMdzszxqIQnJhz4IlsxOHgYVZ+uv8rlOeIsgwqT4iGUJfZ
TBaNYBxQDEpuEX7wf+ncNIdxmqpHrfYKvK0wWpxxzD3rfm0dcIKvr1YzRDtQeNX+Pv8N26CpZ22a
d4A304VGs7Ym4snoSvOaD1gD6uDhr/cnrdpgIpQHow2a0guysjvMGCLGlI3tGsuw2unNa4BVwZ/3
R1FFQkoNSPvCsmGczRc6JZQvaTo64bQ26c+ob23cBHFqww56jMY9WIsqFGGIRj0ekg2CRps1NAav
X6qV/FWzMgHJ1AnMxybFJfDoJxZGTL2Rwiqo3D6LDz160kH4H2ZL3oBOKcEAIcPb42yLaSy0TlBa
cCb/3JTdcl2BLMFmmKedd4tcuO37gGMp2UTIYgAoux0qnxa3WunfhKuDJ/XByPvg6OGEHfZAOU8p
Eq1hvpR7FArlqL+7wyY9lheHpq2QKypl9zZ3i/qhdvNPNaSzi44mwxttQkOwivlSX7+oFOEoBEvQ
B/Hvdqa1zWP0d3EsqefhrYh1LGbHtL9CON0NsqqPQia01N8tgzrcdgNNWG6xh9hYIbL6XDd6jh1u
He98eqpjKl9sQKGkwux2RmMh7AFlYSdMatP6x6m6agoFWvSXJcWIEFph+tgjuwZaqJh2iCmq75FQ
C8aeP3x4m8vaHmIzceC9hfOQjA9dUpgYK3ruYyziPfUR9VAwGMiAkNfaOoIFRgtsDyWxEBm58rR4
/fcOI8ATugj9TgKkGIn3JA5SSPlzE2+DjJhm7KVy4J7ekNpHpGKix3HynQLL18G6vPo0IsNOBxwi
MMXDbYjpYmOcsQZxQyww07C3DQ2lVn95m+S8Lu8PpbgRGAqIE0eEXtuWiuva8KGsjBpJXA/arwzz
B7xtzeTvQbQemNpyD5+quIxpecn4ifAtaZU8ts8eB54x5anuElKM2q+091Op6Z+aKCiw2Ji6ZnrM
0qbwz7MvbEiLq1cctHla/ro/Z8UH+NsgiUo4CBFeYLe/wS9ii2SZys9gu9nnMRjWUwdL89f9UVQH
hsI+7E4KK7QUNve9WHm9In/ohPiIBk+wMYK/iyz72WjltPOpq0aCJUTZgacyIWyzpgVmn7gPznbo
B4m4WphjfqhiEhtX35V1Uw7FheCjoEsTa1vIWnSKyzP0sNAbm/UUB1HygE20T8YUpzu5imKXZJsi
QDqe7wCw1u0uua4YIJNiLjRa6XxO0gKjVI+ixv1dUpxHcjEiPw0sqfmzecXZgw+qRF42vJD709TU
/mmZFl44c441yTiVPwOt+2FHufMwONHrMYagXHA/oMABt4Rs4naOwveKqKbQisxJ17zHPwlp3gD/
W9OY9tIW1XKiPyIbW/hoGVtgEldR7xgrraZUmMbVb8fh1Ma5vbOc6lFsaLoBGQqv09sJRW3eNzR0
bfKCurqSoJhPPjS61x94CW2XwnvwD3gU3o6SBz0ObC3dlRjntbOWjitv/VF/O3rZ9/vHQ3HeUduR
nRUuazTzN/OpdFH3SNBQh+9s+51eLeZ1XpL0mLv0O+8PpTqJCPshUoBYOinIZqiyqujsdOSVlVEY
ByturIMRaclVS7y/LK1I7ANmKzrevDM6w05Hdnt/fNVUURmEbUlklo3q20Ul44KFVZGrQwrWL/A5
P9d2TSEzsdbly/2hVKeEMbBkhTVELXFTLtWjKi9L9ANCuxWd1J9f0JloA7PYmZJqSZ+PY95OKW/M
qYUVx8e9dMM3D9/Lh3XxW+iOWXFuvbXH3L1xTolWR4d56vZ8P5QrKl8+wJWpQm9jS5817tR33ADr
VBVPJvYWf3o6phxOZHy6v6CqkfDWlEklRJQX2nXzutJDSU3acUOeX6taBB+Tjjc76rnuzpoqsnPm
g2YImaUEA8q9fXaBz8GMsWNH5w/5ieJ/wWDrj06v599j4A2PSJ2V75zZGv/DB0+Lgm5uQLvC2bbD
OkATRYasZrhkuXVIelokY4VRdQDuILy/lDLkbt488rqRdRYEIDmim/lZRiNWC9pk2888bfJo6C8p
cuJvEsuLzqJ3mg+IyGv/BHq+V+RR5GIulx1tImBW8JA3QwvTbEYtSeh05ia8xpr2T+Wt+YE7wjoh
tCl20kzVVEn6qGxIRhqAntupaqnbL7jp8hnmpvMwIvNzMOdIhJUVd7LTaB7qvhKnNOmH0/1FVgUA
mI70RKRoG0K8tyOPkBPalU8vZLz2GMxzUh70oGp3ordqGDJbWbmj/PZC2qst7SwtG9mFz0v7e43l
wqUpjGUnUVF9EWQQUpuVXgUzup2MSGCVxBHiZKvdfqjL3Lk0XaldvEarwG87zTGLtHrng1DOjOuI
c4pyzwvfrb6xOtNOmRk9wiKcTKjo4xr87/4uqSbGZYT4G2LvVOe2u1RrSUBfCYkZU6cBU0/9AcXO
7ki23h3SomwOQ50OO/FFMTN5+Un8Lyz8F0K+KGDrtb5ocCGcYZDWSHrzRszpvIPTVg8jAcY8AMAY
buaWJrHWagXVe+wKtF/N4hSfjcbb660rR6GHDBKccAKC4fZoJKVFiyKHxu81rnbFc37JDu0w2Dsn
UHHPIegtrfyosQEu20zGLsdazwaaco6X2e8qQ/sRoemLfr31WIDPet+L8W99xvIB7OFetUZx9SDw
SGdJ6tejS7iZotEAkSijWCqxxcGbqmuRl7Vzdz4IY7a9ncOhHAxZXkny4g7a9llbVKuFncqmD2+q
D3rUeyfTKWke60NTz6f7x185GKvJ7kHbJQO83byxi+PFcnMvrNvmF8Gx/RM/UlwP1nTvGaA6JlBb
mQ8JLbChzUh2p1XoJER0N8pWnBEomdbDsjbLXodThUMgEiKjIUvhUn7hdkqGMxVMlYFqL9JPukDD
slnM5Glsqu6ULt54LWoYfWExrVbYuikujPMYmx9G5PrPKeX6+Cimou0Pw1Sse5mF8hQDMaa2ggUM
VYbNj0P/X1sHiD8m9+vfuUiGx6qfmuHQzkN0ZlH8ALEa1OkOraXn6dH9P87Oq0duI9jCv4gAc3hl
mNkgrXZl5RfCsmzmnPnr79d7cS92OMQQkmHIDwZU083u6grnnMqKujkIwneeYHAwPBivxV0I8Je/
oUobCPBZCwKDbOB9MRUDMKNadtPWnE/tpB5G3Ts+Fow+cirgNamXbaNuJTHCQaPQQTU3tu+rvpLO
izG0nsnh+4qI4OypUdL9wckmeRfgNGL6KwkOOTU7SyoAG2aduXxRJwbcOko+/ChIbf7gxlKnpjJn
M9wNCNXlhrYAoHNEpXEPKnrdbqiG1n+ZmhfleWhaWT/dvrJ7FwndXniuYroOIIVLayNTNNIo4gjF
ALez59yuEbHWG2v5AwoHqScSDQCLOCVb3zCgCiORS8EfW+sPVqvY/zSo/vx3ezV7hxFJBEF7fq1L
b1YT9abThiHeTqZG/Ii4vfIcwhL04kQdSneak6N8ac/j6dQbRSWCIs5W/orpzpEDmBBNBKc1T1oB
vC7N+uE0lOGRKvmuKWo7hNg0RqkUXH4pWtajwnANiN0SE8m6Xsvu2rEZg8qOj1BOe36FxvX/m9rc
aa3VraptHLTeNLgLvUn/wpz77z1DNxF6nh13WpU1iPW2d4vUqg96KHtHEhAfEmngBHG9m7S66lND
NWiD+XqnGy8ZbJQTbqU/iAf3tpOsjKCJkiafULiZt1lZTjY9pWAusiVq75ZwYSg70MV3qIxPp9un
cvcRgWssCHavye3m06VRBZa+iUy/kxFb9dRmCj84dHHnO5pEw39ST7/cG5sIRz1HlJafzDVioAoT
N6rGNRdT+Q7afz6rZTP9mnpdqg5+4N6OQ3cHKADviXxq8707SE65oomegF7Un5cK/AcA4D8A1DCG
noIaMCiRLWqXOx7FdWhnCqT6oVXCwNK7vyu5ke4iZf0TFyook4SRoJMonV9aIj6fjUkFNok0MQMu
zKJF+yCXFWaYZhSvDsQCdk8ShTtFQXOLHE38/zcnSR3LuVYyoUhnNPEPh6LhXZrL6qcszM0DCM/e
2yeUUKgjoE2A6uqlKRnORdwXAkED0zRQyX99ZtF0L3NrP0/WND9IZix9vn16xd+5Se9JeQFdEcYA
3dkWKJWljHXINlzHto/fzUZtuXjXunQbp5P9uhuPAHO7BolKyKJe0SOb/QwZvWAX1YzaHWPXkQZR
nJ+NhRrz2GnMzKi0o97R7qa+aiJzMITdy01FOkdyFpnmW8SAw6dc643PilQMp3HVctRQmkT2euTw
jkLL3Uv3xuzGKRgQX3smOeFkJ1n12iSv6ZHVR5y//c3keQIJQ8Nj2xMoNFNSYyHxUJJ1kH4aykI5
DfVpD9ZLMnokiiij3z4xexdC6GgrrwkcDuVyQ7M260YAQHQzY9186pZCC6JJt95ntp0cRJ97mwhM
FMYAsRJt242pSGbqyExnyjeGJIvdQgbi5aKicJi07R0SilyMYiKOhSe0MbQ0g1QqBfT3bqyY/1GZ
/XoKlampg1kt6Xvkjh04Q9N/u72Vey+xBTyW4a5gqUhXL7dyAO4TZSRa0Mys8Jzaff/32qbANOJE
ezQ0yTyZQCo81OZbaLG6c+BvdlTDgUcRSgnNUoon23QcdTezJEsH6q5Og0Fqo1TPRswAP5d57Err
m9pgfgJGJK2uToYzuxOo+cmtB1svPXM0ktY1FtrbriSrxcELvvdJgKrjmUTIxxy6y71BTpvvnIvY
q8q1d6C+oxOpdOY7vVym7mo1io90UHWwJbtWQXjwD84QKOqlVfj44zT0hJipJotKY6X9m2Zz+ojK
4/pUJZTlIGIe6Y/uAfNxv4rQw5MFBXJzDuhQMXUK4T0/Bhd2Qsqt87qyjZ+RiLG8GITxdwck37uS
Z49hEbJJ1BAmX+0Oja7bB3LvwgmSEocCYJa+DRVUKzZHpvCw6WMcnskc0LGTtaOkct8KJH2Ehimz
bvlQ0pwD8B3Ius1pTe81dcrfmakhHfgp4WG3L5tQveEM0VYH+XH5KedU0rRWZAvOlHdUY0zznM7Z
fJ5Sdb3vB6tyqxB9fDOt5fPtXdyRwhKNdKhWZCoA+bZJrDUoyNXWmY3VbHhWbUn2wrxYviAaPw2B
BC98OGeZptbuaNjTO4agZgi9iQ9ezMaz3ijpETh371yTOJFUE8FQ39uEFlXYIADRWRZRTLj81GZZ
TYCE2YxxUWv0bx+AQ8x3SJYeaRDt2SUhpFpKYZvm/+YWM09Y0aJVzEIIiyF9kuou99Ook56yLu3+
QWxlsJ7lONL/ZL0ix1BlKjtinuTlxyfKSoxuYr1TGDrGe7W3rBeVgYbyizo36nO29G3QGY12kNzs
vMfQAHBYQHMFjVec/DfBol63SwrzDHl1S0k/5CrXV1mL4lfXSl9XYywPzO28H4w8IDlliIYi5IMv
zS1ZlTXUpDhng2Y+50sb+jP00x9mWGqLt4yO/oisjfLJKcVI+VU6EqHeWy6Fmlc6Asf8NTN6s9wl
byNJzXVbtGjD2pVGBA7cjMLqj7UdHBFd2euvg7sl8sPNtSYXByYgNNCMq7vVFgvSLG1v+XNXx1+6
ZlTP1pRFz3B0zF9JNhTuYvZ15SaG9FNbtN5Hv189cJM7roXfAGQHxV8w4NsueGemjGCYFyqhVrme
W7NGhQDW2l24WkzzNiHoQV63ilPWFumBV9uJvkjk6PULlQfovZuDPRSGCZwa00uRLB+bvra/wG+1
75XVsf872Grxd11tNQhrOh2ij7PF0RQaBZAYGRR/dOr0iYjA+TdsxRyGIpdWx20tq9c/JxE/xy3l
tKuChN4SIotdEePZWrU+2ndxfa5/EB+eugHv5LaBbEpDXAxZgjRvaC05Y3D64h1FZO0g9NgzQ61M
AEP4l/kFl9eqMapCrhKOmBLGceUvSQWErsnX/K/bG7x3fdhcYF+ADMgvN8GGMVRp72holYEByyJP
GdLmk9ypoduTpiD4En28bW93XfBdkHZg4DXu8XJdipaVi20TTif2Un4DdCD/sszhCPKyuyoBhwKB
zJq2ithdXeryYiHvVKzr9KRXKa0PZLn9RrL6F3Qsjm7EzhODYIHONaS+AXpicyMqm9Zfms6WX0+D
lHsyYhzlSTPiPvLidSiic6WAaA90OYm/3t7PXcsUqclkLfHH5nEza9tYnI6swZay9NOih9EnngYO
plqbPPOFQrmwkpYDD7DnfGj3CE0Z2oFXlcJmrnI9wdtB+TKb+RzZ85KcKAx0vpJqUnNKEi3+N24T
J/bKEJ2DA9+354CodlHSAkEO4G2z3eaqlOh+UyvXO6Wh3SSX0XenzJzF1efmiGWzd5YoXQECAjnL
TIXNDekcYyBcI5Dq8zg7MXkzc0Nzad6VUfhzJYs/2Nq9D4riFwVmgiT6T5v31NamSaWta8N51d6t
odbelYP8wVjK5uwsgNjboTnCf+6bJMFFHoDIf0tkCXPJLCgKMkoIyTEQTlMDO763F0QbAUhWZlo8
MjDJOEAk71kVSkGAKthWrumlJ1BzmylwsUxrSaMmUUixFEhG1N9Ha+r8NBlu4jEm6lDoZe9rvrG6
DYtNFIYROKMbIS2d/OygCnaaC3n5sZR6LXsEOZPqDoNK8cJMzCdJHfRTg4yjr/TTaiLWBOzRjGXt
M9vY/RWl1fLETIH++fal3nOS6G2JwUdMB+R1v9waTVqirgIU78dztJ4rpwyfumGuz7et7N0iZLzF
PbZ5ZbYpULuEcmbQ+/EZiACiuSh1T85M2Sda60+/bwp2BlVF2mrUw8VXeROkKTJDm5yemFRxRuZK
S6nuppS9zghSJQf3Z2/vACkIrCP6pleDNAqTcKzMbPhLaZ6dmE4lnXLVGg8O797eCULWK3QTDIH4
FW8WNKcZs7E1UVorln+B5EV3arv+oP57BCrZM0TiSPykimHD26F7tawMdd6AV5NaGmZhpk2eXqLx
lEXE9b/9kZhZBDuBVh1Z0rZ/Vq5Zmo8C7FhBEn1EID8LVHDoHtTFP3DgRHNENmwhOcpW30BXMx1O
O2D6NUlCZOqH7FRRTv+5Iif/+28F1TQbVByNB1oDmy8VjagITBB7CXCs+kwxPw6sBJWDLlWOyrx7
tSwyPcHLEegVhHEuTwUZT6xkaW35eSpXZ0VtJC9h2mSwjNHglhSWvTmzmqCzx8UNlwh6XaE053id
SzeWh+W+K438AFOz4+9odDHUVCiC0/TdPCeLXeatWrJ8eUgav6dg5k+VQmismolnTMORAu2uPTRB
4OyYkKW3cStPNvPSGgAa8SRJIEgVYw2Wdta+LFqo3YVxqx4EsDsXBDoNVQXmmsPa3s7LGDoNKcSR
AEia6unfNK2i+4lIIGCyY3MA6Xnt6mxif8pFuqgEKyLn3WxmNuUhsD2eLEmpRtOrerb2SVLarvIa
euovaSaZ/yVq1w6+hDsN3ZWgGvUXNKwa+IPpPLqLQWroMz4FKvLUWfVHwmDFCuK1LWS3M5z1uZ5A
OXr1qo6fU1gRpbtGOYx3+Dtx6+aE8bFX6FL5lOZCgUSWh151o4ipIb8qZZYNN8rRtTjFxPMRBNxm
pHrXNO1LvtbDv+rc5pLb1yb6ZstSyo0nt321eFrcZC/TWg31GXk9TQ7SulMl32yL9q80VY1/1qYy
P8ZF5Hxs47Bd/Q75saNGgrgdl7sr+nYKWSk4CP4UAcMbn6oPiJEYyggswVbrb12zMEAnMfpzYxjl
2bHQ6qwdAts+DRWeQ/nTbe93fXCFdV4nQiAhvLJ5ogYmIIV1Ju5uF0bvZ6fuO5fE03hvGmOne1Os
2r/+wCLYImaCIWbMC3y53mzh3CgWJGYbh/xkgv7wFlOrnhUrroOu7u0DT3gdcFFRJUdBUZaVUr64
tFc5RqwuI629nnFvaJrE/UlT7d6rGBVA8qwspxQe1cG2Xl9PjNIWQnAcui/wjEujTpZGhYbX883O
zL/0a6JSdRyNpxDs8MGbLDz59vyIwdqUGCkbg/28NBWlgzQtIallzGX0ikQKP0SpbBxU5/fOyVsr
4le8OaXJos1JaVInrxmx/ZA35fAOKSdyvi5HtVhDD+lPPhuNJwB9MG94Ni8NhraSSxMenuS174NK
XXMPaPl8ztMWxCes1/uUwZS/HQsIbXpgmAL+JhpDl0Zhc2oGHB+aUX3cfTT1JHSHcCyep+aQnrJ3
QpAGg2WBTCmFiE0yVzVD30kG137QS9RL9LHx0Jc0XdRijpSO924Ag5OFUAqIMp7qy1WRWQghDIBd
Uc8I5XI0HI/YIfyMYnv93lwnwzXt4ojqvndgEIGhqQLMj8LH5vsla6O1q8pWJsAHp/OsJO3LmNtq
gHZA03uNVqJPcNuz7K5TqIrwKqLQZW88qYy+R9/Z4D+bJlHvGQg7+nAXm3fFAu1HYx7HGZ2C6vwn
RknJBWGXqujm+um9naCJBNyly+UKMn//Y3CIu2NJ6j1pySYvK5WjhW73Fha0oMYQ2sH8xm1vzg6i
MzAWs2wNqLmWfpdFTDMPy9iri3r21cJZD6py2yfq1R5BK2QA/Cex6+UBCrPOkZcxWYMp69sX0V06
p9k0/MjCpXkAM2if6zSSX5ymCj1VadD8ub3He+tlybyOQoHnypta9RCXqjmzXiv+YaXt/JJAM3dN
fbovtHj697a1vdVS32E8Jv4bOPFmd2tS0zWmjRREoaozybmJH9K6lMtT3S3NX7JU94GiLO33cJjz
d/1sqz9u299dLY1h+LaQ44jgL3ebSYDS2HbjGlCgsJGiMDJfj/v8vTkoiistw5EA65UchPi8CASi
T0YNj1785qpOTF0cQx0SZdaXyt06rdYvkZSdu6FXAn0pJl+qJTUYlkZ+1JUs/isGq3YQFWzdIb+B
u2OBAkD6Fvjp5sGc6V90fOQ10HNn8SewE15qpLmXwlIKbu/vrilOEvkBqCwq9Jf7u05RoVa0RwK0
UoYnPc7lU1/K9edxLo+YjjumuC5cUvJLestbFOPaJ4bddUz/AM5ofjS1gtRgytLHIpMO9m/r+9g/
KiYoVPGWACbaTpEdo1QCsxHJgZqbsS/JK3qA8yL9jAjrn1KkJzW31IvuICrYW59Jkk5oyj88m5db
qdWwg0qmjwVWJ1teiCqNG9LvvG/SwzGEe6cUGBH3AsgErMTtCsOeJRqKtAajI/geszUvFAZS866g
5/F90bL8n9VeLMR5DfWkrLUtI46DQuOBL9rZaKGPKni6AGOu2BoMAhnstpfkoM+mL1KkSw8GNTRE
WsvlFK9jjQokrK0Dozv7TPwqikgII8JIEf//TfS1FkauynmkBKQnylmJIukUG3PycSbzPXjPdrwf
yRQtBMAB1H63pLqipOiumJkShEpjBzZ/nG0FIeqkUJeg0erhnWMjmchwjtKvBoZv/O7lFEIb8AYZ
cC78wOZyalI1y5JRKkHLqBN/LqL4W+Tkrb9E63p/29S1nxV8Z5IuMWmCusXG7SVFm7bMFVGCAgyS
ZxX58DDI6vpQ107tam3Xf75t73pnFZmhBWDB8QeCpXL5EW27hU+IeHowwwRzW3ka7zqr/0cb6uzZ
UKr6Ueoc5UHmS7trXeb+bevXR+hV7pJoE3I+5e7Nq6aGeRhV+jgFqMWXj1IS/1cYTfRsdZl8um1p
Z51EJ6hTUeVgAthWpWoxh8VebFzR3KpzUDFJ8COC/Mt9ZJQUvJe+e6wiBl1Kalr5ejo5B+WKV3LG
24SI3he+FrEWTio41S36ZGjowXfluARmpsbaWTPDTHbJ+FTUzM0oft9RjHA8pnap/9i10k0n0Q1M
vUTu05ec1Kn40DKcM3VjNXJqrzcSxvsIqsny2BOr14+DWfTUsBCvSu7zLg1bt2lsKl2ZNYTnvJjK
+uDTXbscmhP0gulgsTa6FZcHhz54o0R9xe0P7eqst/YcKLUsNo+6SR7VCd4wrMx/b3/GfavcQFXI
K17NNyraHI1rGatJMahneHbTuV+G+clZyv6/diZtL8Yy/vu20Z1TCr7YFhqgKGtTmLhcqjlJpbMw
YSEw8hBqTzZp95ZRzsHc2ebBMd01ZdFKs5EhlKlcXpoC1Ke1Zm/JQdLV+rkG9ezhgyUPXcni4ANu
+4biRBI9k5NgByjOxhTCy0VZxZkcFKadeVqSLmcztBNXlmzzgxM6UmAm7SP1+zb4/e0kniO6A1F3
zQedGKq21CD8ghKdU49BTvlZiS1mvClGdHDtdt5nbhsPtHii6N9s5zLUeHRgMikRCGSae4B035fV
aU9FSa8jk+fmrm/79mHWQMK7ZZs2HiDL/mC9Oy6dG0/2Dg6evGjrYhMrMiFSthwfmZHX6VAMD8mY
xv+0gL/eVQ1iLwcP845BoaoihH2BAgGMvzxEmh1FqtY0SzDoc/UpqlIq3FFU3icMhgskUtADe9eX
UnAbaSgRudAr3c7fyEzqcTTd5cA2k+hRKu0B4JoWIsgQm92pyufx09JZ6qfbx+j6/BLsiNl5FnEP
nUvh8d+EH/rQa3Zcsa0D0CJPFLYYSC+VX+KyLR8hk/wsK4EzM6SDhuD1FcUX0GVic/mcpJ+XdrWM
oG5peTFVo3Nesj6jQZsl+UOS5fHBFd3Z2AtTmysazYOeZhXewLHTAugaqpV5ZNgf5FabTmtY156i
rf1BBLK7PgBFMnxtITC2QYXAWdGauOZrKpWefgNuXfyyDN6TKS6cg5txbYp8EicndOJgM2+j56k2
I6PvljYYiPu8hULR+1WNP+q1Jf22X6Xow3EBzs01BKJ8+dGQ0EjMrl0B+YVt7hUodZ6qztZdK5Gk
j7fP5XWkIVAY+BruvBC22LwWdYJEInw1TFnqcF9PY+9KVluclDmlGMJ5dJeSWXlI50B/X35/7iri
Q7KOhi2VHxAwsPAulzoNxVox4boL5DVp7vtyNr/Eo6W5FIuUp0rtS48gqbsr83p44RFdTz0ESn8E
bpB70UzH48A77H1kAO2KiGsFgHvjjWyEntsQxfSgqNcJyZZC/kxzhK6XYh8Naru+L7bCu0lKi1Og
ZLo5uuZohoW2hmUQGVrpIWz5azJr5yEd+y6oRm39GC/9kcLatRsSNoksRfwq4svL7ZZzK2xygrsg
k8JITIVWXVMal/dLlg9+IqYDNsuinpwuPhowe+3mUcJAdp+vDaWNBu6l5RU0Y1SUahVUeWwQuSrK
fZ3a81kaGI24Eii93D7Ye7tLeomvJ2QQiNZLe3lahlWv6FVgFJMdJLKVeUiDJYG9dvpd2mZfqWYe
tdz31khREXq5kMjE8V7azAjaCfnkKgirWfVSq4nBGcVcJnlOvaiyzd92ftycN/Y2fmIyrM6pEqUK
Zr1OXLWprffV0pdn2a7Ng9hkd2kUuZjZwMNJbnC5tErKujrspirQG310EQGliFDW0ocMuQzUip3f
r+CxNNIfRHoJROAIXdpbqi6PyVHYyjmL7uys+nfMKoYSt0hVtoPhHOzk3r14RRUwOpy4eetxO9Vs
tcweygDlM+NLRMffc6wk8Svmgfldo1jvja7NvCzVioNXRSzkMtWiSYdmP4tB8Y3WwuVCdfjNeQ5P
J4jDuPsAJ315ZxZjdlBlugIY4GffmAERcmkmqmttURajDGjrJ6g795Gv6W33zg6jl5BJxQ+xVcRB
DBzaayPIWHHKbuvTML1jtlxPWD/rB9TEvRNFf4jQD+oQUvubL9zaNdpZvYXi/LpMQZP2TbB2zDaX
m3U62XF/VLPctecQIkCIFqXSzQnuBpPxptBvgla1s1+FPFrfalWdZG9cuiJz46Qa/7ntgvYtkrTw
govC4sYFmWnXk6bzaeem092W2l4wJGFzUvQlAnRuH9HYd94uZIYMUVZDOIQ09/Ib94sO9NfUy0Ap
bNVnJrLt2atT3td10x+cpz3vKsqkPCY0i1BAvjRlD9WMFInNx7Nj570+LZPflJX1V9gV0zsEwPB5
ywD47faG7lhFeYu2FEqrQs5ps6EjxUhrHrUqQDW3u6/mUborRpCyFQG/N1Sm4qV0qw6Migu4uaBC
xALhwtcO1Vb5MQWYm65O3gS9Yo1UNPTwfVbqv4xRG3zGqkwPsaFGr4NrHrtJyQ9uyc6SkXKi4MRr
Qka/Vbfs0CNaJw0xM2UKB69sYAhMToRAujpmnyyzVbxEV4+GP15Runil0SEi5daEpu3VRpcllTVT
q20fjHBtBnRSVmSCm9H4SWys30e9Fi5BwSi5D8UMZPhxSfvwm1NFSe3PpiQdvD3bPRC/RnhHBKaA
ADLY7fKwLTrtziJTbTF3crlPu2EI1rZJA6NvO/ppqJqGVXFEwNr6ZYwSezMllcoNkICtdgjqsJIR
Z3noW3FcfmG3y69Le8gG3x6uVysAkEDsUkK9AukpoUMNbCxCJHAK7Z0qSfr3wnE6P9Si4X5ux/zU
abXh9klSPZajfeCgtg5DWEcJX9SIdaE3IDb+TVKqDYPBpHjd8aOhXt/FpfagRfL4UE8Uq2/f3D1L
RETUbQAiCOrLpaW5rbQJMQrbr8l6JtcoKUm5tt003+VyLQ/gHLvGwOIIxvQrnWljrHGMaV1VkO3G
mnWeHpqtN9EZTT1NXZdPt1e2d04E5/b/jG3e785Zh0UaQJS3fV0DebbbswVM5vwHVkQ2SHOEsGjb
UijNRVPCUSBu4dCc1KQz7mK7tz7etrK7cQBC6FDzTnD+LzfOmmpmroKb9xE6LF7CKfoMHm44LUzp
PVjPValLHD0hjwm2hwT0qhWFwoWlprUGVRWUKgVRLf/R6KXj8YgMj3UbK14ToqKNLi1jM9vRfiZQ
+l30+utveMVzgG2iZrqJCKa6KRK7A5+PYmTyMKuZ4spKY94jdL0wzlNaH6Renw5ezm1QgFGiL7ge
ANgFtmNz53oz1WM5SXFmZj34hdx2k5eWeNIwVNuzREp78FH3DBJCi+YihVOUGS4/KoyWMMmQfKID
HUJ1aiCRst2qb6+m9KCkmeP/9iHCGjAqpEAJtbaaDGOU1+mgO6gI90p1Z9XF+BDri3myiNoP9nLn
vDLmjFcK8rfgk2yWVoZj7pSTbfuhOpW+otWy21COPjU6fL4/WBWhKlV8SE9ANTe7OJtkAfnIqtJm
uo/r6GcNGeBF6UiEblvaeRIA/KBwg4oUo1G2QU6fSqPCLBhkA9rcfFlGtf1KPzjxnNgoP5HGmo9l
uEaeHE0hNe8pOjC/48+YMs2tpF2CDN0WVKWOUZKUCkinZgnTT1q2dI+TnR1FcntW6LFT++B1pd66
8TQxc4qsecafOQUs5kaXnO9q5tQHD8He0QeGxn2DvSuQRZcfrTaZy9siweL37VT81bdFfJ9E6ejp
3WDfKbTtvN//dCBARYcC9jRyHZf2BoaNWqtB0zXvxuFc2Gb9qzFq9Rn1dzV2AT1nJ3O0y/ehOTRf
S6uLjkawXKV5wrsIdUzBauXyXZWZk8kxKfI6PkR7OTpNRht6YTPkP4GVy5/buC5PqRJNnd/Xpj4z
3KbrAwYfOn/Ryi3QyXYS60viROPBodq7qBZpNUMERC50JYcQ0tzry9VB8XXVTnBnFtfWQuO+oRt4
cFGF/3wbrr/uAEArZkhRULwCOumRbKfIUDj+2qAwgJernZclHmzFNSJjeKrTTguGxph/3v70uzsP
1AmMs2j7g+a4/Pb4WM3uoFb7eRUnn9NGje8Qqqo/NHFknsmKqsnVZlXMTq/lyI1ko/yc9ExvB/E/
rpR25aH6KRtFeISf2dkPLhoFTbBBvDzbykYe6fkwhI3j261SuT37drd2GIwXipy10leJ2zLh9XR7
O3Y+OH6ZaSOiuCkqOJe7YdRNFmV08n3IlCuZgoYau2GMDBWe14P3ZsdfUjgB2WEyM4avL37KmyB2
MkCqKwXv25RIbcDsbTAPZldDoc56rydFuDfz8rPeFHlQrChZ3l7ojiPjmMGexI+RlG67V1XU9anp
xI4PWFG7a5npTp44xQeOZW87eemQ9BByMuQEl2vUR3PVwow3FYL836VRRp8jzuAjI1OPSFA7LhOw
lYAICgVcgrRLS03SRHNZsIcjqDWvapCsqdBW9ay1E3O9m/Tu9v7t2YMOz+NNmgkLdfOuyklTtLLW
OeBU+gJGevap66LmLDVV6dV5ftRGfu3ubdwDo19F9w+RfopOm/V1Y5TxkVrHH8q4PCVxMiLIbHVe
o6r1w9JJ613c2KPbMlrSFSN/3QTJ3Pe5xrF1ps68GwzzF6J6qjebFNCZw/e74x84wfxA0FHUrBnw
tw001AFcquPkDpTKROM4R+ZLW+i5C2gxDG7v/d6pemtqsxc5r2ZXlJiacrm4TxWroGGnJc8GghMH
l3TnmhDnE+5CGaTXu/VCcRQP6YS+h9/oWXTW15J27ypVB9dk5zCRH6EWicgA8lxb3YwIuG9fMywU
jVeJ71quduRaUacEtT7BWept87/bO7gtGwt3A/bhtdgmA4PYJH90XdfQNBGpCpm6+1mxqUVZYf5e
qpPl20Lp7wlJhd4t1yQ/WOnOpyNCo8T3is6BUnR5TdGPK1RnMlipmF9gx2rhOjTSn/SoKQ4qULtr
FAJLGBTDAsWmv/Gv8bJQNlWj0B+R1vkX8gXyarEklw0a0k36bTEi9clqpfC+bfr2dHt/d5fJcGFB
iwNhsiW6iEE3moUSCAF+qn5pFjBGi22EuetU4xGJaM8Wfk8AL1A+Bsd7uc4qtbTFnE08g12oLlNR
7Yc0yx7sFWrT76+KoovIAuknE6pdWmIsw0yeWYfoniWNFFDqAZY4jEU1eHE2JsvBE7WXawN4EFNC
0PUROk2X9mQjYSixHYf+NFaUKp3C6L+bajow/cuWXWnNoPOE5pe1b3ImsxS6V5ZdfXBgdxwAv0HA
LaCniyL85W+Iw0iHBFayZgXxJ3Sfm89N1x51b3eCHSr7tIYp3L3y+i6t8HBKlYkaMgNtCjkN7CKu
YNUZQqZb8XUkhIyTpHTK785IxQ1QMOGMUs4g4tyqLMpqlWWJLof+qrTGd0OezE/pFH367VNzYWTz
FZ00LtdawcisdSF0Ey6bWsXRqWim6b/bpq4koP53QYJfi247Socb95J1RZhZ2iD8WlT8M1h9/llV
s/VvRTKTh0Was3MzaemXSE1nD2BdHT90dlsVbi8DgR/HpTo6PmJxm2ebEIGaCeVfkODb1oY0xdqg
r0roD7GSninczidG5VVu2ISNmzdHGip750goiJGdiv78Nl+xF2U0GC2AOTWKw8xtIRoNLsWxdbyn
T2Y/zyM1qieAE91RhLLjhoDtEbJzU6jXXPWQS3124GdIvh3qwJGQvP8rafKG0VnZoh8EX3u2RHcc
6XCBNtnW+yTJyqdJ65nZniuV12WNTBE4aYJJKZL720dq7wO+NbW5/wqUervqJsmPy0Lz89kZTgiR
jidHGnqvJD07sLe/NLw4j4aI8zYRs+I04dQYi4T+TUN/PFT0X2oyfy2Uwfxye2V7mZ8odtEjEOPk
rpDloxVHvaLyxRanWv5eNaRAXU1u/x4ahIhn1VT/Egk7Cr557CKXYd2jdKK7jQwmtqN+RPVRb/zb
v2lvtwXMlQqcBjl1O0JcC3sptyRZ8jvLgbgF33D80DCjzS1RdbiHrDv87oR24TEsgeQhzyTT38I7
lrxuJHmpJMrgWU8MbTFmaxjrgClYT6tjFH/gDKlzIDtE6ZY60ubzJkNIG0FJ2XO7LO7SYmCOjA3r
JRFTsG/v5d5JsuD2cCfBDl+1OgnGs2xK8YVQxcPPeVp9A7binBQr+pMzC/ISSgS9NyKtjddVnHQt
EnOW/HVWrW/LGL+0ejv5SaIeUZbF37R1p2AqgNCDBQJxKtb8JqZbrDirF4fzkc1q59eZ3rmhNB/t
3N4ppAAMIYmNs6/U4kkuV+o73EHdXNqz3U3TV0CBoSvlfXaKMmjSt7/U7qqoBEO8ACqMMPDlqiTZ
GpZJSDEOWSX7s5U2L8OSAkO/beb6QJDCgCEAyASF66qiIq+oEZZSGgVGbFZf8xbYsFeXS/WSxWvd
HcRNO8aIl6A/8Rjxn+2ZmHt1ZvhmFQWrUqye1jvOWWZynTda6nQQ6Iuw8/JQoEnGwAUgGUJdfQsR
qREZgHehc6cmzfoJZy06l/Ukdy7TI4f7GPTundIYg+Guhu7Mbqgt08Gtvv6A/AJBmYG58splu/yA
jDpR46lxJF+Zp/xx7gvlIS2RyL/9/a6PpbAiiLWC0X7FZtfGfunSNo9A3ESFp0hJ8R3Z0DwN4qaW
PklKmaj+bYu7H5GIFKVjgQTZlqjCpWYcU9ZHFKBa5z5dkxAFiEYPYjobv/2ks7g3psTi39zsYYmm
ytHbKGirLPd7o+zf1SEJkxqZ4cfbq9r9WiYC9Rwaleh3Uz5goIBqp/EQBd1sM35a6bq/5Mg5UtLd
2zv6ScLXi3LIls00NLpTmjFSrlXSOufYqP+Jimg8JRZjoW+vZ9cSngPsPTHmFdSiDbVV0+YwgqWZ
RPemEsofyzopKldOKN7+vi3w/YKIy6vJG3b5mRQ7SeW5lyS/MeXBj4HS3XVLNwcmeL7fbpKhpyLS
Tb4RIgBbuUe90Op4kfpYFEGKuzXSortWaRgzZcxHUJm9E8GDDJT3tTSxnfkim1OkVIMaBxBR++B/
OLuyHjlxcPuLkFjM4lcoaumtknT2F5ROOjZgMMYLy6+/h7m6Urq6lVKuRpqXycSFMZ+/5SxGz8Em
X6f2f9+7N1dBQ3vr8AMmfUk+lZmps5SPvKxoYmAfN6n7dszWK6u8ESU23Cj6ymgsb9TQl2/IzZRP
GOnXJeb77M7AQ2cfeVNaqq4TB8CQknf//FRgfqB9hakfyBeXyFwgztsgUTEHqoVMZ5jmsAeYOUdX
Yt/rwmYjI8G7Aty5Dbl10W4lnsdUNNK6lEEVFXaMXJEAJQyGfeO9CxtWlzUy5ysXyxtb+WLRi0DB
2k4xx9MaJwLu2Ou8Tsdea3vSdaRYng2zucKAfOOEQDsZTAtcZRhAX7p02CnUYcgQ0TutowKvkp6g
5Mh2f39jb/RVNp29zaQDOnQ48hdHpJGb0AT0tcvVXz2cxkwXczpWpUQkKZLGC0+u79nBgA96gzcO
3+ywncq//4g3ghbo3qg7Umiqbp6mL48p/V9LPNaWSzzwnVilO2TGqw5QaaZf/30pVNaIw7ibAWC4
eI1CY+gGRkBTVn43nobZq/M1GNZCj1l25ZhuvbaLVGSz6UKHE7xSzAu3//7HLQYaX9hJLmCP4bLl
JsW1+R52I+3B4CY9K39rOzgpauR4HfQS/v6Yb5xWrA04EP6BxdHlW4UwbhqwuGtLj3lJGa2z3Pyx
giJSuMDDYbqmAPrWG/xzvYusVbGqW2KC9UAR1kXWTLLIGBlvQxuJK0XxG18/ejob8ARgRqRy4ctt
zabO+CKiTRmu3P8xdxjrz0Q071VN0j4X6P99R2XXHf6+oW8+IIpDDAMRdV7RZu0oZdxAbKNUMdCS
+HPiCIhIcEOV5Vce8K2lED83lSLMmVFCvXxAX2+FiKJ4d1M97SrW1J9Db1SHEdLKV5Z6ay+R94Bn
jZY4kFlbDPrjiMqxE6PGjLGEn0MPbqySe+bD+IQvjpzXqZWHBPSEKynXW2fzz0W35/9j0dTEkQfj
D3wXqT/cJIYFxVALeSOtrW8yZ67J3uDy2bbs8lPEbBWE9U3iE73Vl0tqN2nWVjNUi+Ei4KIckShg
+TTAQSbXPOgg1lL5FS+qaF50gf4CVTvLlCQ7b27CHYMBxpxHZp2TXDWeegzQmaig4RgpmU/TRE4d
0HMKYq9KDHkKJO/v0UvA8+wXwp6WFBjjIqUz7XItqYLZL4UaeT6Q1MB+DE5WU7HUi+oh2cJrrFPz
eToCzNgPOG0m+u5Eq7rT7Kps2oXGRqawA/4kFmqhMcc7IJXyaRzaox+3nS66gYVfa8h2jjtj+PIA
TilrDpZZ73u8xPTYJ6zVeTDXdXZgeOoytDUQ80bONiyQl3JdEmo4fB7gtLUbvEaDHKHHAGNDbOHJ
15J1OZjOEEWaKDjTuYZqyL2uOfndQHVtLHpoQz6nE4xxT20nzbkibCI7QpboY9o1jX/yMEfDrMch
7ueLRPFyqJZMPDoWQP2oZiw9tMTA30tnA/1FQk//xIC13coBI25sY1JyO6is5vkUJm4qKuK5UztE
KnjIlsS/axN/im75vLLPiAnhe7fW04++q8U3SFWOPzBGGzBYq8X4XXOIV91UOsagtoq95EeQIqgU
Y5pNbO+PiC868JczkFTjcFBLXb/3NThHRVs5dSRQnoAcpakTUbjQdWrnFLQpcx8kSJ6v3ej9VF7f
WGR3QxVisj+tJzVEYswpyIxD4UFl4J2JMFE8rmslpsIIG6XlHKU9qn9YZ0G7mMwY9muoBWQ5uPPm
c8B19RAsral340DM14Z784Z4aVNWZLMT9wpx6jlsaLjk9QBc4NEB1PHk24m3hZJzFN2HljWw1WAC
Ul1x1vZ2F9Sy++JGWslioau7GTUzww4sRHlyUZ8QeItUoOYMq+0/CccgpaFVNZuiMgrvgAkFQxKM
S8gzYb3ApBDsoTFPLJu/JHBfr246LPYTyNmoKyAGjfEi7soqzjFvW54mCDrctr1KfkFQA4CXllbr
UHYddIXKFjoJbRmlVr7TNPLSXPt09HOWGL7XKHHTvKli+ztExfOL+3S6meKqFQffW8OPJu1YWHiy
TzT2pPKLQcIxBf4lsMXFtrJ6KdJBUAa1W6/We8bdPO6mrgvq/eK7XkJkMGy7AqImcnm/1s2alGJi
SQeBD5ncjWKyWY5E1P/BJr9Hbx2gmtMUha3Mw6FtfzoFJ6586ToPJs2OPYHbvTzGJkRORZp5CQqB
sv5Oa7T/C3B2avLTT2uavlta6P0MqL/djqTKgLxHhlkVa7VGTQ8TZjnw/QIcFsfbwJVb9Mxh8GVt
AmtIjMfoNzJ4AXlfhXMEzW9tgA3ITTpN4uTCYIBij6cVNznwqfGPzsKSYT+kiZC/MSgEoGcEtdUv
BxnSsw0a6/cFEbwiBX5EJW8YpB7bvE4Nnx5YG6wuxyxsukvH1iMQVZQAFkzeODZfY49guDIHfT/h
U/LSE5j0o8tt4GtdpKKq9Ec3k2g5yJHZNp+8NX6Gqxe7hwZPwiPIOQbLO9ZCBqFQk/a27HqamcpT
0bU/KGDkYw4FSducDaSvszGXKuXBhzZDKlCsSVN/Gmzg0TwltWth5BM4TD2gJQAFg8GbAIvQs5E7
zkQU5dnCl/pAI2e/xDGrkjxtWRYe59WjMm/VlPJ9t9RzsF9X8Gn3CxRuw7sFzP3u2a0Bqx6jkff6
g6wkeVwBSoOUMyVGPsRNGNb3JoM61i/hVUF/C0oj5Q+pP4vwKyRswuw+c0Mb7JBhex+GgQ8CAYGR
BHAOHYkiSuYwKsjSNvVBA3P3TEVq7+KpncxRBQg3+3SAatyRplJ1B1VbriBOoeRa9EmT4CXWnoaW
dTKZQ8SrqdnDMxSc065K7TMPaj+6n5Ku+z3DsHkFqDYxCkGtt+F9063i0+DNprpJGNhNuyGpsw+p
9YOuRB+tG/ewG5K/E5v2CcaufPkEdz0nCssmr77jpp6TPcXviXarpfCWIUswsBs/qVyWz0J59VF4
BAK7NgNHHyILWt9GpI7Zj8U42ezGPl7XHRFiGHLf6Db8oFXd83c4gKotEhMJTxWdj+P2kLYugcxs
nQJcKhYR0kMytInKm5FEBkwllqYfMNPwfFUk2nbVXpram3cO2m+QHdHtuOi9wMOo+0Ez4GD82ram
K8BcnaK8Hm1yi3LJdUfq1pTua7+D+a3wZossuoJ7Dikzpmrzq45W9s1EcaML1qssLaWNo08i9afx
rmFhBktMmk7sEcCupNn1JIE4PIQLbQTUYhZyu84QKKB6RT6Scdyf9y4dOg8AQ7hrUgb5HT7T30Ek
uH8WIvDdlwDzTF42YgULa0arMY72Sd+t2X7UySQ2SEoylhBjAy1WG4hBpfupCxb11WeQ9PJyjjFk
u/e05yDi0RO4yx5M07RDToCya55hWgC1M9zM6/SkYJajDmhET+Zj4vnjUuhBcURFiIQFuyntJbBx
fG1x50WLpfjkAxntm8ymCgP6cRxyiSnslKdrOvjfaZ01Mt8UKiLoic4DRZ0AYlmB6NVPOSQX56GY
oYCMAhTmEmnhhy0igPHhtwHjMdg53gH8ClL+4ip+ti7plpLbauH34TzI29ETotnVoxJ3AW297thB
zdMvgkmwJ9fgHULYJWsFEHUYhhZNrUKU8sJYmGh4VbzsuO3ofGMIgly+hmxai1nM+usCEvPZ9QsF
TmpM56qwfW39vAJy+TSzLa/RbW0Q3FxovljHqYWAeMKivJnNcu6dib0D2DkhKxaE1M90GmHGACV9
cYbOKUJuh9ko3wUIBW0eWxLW76A/4/uI+zB2zltmagpD9cDGCjHMhKQYSbh2ezQhZLsz3tSH+6US
1uQtVEPELoqW5aznfoyKAOl0nUuezATypka4AjVnEuIwro49MABk+S/dNWYWhXRVC6QasvK+iEWG
FDhooKaV44PImr2Qc7zcwWlBk5MmPAqPoof7+THWgRkOzKsMfjvGSt0Cseyxo8lHNSyJapECWV1R
QNNUynLSxD29V0QKcz80nFj8tgGEljxM14Vk+UJST31FgqqGL6kaZHWuOsoQA31k7hP8zeLWDrdu
CleUsuFszDGoku6BYWzDdqlquTmRKtNs3OFfXg13bNbFqHx77XYOIlJ9mXjtiPfSZMjOEBw6krMx
QPMcNGBd5wuFU2g+O5vJY4QOrbeD2m40fYBTIvkU4G9bDyvmMiyfvXAcyw7fwbAP/SX7IZN1qPLA
ALNxVJpBldhEMwySI1pV7nYiVH9MV5Q5JUmnFNjZnkHruIm1Gc+DEZ6fz0n6H0bPQH0+RYDgeSNi
jUjkQafzfq65BxEiXC1uF4xV/TOe02zB99LE38OpilUxpZS918hJwh0mMOToJT70RxZB0XlDQcMN
dMaDKoSnCdF3OH+Vd4ga8FZyigbFWUdUzode47/1GSftrgVS6jfU0OFPNaBP+qEm0/zNTF3zoESE
MrFuwZa7awdBkH+oisW5pJNVR+5rBgipBBclrHjldknQRryEDgkRJR1c8ClueTrmhiyYZoMW1p8h
zg3miCfISAvAFsN3agauMQe+mpoDii71a11Nd0ttlg3HuRPTV+gC0ftmoZDQtw7INWQPAf6PxNFF
H+s23es28s496S1CMI+yk4XX2K8Wbm39+2yy4RkHMxpRMjDvEbOOFA4dnWhvMO6oPpHO63Teoo74
ULUV83ekHuVHPBbhtynvGZapM/88ewsNit4LzD1NZj9EwqvX6jaRM/mifWSxeJRqMcdmSWS001EM
ei7qtfULNLLxxUfULuSgR1hFnVSmRJrPHd7PLpPVeG4WNaZ5axsGnqR02G0fd92tP4X+z56wFvcs
FJie4MIR/vIkgwzUYmhzPxuFmy2zzq9z4RB+SnwK5GsDX/S+VKDDwevWxLEoaioh87rUjT3gozNr
HrA6OGVjyGQRThmDxEkkdEFn34VFRIxNyzZywZ2scUYhtBlXXd5osXbF6NKqP9KJkB7sQmhllnHY
eDeoJzy2T+SY/OTWw4xvdWNXo4JeRYsbZsAdskY91Q/IxOAYzXodB3uNGwCsOjQhns0iZ9gKOUgf
HNq4rZ7MahvUCraJ4hIovSTJZYgxZYTKlgHfy8OtnPKS5THSWYB8E/Ta2yHU+Lsx8fYF1A77Pina
dRGH1VbTnPd1FzUfrAv8nzBcSmzBVNr2+y6e8f2PKJ4bfL91onEvJMHPNqWC7WQcIMlvq6QPUMLH
mKTIXtK5MIkI4aYG48w2DwCZn3I+944UQgJjlKfatbAXnibA0ryeAHyrdPLDcTvOJa5tpnExCxXk
AfUVOUi4MrdlP6vGlTZOwXiupaGF17tqwQuGwsqRN4ls8mAcbVYkhPHxYa7E8NBBEcPkYMfT7L5C
mXt0oou+YCBb2VxOWmpoqNPoseFANpWxV687Lra7IbIhPMp8f0RaHzYA9BazTe2HhGgQPWzCSXPT
KzQYc9C9yEdYMOnlqIeGflmRP941Iwu+Q/a5F3drDb0R3KmrGoqpF9H7sIct6rumT4YfDfFEv1+R
1T6jZy5YIfATf0vAaBFJ4DJ/P3XoOOXIEk19XEJpsZ+RV8scgKbQgK8ra5rrbCMnhjVBxtKvyfeh
nx27EbqHZ1MyZcQVQNfHaJaRuEuh5DBrHFN4e+IKS7SgD7aflhQNHDRYzhBsa20OgKF+H7KuWveT
P8vnrp1hUJ3FM0U2NVcxukAB4U9bRYLLDRF72qPcdb9wEQQ1JI76GqIywmJDkmyu97GaYRyKfsC6
65j06C0xPDwD+BQ89gP1eeG7xZ7Q0eSomtK0ed+TeHH5EEK4JE+gFEnyLBb6U1CR+imMRvJsZkPR
m64GeZgNVEcKlGwoxQmq3xifIFU3bbY6nZs+g4ZWLQdRIZ4HyzNifyaLdrTT90j6nsDeW4amr2mz
c7epSWGMyrufkkxmOsCXRKsd9hQa6AlLwg/VKkOYZM9r1OWehNLrIRLIBXLs8fhj8Jve5o1L7Jxj
LiM/ppk0dzFggjLvcRLOo2zElxriK881j6sjMllvgiZd1yD30MmpnVb1dXKAh+aDomgS9JHqqpzB
5Qyd29R4HRLGNrgxtajrQ9SFDN20ca1w+3fBDOEMyhDmmmmc6lMCZ9KhULpWvJTGRyXgdzJ8MF26
QOKfWzfiwUlwxGb0DIL9ERlK/B3uEf41MW7YLlLtji2TxKmnfJyRBpjhCQ2X1EcuwuYPDZL3HkYC
0CPImynxf8VobbOcD43IgFMW+qkDDjzJh3FEzTqPc/YwjqOEelzXBI+R5wffqeBTUMxmDH8aQeX7
Bgd+LWIVuptsYUNaeAYZyCmx0CBENzKWN3CloVnhNYbs+YK6Nl+Qv095G2RzUqZDNXlI0KZuQXAa
6q/g7IsvigbtV934aD1of2Hx3lTD9KQdlx9oA5fnXNNEh7t4iJNvFZ/hgqzQbFrRWI78p5q00d2E
EfhU+NyDMcaaOvYrmyTyQYvaCXEgjP1vScQHtLSYY0idJqXvEgi2eCjU2/UODosrLxxdMZMNqUw+
Brohp7B17dc+hgxHyXWcPCPdWvA1eip51HAPH3bcX9ovGF40T4GIFwsMuHQ/AnBbQrQVVuRACbxm
OcCYFhNeuJTKpyUAOis3hs6fAd7oTAE2doJTCueAsGSDDJA9VR1qt0HP7tBVYYcJoYjJUaU183PR
ygU9kcx6fNdW4xaxYZx3ViKYGXplcfZz5ko/O+DBdd5nGZTeIzPWAMNDm+ADqCupKBat1E9fI+qW
OFbx84Kw/BkQMfm5jnWI7kMdI4OoPIkAKoQaxiKtW28q1yiAX4RMG/zqdtR+hiYEQKJQEKLO2800
UdtVmA2nwU0IBZON6jP1GNSrktRMu9ZBK6pwpMYlNKEgeg4MkihwOfr41NkOJn8oc8hn02Bw9xC3
KAwLXNgmxedhOmimGi5myLVBk+rk1/UcvutJijO0OlhMFXya4rM2K9QnIsvr7Diiv4vqTiaE30Ro
MorS8EbcDNHs3L7zPUPzoPPjubCJG4IigxJ2Ww4zSVwe6iT9geHLiNeyVDZEy6aH8E2ApvKBNsEU
FaxaZ1DnW97eCliiePdRgyp/5yLqDXlmIvRtKIsJph1tFCArd5lEF1w36nFyflvvrCSzyU1HLT+j
W8++mxD6nEDPtuad6eLA5MnaJ+euHwQ7CdzyH6TkDkhFjuS/BKFN2lwDu67BYZuRrvaBJGMBweDg
YLRtRKkW1z2OJkWpaucUyXyFrGPEpC6h9xKal1AQM2Z6AIwffSIKltGahzbBvRaLOFVIniOYFnd6
UkMeoNv4GPaTx49UN8035EOoA71qSCEhStGUAa+j0whIGAO/Z30kv9UZqT7ZZZ6SrYsMKViDSURW
TA0qmmLVOr5J+3ZwRceURU4NjUyZz0jQusPcxdl8kujUfYMzAnnPvLStC4XbnuZg68Vi509BYGEi
Xdl7Fs0p9C7QfAlysIzRYeuz2Ps2o7w48zU2H5Vb2neyHZBc9ZnMPuKzwksasqq9lVOF6h7o6Cz8
4FPPq09tyCJgc8zQb3VF4vBnPHerGSYsSyBA0NSGoCYkKCIahyxuiVFV7qrMYWQPS8ChKaho4gNh
LoStQ98SiSsyke8RPfp3shdzg1sB4OndWMVBGcWqj9DHcsE90jeHTwlg6ji7Gwf0SO9G1GxQAYKI
xzGeZvc+noLlu+2tqW+o0QiDzOrwqLuEp8W0iZ0XsoqzZ0/FwZkh1OATHphpS5HO9BOo9QH6sHWf
flsqBZTBRE2GA1bZ9LHVY99AdzoBLr/vxiHNawqGep7BQ4Uf6im0wd7P0A/A7aYYEBe96Cr082LW
5tGYWr2lsdlBSLTvdnOjgo+WEPEpZpY8wIBugZfGCLHMQrJ5gS05GoM5rBKaAfpfHoWWBuX862hs
pY/AwjDo4FPxc6kBiMzVClwJWvap3+2zsRJ+mfQ0PvfG4uPgc4OxTcLIjMYmck1/5xI+vE8xCPtN
QuUaaA4iEUJkR581z1hnaSFWFj8JYponWNcA67CCGn9kcG1q72RvUWmGuAJQuiTpfIPWG7Q1R5bq
+n0fbeD2uB/lv6NMNmY5eAopmlEghLyc5pkwkB1XMJYCoae/Q/UoP6qoq68APt6cjQJ3AQhmCtLH
JYadcHh/tBUXJRQ977tuAgzI8gMQW8mhgphxIWl2DXr01pKAtYB7u0FNAAB9+WAuXPxE0akuF8gS
bT0vGu6UiasdBJuRs0ggFw71mP07MRNmrgEGNNhUULEuwQIYVDIPAyP0w3ptSzfC592jqbkzNv71
71N0qLUQgFo2X9f0ArnjNRgtNJVfl9DXjo8NvG2Leo4shjOePvw/loJIC2BPAGK+EmsJbYUKFelh
KXCHn2NMpk6xHy/HxUXXeMLb9PjldBmQU+jPAMa1iR0kF6/N4vPE/Zk2JZQr+nfQyJF3xGCc+/cH
ej02x65FIAJAdYNs5OyXhwNC9K6ym9IiulM7qIbbfZLh62TSf8JkMrqy2obde/lMYJfCXBmoRSQi
8Pp9uZoO1p7WAySb0p5jvrCKbD8w7xxbVLQpd9NRUyMw+zPVISLzNbbX6w8BHzgYO7AT29RYL6k7
3E6dDWZISLYVBoWCuuUG9vTykVB0OqtEoTqTdHz/9w1+jbuAeV0IlDyEjGCRc8mqzdomJX1GdQnU
pCvaVmt0blsP9z3YB/+8FFTjgJvEehACu3TimSvKnUddV0I91TqUqgyWw0z3GDqFSdpckZ56DUSi
G93IB6YcMzPAPC7e5TbMT8YWRnxVpG4maFTsUFOh4ZNi4Npl/YeuiqITWO1XnvKtdfHhbUbhUMtE
Af5y3X6E6CtKblFGTZfeO1805ylZkx0mRY+8C82hb0I88IKj/O/bm4GaGFK48YD5dbFw7Y+rw8aK
ko3jdApcu57C1NoGYk0CvfW/L/bmU2bAYqdwwwSCePuS/oCzoNerEqtnUWrcwSA42UCj89P5+9Yu
Z4wQ1ceeYlKLYdU1oYw3DiwI4BscG5h6XFQX75XMLgRjx0PyHfuAkXUuOiik16d+9LsrR+jNpaDg
BgU5xC98IhcP2cSIorXedjSLQJ6DyGTsjexM1NBf+Qzf2k8oEaCfhbsdpOTLyKMapIOeFGWbQVQV
eqP6MHhOQkY4DD67aAgPSxjbHbTj3JXz+jrCUiQVG9UKi+M7uQBeVb4aFcTBcV4tQUuHcn8/+DqA
TSWPPzZMz5/+fnLewF5iQQIriGwT7ISK2ctd1cJAwgCGHrDk7JeHqNJz0WqUZEzDn6sKWozp0Kw8
dUJPO+45urddc02m+Q2ZPPwIYC43EPwm4XZxeyGJNlAL4B0Q49V4C5BTlGxTqehB82ZyO0i0o0XF
GQS3c7dyFLbaoKzcoX8bniHQgtHv33fljaMGojbkJjfKCMSjLzdlIRpQiLUrfQa9OECTJuT8SXzL
+pVfyRFeX9y4tUHnJ7hY0fi6fOEcCCglGO1LKhzNLR+mWwAb/CvfzhuX2UY/hRABLlL4K27H7o8A
ITtsaTZ3eCA9Iu3vUvEsVzV+jKsExNMV5nWjp+bHf99FYBriALjezXBg2+U/FsUIekLOk3XlytVU
yGyOjoTKaq+57K+ACN88xv+FIIqNxAm6eEAPrmcrAPN9STj7PFigdyPndAHwTn8Ht43qGEIVcQ9l
S/1ZRutYCBHKa7Khb73KP3/DxSlmoceiyVA87wyVIHRQRH/HPRH+e3DaDNchyQw0IdRSLkKEn8L3
eMH4o8RamERov3nCaBjOsqsjT8BfoAPQtI5/w314TSf5reiEDd5k+uDuDLXZl28UHMgVoaLpy14Q
e1enCrDJhY+ADkKyz3jAjP39BL25HvR2EkCloaMSbnH6jxNUDyDhe2KE1KwvlhLD+amIvTbZuxj4
G7tp7/59vTcoqKjnYlyguGRSRMXtFf+xIAiZzF9i0ZdVJwZ+ahesVMgwru6WKWkexjkyH7QGIqeH
gQ3MmScAxaLWW5M8JC4rmezim8624Ze//643TxYkzKDRBsXx5FLrzvZxVFcQkyzhotx+9ywY5B70
nK9kEW/uNpy0AdjGpYc2/MuH53Y2aPqGyAhXtP1r6slzG0wAo6Gxez+ikXAlyr4RlGDngkALNSfM
hC9x8DxRKnboApZwPqWn0FqzB5IpxqAM+Zpfmfj9mo7S/etTIgkF2wVHOIZYcnipR7qqNiBoVPWl
7ofqOY2b9jM4UMvDEMzraSHg3155zNex6b8VQaGmwFNDPvoiDvJupmO9cFmmsWmgthuTj0RQTMuy
NS1qwLqLXuB4L4vBpC5IgZrsAHr9+wl6ldFsvwGyqAkqX9Q0lyhrMzrSNIuHg+2nCTSr1uymJRux
zWHE3gsW7jN/yIpGCfuv2nFYGaQMbDkEHfADLk4VkDORqRoNAXJYax+tUawE9lTnwzLBAMqRazrg
r07xth74WfCeR5x6ldDgBl3YsnYSBjdh8yPjySB2KTqnTytEVVURruM164xX5xgrbkzjzQcFoO1L
TYW5o8D9oEMD5oqD6Vya6LPjwKPW8Nq5BZoxfQBkMr0SEl6lKNuiQL6nEGBCjXxpul1b12dQfZOl
HbI+p3QFFRJgJeT44lqK8tbzbdc3Vtkgiq+V1b2QABjRl3XqC5XHXqe6I/TBgiyPVt8c0Ctsv/fY
3MPfz+x/H8aLBgCeEbrBaH/hQ4U+0MXRkQ7YUSCAh9IDTeyDQecaYzAK22/RTBHU0CBK+xnjvaZU
A8u+oJfQA2DiKnbHAbwGCgEo7pKjHH3kPKiyXITAOP0/ognYUVuOiB7PK64ven6R40kly2yQ/dHD
/KxEzwAu9xTjHr4u7vz3PXnrdGOEij4Z0rntGn4ZoxlVpiNo7JfDpJYiXgTfzx4ntxCnayFy1Vyj
wb5WMME7wG24kdx8KCtfyvENSQfwU2eGspoIJs1+tb5DcsHm2wouVed0SVZTjguPvhkvTB8av+/e
JaEbq7wbV/J+0GhY/fuWQ04T4Rs3FXqGl5ehM4Nyuq+GEla3XUm1HI4YtfASClzBPgXA8Ur8fuNL
CyDsAScKuP6AyHSRb2FAEfXMn7DlTVQf7Wie4iVhZQZpnP3fX+6rax7pHGjwqICg4IY23sVKK6k4
YSEAEg2SZZ0nfh09QxLvmpLh67tgOz+Q28Ir3VoTF9UNm2DOAoMvVbb94O8B6oWCdBR5N9kqoK0Y
A5KpqjQ6oWK4JkP1utDbWrworBFJwAiDvufL4wubcyrTKVJlBPARKtsWMMw05TsD4SpXDpYkJyMn
W4YceQ4xdDhzZfVXVEjXnHVfv1U4IEZoRgVxgC/pUki7ndC+9wHBhB5AVh29eZp/U3Tb300mVvbK
iX1zLeSVqK8x44eU48unRpmaoXeBtTLlm1zMEZR1g2bN52Vpy78fobeWAo+SwjE8AM/oUkitt/Eg
1yxWpb9ossMRE6ew6j61gWquROfXh3X7CsG2hGAwlCkvIxHQERFILRSvcm5XnWMQDBYI12xgV3bv
VRsYZwbC8QG2D5ZfuA9e7h4IYmoitoFd1Lh81ib56KFzuVtdo8s4gcn0GmHilG5wQ+Wp9son+dZ+
4hHRldjUfXDhvlxcSz9a+IqnnDxB9yNAGSfgj+tjO67DlaVeX7P/Wf/BnhzfP3KJi+dExzAYAIgd
y7SJzV4MfvJuQeZU+mk1AEqLGikGuoaOV2ZMb36TKaAy/7fuRQsvTBT3W/ioAjSOmDApx05dlwX7
sB/0vofl5A6KhuOpayjFDWPGx5WM2Y8extTXIvsbm41CDwJAyAnRDLnsfq+EQVm47Uf4fNikAO3M
v0k7sHHVSK+Nud44vTiyOL4QZ07wai82u4MDAkd9PpYLcFQ7TPnMrcRE+/s/f42b2MLGFcVC6Lu8
PD0QGw1wP6qxhDFXfxjcwkvY04X53AfzlVvqdWLwP8yd13LmRpatX2VC1wMNvJmY7gsAv6U3ZW8Q
ZBUFDyR8Jp7+fCjpzIhUhTh9rk5ER0WXWCT4wyR27r3Wt/ATs6Nh98b0hyX29aFaEHmp35k8JV3V
7/yKIM50sJoXyUMV+hIgzjuP5U8PSM6zzmdgQvMWEpP50kAC6vUIS+A2Lhio46p0viMgxGLolNU7
T8fP7g0WTyBi0GJwMr15NxK5nBH00g4gEVIryhtHD+EX6pHipL7zRPzs3nDIamVKyNsB2O/rU4lD
ypNVQCRGz9m+MxZivuLALRjI/P3d8bPjUFWzbwDS4oIOe30cQuBEVpYprN3R93dBMl7j9nwvHO1n
5+1HFCaPlcdw8M1BJja0Wpos/W7JAriw6AP2qTetsdPwnP/95/nJAkZe1xZMQWnBB3uzkAyGM869
FES+2daW7QtTL8kHZK1zLq8AzLvRlM//MgOS256ZAP3FrQPrvY0nI08rE3OxDDujZuce9Et/xIt6
K9RgvPPC+8mZZB3Q/S0vmfrpLSHAYCLYLEEz7PyCbI+lJMeuwCkcLT46m78/kz+5MziNgIC8DUfA
MPD1nTFsLm/qp2FXkdhyi/DEC+3Rmd+5z3/yBPNaMyhM4HQGztsAT7eB8SVXm/u8KtWuyNrs2Aiz
J1ABpQ+t5P+HMohhLu1g8LEshm+nx2YyWEalpnHXZpi8J116YddQBhZ1Jn9vOvzHN/mf6Ut7+/sm
cfjnf/H3b61QDH6y8c1f/3mVf+vbof1t/K/t2/77n73+pn/eiJfmYexfXsarJ/H2X776Rn7+H8eP
n8anV3/ZNWM+qrvppVf3LwONxx8H4Tfd/uX/9ov/9vLjpzwq8fKPX761UzNuP40BQ/PLH186ff/H
Lz+M5f/x55//xxevn2q+72HJx/Wlr56a73/5rpenYfzHL4b+q82thRsTJgs3tM1tsbxsX3F+DVgi
NiQXySWMobevNG0/Zv/4xfZ+ZbgPz5Vx5jaS37B0Qzv9+JLzKxtRthG+w36UbbD5y//97V5dp/+5
bv/WTPVtmzfj8I9fGC5zb/95009Dm3kPv8XWf+XHvbn3rRxstZGbJh3VNftc2kGJC6tIXexI3KKh
joo3Ckpa+Lid0hAcShcbi+bd1l2VnLK1w3eYBXpoG+lwTUUvHjJLfhXD1J7GZDLIWWqDi1Kr0kuE
dPNV6o9tFZtD0V4hpwZ2vrr21Rz0O1ZT8yTSAAxeg1//LPPVP/llymheQ4McmrOxXEARmA5T4pbn
oh/HvTG06xdwaUYsZ8cnWAuO4UWK3uzCKOQDk/X8ilQncbC83gr4sehEU9xCn8fEkbvtfO1NIe4q
h0ifAP9UTKcf14RWZ+nBA8i2qwbLiktsS1XY4/8I+yx3Dp1p4WNCci/vCqEDwAeJF6VBSyvERtJv
2YU4e8gFDxXyvn1tevO3pZLTvrfsF8AL5k5v8ajBurIipvLF2a2QZVLtjjvN6ucrY0jns4G2kaRk
2nwnRm50bJcM52hoWCTayWrIPuvQ6Z5NbR1jatgynAmwjxwjV2dU8PYYorbVvqy9YT7XU+Edx9Eq
sF6hM/qSGmN5pjsqHobJSmNlz1gHhrL6TaZmeiybeS8TYAMUa+o4t01zytqEtIumsQ5jrzdHvxbi
w9IPazT1uHdTa/UuhszpnNAuh/nYZsOAODKvnIvWaw2gBf16qspAu7ZyHVmiW7eHoNWLWLUFYNLc
qhvEZVqO0o34gbBVYognx/mtTTv3YkbPjhq+Xe+YtDgYDGiduqL24UBawcHvtP4ACHy4YFvkhJNV
umeXbty+mmVz9JbaJ+2x6T+YlYZJYDDKvUFZdeg2RLDESRU7GNLjztKMR5qalRnbsErRD6eh66xJ
KKR3UFucz4Cf7HqpxWEYS++Z3TP/CsM9p65CfCw9BM11t1+wgkWllwyhXnTeeaMfXBG87WC1MNAF
e1T1ALbnsKwd71T7a33K6m48igAtITEWh3qe9Y8W2MNH203G/QLzVIuCjdRQuZW/Gyd33mVtYX9u
qyk79iM4JHIhzOYiCZqsCPVBTVHd+msb2UNhfM6qbD2oYp6/pfDwI3TfZhf6i2nGg5CYfwaH3rfe
5NkhrfqEPxxyDhpIRxjrWwyTRBFHgRJViL2d2AnAm4DcuZZzqChOdyNq1Sl0KvnV7Fc9Yh8vnxuT
ifm8Ll9L7JTkjVfWtdHPF1U614wFDeNgaQguQbwlu6FS2gEv8ryjUavvm5pTNM6ucdV10gHiXIuj
i0Af1kM/OBsLIcs8+tfV9LFbAqS2CXEROzAAn0kRXz/Q/RJxMtvLfmjrvS5le2y0wYgBqOgRfrTP
rT/ou8X2kk88qtMlbsDqjlfgR48QMwAXmrWjc83dCL7BupF2cQ8noiQYD4+HlpflbUIORWyXo9+F
5SKn6w4J+7QL2gKreYNF+aNrSnm0sJrdjNbsvXQyMy6UP9kREcVwnApzzKHwJKQrGFIfL2tbl9pu
STUTMMNYb576BUcGCO/mOiu74iLLUNGEetkfWjvZcCHrs7b06iqj1/C98wAIhUgS1UGIIYsQYcv9
4GO6MNYqeCHnHRsjP+8Ad3c8I0FdLsxytEOwwHtRlR9w7jsizpcC05mjTfVy9ikTg5ucROo10rqp
/AQPXb8mEFsvokJr1rtWa678tLdjMs/NE6+yLAlNiaUgwmnEHYqG6lGiHRcnsluaA+DhQcSFKZE6
6RgAau1seukSS5Uj43ZY7qqOfKw4n0009bn2ES+re7GWdfGIrHpfB4t/mS7QUphGmfFocuuWbVYc
SC6IkzZJiVHWgvRk2dl0mc66iw3Ktg+mGO04KOdv8I54Y01FfbImBe/UMPF4Ku6gTDplVHlDgG67
KqK8L9ar3MV6Nef1oa2HfB/YzTe37L9UQ33ygvkzCafXtp49UKAxoaPdiwCvcbF5AZuaopkc5+NY
iqcZpOSVptr00jG2m8Sy+qOeE1MyWSPQj1SmxlGsrJTFOlyrYLI+gwdI6afa9TnzaaJD7xOPZe6p
r8RK+DtchKgEyqmKumkextBe2y9m1X1GE3ddLsENJr4k7Of++9h3/X5kkodPTzDCy5Z9UXryetVs
O0q5rCdMpQjKzSxStn9nVUa6N7XlGX168om2eRZbZYNTr1lXXttBE5GNiaHaDyYWs2yyTwkO3lBj
x32fMg24qeB8xtNc+ndVlfvhMJWXUwkMJHJ4AbchN2F9tPNAfxCzVz6RkF0UYeWn2G3yPDnNS9Md
QA9JVrup+qSSEvGwb6wH31VdpA/QJRPfaz9PtPZtmiBs3AWTpJNhCus5MYTYG27DPnsdiRBx1OB8
B7Vl3gRVrd/1THyKUONXvcEyqSrs/2csLuq8eGnysZ2lU1zkbVfdyiT5ZgDHOPcJLzEMnHcpG5AH
zTK9wyJXYEgDZqvOE94pKGEx+aOTfUFs6QQhIBftS6ml4tRAxWl2OlYMr+Ptwrrs84fjHLgx9bho
HXnhmNK9KZUOLiatDHGXytV7aszqdjZc8NGUVasRZvXQXHGJYYGPnmpul1VNH61S/zS0PFESV3OU
zxX44xW/CorBak8yT8rWa7I+mFhOjmmHSDhqKD1xkNp6R+uGIiIUTMhipxLuZ5H7vAeF1V8gdUqu
XBPvYNYX832fDvJElFSHyqhbI1X7CmG8RZfUDKSGTXKu7NDQpc97Zfa967RLjIs087V9kKoxHOwx
Mp3eJASgTi7XzLUOWaVZBnieqpRhGdRZNKFM22PaOGiDaI4EH1wtfmGEpQeD5cwguo20OdONsFDM
88uJ+T6ckTJs575MdqSG2l9pU/v4FH0NC2dhlBFRwd73xuzlkawRdd0mIjusjHXPsjf6x2L2J14h
hjJDUs9ltBh6dzt3mhiPFX2OWPKwEz9YbGPJvEqMr4i0ym0sjIfU1Gr/0MIh2nuJrz2UmWThahMX
X9niio8EM3Vfegbr+mXlL8lLZQHmf8iSRjq4w7x13xJAkuAF8r72+bxWG2rJNlEt5Fo0eF1zcNzC
/2C3w2+9pf3Wjq71sMDgi/0a02nGa78OnVHUT4ElRj1G8tHhhB2D6972JiqQ2v+4uqtWxHxVO0P2
Ohh+VlGRZOhj7YHkRrYM+w7R471TcKsASlr5xWcoE9D2ddUXPrVWCgSmNuvYduS4H7ngN+CPPtnU
knvp6MkexHeGlkYWL35NjprPPOM0sa+PPbcENMWkd8eV6I6SVNUPjWQQNddfOyb/IbbgMiJe7Dsl
RHnZBFRi9QoZoHIORv0F/wrG2Dy/tJ31Ie1hX4pRm5+K0bmGNtXfDlWZnqhToEZ3+8oVeOqyF7MN
dr5q7js9eIEudJ9L+5tVmget1b3j0q7mJYzSx8VfTlXl3WKJNXYwdk403pBiNqKEV6SxcmbuqU9d
3j0ylTsWwjLqHWr6RY8rOzuY6HqeZZFkLJuLokQLwGLsk8wd7pXsjOCYQFAVp2IipvWuhWLm3Wll
/s2jgr0zNWt83LqQG+zJxRFiqvROS4eOEwHYqfVwCa/Sqh8SvMfhGhDEM3UjMoABgu8CluMmcJTS
QzfoZ8pcAOAXW7IhOJo+TWMn1Za7RZ9SxcAI3nXm9sV9OvFPkiUMekNdMSHTUGQX+dEXK7uFrOLt
Wut2dtLSSrv1ViI9I7aU67VdzfmLDluXLVfbRrnTt9cghDHQerlza5ugDTx4sWEjjVVnMbbcw0SV
A+/hUAFP5HxW2gB3owMPMU/wSy2aXFRLIjuWC+L0KilwdzZcYCdn/eHda3UXxWgukeGn8qoe7Qhz
w2e3tTkRGLG0U6Nwrpq4KvpkkljQag+ckioM2ki8XAHl3Ffr2MTN9Lmp04iXyfRQ56u+o5FWH10r
6fe+32JYcbxzA6/knFkWY/G+mu+yzrys7O7W7aZ1N7hp90nXeuu+K1UXTmYxxI0ysyu3W7MdY10Q
bUVVH/rCS0+OCX2Stu66U5TgNwDczKvMkOa+q1374FQThuXC6+4KaBfn1VyW07RxTqSSV4iW7jwH
y7w9Ltppwfd+laiuxsffwCx0M1WX+zGf6/t1lN+nojWOy6QvsQIb3YbK2vAR+aQ1lw6P3RImw+BE
8ODyD6CyeWTx5dwbaik/TbIqzd2YzKm9W+DyPPZ+kLN9qANilnJO4mWa2/wBUOYuT8wGf6sLT071
Ae5vgxVBWw03wgjcR5ndfE6RxV4bms3dNqfafIm/2cciJ7TPfeuDIK0rrhYt37NvtOt5nVc2rJV1
LH3R3HZz77GNLNLbdUmCHStcfe8467jPen2NOhefa9248rmfjTUuRo3bTumi+y5E3X5yRvys4ShZ
h8KUFoPd5m0WAfKyPsrOx3NTuOXD3Ckd3IyDt3Xtq5P01vIqL+xHbgaKn2lU+nkFbFXvYKKR9yW1
7oQ1Kt95wPx5PxdcX6ydE6KE2d4+Sxai4JI3tRr9hz4V1IRmPvifa24M4q/9kX6HEFfA2LBE9ko9
+qsj8F9L7TlZFRCcZsh/g/fhf3Y1VZxKDKGP/946dbeOTDshzBjZ9nQNUSYS6+jA+I9QbzwZuGwv
/n3yihWamL0xc4L5qHf44FUaSEL93OuCTIAIMWlKtZDfse0srg0JDOtHh/NfatA9tjX/e9tze9Wr
+9/18A4v7db9Gt7+qP8P23fMMv/UCt7ag6/ad6dvL29bdz++4/fWnWZY9O4cFBnojbYEly0g5/fe
HRKcXzedNq09hj+ogjav2B/NO9f7lcRo22JWw3d5OCH+u3nnWr+a+NfAWjOLZ3j0rzXvXg8ANtEC
/V3TpEvIRooIqDeDE9UrXttob3dem+HDB7avik4eOsQMkGzWKqp08V5Wwesm9nZM7CTMvQCxMsen
m/26VT65TpYkGUOHHr/f07zIZm8sxh3m6fl2XnTnnc786yHA74fD7cDgnCapyWV4fbhRH5MWOsuw
a7wAgooNIqw3V5ythXDjP135P1qjf26F/vRQ6K1IK+BoGABfHyqZGAFPRjnsUkPTN8BiRlMLgXyA
L5fa9O8P9nrI/sfnQvuJbA4TB4281weDqdYatcF4rbX68jqz+umQl5X1tStKAl+1xY17WAcL1qCp
v6KHbL9z/J9dRqaxdH7JngTD+ObWmXUdJXpF7mTq+vWFmOja+WXfX27olXjptPciq396POZFDHLQ
SvDQvP68OJ8FaHCL6WWSdPf+2nVXrrRmKDe+fxFU2ju3zc8PR9udnGpGitYmyfmTrrjDw4oW3u53
wtPI6tUq5NowDimlfee4QHI4/v3l/Nnx0EywfKNI5Mnfvv6n4w1K5E2+KMbbQBv2Y+oat/pSBVfg
LLqbxbTeG1i9vVdtrLwopPAgsgKx7Xhz+SrHn1a7lP2uKVb7tsS2sR/MCo62aPIvf//R3ugVcFO9
OdabSXBgosQG2sGkm3i1U+lODTvaoY+w5tMbSNPpOk3NW6yF853dBvoFuCH7WHqDZb5zUX/2oblh
ycYluIFZxZu1YCkUkJuKXwRuVxMrT1taUI/5xTx1y/Pff+jt/vifociPz2zayENYqy0GdW9TmMiY
FqmDjYKolAB9cB70obMa8gFUUQW2aly+gSlzavQZXbL/Fw/NAsQ7h0MwYeXBfjNAtgHW2Q3D3J3K
IKGZee7ciG0UE3oenUr4aB5jkYyEzR412Ttn+O2qZOuI8ZHEYcBkHvqXUFNhlEGnurTe1R/znXZt
mxE91sOk4vXhX/6QnGRknEyyEDv+RVOYu1augQLdbXuTCytz9eOKEO7Sz1KYtanxfcns8ZSujffO
uveXT0j8wqbKRhmuYzb7i0eGc2t0Aw5vUGT9kYP0LPR+cVZbuUn920B90OZDNzdubKVJ98468deH
yTCpCuC08z7jDfrWOQjiOzCKZMhwDjrrHorCGlpJB3ZEjK6xMysXuIal6KW54+gfE8rOy0Kl8KKy
9j3zxV/u8U2KY20qFkzZyJHeLMmwe3I9G5G2ShRWcJeL77ndWhTvWXOgc9/GlKnBnibKe6rEnx94
syIwcSSCeHvO/7RYJss0FFs7j4/LyMhhUrNjQNgcVt1qrumx2h/AEdy76/KeZucvCwifmANSw1OX
ISx4s5LpKjGYkfkYAwp2OppUAl4D9Owx7/V3Zv0/+YxbfhRKCeSOWBHerlUuPJ+5V+2u6WR6iRbE
2UN/mU+iDuiGDqZxv/iDz4zSyd+5w/96ZGpPn8oQFTEz4rchndayeHLQl3oHlUHFSam1X1K9/CiU
bR2tVkvP9shdTusquPv7Z/rtOxB4gUEDjhXEwtOAy/n1ZV3MToOBBnbK6XovKhbf2OmrY134yroz
0kA7/f3hfsglXq3R25uWyKztbUDI1NvktryFpAO3R4utwlif5hyeHo3uEXxUvuhHXyb9ZaJ5Kdyp
ucguUzw2Vx4N4udx8vtdt414GI3ZJ7GI4VGz+/mYk0z7zsVg6d7Kxle/5ia+hbCw1T5Ue2/V/J6f
kL9QGW6ceLKpIyz9/frVsFoL+gbs2e7aC9pGXtYy1/QL2J+FtSsSdosHOrtWdRDrYjL6WKSsHoa8
XXtirFKAErE+JWYOw37S9WsSZ2zjIdl4ppHdM+Jj3ASI7FzKJhuOid01zldIEyjmEZevZawG1dMd
K1o91XeYE5P17GdWjV2EnEDI9KYYxr1WEGN9bS2W/zR0a+1+SsYhS6+E/WPe1lqYGMuU9nRYaOP4
rEtXmWctS+ePqxpM8IdaL0CEcdshbjG79T615FRGmbS4JLVZljbY88omXGRok9vOyuDp4D1o6ZoG
htIfJ3+xX0rRyiO54YpUYoa5ka+ABUfTHKQf2KjoeeTVI633WSx+1APcbm7XzFqmk5bBGotFVTM2
HVahXXY8kCAuxnp4CuzZEvvM6ZdDjdpbnbq08DLCjudhOgBSUZ8nJnR3PcY+IuZXJ/mKc6abz2mv
yTqEGe5dS19qaczAFLy/YowsDjDMRc+Sknl04mzSXOPWr5js6DP/didzszz04DasCAXA8IRNvjdg
g2rjR3/qBzPqi1pZGxoMvWsxFPJJ+s18PbWeu+xJMU7mm3mWwJDzSWTTPs9rpsPg85iPU79rp2rM
nUtj7YC98PMw3UDZvcY72/5G6tzYHEw6Rc5JuWCbIz53LqJ1ydb0mPi5efKSfm0ukTdnKp4yujTn
LNW1nV4ztj/0jjOme2Ol6UGHc8vYdUbl2nB5UveaRj7/we1hwsfCNQxoGD4okThbTK+Juizzzf3i
Sq8853ZB5EOmgV/mBWwlu4LiKgX3VsslNvBqlTtG2MuFtNMp22ldkY4nl4zvOZqMzsZaIslnOgVG
6+Z7U+EjCwJtuXYHXR+jIij7ZedbWhowgV/nR0uAVAPvJSiI68XMmMiRLFPHiTsTe1cC3N3Z/Wg0
MQUWfHh7sMpHLAc5l6EfIf2rgQm8teZje29OBZMUgxjp4o6AAdSQTinrC12tjAxrsxj9mxH993yy
2MtdL0tipRed4dgP0rU0uMsoUjyk4XriP4ix6S/FKjtrF0Ar4gj9ovwYPhJ0aaNWaRM2WW71h14Z
y0GHstMeJsdObm3yOhirobhuQ/JHZh6nbugoSGuhzyHNdq/mqSpGFvtKLz4YQ5B85N1SIKzIgO6H
MGmD20kmDSzT0XWbsK7AoEcuPTCYtKlqn9104H1BSQrU3VsCle8bVAzzLS6eQr8zs6ru6CKq6g4q
mgvwqdU3DC7Wk10FLXXkdOhTcKsEApNbNiBBFwkiksQVYgn50ArTKM9BrWNg7eG27kxVNt9kmZek
H8hpThBitMmpgbgOf5nqCTZUbhCF7JRkIYVzpRtFWGIS0KIE+lcbg1aY1K4G87aEVP6zhrLHTb/T
cNbXXbrStt3wQEEMHyk7zorOSTiuMFzHHnhTMeS3WdZjuM8TB7wUeustTsP2xkivGicgraAw+k+w
t8DRjWJAEDOXYsxCv2M4dTMJI893oIFJDi7rRYyntoXHzIXGIrBH4EQHMDUJp907SgCnq+rAuZ6Q
HqoPwPHsmXIg5boWUPjdexvZDKypSh9JB1cgqWod3Av4Sraqu9ztEit0ewkruBjQUDBJXh/GUmMg
BpJU7jFjkQQiF2+iRd0vQLFK5I0NDXa8aQxOM6GfzKIobholmiquGLpZN5NuTx89vff0Y6pPy12A
AP4xIUHjc93U7HRm8q0AUXPbHEujoknqzglAwEyWAiInpVlOT9ayu53ryQWNhITMGc+1hrw6mUnr
5r2zLOg9VN58KFMY27s8aYpbhhdNALM/U1Po1yMiZtH59YNsfcUCqlzjwSNw6tsQzEJElGj0r9we
3V6pqOhOrTu06lTynKdM1AJVQnUd5+GEVM3fL20GYNkd8onXkZ+nL3Vadj3udz1PD91oeB8CaMpj
bC6QiVkYFTmeHiixNaqddZpCUamDHMbm7E5Js9LqScYHIVv0UkOmLRfrYJuCxn9SDSwDEiK0SswK
HHrr0Scf1vU3YoFJ0jIK0yUtZU38iIQwkwZ+k+HMqFUvtZBGTr1pSSASh6m5FlcrutkhhOSsvRiZ
M97VolbiBOQcVqsFOjksDKHX8LMLo90y682zvVr2HOclDfnYshK/25NIyoOxwBqWEYUSb6KpaeGZ
LhLKeOwvvQPCwbWaBK3IjLolzSk6eD6U+bxk1XCpZ0Pw7GRO2e0B2AZ+mMxVt0fkI4tYtrUtGOLm
6zP5LBqDYaxDEqEqTEZwd55705mdWkPQj7NDyx07A19UYozGZMEZWWfDOWvb76lNWUGaR+tdo08d
Hkeim54YYxO77WSNHq9La6cR1Unz7MyVqBkI2+kVb0EA3uWsvGcShgfw5Z2BV1ZOJmTGMajsNVRY
5GQoV7/UL/OxcwY0E/1wZTPleEw92X2p1KgzmFuJ935QHjOKg4A+wWwORN13Qhd896BNvpF9wDZX
3rRry8gOBz7GGs2pTEpDrSq/qdZWp95NJ3eXuIlVH+Y2DR4Vt7UdVwV57iEcQ9aPtSz7uIeC9y1J
CuY+wpiyFICtWy5npAdbyWlR+iANhZC+UMJdKG+aqlNty6HaL2tQnvXRkF8Wocyj8EufmbgtKRYq
LngdCwiE2o6Rdvohld68J0BeCSSBifGSjPqiolYbxUIWNssvQgsnO0L0NGgGVbqPekrLdI+cV09V
MRWTf24bbdSjtdfTO2GTKMDWz4CF6hkIBq9cFEtEJPwwua6oJoHIUkxMhIIYJMIZrpZ5RG9Zlrgg
NxPpSL7O5lOL/YCEBilZvSq3b8BvgiUCscEDrYfmimVgTwSNUGcIbsHHpRUhw+9nqknburIMJ295
VcEcJtHb4ieCznWk+DQzQ//Y2DkpCSl8StD3whuKcB5t+UHTp3Znz7n/2KxF10NZThRjQOrv7wuF
KI0ZCIuPjTanj2pphhbDWVV/WgXT3O8bVedAYsdK3sIgZX2FLruowjlYUoCLlSlLVEZpN14Oa1Zc
TuPgiJvZ6btzAb9Q7AXTZVYxTVjLafWXAvZwrcin1Gq3AlpI/wQctwWwUjmz25z7FRglSE/BJl9b
YMVHpSSGaJ8RdV1f97M+Z3tfG7I1Wtxhno74TKUIO2bi2VGl+G5D2dl2faoEokGimhYS3WiELV+q
lDjdUGZN719Q8kJSLhj0zaFDFOkaraY/PgWqJrLKTuamJtyiqi4QFOvDAQtETWXjJ+mR+bDlxesg
FExQmVlHbbFaXuugHycItMbwrFmT8U2MYGAjRVjKhjvtrXiZmjWI5sxmPEuHx3jE2pcrOJyapkXV
mPGIrnpupABMUzik0pvqved0y7WGeA7WcO9zw8K5XILQsVd+PSAzAT9QXwdWn5IqN9rgxTMz/cSf
aGuK4q7owKCGZmc0R5ijaECExIqw8VQ5JmNd//vI+FNxeyr5DY/uNFDrdqx8nr2QnYRPnRiGulha
Ks4sx1M2go8g1WrWUPHalbeMhAGZOsoqr7C+Wk1ePBFqJcYDAaeM1qspaK6QjaBVlsLLLXQqVvWp
oMfRxGPZ84Tm/uSVdI0W89QLC4FlCWAioZw0bLIxPHciMqevSRWz/a4LiOPwlyYyizJj9B5I4HGG
grxz8lfDO+hM9oPQslGB3Ch/9YvIBpYtjqg9NKqQBUpP5uRuGjNeEBvLQNMRs45t+YlElVzGWW94
4WRLVKkgfqs0lCgFwKCW1JlnSYC9vTMp9RYyhfw5nK2yu83qyXtMpT4gX5a9tme2j7DS1eWyb21H
03cTj3bPRIIwDIozDbmd5iCDsoK+2hSXJokY2jR9LOlPeHQrBdFihdDcmSxVG5US6DEEhqunEPp6
chXujtCy+Xux0Ak821oz6Bf4Qwfru++P6mjPQTuReJI3zwB7Ons/JbL+VnCX8qTY08S7ovEsgZSD
EVxoa7zp4q7dkO2D7SFdKqEaHdBzjObO5TxphwaKN8EPjSz2jTkhkhTL2J405VYr0Opa+8Y5BScA
hb3ow16w94XTMAdn1Up1zy524gW+FltKh8tTxuheFjfaGsyn3qyDBvAroVad46ucopTA1aPGoHrZ
VYVs78tZjOxdF/BSBH5syOU6Hxb05rW93rQ9KeasvvryAV8NtrGpI+qAX2mebg0Kj4+aWzmo7xnZ
6GEL4P1usnUg+03HG3MHf91a4yZdKX0zqNuXE80DQoSYcX0oaz3nNkltlr8tdilkH5OboYlgpgF9
7Xr9kbgI0szXBen6LhMNaV2zjkAjNPzZBHUvXX8/jLxyerZ0E/p4s4Jc5OTZA5NvSgY/z/UPuMJR
EHRp64OTGub1YCeDzf/ttOGM2o8MUz9ngWz9Wu+i1EFWsh9F1u8JCxNaSJqw6ewMS/pF6KBRKhGh
9Rsm11q8LrKzcj0WiKQ6niu78uMsaIxndyIDZ99lpvfgD3Nzmdujqu/0OvOTKMsIuyAmT5H0bRrE
p8SoXHjrWbRF0hvmQu6jPa2o8kCZWVf2MEGkVakJ4JiioPY2t4HWX2h1pRAmkDWjh3mlZcuuVeMm
rJtH9HOBN6mTECaBcVvTp9vlg0symdeYfnphdpk3HVj01xkps2ztQ124MGGBTrk7zmiSPPhAULYN
agvsBp2qPewdsYr+ZnK1IX+pkFU4WzIMa3U88amYt5gWm62pJjAwZEJZBqcOyQpE8A7IyBHdRZ9H
Y4H+bwdzwVkPaUt5TQtM+I9u304rcN/EAKzjT+qjr5eLuXeMZDklbYPIWpP/h7wz2W4b2dL1q9QD
FHKhb6Yk2IgSKVK9PMGyLBtAoEegf/r7QVl1jkX7mjfvrFZNcuXEAggEIvb+999Q0C2HPh6+TDqc
okGDf4xfrOBMwqq3/Q6zf7oJlXZiGzGtuL9BtDET4yM9x8I9KWCIxZQdw02ha1m7BLRHc6RqkgE0
AWyt9GVYBMpV6eqixb2nq06BOsh2WXB6yNtc4QRfWEZrxIdGcSJv7XKQEZUoIA1v8zZkNFkligc1
jNqYhJHCc2J/UupRXQYyySjNzNBYdy0xMr5iDNkPM1Wcfenpk742wvmVqOiIOfG7yvbhNQYRCRgf
PI8QvBDjWkO+OsBh7spNNA5CPs1O80kj6fXdGEzVF2xjqNAGM1LsR/hlrUXrrWu7oYV6CEFaHU7O
TOK5HyKTqAur9WLH10wNr0yMlEF/PQzOvxVZbZIYU+LUTHBBkcFJ1uAMwsSp6+GmsWKBa3zBYY6y
G2fWNadVRveLIJmOoinDR5UKTFmaeVdHPtKVks8lcRuGYVNPijmCx0hCtXYbXMXhpOJvncF88qcx
iMjzwFAZ9bZB5se2TxIXCiml51Vi8E99Ifp2D5bgTMAIuB6RV2VZA8KSvIZA5+qZvlTbGNo9E7f4
60DOxiGiqOVDJfQyp2rujBBGH+cljXSdki+Cy/STlsX06oE2DCTnhRillGrk3Eym0iRLYZfBj5id
9y2DUfNYK3KAK18hXlzEuN5SDbplfc8lrXGHFrx4MoqoJiTTjoL3aKyLCd3EqOjbiE6SE0UiTF3m
ZeXcUiFO49aGzz0cZT2Fw4IZYQkX3YTtOIed1ew9k1s77MuNPAiSe/pl1hb1m0OmWLxE1VN/V8bU
eVMJobg1J9mCWgyuSzWf201GSQ3qgh/26MKCiyyLtC9mvdvG1qf4qqpK9anmyHk2u6yPUBD0ySPG
diqcfYhkh7LKgci6KG4MX4V2ZV9hABFuirIK7XWUVmJrIulgfAxW1mD1Yn5jRrgpOW50uOaGHS6F
qOJNK8lOWBQ1hf1iULTpaPeY749iTN6NKtI8TgZFe2P7aKs7aujI3spgRJRsOxQQPjhDwnqnHYtW
ODZQjQANjSCLjILeQ1JsYJ43GlEAIGTqypIGiI0ky4hcQNiJXyStIQ2z5/JfZ6zN4jqe0gr5l9oR
/+b1FFElgIn0Ocgng/ZUKuZ2VCNUYshvha8a6QCcCMVqjdIdrAHssZOrctZJLftk6pqlEzvNS4bL
V7dUyMUU607r1LfWMzkhgDAZTFkwQu6FbSbudVAPvYt0rSnrhSZS+HKmRyN5bVuuug6rNmco0GBA
v1BDp+l80g75Zkel7nYcTNDyWAvutiBJY1gEuZHcpsY0UMcUTV2AjUk92MA+RscVCUy46cpsuqgO
uPgLW12Sz+uBuHMy2747BLRpFL1SlCtwaMErq5y235TMflQUHnwOy9acxgiJxagUzNEzPpiOCqNd
MdkuVgmvEb4mZj9brTLop4wyI3Og6hqUZ0R7aCktdlWhFkkdHOCqrnhVIMRNa2L2+rvcyboRksxk
1wsJoxlmYzRA8CYLAMyhIvdvC/E0w1y8lexDJIeVT6HKHOrK69j07wFsag+HH5N0hRwY01x3U2vJ
ZR02EUi1VyTFOtEighNBQujc2Sm0mvq0KEjkRBjYLLFIR5db5WVI4JbSdemGRdfcqpidLzQrRd2a
xlq1JopsIkYzKDvpj1MkQW5RLXnLWAmzhkAd8r2iso2AoiJregLLYZDlqmiSoikA11Ad0b9IswJp
0O3oufXazlpawsYsraEPqRahoQjYdakcedugxsHC7UYiZktI8O+CDQtQyTHHTTAJo1g4lltt+qSu
Hnk6Wrk0lDS6LpkaESXZTc21Q5gGOgc9tzZsCHQyXT8NeFdnKUbgbjEpKYmRI2Y4KZR7jtKSUBzm
LbpTbKksVEqLCaL4eiDphnAnymc6GlfATSdbjOm6NmUaoXcueoibJonHWyUOAm89ppol12z0XXGD
WhBmOsxgz9sOnZpR1YRkTPoDlnzNWtfK6hU8F8tikDgLr/sur7ajw3JZ9oypuo1S6elDI8Yo25J2
6WwjaDjawqH9e8XE3zaXgaLKk23UVnEtyKra8+wbAlfcQLkNrMJokEYGfbAsk0ilfglFDv4sA/Mm
HoOQmCArpvvSzSrGkhaPF2jnjsFrQAtro5jQs8Bcp2phYPpNcsidF2YRXQgc+q9RjHkfoYiBoyzS
3uiehthVJn+a5MQpyzQIsrtbvyhhQbs9gjsEq5ARZO67jpVLX4w9urfShpi7bVgfXwjX0miHsCrK
942YWIWFN+nf9K6MIJ/quYuyp9IfzMkj3WfGekkI1Qev5DPXk3WIpdJ3h0C1bjnmbfVs14a7scnq
qpdeQOKBX5KeITgg7SAmrhPFOs7KVK0wivoXeAbd29D34CRBHBS+Ivsq3cANHZmOlAG7cwAEYmAD
l9L/t16a2ivCpKJk1ShMuDaFksW7xHYSgmTCqXK3mRytO4/OSLCPtrY8YuhJ/liKVvcEwA3Ln3CJ
aFWaURFvRoLoyfBEw5gtUgC54No0SPe7i5lPSD/NI7X/USmJl5KaNTjSeWTc4ll+OjKK3BRYeRnX
yjiI6KRnTmYc2mHoxluXsDjvrtDrxLkh8SZuvliJZ5CHhY9OsGBKKY8aydPGgsFjaV+iN/0ySjY8
PFkcLFZmg1pc1j+Pks0MHjhN4+AbQUzmYmPYt+qgwzPG73iNRLG5wHuZR9OfZrRzDrquQvXB3AAb
nzPqH8TbOiJXGBy5jNigGSf4ptcXW9tMBdBRRI6ijJrNxwD7H1Fy/9/4tv/TNPPwCn+a5f9Cuj18
b6K/JfPyZ838x7/6m3jr/AV9wINMRwECHRNV+n/zbo2/4OFCtIP4No/+IRv8i3ZrGX+BbcEqYdrN
sB3rzn/Rbi31LwetvO6hpMHKBFbVP9HM6/Py+/dyQfcIK8t24QXp+BVjwz2TjH4isGjuJIcxqZmI
lJXygBCNQUnTEG606INK+k7SMGWjq2+onKJow6cpMjz1KGGtngQgXR3aVSRoL1w78F4nMeTPFfN9
zFYbxSW8K8e7HdGWFzwAO9RXHnM+AC5nXP/01I9/3/DPhNfPXKiPn4HJHwwRx7UNAx7x55+hmqNb
4TlGG0/44ro0uqalTDLlAqVQ4M/Vwh35hhEJz15ypU6quvzz9Y3P1Ij/ugHoGzAn4UOp6hnVbTQr
uiJq6VlmIEipxPa06WO256ZqxIJpXxtRzHTBrkxcZeu0CZGtoXKfMq+8ykG9ugmiieFNW+5S3k5d
Ut0iXpMoQaoZ75f11cyLMFeFzOlN8lJ55ONXljFmDa8Cyqu5N2tN2MvRSaa11RN//Pejzmjd//xT
P/itZ0sGT0UXKxsLfxHdnKlJPy2ZPHRUJJEVygUCW+4SKbyDHFRO+WkqPar/YhoOvesJhHC0G4y9
y4Fc4sQMGAK4XvTsdX36lagnyjt1MDyy7pKwT3VyfhAw+70QrLgLtzyT28+Wue1C1YXRg3oMGu28
S/90zz0Tp1RrcmPR4HF00LThO2LXaaXwA1ceYV/XGcFAO7K57vXBnLZO1hPVFTbW25h12S0YOGNH
jrnMpwmpNkHtoD2ME6+9NrG5fZzInfoWgjzjTzLhSLAcMR57BAymHBAEu0OWaNfUa+rRHYu1CHLo
37mo1go9o49VlrEZ4qR6S4am3mueUT8nujH+KAiVuqu0LN1hKN6ug6Ck71IkjXNhKiunG5Ilieby
mrhA5xZ9mYsLV5/fo97x3otgeqwTd3oq2ip/LqI8f1Kc1PZbjYPPRuZ6HYfSW1HnjkcZ5SlQAWYi
pIdmww65m30ox1LuiyknFA8UCEJKZzzTcwfIgkl89rzkjqJSHoIm7hO/cAiTJb+3v8cLUCTIMMkG
HayMcRJ/jPJz7PdQPm9cmpsrQJD4QA9/2+GKNtTWRNsdLrxWfdVJZ9YXBNw2vhgUtH+5ojfQKj31
xCC1Z0LMdHwzDBZhxpSe+zAKAXU7LCgCDwOa3sbuZVHVRTLHGD27o+KtO7trjpUjk1WitrsqqbR1
PWDwemF9nW8/GrytOXmDEx7rWPPceKS0QxACawyZP3U93IQ5HdoqZFdtcOWof7SDrm7HRlN8hQy9
2x45/H60nWd8L5XMrxPYdYxGyOsEa+mEbxvEvTCQjLfd/PXrTkZ/gVHTBV7fGYHTUblrBHAmpGAb
g2gyWT5/FLnb4b5OSusyKxWkvqUxAzYTVbk6UqCzgpws7lDhd7MBiGbgaD8ixkjj4PXPj+9zyfL3
fZAUAE0YkiGS4bO9c4BiFE3gV8tu6KoHj4hrH3UaY452xEquroA5S6259M5+vSqHhePACQfAQsFy
RmvEKxvX9bZXGGzrEY4UXV+9mAgWv7WI3mELZGHebywxMf1PCm8TqFaGNHHAQOG1q0bmH5FnvuIw
KW8UKHOLEpr3tV0NfgLMOV3YwIjEPtvAZm7rfLzR+GCfBCnx87uqe8fFZKa28dbuSLlunVtu/i0a
S8NYJLoTbLzI9bW6GskPjK1igwfFNU7CxKQM5IgyyI81pgz619I0i6MFNnRI9BGIuNbjDWNiAvOw
Z3jLDWXLCCPedR0of2rlz8ZYqUtTw62d+MjgHmFLdmVXmbphMAHaFfaaP7nBuEF6q5HJWKJICyLP
L3qIvlLrc+iZjdMeXIIoUCZT3S80YJSNF6Y3Q6Q3C3yOmfyNLnF+Vdc+S93oVoEZeUe43eGiBrSm
5w/A7id1ir7EnjPuEIO6G1Hg6ii9MFgnIYaKy9AtrDVDSfue1C51q1RRsEkyAi+ZLNUkG+WczFVk
vlpRz/xmmpOMJ6HZL0OhIHGuZnW/OSb9Ta4opoKGTe7qXq+PllXJE+703bsJ6WDNdpYc1JLgLrJa
u2lHBzhMC1Hqjk9s6oCHSmXsI0s/FVKAlyCWeLGDqiA2MLQOlmzjoyIMfUfuF7Qxir+rQaTBaihg
Hg5YMC8wwIt20q6nXZ0ybMoYWt9mwAvs2WpYZoRXFmQCl45FPQ935U1WMK2RaABDQAQwVpYwOuyx
jDLe5Ax1iYuEHTWaitwO0h0xqEjiAAOcuvyq0Yv6DfY4rjqJqyyM28MYI9Vx42C4gQt25dIorbPA
emGMaFyDxj0Bo8P/qBluyy7euyOVYpXpwFFMpQ+pYhEbNckGsffkvWWcNpucprMAFyqa1B/CsvAN
kO3FZBXunnb4kUzjYC8LeGduN09gkzzdO5jLLiFUWxvpqEdVKl8iGQ93I6PnhSIkguGy63Q/qmg7
ZSBqlry+gTNb+vCwX8LEKE7kFbu3KTYMi55a6DGoRu1pNq6/KkJhXEMavTKMyd3A1GuWkZuMD7g/
KchAyvKuGYfkesjBV1EzPudKj/eCYvbH2i7HY+cp8U7JXXM7ZZSzWBmAH3X9smwb1/HR64Mcdy2A
RNS5OSvMo7GPcwLT5dB84R329zjTfAnKdM7yI8Sy6yA6krdZ7DjmnJcqsUzgJ7tY23YWEMOLRJ4M
oO+jgsFMVhDmSKw1liwLkaf6bqo8ucb4JVhiLgi1s4q+F2aj5wTDOvF6SJCjlp32EOQwW2P68H2r
Up2ua71QTg0fzKnXpuQtL8I9QQbDqjbr4hu1GCzUzptXkGszZjIz/c6EXLoEZm6fyFK+F2Vo7jJd
qhADjEzDNoGFPMX4RUAMgpnEQGHcpryAQ87U+iuyEPcZYxsmZuw9j246lbel1IsXSlXk+YYYbyRj
MipjiDhiYwuys5s+7QmJkDFjMatyoP41QiPIMfGi4EWB9LdOhIi/105tZH4TZQyyZ/Q4JhD4Ci96
fcMaq97Q9n9DyesuyQbHBstB9ppGnr3RknC8dsKwuSajd7qVOgQWx4KY5jrTM7HZPwq++LUgtIej
0VuHqp4tNSGOesqUNvMGcm3gP29aHMigadvbwksZKZRDTWi1lzhPjhfBtO1QG1CgTXH/BDpVGUSk
kmBpQTyp1rGSNLd9VYTfxoSpMMLlaFHKnvhb0ONp02KDsagtGRA53wRbD7QrnkuBQ4SwhC8v6RUC
Frv8PhK5wrYAO3GTUjtQX6uQYKc2Y7Yg4PZqDWwedxzeRoaB1xU+JHsltpJy6aYooptuSN9ju0yW
zBayZzdnvtDXtvnWBmN7T/Q5G/9orgKpuF89/Ij2wq7qLR+0dki80lv1jseb6SxHsX2Jitre4VSF
T0tC0vkyzC2bWaM5YMfk9DgiMGg3i1d0KeDqo93XO419TCwR2CmzUJxvv8T/h2luPGzVQM1uYbTr
YlUy2fNWONLocO+GXB8eY7y91yVszQbQEBdAmIQqApt2KrRbTH0xVPm4kuiFjZ8XY9YF4Kz2MDL1
2GUVKNGibbUIyg6eaPqpjm27eG89Ri4Fd3zoCohRjPIMzK1CW51uKNThEfOtraSEm40EgANYQFvd
lHk7HPt8lC4iE4ArMUzawXFL14eMZFwJi823zYCqZw7bcMydAgEUAUWRtSrLsC7XsoZ6tO67uOrx
yKBGuS5iEr+XbpPxdNGjbcjsiMlFdd0bznHviYun1Z2aREK84dgSGkcoWDpsJoqRhCqYcdw6rgMc
7kLNBWYsoqx570q1p5KRGvLsuN5+3CoIP0qBugFtg0j4ADmv3lr4nx+ylmWsEYt+YDyPM4PGYTy7
nrkk8HJU4fjo3mhZLgmOmX99PPSg7GYy3tXeaFJzYyX2WEw4oAHrYny8ALkbjo3F01Iax+7uBlKw
D9FUADRTTppfRVWwNLRhdJjFKlagrQUNpVz0SR9vZDD/ITVP660cau/GsmToT4aRvpZETN9oXYIJ
gKPW5avX1k21ROdf3umlx6CdWSTWml4nWLBFZF61ccsPkfnE22DW6ECgZErc8/9MJXidBaCvy0uC
m+ytYFP0aI8jvEAhs1u3BXVivkw1TGA4OL3iOh3UkUGMpXhPXljw6IYEo5my1uW7CXP2aWQuggPQ
hLyEimKwvuLOoj5rXidHKA/DAOuKOMwjkGTwY3IVsWcg4a6JwnYWBRZqxDgNPoPKXVkHALZtZHlH
WLDKKsfAFMKq2c/jlSZde7GC8qobx3Wk5icVx/yvqaXpe2usr3ol19AKyPzkYeC1C5WpP0RtxCgY
TgPY6+AED0aa1MPKFNa3Imo0xlt0UzuDMJEtHJjk1jFEeWpT3dxPntr4RZrz7xqj3kHaile9582d
mvQ8H7PEYu06gfOmyQrY1igBG+F8lddaM+o4xcXpu4QCzfGxAXf3xI0xulQqZZtt0RLnP3JYKfsM
9t8DgOWsqphslGR2U2twt6uyfZ2adC5VSpzV+kLjBAkSTPLirNL0xWTk4wYKNFYOCtx63SlRc+bF
lG7tJgpGTlAjhsbAMe00hXYlUhN+i11qGIYVWoDmoCQtcasOuXMNB3n4zmBOQmNmllQb6rDTBAnM
wqx1eynp/LeFOYV7M+HLXqbd+BTo5jM15r0Thac60mPmYWV9LUdV2+ADdmcy44cNMK4Bf+q3sDCK
ZeMUuOyw4m/LgUJqtDBjUfqRKt2N6804KaeoV72lF9FLKjacYwakLdfioIdbMtyGTddeF4UobmU2
DVtQBPeLEeX6MWu8Yqn2iXErQgJqzDrTVrAR4yVK3nAPBS842EMrT3lUicdOMZ7LQjW3hnSLg5G3
X5UuKJ5qq4ztpRLBj47hwAGrw8TzAvkEB8N+xT8CuSg+2+91DHea0ZdkHWDbtZjseW5ZuxiXKeV6
cmOTM7NpTg28WLngywQiBB4ngFY3efvGe5xbj54+7idMfxYFntP/GRdh0QsXWwlLugeal3CF9DZd
UYk+5pSd8ajeqkmHd9JAx2Zo9Zu0mzu3tb7pifacd+zplVre4cFynyjiIWLohnfIVz1SHz961X+E
dP9vNJ+YZdn/d+vYdf09/xb9xwzU5t/xSvgZC5//5b88KMy/wEhA4cDVPnDt/8bCFYQkf4EEzDax
qkmWxYzQ/ZcHhYKBLGGqJtIzpARobwzEjhI6J+ayVMZ/eSrWDbNrBGc9Q85/BId/BgUsApZ0Cx8M
UmPRZhvqecJTIwbqJtGP+x4rk3VVAq81zMLoUEjKQZvT7duh6Vea1rjQAo1pB1E9X+kqcUh9jV+e
sEgVMFKJ5aGJHaRisylBNsp2lU3NPERx+xBntuKLfHqqh/YRN7avvRjahwDTMJgvFW2Okl9KyzqL
keJnod0EXTEx6ufpIZD9jB70FaaukH2x0oYjeVVBZaYjoUGqJ2XzcaOqg7cbNTdFBc6rZVVc0qt+
uDD8GzXmFrgDc7YIZtgAH+9chg5x0RPs4ep+irr1i1thEYeeVBTbLuFwc2GzaEOgwr1HmPOCWCcq
l50bNM94yxUn0ecQrQt7NDHbYRa6zRJbNRbgO/lLW1jiG0BPdiuMpN31hnS0Ra5a4mowen2hRPS3
tiXNm5p4TGRHhQcNv2nFIGdqslhoesqxqzWKcFBdXEJuPtKxzn63O/fic9IpK8I7g5nozECxqpoj
zvKMO0qTirpF8+DyFqasfmhxpNv0yGm/RodqQoPpA3M3WNptpFfeQusnCalxzMQroinjUqDZWWjd
/Fb4nvgcPaYW84zq7O5EEhNX2lM2ULF6X/M0StMFaGmwsYC4Xo2k5whKaiPkVCmHHQwPBSKjjoed
jTITPi6JtMWi6pPgQujkDPl9fmoAczqrBH4teKp1Ns+RsWS0Xct+jzHTlyaZ+dQuePdPe9RvhkYf
XuhnV7Exneb3q0wFMKH+/Fl0gRXWFpaBezWnl6hrGD+hqfDtWtF9UlUNQy1jQtaiK6uICLCZr6LU
66xssocsLaDY20AbNs+C4PkJSXZHjweKg0sayrIG+V5jIJJCtYYRki1JOTA0RgROlLsnVI91vtQs
7ysKeQ9OczTiDC212Lw3Bzf74mT1l9jqpnAVzZFuKEsj30R25/cpXdwiDhqBAa4Du3RK7OqdhZdA
xNLT/MIz+s36Zdtg62VUibbLYNz4aXJSo9ktRDSoewMm0YuejKa7sMbcgpujMYACLJTrwO6QHorS
XjpT69zbUZXRWIIee37/kGNCJdL3P7+6M+x6XrgYjrM68AsBvMbO6PNtSRqypIc6t8+BVpZKMOn7
ZLQRRmJpfcX0BvtXBV+zqej6p2kqUAMJy9mOaZK9XLgTDp+zpepxbNhM/rDYAEmeR08/jZY0okcE
8zh1rwwF1iwBNCrfnAxekpBm63vSsNcihMm+1Ap1/KK7YK5Eb/IAk8EioCyx+ZYW7ThcMgGaIeGf
VzfpOrrDsIusenwifgmfagxCLgk4705Okn8tdR6Ta0U4opOggnBDv7rwHObfeXY58mG5Hh8Tf2Oe
c//8HJAg1aFpud0p06sXTgF1U9f7SEAj1fIu8UXlgegn7bvamuXWUF8q783NoT9YBnzMgd5rkSlu
eGH5nu8jPAO8AzBY+XCz4Us/u6nBGmqzt9WTHIzq1RzIPMtEnW8v/PbP019mivjKfESrkbuMg9a5
0YmioKVt8fo4jao0Fp1MlZWssuh6ClS6Z5CJhZoZX0ongNLvefEXkfX55sI9/Pr8edHkq2JEgduK
ee4TNHnpSAR7S9TA4A0bR+blujdVuXIgD+8jxz10nrN3pS22TqDrC8vrgr3jJocMb4tFgX90haUb
WsIAQtuF8cUvXysm1o6JwSnTeQ/DsNlF7Oe1MQlptXoapCco7z2J9EgLYxdyIsSCeNEjFUZs58C6
ihrrLtHaEGBRt24kddTqwlP69U1xJ0yZXApJGBf62YIwQ6KmMpibJyyr0o0VAqcbA6xv1z90FmqJ
zCrFtYWabWkZgXrpHX2e4szr5PPVz74RU89bQxdqehr6DMphiZn3oOIkWWV5BVLd48+TlxpgptBW
AdOMZWzkcMi98NKC/WVvILSJheqYc+2MHdnZYxgSGEmII6KTU9bRIqBY98shb7ZBC4Kei7zww0gm
y1wJ8mXevhZW8ypzi3Gt3Tz2cnKOoo2NvU0GyBoFZu3/07fE7WE5AifGJNcbKtPn9dIqHsGfjohP
Bhp6fwic+tQbE1iLHV5rggmrrNX2IETjXdtda601osMu3MO8JD9tZ9wCE10UNw7NBQ3B51tw41xE
RtHHJ9UMDhXudHcm+vIVU9TgSjaatijaIDogpS6Pf/7xv3s1+Lq4/CWLpOSPWv6n82SmXYTZFHBh
tKBAByyPKEvipYegYG2n4SW/L/38ANPnX0oYImWIThbH+Rh4TAW2prUQJ8tL5bILRH9V2YEF1Taz
r1CkjuDTuCNnLZoJLBCaZU2Lv+lVJMatUim7Qe3xesNPfKyrfGVhjc3AkFBpRP6m35fB+EVGme1b
Q/Nk16W2DplvH/4/nhlVLDmfDHIpZj+/rNkwBd5FG5/wD8ftKUFHFKfiRSAzWGgZBuJ/vtx5l/jx
xGBNcbxqfNP2WTvlDlgVMjYUJ/QxDwg3ug1RDtGaCeVbIbybwjOGSzvoL7u7zqeqWgbmjXPwijYz
EH5aFRZwZwp6Fp+EBfcqDfQXtZbBVR9HC2bQCaa7DhHISXHnuQfPKg4xYS83RdNi1aHbKwYHCk/+
z0/h14Vq8tM12m9Adc7Zsy8EHlAXKQV7iCYHF1KK86Tr3QlMh5FwUNSXnsDvLge5gtxaqlCoC2cV
39SVSdOCSJ1Q2VjpEmEVsSMKKgOI98NUv2PGcXRcBsUEHSxEqtf5Io4UV0LxJUCiw5KmWejWtgtH
6xGfk/Qrj9saL6yMj7v4vG3wJUELpsd15+jZ+WP76T3RD2RV3E/iRHSicdthBPHYdH10FXm47qLs
MCa08GmRGovWxeKCdg+2ceHwrfmaLYz73uragwat9ps7U/4XvYYfcSLt1iRpJjf2eWNVNzhXjKc8
tfSXP7/Rj3iys7s3MMXkZQK3wDU4e6UY/KCAivPwlOZI4gM4w6iwEBWCQOsYtmiGT4ehIzOJoWcn
yQalsnGNA8/ImBuLaYYqJoKDZFtXQ7XAcASSu9ZE6GUG344cZ4FJeb/Dtb9aDgrJLBKbjJj9FFo2
qRQ1LOuiswAP9fQ75AtlZ9V3rp0n94Hllb6JSaDPqPY+zPNmP9YJ4qOE1IKemIF1ldvpkjGFfqUj
h9m4LY3RhWfDizt/NJ4DdAI4RJL6eeKaMibILoZJwRskxHA3IxYit6Z49+erfBwrv1yG5W3NLA8K
97OTzyMylilBFp6kU43Ym+Pdr+fEDDHZ7n2o8AyZkwoyJmKZewGEtZRV3N4WZf+ADda013W32KXe
rFwyy68whx7bxMM10jIf7HF4DaC1ryZM8VRZ9cT/NMEm0MGcTMgvywrS2oVD9JfyW5/TL+cWHvsu
B07y56/BVVskTlJTjgYT3sVUkxngoUT/9ueH9gu8xRbmkP1E0rBFh4En3efLBGQns03Z2TGO+bAC
2ImHLCSXJDLyW6irt7iiO2vsvUtM6tW9VVvZhfPnjBNJYTffAT+QUENMAClxP9+B2kBtG0DzcZN2
HuJy41gHJSBa9E2Y0apqHNizybU2rbx5CD8ONwa8LvJX9mX0I2RuMAjvAoDy8Zs/LyTuyAV0cqGF
EtN29ilPRFopoTpkxylsjK0RAIppY6yvJ2GSdZLk2bVLeNNDV1UZmw4Rk3ljI5IM0CSpiJZXRLN2
Pub04p0AymA3Zko2u5S3q1ILBQVX4v7jtTIfJnQvGGKqQK9nO6fj9GalJWZ27LCjXI297JcxdkgX
PuNfz1HeD0JWUi4hZEHI/vyiUuRbzWgZ2dGNOuwD2j5kuGdIn7G3e+FSvx5YCFnm8hr3SYP/PVsT
EfwAtSDc8ojBUujrI77cYYBKP3Z0sUwM9dIb/81P+/f1YCSfHZA6Fit1Z8fJUaTuVQynZqEZzTUK
W7whtVVp4OrtlruUFBf8HRaxsoVGsOmNEVVRtQuH9Z8/yvnXfV5/8NbnU0TlOQPg6Z8fNAqoph7G
Oj2WCSrV0gLswvlz08M33Oo2ojwzdlEGkl+G7nS42Of97vLIIKwPD1t267PVZNVdnlbWII6xaU4b
26nre3zsnT1a7F2kCDXGbMHY96bS6gtTa72tMfaHLFfCGzR8Cf7ycT7uIMZrmAsBTeToa4hoH8M9
sQrxTaMFD39+XL+2Gw5RyK6uQciHjXSOZxUlpiwG2N5RTlD4eIM4D3XCQsBqq5CT8mktHeW2cItL
IOhvNk+wC5Abj+hnwANj3sN/qlicNMegVAuiI7jiuEa1f9e55vTYdfq76obTc6MhLDJgNeBOFgcL
8K1s+eff/uvC5Q7mlYLrIsqG86pDrwZ4qt0UHUlAu8sZpR8ZvZcLyIP5haf8C96NFoODla6OX0uL
aZ99kyMCYUbKBZciWks4Jdp5NzH2rVLIa2i2hxIPMiTBrV/CPmjLwA9rL10yRzi0Y+Fc+N2/eefY
T1E9U1TQe31oM3568nrv2FOL9+DRmBCJB00iD/jsWCfdnV7iWm5rO8/uVbILLkQLz2/07NPU4Pxq
c6FncWCdHQ0YqVaVQ27hUQvI+VFsA62W3nn+n9/qr9sfb3OGF4httwxbm9/6T7+uQJs5JUYeHUU9
dFfQhdCEREm5IjzgXmrjBTLzb9YQRzB2uMhs2Grds6uZFQZFTV6Io1J5D/jhJusRK5gFQEJ/9eff
9WvzR5vsYkvqWowpKdQ+/y7o8P1AyqDAIl57L5rRWGmBXj+Fbvptdmp6t5h+rf58yd/9OC6Keb+G
IhDH9c+XLCr0b71Q4qMmDOXGNpjIe7ayTW31+58v9Jt3BtDPnJVcZhqYD5/Sn95ZVJCHIzmbb6tY
74hYa+ytHQ/fW70vr0dVubT3/KZbmjFz1gYlCk/03EIYzlIA1qRrt1OUO3tL10hDieLpwNALwMOK
/coV3TbCCvGG4Z27qxhhvXht6ddx5VzVUaBva8ytGbHUDsTtphk2qE1+GJi83YmqlEv4uvHtn5/R
b94/W9W8yCghyDs9exl4MLrYNBTGbV07Jgpx7HyUwrxBK/p/ODuv3raRtY9/IgLs5VZdsmzKTuKU
GyLJJuSw9/bp3x99bizKEJEXWOyegyx2RHLmmaf8S+qm8P8B+6Gcd3/ND1+URXOGURhNIeS9rnfA
4Ik8rZtCdY0o3Q+yf6qrz1HzV5PUPyRUhzpoVzGKbDoQJ7l1kENFmNRCisaDaAK/xmi/2KPkEGPM
te4ph7BrFmLK7VshmNARgcbPMQQvdf0DEw+kMYhE/6Jm8qVpnJeqk7WnQrXPuoxEU5cWwUJ6dRvF
pjqV4zAVF3R0Z6EcwOAoFYXnX2ikhRBk4b/EsdLs77/529a1erXMvO2ARR6QK9PyL2YBF6HeQD49
tYYTrplRfUNw59to13vQuudS739ZnOKFMLr4A2Zv1hiEr2Fq6F/YHSDcNRNIOzR8isJdk6u71okQ
iXS+Jd7JAzWTOGOzsPlugwJpCbsdlWtilzz/tPAAUXvUMqJPAaqxC1lraP4qaPFskurr/df91my8
vpuopWjx0MljaHMz1wNiBvJIlf2LVoQvskISFueGvxrSRG3Xqpbt9CEs/1K5+A9TM/q7Ihf2Q62b
6UGvCMXw+oMVaY5zrgZf/hvWOUpmaSxhapXbxZ8cBPkAIKN4pb+AbKE0+HvJihAf03W0UCWMOlFM
i60c3JoVboUP8Cvp4+ExtBFzUY0helLtON95bWL+0qQiXtf54H2rB8U725Pz5P238dG350TZUzDm
rdCdvT5VHtZsTpQLcWlUx5mMyP4gbFqcPFXaaa3anAxAxojuIemFwEyGj6ivfMm1/HD/Z9zmKQxZ
KaspsZ1poji7W2tZp+GL3ukFZpm/7sLorzMi3tGWXXSmysFEuW7+S+Ja/vvP65JAAAmCCaFRGE4x
591tBN5t9NOq9S9+bg4r5Mm056yx/RdvUC+I5gXHHjWlQ4oC6f8swLEH+thJ+i03me1CZssyOxB6
1DTavV45Q/urKJgpXLCPrlaGbf+tvSTcJBqeg2j6C8HdCF/QyaVXRJ+c50Ed1L1CMHLDOgi2RiWA
B+W6G9rW8/138kEGS1+R+EorFDo5VNfrnyakFElJJXPc0IHNQy9knX9VQQd8M+nUM9eNPpk1VpYm
1WYHjBQZtz9VpBSPQ+Sb/x6Bp44LrU74y445nzgi2+KXphHit1pG/U8nY46L8k60sAtukx8Gh1wt
JD/0vvGXuX5gHGJp+iJG6kKCgDMY9GcYp+W+a0v81e6/3A8uMShWVKu0cAl0hna9lJqOUACQMnUT
2m3bCAgxuiuIGRfAl7FXztp1jALwwqIf9I444Lw97S1T1udfFGAsFKUwcFxkqkE56aVurKsM6nCm
i+/RAFQ1ac0AROlA+A1T1dugS/oMhyU4OHqBDGddWpORRy6dsAFp1qDQ5b9Vo7/efzkfBSOQe/Rm
OInYPsyp4mMnFe0oJ7brdyaMDrUw19GANWJdqs1XAshP1LDzcz/ZmfGrYBAVcrkOm+D3wu+Ygt71
4UThgNMJIsnUGQVM99W7sOBEkqTUhZdfmjHNv6KagaWaamIoSUDaoAlIr5li7aCa3hdJH7ptSx6/
aYceGfc+3aDHsEXvzjh3kw54PcbQZZDVQN29lx7iOJD+9fbEaYtscVLOhx9qzBu6ikHXPCOYXOQC
tRW5L+n81+EXZ4T20I9Y8d5/OzdbmOU0ylsV7Bu56byWjigVkDjRfEroJgTFOCa7XrKLjV2m8Q47
jGrDpRsvxMubVGxa1JziNJe2bs0zhJItbMk2i3Z0Ytb0pjGZr5Nh4Rp6m81ffXhNnk7l1CjAz8XS
Zh+eutXMZDl3XDjne9oktLVTZEpDSB3HSajM9jV4U/uu+RO3D5l07CMZrfkv8BKYs6DyihoqfqK/
e9GhFRIiVPfFw3BeFy3/1Bd+7A1uitSFM03WS/Ca+LXzMjG15LFIMsmtGRxMah8vFs6r+6kO+gyM
LjrE+CRuMDR8sVBdOLVJNCUqHrMruZdTWv14gwqIpQvV62200fgSEz6H0gXW7zyfpSKPun4Y/EvD
NH3nl544+BRJx7KFjh+Y0UHPmQZTMviQNsNw7yicKr0Lmn0NjAo2lm03uHby0upB/PGZRj6DBhv3
97fx9CmvPvXEoybkT7jJqWEz7bh3Z1z3IagogaK+DIzmd0n6y6+fJ/d6hJe6ZCnDnsL61WLUVCQa
HFCGX4jPz7IsHRsJskXquFyyTczndBwz+25VhC1po59bp8Cs1Icp39Vxk3xAMBC+WCL/0hqRYEQp
id39h7+t9tC15aJTqYuRVyDUXj+9PTYOKYjqXBq9cvbA9sdgQ9FHkxLw0EszduKxbJ3vSB2oe0zH
SkzzClXaGIbGNyz6ZF8YkwE13NXP2AA1v5H2oBsse4D1t1rje6vBsf8CWkaa7f4vv/ls/HBaiMxg
yOKVmzJVR1NhVGRPx7qi2469sNbYgj4zoOO6YAD074uB3GQgRxIyLXj9lsBjIaNZGvoliaLhbBpw
jb2UaWNtcnSqiaByf72bKMfD0XzRDQMEEbrQs/BTp2zApGt4uDTA91d14o3VyktR7sNV2IUw89mJ
wPaunypJzLywYeJdcMRBowuhvXXq4PJ8/1neulTXex6EngLXnqJuatHNthhwaSxRpN66JIranmXc
NL7Axuo2TdUZL7aWynQ9EyqM0BrxfqDNjix8MxrY0mR2gAZcafzUPZBASGcq0UtGhjJ5NAzeX6se
rG82vhOfuqZsxMpPZVySp6wVBiY9HEo5CMOT94iNbG/mP1lREn0B9A3QR/RVVa5CL692KRJ28RoD
1KhdkZUkx7BEANyX+P9rkJz5TydoD7lMGxdRq1KFo+qrEwkEIpy0DttY3TAg8bgAgWBG6PNamSLV
2zzqlZ2HUVexypFsgMGIYcxG4tryF87wzUngpsK2SJ6ws9yI89yYqmUMmtyRLzo0Plg8KbboeYXV
jRyjq8ygYWFzajdZEbh6FZw/qRHJsj2/g+vEiNo67kcXhcGTbX1XWu1H3dhnEUBiBo3hh6fC/pEF
wwuMzJUCzrsI44PWi5XnrGmYblWtPqhdA1n2T9X8jfU/DIWZFavMhfEdKuJdzVRZeNImVp8h8ayi
MHjIGSSlNO0S6QvSdDX62cpzUzo7xIu3MrrE+Bkv7Nt5qJ6ekvmfDVSdxuGcn9GQvHe4RY9uM7RU
+mpZnXu/gMo6tp//HytBlfjfYITR7vU57HwNHjfi3/BKreErQ27Mn6r0ONZ1vL2/0m21yUPRUKbI
hXwCIH8WyEAEKp7pFOgnG/2LqPTfVRw/27DUgENUB9FmSJMN9V/YnfvAqFZxGF86LuUo6Da5TQNf
LhY209yPCrN4fhGXInmkOiVcU0fg3fUbqarACCUY3aCy6nUEb+uYqS1a17Xu+Svgcvm2VHtzn8SK
fQ7bhFmNeaoSWAtaL6UbS6Fb0pq5/WRpuYoYBHIT99/ZTZS0J79WcK4oYTAxmrf7M5niDysGZZKt
Do8oH5IBRtXl/iLKTeODVchrpy/DnAR92OvX0EJvg4Shym5E3bdT1G7yCXFi49iRiyIA4tnfm8y5
aJmjHkzIy2tvRFeig6CyN0WAz2GdN9Zji9QrDgecQYHa3grFoMmTQU8WttEbAuUqpJNt8q24fInn
5NuzNCYKdcwVA6lxLbiP8PhDsbd0YewSZVRhpOLPcHIMaXgUWF6ucr2S91TwwQUvquDV87XyEju6
jOZEaRKlwNIpfQo/tywxjFTKBlX9vHKOowIRvmXAvsqE5UO2tyQLkS20yttMp20mx/Kq0bNk72jj
zkmT6nekQhpcAQVBE8jwfAR/h3qfOnHK3LWDDjQgWEAbQT2yz7ttUCPq0A+qODF8/JMMotm3CNB/
Qv/HRrU8eLYHBca8hXnNj66XHXRys2zHQL/feq2BNYeJpEDo7BEf7RZOhfrBpoOUYjDMnopPMrTr
7ZBHpZDRYu9dM1O52RzspJ79GqU0RFkB/hfypq+G1wpTxCem75YrdH14AD4oLuVY2K6WU3U26DPs
iwBlr1GDTVzDDN10lY9/NviSh8GLrD+6kmgbGv7yqpDy6uDQfV3Y2Ld3BYMEkn/+AvlDu+P6QVoT
gYghCDq3NDplG3QUImzfdl+mivyH3fW7qIWXrOqhrXc4sypLSIXp3Mx2qg4qX0GxjJyUGv56/aRg
xlHJSeti6mO9KhLUaGH19qnvyEhJQIa9gnz+l8bwqx+VRJUCM31TIfO98htbbO6f8rfR+uzXQMwC
cmUR8ADezoLd4Gtq2+S1BcE0Do+yWYBzxTLdOpv98DLajdzy63BdiMJWo9UeVj+RWW5+K008vDBw
qD5rrWeuEpLDx7CUnWdUprKHQUutJ6lKEjfA22cHQyxZ2XDtN8ymQ4Sbw3Zr9j6lDcYWXK9VwFQ9
0UvjqIra/DFYRfApRRTBWdjDN2nJhNYEhU52Ti/tZvSbaT4tz9JuXE3Jy12YVKEL5ibcgwBW1mXR
lQudgdsy2JlmzLQhwRiDu5mom+9vkg6Afa6gWOoqnlTtrDwdf1BA+I/CySu3iUp0p0ql2bH7273e
jxD5Y739r8FV7CcovHJLRFXX6gBp7v5XvznLNBAYgDOXBgd0W6kMrRbqqU/vMi8YcrZRZh5zRPAX
VrnpXTI1mYptZsWUKfoc06QpaSirmHe5jlo/tpkqvdZqd4LLqPy6/zgfL0SlqFOgQJOdnagwCYy4
DUzHRX43fTQtNIcsL6j2qK2EC6X5bXXKQwHmm6btb03y6dW+Sw6Q2YPBr8a2K7VD8l+ahtozNaj8
3SyTynVwwzvHg/iG/HCx6YtsShAT55MvD8bKGZPqB7YqIcjc3DwMmM1wtUjhNxOj2kNHEd6uNFqK
MIEM58/9N3Rzl78RhBlt49SLw709+9UD4hph1iI2JKc5SnKyUq1MoSGa33dtd47swXmUMGf8MhZR
sHAz3/TkWHqCbLMR6GdwFK5fWJvhvGxokePazRhu5e7F6i150+FnV9ZYs0WDt9R9+uhhLY761OQB
2z8PaaXhCy2KJNvldEabsUWlpc1T/4nPikwR7LzgbDNbqlcmKsDH+y/6trTkcemhw6AGZSPzK64f
ty9xfMZJATtBMSif5LTsVlrQ1Cij2NljhEXgTlSTMrRdYnDqI5m9QX8sW6da5e9EX5A2oIFz7jB3
RM1vkH/AHoImI8yxWA3o21BBIu6F2DqMyCaq5fNoSDgIhkG7UWJuLWQfMAvADczcjhA5D3Ud4BEC
IwFZjyauoRsN8a6tShSq636N0jmSKVUo1S36G2W6xQFOR0LNcUaESFJxKGUhTgHSlmsDDapYt72j
hyzFMfTb+hEfN2+dFZ2OQrMKRyOx+2FtNrL2+f47vc1EOdpg3mE72lCZOX7X7zQsA0XECNO5maQZ
q060cBmLpHoUyWhpK6NWo3XNq30gp/9S1JOvUm0i9GyAvCFX/CRq5HQCeHjwWBtwAl7SVY+Wp4ut
rKhLYIXbWMRvBaMA9pHGGq52179Vac0G74+Y6VdcKT891Ci0EU63P4qX+2/l9jJjCKHQJZzGQ/zP
2cXdjyIH91NrrjJeSFYBqXaWdajV/POAaf39tW7vCxaYgKPcmYDV5gEW8fQMC1tDc0HLtU9KVRvr
pO2lzf1VPngiLmc+Eq10IDhzoI+JZyRTBElzi0El/2obeRsnwa9Ab7EC9kAe3F/ug4cCy85on1AO
AsdRr79UgcVJYevMKUepY85pNR4jNTytF77TLcSQJi3PhZixzeWkz6UWh6zsGgxLdVf2/R8GhnKo
oGPisqqwi1zJZv6ATWK4G3uUQMIq0bHpjD7df9K3POMqyeMnwOMyyTkZntIBvH7UuK/HTilGza1x
uMNPOu4OYyps9Im8Z+AUw3cYeVwJRpnFr6iAF2sE97ZItEjbJhy0x1INvgoDGVMYDM1DMXQ9Bryy
vddszASc3KsuvpL5CPvr7dGLcftu2+phwLup9kt42pWK7labPIQR1JwYwDa+3eBoViUM5k3pi+AU
pkq2lHtNgXb2zLhJM4fgnqZanhfJZTAUpeM0uiuSxlyNltWf44wUS4ti1fUtu/haSs6FjhQRj0kB
sAbFar/ff/FT4jH/DfD3SLUoomGnzt67Efg0pRNNc23IScfGMNCVh175kCV4oSVp/bM26nQHWtk1
i0Hb31/8g0ikGeo0d6OOB7gyCxA4TIWis3LNjQPjrLa1iqtdqjw2OhqVq/tLfXCUqLwdE4wW8y/A
nNf7S7EEvmVhZrtZN4hfvpP+KNpAXtjFHx0kPiN5JBcsjYm5Cqhk5jK236yiDSYEmxgtHMnh9mMi
Oo2QqvBsYSrS4vBi7Y3E+1NE8HbuP+htaqHQFIJPMUk/Uz7OMs0olDS70RLH7XzrrOrDkzokybNJ
1xojjyw5O/hBISjbLuRQH7xfSAxTv4d8ehKIuX6/Y10JnW6j42ZJpOxyx1e2fi4t5esfroIeLrGe
zQpG+HqVREnaAM1Rx5Ugnl5iIZ81pY+f77/BD2oi6GGc74meP81LZq/QaHynanpUKvNYuzAlRAQN
As9JC/L8nJt68aJh1vmoW+1r6PfysxEkxs6rLLws9bQ7RpZfnxqjXrjgbg+qSksVJjBSGIaFRPb1
oxfKwMwIXJbb6sMPqa3qh7CAPoiychuuQxmrI83soIeHHP+T5On2wl10u6+4XR2W16DP8/6nq/Fd
VVHasq/g02u7ulcPpy7tsk2FGfdKi57RoS+ldHLLcJagTdMHvQ5PcARIrKZ5CyIJ85spDoRsD4Vi
udaYfYvxaT1hTLFDiuqF0e1PTWrbhZD01sydrahMfFtkfKE2s8uunxPrZMWvSml0yc2a/VAaiAk6
I7bgqAM+okm8s+xSedBDkW3gKiRbNK4mcV5c3hjcN0udmA+eH3oKdQJxC8rZvCqSpbyjQCU8N3lq
bOWQSwonvDD5ETFZeajwW3br1Fb+kx1fQr+gwQQm2jh9D9QIArn2qstI7KjemGwLXQ4uuabRStK4
1/85vKqQ1fl9JCoEvjnBNxRJKRcqOaWiC/NiOulj3DTBwhG4Rbgga88Wn/jeqC1zZV1/G0DHTYgm
neLipokqcBBUwToUdb9LhvohiJJ0Y9Qj1kSNrO4crflUjQgt5rrn/F2IEB98Fq5LGbgdsyPSwVnF
6ElDQxorKW43KNHRD8fsmOsGBRAtpLBdOVKu//ACbIHMtIn2cWUNF6EVxwb64PcKEeZHB6FWiZqv
pKwZ0iI5+mqSnJxmqaq+jRqkFjIcMzrk9ETnub7JwLeS0FF2R1Ua//gV+kkZMoOpp68GDYeePvwS
K9X4I0P6amFLvDVPrk8Sa9M/ZM42DZznyBpM/LSwc3rTdZwQRU/rXBfam9PzT6ij4/i7TP4r2v53
Fto4xkbH1GxONg2JVTqS50FncWzklx8tTCNb+yE0ERXAG70y2j+SYxzvf9DbRIS9i9gCEFo0uOib
XG+sIMjABvqB/hTY+t8Ud/GnJEa7Hr+5YGGl2wpiqh5gwE/pDrzLWR4i+2ElJXmnPeXKoO8KLUFk
NLaybQXgAhlsx15IB26HV6yFshXYG7JMB+bA9aMZcs1ApI61p7LzsN+QE30vIREPICc2f6upY5zM
IkW5ccr3cfnjb16wpSWif47NQPrh26G1K9sCR0ecrxaShhvRMXo9EMXpRbBBJsjQ7FKTiO7ZoNWm
63tPgALyMsf8Mvgd6N/QIt0IdJfaCJ30ND1nxuTti19fpP6qjfEZX46HSjqYNpJHnyVIx1Lerxz5
qVQfhf2Mq8BKDWIKcW1TOt16UoHqQeH21aHO9q1kLW32DzI/noQs2tIslZThbTbx7nqkuB9Tk79o
sAWvQWlEG2ksS7SRm/zZ9zDRqtDq+NaYSrVGmCrfV7m0wLC5jUlUEshkMTB4qxVnOwsRMNXxQ1N1
zU4o5zyWnpEn3zad/qi0BWg/0X25f2jeaoP5AWdXAXxm3oK+wCwl8JXaLIPepxo2kpNulNuWQUVg
YNteVduoebFB++sSkHRZ7MYhRSwVaKSZHZMiwxDOXBfjS2/na9k4Bd45wyoulHJ36Ld1FKCzqx5i
bd1HNfJE9cv9X/7BRcK7gjdFGFHBSjpTZfbuaxVyZmF8o6kuZXX/FCRZ9OK3mOxaeYWQfjJd8Fbr
bw1dkvdVpRtbT6hiU2ELtxAk9Q8CNA0ejgEHlNp3fqX1qsDmIUh05ORGcAf6Q2hLeL6pl0h0Wyd6
UcLnpAk3thQciqE+cohACgxbySi29IwuDm7ngXRp89deOoGcNMrXUNqXBpJ19m8hPxnI6uUXLco+
m35xKJz00Fnqq0iPpizxr/iuhVln5z15LdJqtcD+PAAIUeMurxr7Qh2f4dR/itOCBl7NHGSUrNe0
cR4n5QBKlyUOvzYFo9mOog5+03ShwwLZ+Pq7YMQFRz1vZbdEnEmXCPs4gJnRV6nv1g2pj7AuQ/iZ
hl/FsDGVV5pwW+Uc9H9H7WuvKWu/demm9V2wy31Y8zCps1Q+Nrb2A4k+c2Wl8TN6Du6Y7ur6yyTV
LxuHha11W6IgLgEzghKT0Ia36/UjoBuDqFzZjC7K7OM5kFQkD6gWL0nuJTsxqvE+rLLuscm8cI9r
qgcYPUqGFXzqBo9rOX6w2rg5Bn5rL5EVPvhlOB+RTaIe8SYJcv3LOhzGhxxEsNvX4hRWtVgJszMO
CoLj6PRaEs3dpP5BIjrsSOLa33U6ip0x+VA7TvY585L+W1tWC0Hko8DJ0BduLSgGBhdvB+TdUex6
1dMxA1RdciHlVOnqd9Lb4Ih3uvPcJoHYm2YpbbVSBaNGp/lkBdqSyuJ0y8x2HdNidISQM+TVmLPb
v5WcEPdB8B2+Fh3Qu4bP0sHYehiDYCnRuKX9T20WmnrUNPgS3jBGDM/IHJx2Bxe/h/aE3BY+tUV8
MqCtPWJdm2yKDppMmcrBdx8wbQ0KKGHDtsH4wC2cbNIw5lbMNdE84qap/HQkjBbV0jef5WG0HjXh
yQv3yu1YnVYCWxrsEmFeRcvvet80SiQmE/nebeTkBK2id0XN4HsVyCr9QGGscAtmUtFb+nMlD8GD
LBice47oT3Ub+Sf0ERF+toPhqSqT3lWS0H7qDGvb5FZ9LqOg2FJB7X0fnyk/LaJLU0u/fBNhloVQ
+1HmhdoFok3gA0BizG6rpBl18GuN9hSWyQaRhMl2LHbbUWvWTq4vLHZ71si6qJOZYwF5suaJDdA9
OzCKQnvqpUZZF5Jm4a5Y/rkfa273LawfxsXEFKoeLrTrDxOFQ5gDRY1dDFlSt7Crl0E4xuMY5f9c
+08LMSKlrzX53s36dDDfvVZXq9i1fCk9OEX7Xxk7p8kzct0p0Tkl91+VUfLPMk7A1Q2GgZBXgMqy
+66fD7n/yAnlJHOF5fiv2mh8V4cAr6EIMItjN4coyLzd/Vd6+92mJeEBaLBmqAdmF5AHK9tKxjpz
Jd82z8j+qPhlL4GjbjO1CQFI/Uq1AV/UUq+fS+60NkHlg1wH6AcS2oNNzzULt5aZqKteVbGSjtto
4RjfJhrY7jDnnNQeKAbngEfsiXxPjFbupoPR7bmCpZcq15unMsRBotTPjMfxFLa04Zx5tDgWzsMt
N4Bv+X756ee9C/PCCvFej6rcHeVy1SbPXvyI9fiha52t1jUbmoqfvaQ96MDds+ZXZrc009AOKtNP
RYjPs/GlIHeP6v1YnFtLWtFW/2Hn5cXxRbZulJfAWdJr/GgnUG+h5sbQHgLV9OfvfjCORGluD6Kg
YYyCdO056tbGmnjhvXy0FZi4UP9wBRJcZydLlqFIG4GcI4MT+cdYBLycKH0dbLzZhrApL9aoL+UB
H6yJdBHsccK5zcPNPoVaDGaFgW/iTuN9E/SrblQvBkZnQhu2YeGtS7Sdm/YX4hJPYf4pceyXrJXW
XN4ntUsuuhbs027pTNxGZ3AJE9qIrQmQb97Z7cdsaPJISd0w677WppXREZFxLdcTVDWKfLEsvn0J
IPCIzqRDzGAIbNefN1fLQvDMjRu3evo1imN/Vxb48YlBBXKlCrjpsR52TxG+3Mdad15SDvSXVBRk
QxY6g6UHxmzlmL72kuBHfwyxg/+ZOEbw+X5A+qBUmQD0BF7yI8STzFmwyIQBEKzMkTgneTlUFhZ/
daeZ1Vo3o2+9U1+8tNqV+AkC1ZDM9EsxGjhvU28s3AG3H4jClpuTjBZMGr3I6xcW2gomkBXoRblE
nVSTOmnXVE6BpbzBtFDJlpTabvvNrEfSMYVKZtTzwRSIwyLMoGS5ovUx3kqKfGvUmAompb6r7V45
Zx26Ao3ow83CG5/ymet0EAwKA1EweNMERZ+dSdUaNclurcaNhGxssVXDs2gwpJNXwfBI6g4PCL+H
MpTXSKRB6f0u+FMwEsJwR6Dxmw77qe393/TBbqU+BAgFKIpN8FY3vQtGkVb2csLQxk2wIj+QyXon
wyjSDVO67DtgW1x44v77/TVvAyB3BZiYqfFsIJk1u33rwccFSfQtjXBKUluJrPWooHl2f5XbHAak
0htJBLlT5o/Tn797srAwpLCMywJHMLkCP5hUe1vJ5ecxcMTCvPWjB5r4Q7BzAQjwja+Xyuu4wGjI
y91ekDfgE5XREyrHhXv2bSRxvX0m6i/wCoIr722uYAUflHImlb2nsGIKbQ5xeiSBOqeJYa7VShTb
PDN+5YPeP7ToyP1xaijtmkWFHZdRum2YImylOKnWpjH+7MmMdp2KgxgUeg0tgRiV6txMtoPU6r//
9UuwryhLIAyD/aRneP16SrO2BgAU3lMbNPRpInh7mZlODre0b+8v9UHRRxIyJZQy356QP/sUVYKk
L3CYwoXq8bOmynsRZettu8j3d4mwnVVM5D5ossTw3h4nLca6Wth40xLvPxOezVPqhSkXo1LQFbPH
rfvGKlOjrp/od0q7zhb+VjiD/drasThg94W5p1FVbhtoZ+z//CXxsRuen4aS0xRhEDnmbOlzFJYY
hCVyu7OeGjSfHzpbLY6i8He9N0m9yeE2DTnVgaaP1ObRd9GY3lFqof/V1BsvudSq6ygugt0QqN96
L+0OmVCaf4w6iJmChmPsNnUzuJSnA/XubDq+D2dk0MWldYr/gq7DwBEjiKNsRJmrYe9G+yVtvi1s
jek+u/ouLEojlRyVhJN/zBb1U7TY4ZSHl0TT/U+d78AvMvAyw7SjfrB7uNfIqQYHSVPrdV9J6RkJ
ddyLzTHHuMfIlwqC+bU3vQM6OfRMpuyEauv6HTRACYDk2eKCM/WvUK2/JZqxj21OZFpk7cKenJ7t
5tnfLTbbk9TMgna9JS56I+wHDx1ukAJo5d5/xbePBHFxGuWS3JKU39ysSuurQ9+Ki1o7yWcb/6tt
yFdel31vHhQqyoXTPg/xtDkUgIukMZw0lHlmIV6lnyO8lKfqfOPXaOjR0YjqfB0M0tI1+eFK0/yG
EpWbax7hsV2mfmt6ccE8xDZWKdpdq7hvNbzORiNc33+NN4H+7bnIeoH+TVfKm6f1u+PRRTA5CfGw
B5R6nWvhTrOn6ZVAQrDr+3E9es1LHoE6oh0OE8faGv5wkJNxlyfRIzZk8CtoiscUMCQ2K2RVdr7m
n1GTOQk/Wkj659nU9Fsnwrk+AfK4z2ffABk9ywtNR1yCfFAhgKT2y4gd5TZv0aHIZNFtssHwtnre
L9WdH30TBl0GUo5Us8wBrw9QGtllmXasLBIMNJUGj08Re5jGynr6j6Sj6SGZDE/PCRKFK/56KWk0
B6MUyHAFwsLYD8eGteR03cJ3vz2kU0gAksc2I0ucjzW9IJLqsPXDSw6vkWFBRBoGk3B3f3d9dEi5
GijP2FoImEx//m5zmYgcQlHsxMVzvKfY91oXN8T2VEhd/yTQUTv+f5abeLooXWDsMruQAe5gepJz
RqF5IERq/iXFLLaOZP9SY7Xf3l9sns2+fSf648zJsBwgE7t+NuRW1TzsZcJc3xqrPgz+FHKBVFeD
J2+c2JdQrX7fX/F2E2pILfAi3zrMoF6vV2xH3E8bvWMMrpvgiuO+3CH92axaDXvH+0vddDpI0HDt
0Wl2EGAnmPX1WlFrQKhKsSZscm2nVt6upwu66e0KOnJXn6SuljZ2YP8ysk+qrx568Rjrl6z/EiSX
qgRyqJ8UMMxqQDs0HrEj7dV1aaVfcF3wsBuqd3asoSSVLfzsmzqTn01/j17lJNMHwGfa9u82XIe1
XO9QXroRRjnY1GrdBp1yctcgtDdRYeRfQxQDV2Zdm0+K3LanVkHlBZPkemHnf/CtKHKg5VJ6YPs7
Z1saZV2aYYQ4dy1q5WEazR96ScBpBby98NDTM13ft9bkIABMgeBEGTLr9iHjbxROIvVuGvgoNqEa
uOvlMv16f0fcHuXrVWabL/Pz3Cw9f6CNaYNN11QMHGxlH2kMtXDk3t9f7W1iOH+oyYYNarqFWMJb
7v3uQyoSwjt2WQ2unyo7qfI+57bqraMKUiFOlOOp6L5LoX9ulHMaXszuFBYvInwdQtfwzmr/27dd
Az/dKMV3fd0U7To3L8Dk3Dj/WUW/qvKUdP/5tb8eZQR4dqr6nz3+Ghuk7PEYcLa0XFYYsHfIiw/O
ybHRc6kR//5W5xe/PwvnV+dgZYnjd6UdQilcO8onzXiWxs+yvKWylbrn2kEvLNwbxV+nPXbKK7L5
Le1IzDdWVvAXi8PMwD03PJiTztCv1P/aYbObhr+Zp0cBFJbqpyX+pOnfBIa87emkGaehOinq19x5
shsQUOomRUpYAr9txUd8TxaynZvahmQZ1NikYkxfnvbB7PwjhiB6PNUH0IMNI8rGUV6R4Td+107v
PxRq4CMPnyhH6BL6OQPWt0J311pydHlLk2e7gLJiQguSuaPwPZ2yd7sgiXobMpfXuXWZYz4gn8L8
MBj1TywkaBQF8R+GgPFmjI3fio3Tr/IzHOj0pasGIE6BlZ52asV4jqtvdv/fqPxxlAM29ZtGemr0
nxLIimzMH6Psoa93YWZ91TP12Uh+Wj3TY5Qx1rTtFqLCbQIDRJjalGEHV+4N1deQg8DqzFhzVQH/
Wgs+S3RO1wKSzk5PjfQBzf6V5hTGwrI3WFDtbUwHHnQyhwPkMEvJlSJF4szoB7fR+UihVRX7fkT8
Mja8eq+HIPLQHm6Vb0Lz9nWSxp+iRjMeRRbnlyhr9ce6afAABxr7zxc2bRnsAtEbBdN8A4zMosgI
4tCX3QpB2gzx6p3eYqdNz2xVTEC0+0HlNlBi8kIsoe2nORMC9Ho3yXbiy4PIWA3J292QNykE2H4J
DHEzHOVlc0sT+icJTQSPZ0fHgp6rKrkKrT2Rjh4RuT4CZV7F8ac2SdiDbcAozcBAWfLXoQ86c1R+
hV7628xybZWW1Se0RvdlFK/bHs69NlrlP2cuE7OOW52+BYXTvBoUIX9cD8gbVEbdPcOEFRdyX3Pd
2taLh6nRJ8Ys2t/77/72PuQ/yutHzhQ0MtDu63eP7kZh0h6XXVWCnV07QfV/lJ1Xc9xIuqb/ykRf
L+bAm40zcwGgDG2RImVvEJKaDSSQ8B6/fh+wZ/eoqhis1UV3h0JNJpBI85nXbIe4nDaGfSl+fmOP
wdTnsrJoJq4Ul+ORltxcEiUGuuAgeRbGAmgj1N/ej5LlNk52FNain6PVf3z//c4rIXx14g6QRACu
AYGt9+cvR5WRl+CLErkcRhjin3KAije0v7DcTbX5UFDUPiRFPWJ8Q55vKsrPssOhuhFzhbt4DJyC
XG83wEq9smHB+6psBnyjxuzb+495HrS63KmcBtRDVmz/SawgcPhI59ZGv8OISshdrfZY1K19X5kL
Jr7CSjfG0F/qgL7x7SmEgEIGe01Gc6ovWSDn1kSjxhcha14mzaXijScEcIDhwio7wwmy92Cbg4KE
fkMKdSrmOCszUC3XA7eip3aoDaqN4fbyUVbZAurS68yXuUWny6vkI10AH7v56WvlWdPORFvxazNl
z0Y8NNuhM4zfjtLgptjkczweFYtTGpku8yZpp6o50N6I0UeyFL+aqvzCEffWMly7fa/3y/qdT5ah
rCvAM1bdHES7gCySyXzjIuLnazUQus5QzG061RtV78SWYMQOhTMiB140B/QijA3ArGJb9upXqGdL
IFcXljmbpksPuV43x9c6Kljk73QMmQlqc8d7xe16cNh2Xx66/otA9Otaj5rm2pTW+KUogM0UsQcR
Mpqt2wVDnocOB5aNmlfJl14dr8f8t90njVU2D3wDlQW6aGT4x8/jdDpy4VZTHRKoaR9Na6zuFzf9
kk/C+6K0qfM0zGD3FeHeKk0iD66d2N91NEMxIRw/Y3lP36RW5e9fV6uoD7BEeibk6KfXVd9hgNO3
dFVlnFTPoi2T7VBky+b9E+H8UqQ1whUMJh3tBzCfx+/eg+PuaqD2B8fNk9t+ESj/2rN7YfWvy+70
i+MBC1iAKgDyISfnjpQgHdS6rCHjkxNBqKw3tWstoa0kAO2n9DebJOsHZSzq0QSPBmDW45caLbda
pkovDziMdTdqrxIEjs6FXuL5scY5Q6OX2GW1Yzndanqn4ibe2xVCHXEMubx9LCdN/vRQYXz/E52p
sfI6lJ7WNhbX9ip9dvw6urYkjlS89sBFhpBHj5m87qQ7O23nXYkuxJ9Vo+9F183fhmkWAVDXPuh1
I0Mt2nhOneKSRtkZZnZ9oLVAtYY4iEG5JyFO1YHDSPGWPbTJuO/xU3fTSvNgDPQRhOY8U4MyH42n
hI0clp66UbvRCxe17z9jvriyP02vpGFfjr6XoF3jocB7y8+6fpZ3wyYdEcXlbrSGb26e9j7ykvPz
0HnqVVuKJlBl1yx+YgggdDI3frw/2Wt4cLRS6egQnqyQbvqmfNzjua76aUHxczWCb4GwmMkikAMs
veteQyskz11xNYDIfC61SlwJVVmC94c//9a0SJFMo1luruS308KcK5PGW1KpHeSUZ8+R6+2rdJn2
kTS2oC1BvA9ttEPy61tRpVlglYMdOlg66AuWefMyFhcagWeLnMdZWUu02rEjOHOyiTW7o8GUawca
+PJa6nFyO0MB/F7n0aWc8+wkWoei5wjxjvWFBM7xzEd90s2WV2pUGMrlQbGcNph0+uTvT/BZeMgo
Llat1GVgS8AmOR4FeoFMkLhXDytBOJB6l++NUhvRHJunA1ureaota9jUiK5fuPbOeAI0gyjsksVS
W4MqcFq+BjBeD67XtQdcnbGWy7P2i4JTSDjlo35Td9q8dxLrc6ECRkzLGPwkdn+HuU/cp9nBV5aG
8oB9SBw9SQTH99WA5W/Z1N/ArT+Qqau+lnnd9exN+UFJWu5xSjN/mXLlnCCSqO8rpLO2xoQ161gp
2wqURCgLS/lK60Tfzvi2XljKZ7Emr0slFsIq/9AwOQnEZSm8AeNruo91gzQqNazQWfD8TGcNswDD
69G2crJLhaP1aD/ev4y6tmmAE+IMdOao6Sxulg9me0Dkbweyw2k/WVQBlWoAJr3pia1rMwv0cpc3
z2jj+ON43UHIUIovcQo+PH+M2zZcj9nKNKl3PkYjohF6tWqg7ZUUPyvvezXq26xLQ1ned4mCC8IW
CeekpwOi5fsqMrCzRGxHdIFrZptYZ/oTtA/v4J3HmRUoXRkmw7hNnXQLG2/vyHEDFzdEES8HopA0
yH4WyX4yi02bynANFGU2BpIfi6xNNu07Mwb0CWQFjLG7MaxmW7h4YvPfeFRxgna3phRhpFyB4N5J
Rwuy+IfK00zmrtf1XRvNu5w6CSJSzZCkXIzQ49/fY+cpMEUOemQOueVaOz5tSxd2q9KvatRD1C9+
pSx48GI0iH6bd6sYc3yYma3dRCwW6rZs4L8g8YjzYn09285filGXV9IqnDCiTRHgWR1vFFgHYdu4
xh3p2yVh4TPdCyTxkP6i3MWa4eg/NdvwMjfSFKlTZrK6cl9Uor5FqVWjcDgqN+YSa/eJKoWfAOvW
RtfcqE0XbVppaDfYX38F5nAoHNrkq6BMHSxZOm4jwysejHy5dPOen5HgDGjzU+ql80Av8vj0shez
M9oZvFRFxSCc8ynezrpTP77//d4aZSUu0LAh8KR9fTyKV6nWADmwh+7nYidWIoZrq6i0vT/KG1cd
0QyoNeSR1rLYaVDY9EUSqUbbP2CF5FzTDfuq44fgN7n+Mqlw+gwzx/tx2FGbC7KmRcTGSRcMvONM
3DC/2oUY9bx5QHIKSoC2MukT/OyTqKbMG6uJlax6aLzCCIwyGw9ugXJ3IWJrK+rkOz7Fw2YE5BcU
JaGX0hROILLu6f15OZ/9FcrBfFBzgYJ+Oi2WiKcU75fiYfGc756JSXMVq+WFa/BsEBM4PA4YSDnR
Zz5rlBReG2P4kSqHBeHNWziJVADbqbxwGp8FU+soSBuy+CEpkQAcL6RUsEwNbVYOilkum04O1aa3
y2HvVWAhXDdJt70Y7Stldp0dGEHlQoT+qodwdBngWwY4dJUopzxD7fN4fENfCiO1RuveGgWC7Fi0
+tqEY01dJnFI5mnC0qJW6HuCKr47o6Am8j9nbzB8kUnsJJEra/VsDhDF+ZwOA2CiWBmwWGwc/WHy
Umfv0nq+ydph9Gdc3zfvL4SzC5TsD14X4l74zqxawMdPX0553nWdlR2yvNZCqk8FnKqUgtHY7RpN
XNmiVy/tybPrE9EZ7upVT5ZPxpc7HrMxp4ZppM2T46QUdFiaPIwp8iHOVJo/HWGIq6mkPq0ti3WH
JwZel5FdXbWLcHczEo/B+zNwFn1Sn2QT8DBEhfSQT6oZHjr7USWWCr4FesBYNRmfa0SF/1Jmxbyw
+883BM0zHStdmnXgJU93XTJZZpQpQBZqpci2zrBClpBSvDDKWfTJrIHUhYmyflVaK8fT28NxmKkV
pIfI6YttmuCFmiFhtkXqPP5U56P4nJVRsm1ofV0Y+fx0QxQM81Cct+A6rlnk8dDZNEZmb3fVoR87
K5wStb/DhSHFgzDdluaUbWO4nX4jk/LKwedgQLAxSAtz+PH+Jz0/ElaBIy5cQDQU4k8RY5EzmvRr
2vxgWWBFkBXpdp3lBFo6j49VOs9IodPkKc0RmeWo1S/MwvmWIqlCJh8A5avQx0lMOuo4RSzqmB+g
1yR+AWlqZ/bWELIDP6RD5m4KLb3kq3ZekwMAwfnjqmQ11FhOK9JIoi4Ifbn6PReXuSFArTZEelUe
dpkZf40VNd8n6gLJv0T21Kfsk/jl1CPJHtvZXVFlelB2S0UD0lC/WVXPps+qzLgxpOr97n5b2dXI
YsCwpukKtPx4jaRLMbjVNKn3pqJ/pFM+UHEy0e+JhgvXz9l3AKNBEgTEhTItvO51N/5SLVdyMBNV
yUCLcnDy/KuD9WRRIj/RNNmnKI8u9ZPX33d0Eazj0XlYC1CrAv/J4l8as2ho96v30E87P3EmEdix
lBfe6uy4WkdBNppch/Iz1dfjtyoyGSEYN6r3ipKjhY0/3JXOie1TZl8uVLjOgyfGMqGzvPLZOEhO
jsZqElqeL616n9j6k7GCazF4yQITVNSL2U/DbmjVu6jSn4Td+jpY+9rPmtjbxTkd02Jy/3x/W78q
VZ/OMC4CKxqW5gKh4/G7G73biMmr1Xs3ruawsJNogxxIeq2VRu9LNfJ2qZpk+yVS078qG3dMH15y
8s3TFwPh9i73Nphqtbsmdjof+/FiG9Gq2NmurPeoTf452TLZA6FUdmpmvURZVoV1o88cU4pxY41Z
fi+WMvle29H8pUG/fS9L3brphWkf6qLTAs5zLFjNob7lIvOetaK/6LCznt3HM0AjE4AO8QYsNjzk
j2fAcco07fUKhqHW26E9Qh8fB+0xS/XAK0crZEw7bMcG7T7DjYO6UeoLAcN5v5yyAn5NRF2gg9Zy
6/EjRLaT6nEBH0QvlGvDUm57I243deNMNzl6fddtIr+Py5DeFCo6gphMVnAPUgO/jSwXt1IyoUa8
aDvcaYe/7E6aYdQ2mDRLKPhpFe8bgpxdypW9qYl+NqM2qbetm1fXtTC6QFVQ3g+WGVblMhv2XREJ
03fLXLnVDK3Gc7HgrHfQbRLFw/ur740jFnEQ6uSrpg/C7afnST0pVdrXGSyb2VC2Jmr0kW20iG0I
rea4FF1/myteEzbZspfj8tTVMpQG9rfq0FpXeUofliCwi57of3ohRY1D747GhdP1/NDjIeGBkFYR
Y3ARHH8dNwZL1bitAl7crK/bOUE2UcJeSl1wKqJJJ78dDPXCjXd+8lGppelEycvj4jtV30srZapW
TsahjuPlCd2w5k5N0kstvnVtH639lYBkgMtcNUEQQTu5V9FwrnkJRBRU1r8+m+OmnMZs041pDaj0
og/B+elHUQGRLsIo6vvAGta3/uX+cG1OWkvO2iHNKjS+q9amJtJP7ZdyNJVNHTW4Exjifm41/So1
EivISrTjdWVqQz2V0xPQt0uh3dnXXR8JQS9iCw42GirHj1S06IA4M2o6SNB94Z88kHmV/8xLoCqx
qYqPc3RJjP3s274OCaodAR/ynFcN3V9mAZPoyZ7LSDvMwoqDDunTMJ3K8XdLwCgh0bNchV5pElEU
P34xVUW6OqMhejAbLd66i3S/9Mi373OlNJ7e38dnwSGRGcPQiWICYYud7JC0GlOkh5HSU5usvxfZ
Te81mAF6niIDBIYMNaDFvtFRfL+GKHxh8HOUDEZfrwKSVINot5ziIpbMrVxhd/lhRAJvh/xitM8s
p6EgoWmQN7G4UjdjrT6rblJthlZqOBWUwyanKO5XoxUFcWzPF47087B9fagVfgF1mdjilLfuZoPC
xZ7kB2GY7RVFbTUsy9LbZZij+BlNo6tB1T8k1hRkaopyk8j2kS4vlVXP8WA8BtWRVeKGNIJE4ngR
GMAqMfkZ5aGotbtZFfEdepvGhigbMJNWl6GE1xF6vZqFU4HBt8yKC8HV+f4iqiB1IHmgmnBmlZEv
ccbVMsAT780n01Tiqy5FOUtJqi5Ez2sjjfrSln7jrcFqAZKGp6NilGOuAd8vG0wi2dm1eSkPc1U0
SLFW3rcmUXCk6zJKl6OrAu+gcpBSMWORtvWmnTyKBO9vivNdfvwQJ3FFTo0oa5peHpRMKNvaVtKN
LNP442+PAsGfHg8NWoj4pxCxvPM0JcvT5KCPCTg7VVPCsYDI9P4or4zU44uCMgwtQ6jbCAFScz2e
UTGrZt3NRXKIvTHkMvfz7JM0RAhfaTtZXzz9IbWuO+OTORaBk5o+QFrfk304K9gN9/dONKPJLPAq
VP1OfNeX7N4ori3zpY9NTOOf9ORjNOEskQG/7MfAbYGa1HJPZL51i/EjZKhbNx4+Vc23Ep+0TVP9
QPH4978XJEDuQLANXASnzGSIP33cCz0+4Kty4+aKjl9EezHiWTOW04l0ARIiJ7gSBU7jbXRmJyKU
OjlkiNfvK2t2ggiW3n72ym2iOPEGm44mGN3UCxzwdPtC6poP7qK98EXfWJ0r8wuMM/hZkrmT26FF
2MPr0Rg5jENq0NzAcFBdK6Tvr5vzzQ+/jHWzngBI1p6eglXvDbFwivhQLM3zqC7eU9063bPCQYUT
inBIcVjAH357UMJpUCrE9YC3TgP6pAVElbjICy1qK68WzCJuAJfjwRJNW5kpQ0gkesnt9PxFSYmZ
SFJVLLUhuB/vj9acErrCXYGyChhBy06tT6q7dKFbTFrIMopvRJ3L3fsv+mrFcbyYGBVwEkATEHMo
VRyP6uX00eq5KQ6dd1jKKNASPA4tiepY7pewDJZx28PTLp4ncLjq+CwVsjlzE41XVbSvqFXZ2X3X
XyHe4jvu4yC+mbUX2PO8z+a9ZuBQAwUMflZebo0x8VPjScvvjOTe8SgDx1b7aC/adlbBrbcSncfW
F1yrnsi3UZfvWuQyB60LOyQznTb7ngN+3swS3KzbKCJIOhyDxmbcvz8la6b064xQkqBCh+OssyJv
AEkez4izsLfVUYwfCi6Hfa3ijVZjCLlXStWgN4eOQucMzibvzUtH5GvUdjQ0ereAkQjaV08HSgnH
Q7tenixcSvIDYpm63yFC+9RL66HRu/gKDxdaaDFzHbl5tDFStrfdj+Y+7UCT5/aMZNaQ6zjz2uK6
BDQQFFnubWuOTAcD16clx3prij69P1ln/T7kJcj83VV6kFV0Zvc4TXGWmI2tPJJ67xFSqa5L4FKH
KpHtRqmsZq/0bSgttQqVkQBmnlR3E5mK9pC6wttPHS7HPSV1e9axHB8042l2hybsyjh7yPVUv7Dc
zwK9FbEDKR+DEk5Qmh8nm6xUvLp3hsZ4jLSYREE32y1kgvILKPNvStSjRIaQQaDqUXkXL67l17bX
BygQR9saq6qA+4oyxDSZF9oVp0cpsD06e2sau7I4qBQff/isXJTSKyf9MSrjZJPaShv2cRJdqBy9
OQo0GSzO4OHTpT0eZapkUozLaqcxi2qLBR/brq67q/eXxKsSy6+rmCIbwCvg3cZr5nB6Lwy5JrVO
KtZjqnn11m7MOahQe4UTrX5HHeB6zIxsk7ny2V51Oua23xRDWm3mCeFfz+2aTZlP2d4rPO0awZXP
DU4+fp88JYlIkEt2P6aWOoWDUZTX1NltTgcyINRV6kCPtWRTmE5960W5tU+Sqgi0Rcm2FGetwFRz
xwcngfIbXtVBUZvms5vZMjAzp96kqisv3Fxn25mJYBboKHC4Eoe+LsZfYkhRjYvXYRX4SKyzsbZo
vgdzMFyJDWX+myko75IQmt+h+ta9iKfowhW2LpmTr7Ai7AHurOVIssTjj43YcqcnTac/Avjcw+Q0
Gye0zZ1GuvD+9z4jjL2+JqgLRKkgo4P0Ph4J50U3Z/frj9Wtu7N32f20ra60LWxrP95ovrrNA2NX
fRo2zqO1c67VsNjFYeIr2/ef4/T+PH0M/fgxJrvvxaDW+iNKwb6FHJy0vhnVrtFtUKUX1vjpTiJW
Bteyxl5EJsiJnLyyaazVlATFtUkrrDvHjT+1heddyL7fHgTsNGU9LuZT7VsCqrqJZA54WuCoWIpU
bECxiguvsl7wR+sEbRIgEPT6V/k6rp/jabPGBDnXpSoOdh/j4AzfGknoMl7Z+VGIYMY3WgP5Qw1m
LlCy5dLiOX/HFUv4dzWHsvYpa4/i8AwXldFrNbNhUM7lmmFdMq88GQWw14oywIN3ba9TwjOO3zGX
VH5yxCcOVHDz3l+A+e4lCfXj+yvwVRrjl7n8exxq4OiAUAtjzx+P4zTIY4DtyxFoBH8kO7ffjWX1
qBfWn+piaShT2mL2kxnBKPh0UTiP9nBnVaLaYKhk79ErbMNaS0ZfHTTBEdmFyAgC6ByNZGuqckfy
t81TEap4LAde7DxrTnaXqpkXenW3nQ1K7aWnWBeympOA6O+3ojdEH2sFZ5/KKMywx6Ou4K1qL36c
TUq+Dd/KghDqo+YjfDNGq7LSVPf3NvTruCZdIk5xoipatMezOQOGdNAypyjTatZHmUtxXfWkdZ2Z
x76snc9tdckW+o2FAioFlDJFNV73FLWQmVwmYy3koXPMZB/Ni8uVD0XqdZ3818/pf8cv5cPfK6L9
93/z559lNdPATbqTP/77UL0UT13z8tLdfa/+e/3R//e//vv4j/zkf35z+L37fvSHTQGHdH7sX5r5
w0uLudDrmDzD+n/+//7lP15ef8vzXL3864+fZV90629Dd6z44z9/dfXnv/54rVn/16+//z9/ef89
5+fusVj5Pp/9wMv3tvvXH4b2T5hXLADCAmCBYPP++Mf4sv6N+U+KSyuUGNwtf0PY/cc/irLpkn/9
4fBDYJ5JTuAiAjxYf6gt+/WvLOef6MARduIwzPlL+PnH/32wo8n/n4/xj6LPH0pRdO2//ji+KOGe
UePkkiQmQi5tbZ0cLzPXLPDTrKolNBOtfrQVrXqwy7X4p9DRiX3MU8cP758Tx6tsHXFVhQJrhBcg
BMtToDFapbOqN4sdmlIpPlbgkXYJpIILB/vrqfY/p9Hfw1CVR5+IYgTF2/Xk/yX88IpeQRk7tkLK
z/1nrTWVJwvrqkOJ05Ok52Hpz0Y3OgRPaud2QYJH34ovbWt/qNscu6pE7cQOM0XXIP+0MazSxrJs
N02vxz/V18mxGzl3oZymTg9a0XBN5cXq7FiouXYnZkn6Gs8NAKC8LdVp64xD8pw19Zz6puyI/jR9
0OKgVAmAfWvqgWc6SARJeO2xFt1Padv/iT1WLqi4leQRligheiZL+uz1iW4GZZtm8c1IdfIpaZIB
ZgF+C586V5Sd32llUfoO4HyiL2PMdD9FM264jkYnezJkOiITEI1pStdd9Vg8syHzHQjSxNkv9Jrs
AJMx7bppncwM6pn0dJMjQLsEVI3iq7muRLnRKmTklDlO2k0qrVIGOcRiM/hfhawsNLRWn1NZmw9F
Jmzdz+uxvOECrTM/7RJmSqipSEPVEOISLfx8Ra/XNMcmS3ttyZ6kkQOu1oYmFCOsjdLY9JGi+bbV
1GFtFlkgVOFcWGmv4c7JSmPvIK2JGhA79XQLJS5Kl07W66EkkOjQeC2lc+s005BsLFxJD22s6+g9
L6byAfFYpfbjIRPJrsMPKgl6wxSJX+OWbYZFNqdf8PBJfhhLDCBQJcMd91SEtb+y2YW5pNSYqzUK
4CtfrQb9w9C6zfqpYscvkCkxwDuPzVU8QDtD2jOScaBEKf7GrVRqbxulVXIlHYHcp+tgB7UybjHr
M7RS+dQOLQrsWo6hUUhS1FwDvUqLwHLmPvJLGYtvIJjT4u+r4Ogm+PXwOQ5aX/coEkUIbq1QJyQU
TyITD+E5N6ezHuZ4n2zsZGmDXqXDErXiWVfzbi8q75I96onwy9+DUtbW14oPNYxTmRmU0HpLYocS
xpHh/MCIJEX13ADEjL0Dplljn36QcZoRB4r4uTQNmhyDzOsNGXv1CY1hDJgzq/lYKSlMgFhJ+KAA
ykbiE03WX4xocZLAy0sVVSp+ilJaEb5/gJ5I+q5vwAVNKRnAJhpYZ/4VcUHIXSwRpaqidNOw5blv
IC9LEsVp8DKcFuYIe518sDeWUJfCj5alcDciy9mruYl+V1gkU16FaaQBzK6XLpn8tXprAkJK6ghx
pLbHxaHC8s6OTXf0hyrqqUej43zIxQSCqHPbvgjmVJH2hcbPGiUe7yYw7KCoKcqTrGMfc3xu26hv
UMCVVki7ct7IqfhSLkt9YzQcKO/P40mXY51H2nr0GCBMrtif0/A74ykaaC9KqCuq0odJNqFXvmTg
GQLEw+okEBzfD1bvFS8UksQNFMzRA8FfZNqFLPJ8I8CY5gZ2ke9Yrf1ObmHom3IGmplsCI4Xqlva
56VW1lPTRegAWKxJGRGx+Pff/zWFOp7qNcpEcQzPOBLXU62DroizOne6ZGMOcyODLjfncgu2sbo3
ImUteKboyIVW7rpB6WRuGwySFePPQzOauxTsOpKziXToTGBjBFRZj62D0SGPgSkpGB6/B1EY3a7Q
4wbmd1JWod4r7oehLjjc0J9Obwzcsg3fjbKcIXptAH2QDfVWtlxW101piM9WwunjV4iHLxtHnW01
1B3Rc4Z6iqL6E7n/J3haRXllzF0TYziJuMpdOvdir+WROW1GnECu4lgTsQ/aAdXUysJckIN02bVe
YUKF7b3J9JOqX6oLK/nsIqJBReGDGjrtakRRTj5qlyxx5MGb3OhkXy9573TX5uhYeyRzoq2a4VL3
/vd8ezwqLSvjnAIq0eSvEc/EbUCim8uNaCuMjhqXqrRde0owWJ25wZcTkP77I57tVdIiFd4oFXuw
FoAsjkecJz22tbiUG8Oc8v2SJdpubpP5RjGz8fn9oU76wWzWdSzSIFiUABkxyjgei7JaW2aEHxtt
nMZb9C+M3crpxlKk77vPlTeofSgUa7pNgc4+LQncCng2IzwVMfT6Xxee5iyI5WkAYXDZQ7RHBvDs
29pAzJpKbtigWnclPX2+Hyu4Eo2F9nMVKyWOK9ny5+T2XSCspv2I87m7WVbfUGPW4tuyEfWuiOpL
ZbcTTsff80T5nmdbWShnxRms6qKxzixcGCcRZbs2K7VHV5sJ9cTcWakfZXMFMm/kSghI9qIlqDSZ
f1uURkS+glmWTT8t0pqNbilOGtQDUnNqgtjh3rHKOPdrqcjuRs6O0uzen9Q3VhOflwo12S4s6dfj
+peIPcKcNjVG4YEMnqF5ObSd2MPqhxVe9dtHP2g9KvagkTghiBJP64NUYYu2ixWE0wrtRwc6cp+a
cf59Rjfh3jW7+FtiL5hWozu/HVodvSfqXRcCxzf265oRsoj4XISOJ7tncRDQim07ClMuWbrAqlk+
93ae7hZzaRIoWW1xkYG+/s6jI389eKn9M70Ao9i3x7sopZ+TgcCNQsSqK2tHk1+Fz0VvuvALV+Qf
KXR02PlIOs/SQgrGa6u6DuiqmEj3FPmk+6M3UHaO+7o0wlHO9XbudQlA3xDOxxQKKfkCLlofhyK3
q+37C+QE/fS6tk1SX6JtGkSAt07ixZJywHriOKEFGBIVl3rCUMWOmh6XmshO+yCDXTn5BvHdEFLN
iEofe61BIy/L7Z+tGSv51kHAvfErb9QvYnvX0ORkconHOJ74pXh3nxI5zSqeRVMNDkI72RJdj00z
K2FWIeMzRqPQcQHV3AcLwZsqHFQYVhkfqQ10Q9jKdkrdVPeTEVS6PydeezulQ5v6Fq4R2C23Low4
RUuUMRA0a+7l3Io2wEG5eVEmreOCxLdyCuHzY3S/urAMG9XDIMFvvaroPxox6pAhlm7Js60mVRJk
jDB8HWO0ju4ELb9thARGdh/Zcnzu207/aeau/At0R6L6NeF7H3SVbgq/r3JD34K/hiSKB1KGQGNs
uYdZ85anSB+mF2ymRXtnxQnpzOAoHetlSFXu3ljUtl81RsF5Y4jmwUQe8yslruFDm9aJHRSLNezb
1CZrXaI4/yoqxf4Tka32RbOKCCa1SgfKd5Zefk9aWZX+TM1ZCZzYgHMYNblkMXcubUBDSQ1l17sl
8JipHeMLnn5vbFpaxisYaK3ngAs63kAw4j2jMiollM1U3ZWN3oZFGY9+BvP0Kp6ITy6s+fUkOllU
XKzExOA7157dyZrvqiEtxJxjNxdZzVMzzmaYOwilil4m125Ukt7G0GS3JJ3tT6tz+i2FHOvCRf/W
W6/ITcQFeHECmuO3trK50CkvKSHOB/N+0fLlCo3S1bCv/wHzPrlQInpruPVS5dLnIgMvfzycWyy5
l+luFDZjLoJUc6GAFtryE632x2W0xSUdf3bAG7MMQNVG6PQVqXpyLlqNouDByCwnMU0rlAQGBw2b
vqiTKWwWSTZE1oTwmD3KcdhraW7nfq6azfOQ5jTW3ClybIhAKpvaTRHY6kpCsTC33QnW5CJMBK/6
LA27ZVJ/lJnEladQ5rbdW8iMjv5iNux1IwEpvtKjPfj36EPsW5p+OuYSnviQ1WmcBHrqFUpQ525r
Ag5Sc3K0fEFIvNazhW5torXPmkU9yS/k5GIhq7QfSyyoX7qsyx872aQPbYbFDLbwqUeHPZ2ktqtQ
n3+U5VAhEaQsy58Wp6QMLKDl92avJD96aczpRsvAZ4S9lhIxj52cymCMUr3yp36Rd9qocn+5Iqvp
FiO6oYfmogyp73jL4l0PYzJ+axxLUXwcstRvEdgcNRRAK6nJJOX4Q62jXvjT3Lgf5rmYenzeUvwh
O8DyHxaUputgMsr6Qwma2fP1uhXfKtssNbLPakTyzLDFnTOBSfMRHjRq36mQci/bvk4DsIVLE8aT
riFbJ7G+QhWvR/hKLxUQFHVna5lfDzTkwRIY8tYtgZsFQB+VLyISyZ+15eQZ8l+qfc8GqL5YwziO
JC5l96Ki/m36vT1V+yZSrb+0DJR3AD8gf5hRevgIzt97aMy+fmoVZ/w00xapfLOLRqSvkox7vfVG
0/VHHWtw/HyV+POsrap9KcycLGitDvNdSSWLaqQom8+J0tjtFkVF2wo6b1HaAPFm9zkt7CnzF7DO
d6YF3svXFqKrUJSluoN/4WXXtj2r6j4t8/SQOdaIq1ZSaFemC5QSv8C1FBmPY9x/f//QemP/rhkI
WGLK0yhmnOzffJA4cYuM/Zs17ifhyuzeHRUMvpqh3lGj8vz3x3tj967pM/jytZxO1Ht8XmiD0Tul
1aK5USHnRT+2uAbCJ7n2uVnfH+q8aPBaySeA0le1DP51PJYuYMqWVuqFXdRQAIIiACEQjf2rEX7/
xhGd+XEx4zbDZUOMN4R47eOY9bgQv/8cx22p11AIKSEmF+9xSBenlBs8jK3FTAcvdPVpxlmi0cYF
BXZkSPuEog8mLUqdIfBolbZvzikq7O+Pf1axYBpgXMAtokNl8BzH0+A2UsOgsIlCAXvi0esHSq2D
44QVQl9bD725u0SZLqFx33ppnDQx+VmxqWcZgtKg2VZOknU16ca4Syimi6BLQQ/7i/t/ODuvHUmR
bQ0/ERLe3EKSmVVdXe3d3KC2gQ8IbPD056P3zVRmqVJzRrOlkXqrSSCIWOtfv5EmBYvy36CaiRIr
GosbA+lnFjVrmlvl+vyGv0fIv9oTW/qWkpU0DgIG089CjQud0zglIdGa5Nt1Q/ft5UdMQX59KjGc
gRbuQ89GMn6xrm1TN0W1MYmWKOKKo6U287uopmGJJ7UpfZ4jvYYH36tFS2wwYv6jlSPUeQfFJx/J
P5XLL45uVOTanuT3jR5kSHKyA6NjaO47XQt1v4oJlROQ9hcKUZjcW/42yBTenNNM4ayACV/X+Ngb
hyIcxdeC8lemiyuUiOWyBuooo97/agb2tsZ2uHIkLGY5OBzakf+6oWxdY7HJ6ouMxj0oiDMfsmQ+
ljpeOii5xOQ04tUcAFEw3g+BGiOoG/dWj1tCPDCTZwtbSvOMvkCu8daQ7JYW4B8/20FnZToX9vLP
0vohc6SsHpOF2x+5oZyDIYps+T0I5nU4ZvNaOMmG45QbF87EOQBxq8pikmkGeZgcA1PcwTPbeBtn
T8LAC7MycZ2t2gFe2/hYRxXGPHm7oupo+jEDUZ9y4zt77cjsN9cNHmsrf32sdLWNcQeGbYDm5+Nv
uczee+VY5R/qu0LGC2oU8aEg8bs8LHnW/YGMlMGsGupJ46vhLB/8saiMdF073SeMft0+bvJqWuNm
zHMnLrumMBKyKZR4IFzafNdkUUf0YDYN5wXUjOYd8Cw4SKLZapzmguF3hBSoiE1Eh19aZgegeO6u
BZScw/dZjzQ4xly4I5Rry2yGV73T9V/Wul9+sv0APAZVPUxJk6/dndNxutNqaGyILM5kFduIyn6x
9Ux769Wuy8mUsqnfOEh8upRhGuqUbOz4W/CQJ6WKQchm3VmiHJBYZyKzj40ttyXGFanCnG0UgI7M
4UIvkXbBPXuin/9ZmrppT0NQVF2ck/vwdS0Mv47rAjZbPIuMJ+S5Tu0lltm672ZH4RrkL8b6oxAq
W8netNafJjLnnyLic4o714j+UMZ4wX1YOVKeinAKinOtTa+/LwA+jNiXofzjbBuimZJ+/AH+SD4n
nvIxPFP4hdaEHLv622wP66uOZVO8zgsH6ymZu+UXLKLcnxZRMlFS9gZbUeGvzLuiXqrpbBe9B1Uh
1O52CIxJW7HTeZtIVz2j3vGUdg4uGh7ui85lTJj7yS3pfWunxIpsIam9zmfvEFVt+5FfUsuDXeR1
nVjGtjp3ljm6xStVisE+dmAY+Y1e5LntCJIT9T8ZiDtl7+meL+qAMBkNaFK7TsT4KA+8OJjd9SRh
LCYGFA+YHP76zmxmL49dCW788o74zDmP0AgzoR1847i/+AHBaJajMVR8W4UH+32W1muRbXzTUf6f
/CL345UhJ07AnG10O6hynt7q2I2DCFY3PEBK3Uvlue1Tq1jEL8Pb1MnrPOJctLjFNbm+P5JbkCBw
cYz+4Sg+vaoewtE0NadoU8vtzB6tT5O3OZ+YG3x4+Ulen6R7RgyWX3hB7XahF12lXhFR9zNIir2Z
8nXli/Vgt5Wih3YqhMk8UCpFf/qKE8+NU+36GOXKcFr2VCi+y0vkFKHRtFgRJjd6LvMUdMSP9ST1
o5e7TDUx/E9fvtPnnikON4h3dtYaxcrTZ9rk0i0I7QaUaTo/oYDPPqJAbT4PlqVuLM/rmsjCt4y5
FSAQBPpo/yn/qhB0Gam6Dg3MJdXuwtzM2d67LD3djWPqEhKzzE+VHG7VpM/cIjp94miw8MGA9ZK3
gxGjsEplslj9xXo05UBPkLvh540lemMLeAaCs2iQ4bZCDd9tDPY94l/36LWzMCd3jA7GWIv5W6cL
8zDNo8ArhDn/gWmzu90XbeBjownsTV3imyOB0FtnqMTpxCwTnbsouqq8VTfajmeeA9CmvSc3WfCJ
L+MfAynZHMNgjz8ql9dR5TmpS6bEyY36W9aZz10KTh3Mb+hSnJEX+0NeeqRIbG52CFQB+NNY+YB6
24blqYrxVq19ve/ifARQvMsiKIIu/XmQFNcbxh/RwWGaJU5NaLfnEgEtGeu24a6JCA15x/yWIBPy
8FDG2MHNqOvnbph+jgkS7z+6qn4ZBTTW2pnZwSz75k+5ImGX44rav2EM+O7lT/aZ74jJNkZAaACg
BlwOAhSgHvF4MjzkEqfeY468Ht4gH1Z5tNy15q5z87M3Zv2NCv+Z6wIes9/vKB7/4T5d253w3H7V
doj8o6TI9a0SyLIy+89DA8evF9jP4HCGE9PLt/vMo4Wrwu60z7thml3sUKufGX6fuQUFABEsp0Cz
WqkbW5lCZR9v4JfPbPzc4f90+rv718XFWjMwho7vIy2BzdOwhbeoDHyh0lno+pfWo3vneEvgxn6E
yiT973e6B6uZHG885Msxd1DNuQWjIk+FDsUHxPbTHdi9+dqoh+jGpZ55l+AO1Ark+NI6XQ5fqzCs
IDVBwbE2La0Hx+2MNKtDYsoaYOI2bcwqSN1yyG6cAdcv0+b2drUonAIU4fuf/2t/7L22Jp6WIaw1
OMGfAO/XL2YYlncW7tjnl5/mvhyfIsNPL3XxKp2lH8vFZiJaiJ2fXDelAagDo+rGZ7H/PZfXQWm9
4zgA35ReT28JcHKyzVJXadnm7QMZEdi+Mc96MNoNxhrMsePL93VharAXX0SIwdjbbZjo3S8pIBNt
Y2ljBJ9Gcz/DTCmbqMAVR5UuVOHN7R6zQi0f+iiP1mMIafJdBVb4hdGZOmWMdUTsGZZRIvFwnBwW
WNl6cbNk8tDpurzzrIzh7Mu/+C/+ffmIoAej4EYqTAzixc6xFUvdo9iGv2FrkI9ZFS2cUVF/yheM
X9/0QGzMX7NpLpLMcqMxXSgF/kxBMwYHQzVtSSRy3VYnYefBVxOSBbIvWS4gvr0M/lF1x0jDqYYM
J30n/wdHh/ptuVmeuof0M39qNvyUDw3OVZihuB4xxN4Er+rG0f/MygazxumDVUdw4aWLJ8nKDg1d
XqD1Lb6J1WrermH1Pctc++PLT/NCpvT3/QN2cAJg/gUv9bI4LScdNIFR4RYOPHxcmsE6Vs4cviVA
lPxvnFPeSrNf3k+Ul4+ujFTMMDAb6FE7nQSk0KZ52UKSHrOAOc3Lv+16+6R4hV2429PB97vkuG/o
sKOuKPI0t1R7KrbwW+7P5X3fAD4KqoCjNWbbXeFttxzB/rIIL5YY2q2d/ICdOoaxFxtLWMy6XLuI
iXUzEjQ/1KZ1Lsx66w/BgGXEEZK/vnPcynLQaOKN+NEjlP2XbU599DqbhxXj1WgBCsr04tYx1LTg
K14+RXNqJh97nJcf0zNsDYpgzD52RBZp3CVKCuFKiEkC1gwkl6XuqBtM//u1FodyLiMj7bLBPVTI
+195TjnHWMQ4Q+q2UflItxv9fvnX7F/fxaPjxwCXwrDm30slEgd9WBGACx1zy5ujao35NzLt7cvL
V3lmmwyoOnHX3TuAK6ulnu7NHbeMnib3xt8s4PGIx48RB8E0GlQPwBcvX/D6O9mZa7vGiRMEssel
nXyjcfrGxdBLTZQjAiigqz96W9C/hvucHQ2ZW29zCEAnT3fqLgJCVHEoPJOpcBWoD0suzIdxK6oT
jkq3wkCuSla8OcBnIT4ytCQn86K/7MvJnHvle6lLvkNBr1fLJsZeWonUHJzeOsm1D/NkqHz/49jO
XgNJyoej8vITuioC+BWwgO3dcxjn7stCUovRaBo5h5iytAv8NsaWMKUh5Iw4vjWzru4FyzF9+aIX
Un+2LzprmBV8ozh5kH58cV6OtlgM9EpZOg3uADLouhsmQMQfbLHtEI2RRq1fOkdRZ857u8ry35Ao
h598C8uPZcg68EOiCP/odevxBHWMKIuLMATC2xD/frelieeC0W/4Wq1jvfwJFtjvbPu1Co+izOZ3
y+yqd5SyBSxwzOXyQ0sWp5X4dhOeQgKXSWRZnfUHEmtppnBgrLf1bNbEA5uL2DD5LgM7cYX2sFX2
vTYhpCPL31Ivz959HWSOf6OKeeYdYU0H74evcC9MLzEP15h77IFUSsh8d2h1o96MviOOrmu+qo0x
PwJO3IywvdoRKGd2j1eH/6Hd9/c//1eVpofV073ssIiicTtLgPAl7tYgWG4swOtp0V432aReYN9B
if93rfzrQtPid11nbdwdMrDXE+MkZMieIHtIuWkftv2hjAZ9jtAqHoQ3rfi8rNbnlxfkc0+YMpiR
BV8Am+DFzUIDc3piN1WqLLMAOsMRlA1hSVY9OGnlu7vRGKvvxq1fnZR8ebgKw2vl+e5hZk8fsQUX
CGLmOqRrOzh37Sa3Q2MaxR0GaXWao0w4aTV8V+1g3lATX9/uzh2DmQHKFKGeuTgo4WPb7VRZQwqr
O/pmMyRLqkn3DpFmZbNh7GWXibJK479ZQe2fPddlQbEj8w+mU09vWG1lE3hZD8PaUqhA8Ro8zU5l
3s1jY71a8PP/8fJrvT5j9wtSjfB4fXCfS5aEcg1sAhDNkXxM6t9BlZR8WVNm/U6WCP8EAoGFX6om
SEbL6YekJvzosV9WJvOFrcxbNvbXipv992BkBES8y8gutZTSCPKVQwXlu9ayLQ4qU7gHQDGexMHB
LqaO8021fjwiEInSJS93nnWLBQOhCX3WJwQbDq9MRV7zfdg7qKSRnwzkxrlwu9J89msjZue0ELXW
C5Nskoby31sNZ+geEnf5ZqFu/MdwB7XX2LaBC1+tzFgJBDGHngB2OyYW2t0ehmkrvxkTLIx4KYJ5
xsl1GD5V9qKDuHRNflQ9FaQWTXX2kWXjfHWctRpjlHH5Z9Oo1i6uh23GXdy1pJeswuyJZ6jt4dSJ
Pv+KmMJ73JZG6wNGJdk52kyngoYLJzNFbeFkB6+v5forU8CtYAx4WthMW9oi7jdrLeOy6qPio4qG
4hTURW8lLXa98pwVju7vqJXF0SqGtblz6A8+tYvFRAN9z+acd3dnQGln7O1TNU/BmTm1GcIeafQf
HSnVp25fQJF7eRHuH9OT0op3jmwUp4gdE4Sr83TRd4L52FJ0MlWGns+wk4LEdMvt7DF/uHGu/g/+
vrgY8B7QKk0oM77LEKe+k27pCbtJKzrH8etsuO23Omwti3HJzoczFiP4QaOaMYteCwKObOnYHzAo
q/WR2sj8WXrDOsNprCVBHdus/lj2mJHnSZyFfjVlYvxUAaQGd2rnH97XhrnaDwvJPBDGVdnh9bQF
88doVNI6KCwn3ENpbiYH5Vi1H4iNd/Kk6w3wQGJlovwww7r7FA3+QisCtT58qzpo7elKQFVzIJjT
VIfedFDgTAHCnHkauilBwt0V2CZiIBEbQw3xyV0mz3vwVK76M21v9GZtq/5XXbSokSt7qsy4htL4
ztLaDA4RQRUiWUYXiqEXTcYHyU5gpoHI5QOjWwGDr8eu6T7ot2ZMnBqQKVlZd6SyeY38h2zcGVbL
6EskQk0++Ym3+ME5koOYj9XKcJ09xxPpzvSekxYmoZsoRsjLQdf0TQe/oUnEwLLhcEO0Eegkapf2
XDS+sBP0PNavIsj75qsrZgcr3tEEEwZGNu/82Z8g9KxeSdyhz3grrhDW/KKc6ezU00K8ntETf1lG
8Cr+TqtwH3HjkE7iwsCZYsP1dPZOi76zYCdVWP9D3Ri/wbEnV2zA7/s3btZ9+GGtsnE95Zr5IzSe
JRvjelIusikme1Q3zbxmMROEArOrCPaQEUHemrWRBtYY1GdyrLIqnsS41B9Z7kP1Rs3j8q4WgVWn
OkPWcBjLaGMUunbucSiLZT5EZV4WbyXpKu9XRxTuaZzazjv4ho+19KJaN6EuHJbEzNxZJTblMMK8
2neLU+QZ5RZrUw8l0QUN4XlZpzPKSf7xTipioHCKiPdCSmc1U3VoClf9YbJaEoMQub1KZO1534tq
jdbX6D4Z5Ga5sz2KLNjeD71pflXwVYbEJQu5gIcUFV89A3etg7cOw8fKws+LAnDiRw0Zk7wEiZt+
hMkjfvioJkQcTVkDNDPM4pcIaOkYBELHiiWqqSgm4GCU7wZRq/qdM/k4kHrlHP6Aulo56HoW/ZWE
J+/jy1vRM+c+4EYEbRAbb4Zoe0Hyr1JL2+Nq8jCbdGvbHFwo34jSqsdz29swj8bV/lqXZIm/fNGr
pg/+C08PsRJb0u7U/fSiXk/BPverTI2wgZwmO5IqoBkeQ3e1P+f94p1evt4zN8n1KFh3p0WmhPbT
602Tu06tYL9tW7GdOt+hOfD1hGRoGO+CbPbBwppbtJvnKg1k4X8DZFDSgkA8vaphmcp0RoAVYzTG
IK3bPJxiExE/BNxqIcG1l8K6l2Jk34BvPdafwiBv+zPEL//rULmL+n889t0cnbYDVir979MfNJiN
32q/UGlgRPnnfhuge+QaThbpb6mS66219cwxt8Mu6KSZmDJZumhSqmFujTJwp9TuZPm+7yFDwLyJ
HqDbFDfe8DMrahdlIcmCyEb7ePGGnZ4QBt/GFgYIfXm/RFl+p7P2V4hM9B1g2a3x6DNl+o5V7xNL
2lbqyKdPUnh9q+vcwYUms0m6YHAHTrHCHQNoq6aUZd8fUSnXdy1EzBux9tdAL7O6fVrKHIJaHKn2
04sXXR4sDrnhKT2tc4Z8Ud91/H/Je3H9FFBgTOse679xJAuC5K364NQWjMrBWxLa1MqJMTfVx97H
5jnug7A7+Fo1R0L+vPDw8nf3TCOHP+Cep+DjAsGnd/EJTJgqed7kzmk+DPVnVHOChOBWf3Sx6Q9i
YxHLN8IVzBRbZu8DdLjxXE1kzN74FdewCgkFwAo7J5rx2OW63016/TYoCONw66o6uaMvmo+NYLqM
NaI08c+odP8htwYcl+eitExU2lXzaXI264vgLN1F0U33uMDZ/ll25ApvJZI0KP41KX5ykfMXKNLZ
Bzeztv++O0Ngpz2AyA4sdGlELgtRkI6zjamM1uDVBLU1HedifmV2bZeWkPnvt636bz6xf1sy0GNa
JJpvj3nTxTZh7NY8WCpNaRCWGOB6rfosO+HcBOL2j+SiMOW8sen8wP9IGbhYHNBSSp8jAgqbnBxN
0mTYflODLR7DYXEh3gZanZu+G4917vbdca/aHzIra/8fz5hBMXQtzgesUy8636ih7yUBcEqZReiT
u5jWK7Xl6gBsWT60w/bL4ui+0QBcb1d0fAzcwbuAVMD8nn7CcGCiSNRcs2jL+q6ecv2jQJocJrSA
eVrnmXPDxuuZw4hmlz57jzWxKfQvNo2y9v2pMbcJVwXLbQ5zvdo7q6tWWcwzzd9aeQi1b6tsuIhy
9ApwMrwtHnuQ6H+MarJ+3/gmr18++gwa8Z0Oywj3cmcAW2iyXs9LGoo8R0DGHuEspKuRxwoRbcAX
oG3N+XVZYRGLMUJBrB/pBy//iGtROxrT3beF0ofRW3TJHIpIHBu04S3pZDk4DnYblP/EbtrolY58
7HI2ZfBDQlTNANKuUu/6TePALXXovguEZ+sYl705i02l1LfMX/s6LS0stA8raMY3TXZxHvtzpe4q
dCfLeVZVUdEB5/Yt347rOQebLCM//HP/eupd3skMPFGIuV9SpEYNDIBtODchgzuOJodnp62VPVaV
dxVYZiqNwnLgaMLOj1FKgYCa+Gd0Y0GWx9A190VudpTwTnd++Xlf78M+PIh9OrnvK+7leKMbVww8
mmlNPar3ExpfFPGthMIHP/g92oH17dxOJv7q5pjac6lufOjPXh7AEDMnUD3rMrcL9KxcodxpLBPm
cY0xIFVrrIMpyB6aQBphMijG3pB5SZaNW3f11M6zzYwb5/ffQezTfQ8/JEjovClcCKzLx7B5IVMo
G9YLx1AXvh7arcwfCmuarDfQblEhCSZob9FXQBQy8tx49OxlllRpTXQftWNbnf3ccfBfIE9Ux5Ub
4gJRWxuOK73u1yKeLXpd0jXbSCUr41f7zskgJ6A7zJ3+zjUK4zs5RwDdrdlTfq+t28ArziRwt7UY
5blvqtCN6znnLawTdGatvPyVWOoJC+kCffmhFL0421swZMd2wWMDBxZR3qm6LYFscwy6YllhS3E/
j/7wPRzX7rPKZve98POq+kSwTHXXU1n1sY9/XxratduddBi5D8HstzgpIkC5QUy8rkTh3uClj6cX
ltcgf0/321mP4FozPvOTr4uH1qV5q+XAIrflLePpv6Xmxeul7Gd8shN+OFXcp9daoi0yZzNbUiDu
3s1j06IZPXSwuEgVL11bpTmYR/NIoHtPWy4w1kHuuG7BT2tQvXnnWuNofzFbw/z08uf3zKHDSBGl
FmUjePYltgz7c+qHwR5TYnuNb15OJBwKjP7HMg9fMIbZDi9f7pk6NWDURi4UhRfV3yX1f+4zcxrb
HXgSDmLkGPZX08a5n5u02WKup2NQm9K5z8aRdJuI40AdZuyzreO6DHOTQkWTMzbaM4Rfufho0rvN
QTtWqWF+O2dr9naG2X4r2el6qRAUgFKCDxOmA5vV09cXRESMIdSsmD1kDJHKcZqPk1qWV92AS8KN
Z/TMxbgUe5INDg5t9mKtDBwtQtsbtkBWH9xXqySe1WTuJZi13bjU9e7HEUcNvG9/QIGXYR9tnXmA
ju2Wbma7pHbYye8GyDTpj77o4jFo5HmhyjxyZIoESx5yCF5eD9dNOOA9FKp9GE8/GO5//i+kIcgi
m6F5tKUehfVPqCXBxzWS+HWovAtSA97zDL3dk8GNU+fvx/3kg3R2EiBBfVAPOXgucw9yjI3mrMcJ
Q62ozO4nYZqPatiq6rXXrGZ3zNXQlScbQRq5rgslEKaybfnRsyr0SGa9hL+Z+eZvSVbicXkVs2LO
d+iZOIx3/RrXqhimeA60hpKf7Zs49zkCXq/UB2Olxy7WW4Pf/yRdGPh+Nnk/XWMMv0qlxXToYOTB
/WzM9b1aC3NNQn/q4O3w2377YPlzvGbzNMfAlaK6G4Ygv7EtXL0XHg9PZjf9xP2A4Lin7wVCZO7a
otjSHYvDM1I23Z0aB0um1TJZQTwuBjkOs3FTpHvVRHNhqMzYXrv0ZZyIFxduvQxgwDXTFRP59n7N
bMVJgirHOIBni28y23N/UBeBDU9uaHx9eT1efXtcHsYZREkGqR4t9dPLVwINeF4NNHs12Qw69FaU
gaV13EL69pcvdfXtMdyBkokr+I4ZUvU/vRTiUChKreIRD21z1OW0fM4Vg+lY+OuS5mrxH/BInFId
IZKJ8kycXr7+X3emi08AJixOdfgeIcS6HDgUhUkjJTorxZ0IhSfaEwlSHtX9A3kgbXhYmeW2ByPM
vHNdIIJLMNQHNcVxpszPbPAeCG5jmuvdnAnkeTh36wNou12m+epmc4ynm/vB4OeHB43V2ojdTJkd
m8CS5mE0pa3TUC52l2yj7N5sKwcfclUkVyXzarzkRCggYqhmuLG0/w7zLu/bhe6BvT6PH3zz4sEv
VudMGXEPBMov3b2JA/yv1Qly9UieMxOGVZG+lPREZqzJ3Eab/XoUDjhJZAZrl6peB6dmUK7Y5Wrb
eaUkzBLV1gBnL7+gZ77BncmKaTz9SAiV7+nvnLqizbSzo/ZDjjIfqf+2G9KE4foaKMlfTgJ5Xh6H
9pYVN86F63qFz56gDhjDlCyuf5ljghytZXscbSxiWgLKtS7CT/M86j88GrajqgB4Dl0Qc7g6wSM5
OlaHOicX31wEVgma21vusteoEb8I3iTwGi6ErNaLjSF0hCxDk9XqMNV7L9tZ321s0fYhaMvoTK8m
70dO6YNqRuO9hNH+vi9N/8b28NzaQUjPZ0PbzB51yfm162zRqpoxUQhI8DwYs0TuEURjzUwYY4ju
wFw7+9kF+H4krkdS1NwqrzrnI6zQ2ETZSEx0lo9v2dfwYHB6VNwJCnL19uWlc1XVObRUe6gRxgph
cAVF2pNfhI0M3NTCDvNRojRK+Gyt91O/tZ/quqt//OfrYWUYUEpQHVHYXXxSKOEnOJYIV8PezdpE
uEP2qjSM6lsg5lzHQQuqdOPruD4oMF8BKNpfBlndl9vnIr0iF2vlpnytWTIMEVYGZlMpFTsaxURZ
aiaDZbYdQ9QF2w2o5pnVyOmEAQywObob/3JAj/h6RU1OjvOcg10TimfvPoydsl4NZV7gqt/o9kze
kqJ7wui2JGY1f+VCYb2xIJ950TTNPIJ9Jk3ruD+lf9VPfTV1Xlh4btpNaEJHZPHfB3romuoC45Zk
LeDN3Ti3ro9IpPGACoyHcOK6ruC3aHHcXnjpytjrHixvag+yVsYr5RdudfzPCwuM09utIHcyxGXW
SyXxBXbWhouFE8D0IA0cBGuSgwjZhSbS3aD0Xz5OMrsoO3ZlBgsKF6mLxxkFkHGnohfH0nOwmMT4
8R61iB4O1pJ59zlct1vL+HKT/3tFjOrQK+z1Bg60T14ghids5Z5ppJwf/gNWACPeBL18Z+L1ggbf
lskQkuP58lMFauev/fcZuF/WZ+zPUATfRsjoTy87220WrKUIU+wyCRU186g71mu/frUmqHFxF43O
L9fMCCaCKgA4g5+fdR8xHB7jIcuiXShjmW9xAMEMbvYHx2TULau71i7zd5jvrrTxreN1iR60eN/n
TvvBhzWAD6dZTb8WDA/JN5dil8q2+fB9LMzpS7OOuOSa3uYHVNyYiCeYbpiEdmFdfCokJfgjyvT+
99bUQRuLKQ+OC8wT834o1+nebvsA24q5yP/JC2gGjE+7WcfmIIMuifQCSC8NRQ1Dng8ZV0a3zdBE
SFPgv4f5u4Dsr/YxupgPe9nDXwUl/jerZCJscKPATgrJQF5LVH1J7o7yd5UruCwlu3kfq0yvJWzV
khtXZJ0SetgPxtuI0W+eZjooH7Q3iy1ZcBa+i0zedVpWbtQwGHfKnzQJuGe0LLQsXiNffSKzfpBp
1tu4k1qetqaYATe43TI51WvDLJB9oG/OESvXNqLjYmjgGA6WEjZePsawPeL7U27JZPcznYLrGCSJ
AlU+KP7sXdYIrGMjezZEsrYtvUTeFL2mzeodLGGgLBxn2c2//SGkKsQwkUQ8Rlm/x1niNUjXG8Jy
G4m6sBul8TxddP8K1WpWH2CwLPi6lFb+h53TakmS8zs7maY10tDOM2zkdONuxG7SNJMMDL3gSzCZ
ljiXrVmSORaQ2KQtuG0xJU8Hr1SZu+mci5lr4kk5tgklx6pjhtH5PaMR4XA1xqMkQOFW/pmT2YEC
MjOcQdO8tngTi2gDY7Anck+cyfIFnluGCiA/zWuQYK6rf21mhgB/Qbjvxi3Bpq8nuNyYh03bnzLL
vF+4kxPogLwCyA3ngPXAzjjnD6C41T+lV/HlWs3i62Sq8sKPbZSRP6XGNgL9whw89DIqf/Dg0Fd7
Bv4ONw7BZz7j4H9DmX2Oxfj26We8uUAi2vNxPDM2eShEhIJwkMMhxAbzYaj0fGNisEMPF9sGwxf6
QpxmqQ4vdytPS+kYtZkfMyi4JaMCb37oZJvdkMk8sykyBMHAE9XPjg9clBMhyPTm16M4OoyHrZRI
7ewNo+SA4ItgHk9zWZUfleXfGs4/8zTRY1M5UW7DOL4suHEGMQCKi/w4zqJNTVJMz5jcOI+0oMOj
neXerdd3xfNjG8a4m4gTWH4MPS7FLoHT61a4zp5zawfDj2lbx2+0+53COMEoo1dhL/Jz47TYfimU
9F/HOUORalrYICRjn2X152Dw4VQ1IMWPVYvG7ezhItEnOPFE3sEWg9Elw2hZn6yoscdkYHjxs2C8
K49ttzKe1gw88c4pUGHHWYHJaKxbcqGNrDHnGGdc/QYwylVxlNlOewy1Zz7kVTfvZhO1S+gu4hED
6lXT7gR9VkTTZDMBLQGEGb510/ITp6ydT5NBzFqc1+P0xa801CDZG4FxYHDRMZ0w53Fk5iAqG5Na
4fZJqbvuw+TpbTqtOBVtR0TUFk4kurN+dDLA0W+tbbbkUpcBLKfMIe4A4z1roexrA/YdgRMG2QIW
BhZD7hPuKe32kaSedSbygEnWbsC3lSk466JPfJ3RLxUBwxLoAOSabCKqfpIl1b6uu8iczi8fvvb1
6qZ0RPPPFkgbSoH+9KMNem/NLHOujpuT2x6hlAs25KFv4Prt4fVQe7WdKMy2j1Murbthm4wkmqps
SWoZ4jrpK8LLeIDF+LttHY3IsVuwuqbjasZCf3AyN3gVhUrTgJuyOKxkD8SREsQ4CdEmynfXR5zm
Wn3A2vrPasjp+PL9XY2dsBRlkkPmAeF1e4V+gV9O+1S1XKLmiFPKCqVP+5hBb/kMnFPMdhcxGctA
OEDluj/mKtacOl03PxGoieDgDkvztuhJQjjoTobnrttJ9ESobYjb59a+lejxzMsgC46ZI/X8vtNc
7KBeNTSFk3XdEVaClcgeNUEBef37VBdf5tz9yk2aH19+QH9VqE93UUpLLOiwowEIBwF6ugBkiFfM
1KnuaPpAWLEjM3leq96UaVcOgIcqt/w2sXULxdE12hnGLGnnJGLb4+Alg7Z7FWNUXn+EAdfihbiM
fvbG72f/tGQrJRufdwlzOajDTwVqhubgr1bfAcL40BpCSLNvC8Qs42uHZAxmq6tUhwH3qe39JHOn
eGPnjkaR6Abw2vMCSWBjrBOahqzCf8oVv8UkvC8eJMIC+XC06vvKrrvvGzNyjJ/FyNQwCEeGTeac
19YhLEX7WBjr+KPZZsGiRrWKh0ppjR9RyLr1qeURv/dr3tExsqpmuAMPC77QgCzzvQcVE0MgOCHf
pmUG1g/KpXgdufCvKRGa9o/Kc5PhFockFtxCt4eh5/tmdJsZJyzuTAMm65aXBxnUk8TlEsphQmUx
f+1Wa10OuVNN6s5S/pQj3SHqjPFLVH8aN+yJTgt0V5JWLPbCw8sr4C9F42oFAPLDdGEERd/2dAWo
ZnPCcY7K4/9xdl47biPRun4iAszhlpSobnWy3c43hD2eYc6ZT7+/6n2AY1GEiN4YDHwxGJeqWGGF
P2iJGuEjFaoaEb+st25g1sAZh6m2kOgZsjtj5jghEWMaX7ClWIqTGpmThgZ0rf7sMlwWHgetUfPn
SSwHiDHCbjKkoTSe4G+miEXLObGHNiMw7Kppno8+VxrOl6YcFOULlojdE/4E83jIaMg46JKbEpXW
ULL+7ZpM+pA7jflHM3NUIm8vwfVbi74nqj7EERRT7HWBaYJ9aRX6nPrGVBbneUF8LQkpLxey6Zyo
+r3PaElA/BhPsNHhFUBlWBf9hjFrhqESOl55FCnIKSlF++Rk2Z7xyzo7FuPQ6eN0k7AalO8uv6yh
hONScE37A7JNT4nVlGh8Nu3L3GCMfnsJN4aiW6wJCAe9Gwiel0MBNqV2Z0yZ34JHOyF/CC69Ne0P
FGikHSLIG090tWEhR4gKDw0BGtSriCxQQ4ikdhz7Xd4YuS+RGg+uBDr0LqQn7zyPw2T/GyhtcN8b
/fxn6nk8+74DJG8nvUmSlaFC6iWyMWOlvpjJnVOZdfYcJPYSHmSj0z44adYTt/RA1Q5snCY6d12N
G3UjKeG9bg7Gf4Pq9NDulB4pIuo9/dfaEAY+EDdovsz0i7GPN9rmy1y2mgkziyLpY9Cauy4V11vX
5By9NU3ZVjToLte9xmEviKqOVZClqfCG0emd18CSpAcpa0iQJXsY9xjDV1rUFPFEP/BNsAcW6BqQ
FOeZIrfjWPiJlDqO23aGemqT1njIe0k+Q2g27nKceFzkzfp/cTaeZ6+x48ZztMK4c/BTcA1kOJ+a
YlF7pHCFpLeTZ0CXFbkvXLXVwp0w5/phNcFPyQbYUvAMBNSXq8S9RWADRE5AtGQfnVMgRC1YRKNT
U69B5fKUTXqzU5vaGhTtUWg8CJvT1F6dvggHEHMZ7Mxnw1insdOQy+qKQ1Ub9ImtJn/orKjz33sM
HcQkhHuEIv5ZRxBBZac5T0zjw9hoEhe9RuNLYWXAxCpqgLfHEqHh5TGEegk9CXiYzcOxVmfUYRci
1dSW/rJUzrGFmeWUmQ/J3zgOc+48l6gFepA25B+3x726augOMzPEkQyFFGgtATGb3JwV8jt+M9tf
qDkktB30VPfnQas/3R7q6nQxFH1gwzLRLueyX900kj1BKJuUyl+iOf1Xy1v9RIEp/w0ggIqNFS47
Ke1VKReoF5p6NMFU1C0cArPLjarzLNhNW1Z+h0boaxTkrYEtCdTBqq3HU24oUC+iqOO/82id6YkW
PsJx9s4Nu/UzDOJPPDQAnxFAr7o9eTZUiBhEjQ/LQfonUQbbA4hhHmcDKhh1s1F/0MtE0uAa2pnb
y0CkZruodt6U69WnFcm5AQ9ok6OsIWMz3SgM5pbelzNlfuobZzmwePa9koWjzK/Aysq9/b2vtjTb
mdxdKD3wKrO5L5dfGeDPBDHGvAHeTXeZSrETWk1yysNpeTKcHIOVHqVr+ofZTpXhelMjbkSnF/gP
MTiQ5MuRh17TmwV1Mj82+1SBS6f259IguCUIS4KdaV7dTExTqMVzdthwlHovB+PMSjNM49a3W037
BfBAuWtbucRKSR0PDtzN+wkS9c6gmzME3YnMH6gbos3LQZtBo4ePQZZvk0AdZBXefl056l1WpXtm
rVtD8SQ6NHIoOQLevRyqSBG+DFWn9TU5Mt2+H34hOzh801srfGdvy6LZgzKYkLQWdn5rDRVQ/RlG
kyqBLB7l53mcuo9Q5H9HSWR3IPdIPN67QQEsiZeXG5d+mrm6kGASS7A9O3o60pj9YwVp5FlLYJuu
bdCcdtUp1xo4bA2q8rNhv94e/Po8QvmFIicTeAmtwFWMFyWt04FCJExWMvsUcey5llTn0ZLz4BHy
5P9hOE69AulWoMHWqBjqFXhtKXnmL+2iP+lLO7tTTWPNCK30x4gMwfH29K5PBVU7PiPAuLewebVr
RFQ5RJXJ9FqIRmZvTme56IND3feVq7SK9FBM2h6+amtQZG8FugWUAkyNy62aE/JMQBF5N/vZ9OfC
sU9I3UxHh46E3+pl9mhWQ7gz0+vzgccrW4iGpVCXW1upVdbs2JXeZmCF1PRFqmzkQ9hWB4d2ys4d
vjU/5E1IL00KaKDsLucXNpY6ki1n/jgpw2ORkvnh/oqEbJTbv9FUGoFU7upGXyEGwPKBUSDoogVM
m36N5AIbZC3SYuD8Go7lx1DoaZ+WnH4I0Cj1HulFPBWQaaWVge7YU5wlvVvljvHbxurIW9Ax/3V7
a12/K+DaKLEIZTnoBGvTT+BdYdEjeOo7uVx+KGbIqb1G9gHQHckqu42OVqtJB6ds7Hd/ahYe9UIF
+gIb21lt6oi0yJ6xA/HlKk2/Di11FEMt+/s4tvdcg64Q/JYDiQdeBlkZBWT21eW3Njrs+UhlLbym
LOeO1Mt6pou0fBBCjXfZYGiNm5S97Y+JBl/ECCB3pUr2NSvkPVjN1U3FL2EPOEJDBSjf+h1HLMiq
cmOwwI0DDyrV6TON9/jj3IZ4WOW6sfN4X31eB96eIHeBjCFKXMNBsqTQxlAzJ6zhpvoTwJFHDGvT
H1JbVw+oFgQf9LJvfveWKt3d3lfX8wRpjGy2SupHv9ZYvaksNl5JySL7dV8adPvJuXQUrF+sNPyV
FuoeYHZrOAVQBYGKTbFo3QCPEbhVy6RS/A6tObeElXzCooMG1Uhpdegr6Z/b09vYUaS2rC14fJo8
5jpvi51Cnk1pUXyZ0s8H3RmTlz4041MZEQW7czbUbuCYpORJmn9PjEImTI2t46Jn87fbP+VN2eYi
26HrgW8v7f+31GN9UZc5P5MW6gLXJ5fnlzBp2tYdJl4Jmh9DGN6V4Fe7D3KVKN+hjYCVc0YjGg9k
X52OInVh+3g2zdUjjcKOmDnTlq+qxVVwrANNWVyplkfDw0+mBpA9w8hx26I2O69ApBg/ddQ1YrcI
4XK9N6IQ3RxBcmKRyTfW4ppoxnSZ0Y6KX4I8nwFXWdYXPCnLD7FuiTAjS44xslyHzJz2gCviPvh7
SbEcgaVOpE3vDvjMmn2JkbTT42C1eOmoqV5Y2uY5qYZyB0axfoHEKEJyjq8HWgoO1eWtNKFkoDeR
vHiFoi7/JFb8s5jM7LmLHemJzhBt3KjZ0wq6eoD+d1B6DtCkoJCtZfxHW4ecMOiLFxLN1zQNBw20
qF0fJj1UPysNcmtZBTnSA7sWv5adY7uLMxfP2PY2pyYe6p2LYnMRCKGIv3mDkZW6XAR9MlGvcmIZ
BEXBvWu9WeOyXjMIChsZinzQTrWwvb59at4qmatPTK0cpXtiVjJac7X4Rh40dGS7xZOwl3QDLXdO
UpM6nwu9DP8kNWCOpEIMoR3k6QThuaAMX4f3mUqWiUjR/AworfadAFyxbhX5HWqLgMfyLvs+hZht
hJkd7byXV0K4fDlAfTAjuKZ5rtcOYknZTgjdAyts9M56NDXa5CFyfsisSSH0E7OxYGZkjoyMQzT6
jS5Mw4F/HC01kT4D8iTA6ZK9kucVU0H8KgF9BOnHFcSFePn9FAl1uCJUBZqxG3+qWTvg1zIPztdx
Ke1zGQeSfECwVQkPkdRTxdRRgpHcvJL7+4kKLP1P0nUsmGRJfpFQJPxambH2gapkPLiFARDEv/3h
1xGm+L0cbXI9kmgi+NV3HwABFd2QziD94vYDmufxucdJ5dCb5l4we1WseBsLrhb0asFTePuif8HO
xswkassAjcRpbH3l5Zc+ShKwrDAb+t91KOsuoK2E7V3Fx1myWn/pzcp7/3xJNwWASYQca0qNGbZc
XB2avaW2/ImKCHhLoDifla7Vd73eRBFidaZEgEXtSzxF0AUu90JD6gwRmmtTW3r6a+0ceRJ1hTvw
CRh34WaEdUSZWvecNvWUAwl202maa7fSgvHj7WmLz7j+KXxpwZQDgXcVEAwO4pRlWC9eTvfHa5Ju
OYSJXpxluZ0RwFy0nWzijXl2NSAtEzJtaBLgFS7nLqE3FjDegjtIUN+rI4jvZ6OcWhpusEN7124D
oIeZ1BLr90WfmF4IuP5Xb8AtdHXMj1DG0pIGTZJAmn8PiYR0StFHqJFa2iKdJm4aTMYavfmJDbb+
McymnP0SVt29YXbGuHMrby0fYEL2LZVMruVVNh/OrWMgGkRNr80zGs+p9BKGucSF0wqma6A/3/5c
G68AZXCQLBAcCabW4SKGBUmYlOXsmUE9eUoWpUdpsvAIqescnXjpRx8myc4cr24CCjBEpiboAgJx
ZIUuv1i9hIDFUPTBWlC3H4YlhxZopyHiM+qeMevV9MRQoips0Boi9VtFw3W4jEsg2QylttIjriXj
KS6KGTabYaLHVprHpWy7nTXdnB95FWBwHjrIQ5fzC7CP1rUUzzQ6yfUvICTRoW1k9HSFJPrtz3cV
LzE/NPUEBBUUPp/xcqgmYftPCGkdrNIsvycQTjwzBim392hvjqOzUUSZR0h9Xo5T4W2E2i6EzjwI
ljPVEAovDgt7SJc4+KwFaeGhKlH9NId8eImUGTgbLmpeYeboTQSdZfxDRKz7KUoXOytwdWCwYocq
Bc6aUgKv9CqMadR6VAPMeigfas4r+d90hIwzw/+cndOAKNJOPX7j44Iutk3UYHSam2vm0YD9lBlj
JXqoS8vygUIABMGByAsXZ+/jbk2NTfs2PY7o+lZP42QGtcA5wZEbqHwCkLMNo8rryjY7VbMi7Szl
1tRI1YX6Cfx2oPeXHxkyWZoZMCsOPc3Q1yjH3K6wqvqht+y9yq+4xi4ubb4aMjPMCQYAjehVVd0G
JSDrC5hA9H3m+DAmdY5M+aT95rBojy0WNM8IXg2SX0tGcpTTrjvcPjji4K9/ANPkyoNbCLpmdTGU
nRxYQYExumnV0xP4K+mlaPL6Tnh4Pi/zFJ9HFOAimpBT7t8e+jpyY/JUYBRRkeI4rYVYSGvLTjFh
so5JV5ZHU++T4QSjBO9sgu7grpZJu84UJWgnR8g/WadAz0dcl8Hk6v+lS1H7loJM/1O9ZPqXeqY2
67YLMv0h6oxInkIK2rmxN67Ri1+8+lxhXkhhQ5p/wFGnfbXMebiH/ZbAhdVB7CBK/TroROW312lr
UDpNHDSyBTalOB5/BXGmlUwJCXB5GJwg/m9uGiS5lBTBobwdX8Dd9X4IbOJ4e9DrNI2Pw7akmc2l
CpFndZ8g8UBVUMrLQ1QrTvQjdtBuJTQIg+K0LArkyiABdHmomkG/z6I2/dkuRhcfYb5P04elCVDD
sqGrvd7+WVvblTUgvCHN52SuPkCZJSBOI2KaYcwtH1O/6WgPyBGqqaZ+TDFFB7pe67lvV9meFe/W
LQQkg/AAJxde69XVrySxTO0kqzBD0zr0DWUEZ1h946tN/Rs/2PrXu6cqTNT56DYiK1cIlRrvsiwC
Fn1o01o9tLaeoClcBh7WnPIxn6I/pawl31Fr3PMR2JgofQwEfyg7CMmR1fWH3E6cGBRjD3mItaCi
d/l9n6X9QZUk/RRiR7HzqG68qSbPt4gRoAjxz+X+Hi29DsogZGFHM1X93jaK6B7plV0ZFfGFVncd
0hFEXKJnCtRhNVCFUkxgj/RiA03gy5Y5MU9DH7SPY9OOSNhM0qmWqtQLItqo7lj03ZM59agAFGFu
ulQmIndU1OTj7e+8cbyBQYiUkD/Y06ucJZkd5PV6BdlDaADPvdqlngRY465ogvYT6DrtsUnKL7fH
3FpyQgBIZaK5whu3WvIlzdRCjkkNRvxqsjAznywpqnd65VcbCRASbhR0GalPMshqlDihJifRbGGl
i9gDH4kbbFBCWJ16+dyDVdp5y7bG41YQcv2YKVDYupyVVamtKg+W7ZX4p4vSo3OiQWk+yXZRe3U8
7iKExae52FBMUPD32FOAUkE7XQ640DOw1EllQFWCayNlkfUPiI8pPLZ4v8aHCrGGFxBQ2JQaS4Xq
shqi4BXBk1CR5o5b6MOAQE5JqTbaUcJM1jMz7hjfiPuo8CfHjme31pCgdudKjkAQjvJwwse0dVwp
tKo99Yurnch0yEUQ64CjoOjrWr2Gen5RVLnt2YYEKU0FtoqMDlTEYzFX6klBhNLXjHcL/CEfpRF/
UB+gAcR1tbpvZDpdM7KXtscLjqJRPZlYRnWFthyApDmHqZ0dKl7Vnnf51RkQw6LwZxAMALJfXzv5
LCP8bTCsLrzb7uzEwnwC//lwTxF7ayAUOyj0YarGo7p6SSuJTLqWcgeSMuBwvTPHT2Vp5F9vH+mt
zU+HRRg6c7+xoJd7cTRLTc7mGfS9anWflBEnurLPStQgYvm+q5Gnuj3eVZBM10xw8Nn49JLoYl6O
10T9AD8sh3VVpNT9+qItHzskixW3VMvm9+3BNnYmlwhr97Y7nbXUxghHJ05SHj8D7OKTos3/LdqY
uHqV9vdOkeWPGZt3J9bbWFChYI5FKSAbsqrV7TWjYUamYTheaQ9Q2qbaBBE5cTljGvp7GdRdPP7G
bcI7L/qytB0Eb/NyRScjrZaS4qu3oPEERDzPca4gU677nNQnRbo+zKTo2DUU5qfGqiHxLs7JHJvh
DmHGPcWPzekTZYmfw+29xqQgMRSUvRoFAkTRn/KByGoUBdY8sr4TWMf+7S98FdixnURsZUO3UCF0
iu32V5BrYdqRLRFXqVQEhnom6LWeU2ccHhNYvb8XfZHv6laz8RlRem1n7K3dBQVSx+dWhCHroFLn
lukGC+JKEuDYbKCb/FjH8OSKvGlf+zwZP+FrPOnu7Rm/dVdWrwc3HsQC4ixQbfLq3mup5ONrlgVe
0YTG/IBqTNr/AEiPMHZfSlNberBbZ2QFbCf7aGOUOHjjoHT/SEuLB3CrS9YE7Q8S5cm2hBulOgX2
pyBQx8aLSUXwaoloO7tOF3a1h42Kkx9YW1h4dTBF6u8ll6PPyYAVBWU+E5FofTCRxNUR7jlWZola
L4K3TvGQSlOTQdAMI+k+bKRGe0CWbLgrYrkc3abN8y9mYKDaPWt2kO00qK6zENGbFw0SIBn4J74B
9P/aFrMcxG2ZTOhKNbOJvAaCiv+ZQZmfa9C8h1Zd8p/o0KC61TvVvbIkrZtUzviaSbRI3Cycqz2X
j41jQS8fRjUxBgIkV8ib3kYBpJ1ULw6K/ttSj6Z4HJPhIUF8WMggh+FOoeWqRECp6f/hmAkR4R5f
noy6qOpydBIihqnVvX6hqwqEXDnNOcBHd5A6Sr5JVcOiJBJpKLbFMF9vb9WNSZMKEJ0SNWNCvTaw
BE0gUchrVG+cRwvyTVe0GPJmsnNESrp/ltAAyd9bO8Spk+mi9ia6hEAWLmdd4ptCe7fSvDIpl8dR
r3MX34oMVme/3L93dkDlqfsyCE5tVy4GaqT2ZBw0HLNkJN+Ri9m3+uR3YifxUVWS92pUcaFCkOeu
w/ZUJ1BdXfOmNMpazL8eIE6EGKYhOlV2Vn6dFarPt2d2/UaTThGg/i9UFWfBy0WcB7UJy8pUMZ2x
nNSdyrj/3feFafm0i6D03B7teqMyGjooNOJ4Lugsr0az5lgZ80gjfEztBzvFS9mFpzTHboos62mJ
I6c9dKkEjVdJq/K3mo3S3qt1HWsJKDtS55BA8etcJzZOo1t9qI+gb6tGfliyRXtl1/Q7M70+DyCe
kaIDBQynw3jzRvvrVhoN7EerDKpeMpXIR5lzoB1SDYpxQQ3oy+Jw695e2iu0h9g0QvNAEw1DaDHi
F/01otzUyFrFOYSiyrFLX5nU/tj1rX02UGj/AI4ABlVmprlX50P9LaDtgBRCEfwIs1r9cPu3bG0q
CIOoqtA5I6lb7d927oZ6GuFgdWaEk2KZR3dxZ8on4ZWws84bQyloPJGpm/AECDcvZz3NmiZZ0FK8
IFGyFz2xX0mRg8c2nD7fntN1axvuA1c61Rb0EOiUri5ZTNlwRUoa3bOmpvhE4av6HBAAVVgM2lXj
GkUZT3dpHbaTO8WNhUl6C4nJVRfbTmnf1KXpGiY8WE+poc+//xgLN1SCQ4rSKg2+y2WwVUluswFI
eWZTm/H6qg/uEIXIRyQd1PKwsxQirr0MS8QmI0sADoGLz1U9wkCspGt7zcsxENEQaKiUfsGPSVmi
T3Y66xAXkrD5MWUOdXiUfsZ/c5um4KLz/3myPpbh3uYXn3n9i/j8iOyBO6eCs5q/eHrkvElk7O6i
7IiygfanxxPDx8lI+qeDp9zCcshxcQCMEGNNUcj+vHTtzsJsXG+g6rmxyXtAHKwVEaNiEeKQITpA
VTAdW2dWDzOKDX8m0sj7paiS2g0dKY4IO4bsBy3SvSfxStSIS0BEQqDpAG7C915t0hjtTSmwctkL
imw8y3qXPGSJ3Hwx8CI+U53EAyufSi+qF0LATArVn4Msl3fZFA+nommzVxA35c+xlLOzURrJv7c3
zsbVi0w/25SaB2nhGlho60iU5mUqe2aF+ZOGUjgqIY0Z7SiwXmMahC4naBFyXSiZUAIuT8NsB2U9
hziCVbVqorU3glhoOjgWbjhVNWxSffpckbmpQgFCfkkWSH6ItIY7oenGG0B3CPcuoRYq6rSXP2M0
9cGy4kYmGMujz2oa1990NY6/Ql02HyZwpDunQAQ8q0MA9UJoRPHq8MyuXlcFfRunsrEMMVAYeCls
Kzz2Y5afVWes7jutAT9F0/H+9jfd3HKQ2Dh9YCjR9hG/6q93Z2Q21ULG5Jm8eL9EU+pcjdn8udHj
/G6KkyKDuBsE/5nm3HzPhYoVEHthukJ+Lj/r4WQioxjKubekdvdxzEuMkW7/xM11ofhGLcIUgAGx
Lf/6heVC74enQ/GWoonu1RY9Tq0KojNMOTT64FzXHy19aXY2+9bXZwfSiwK+zU25Kg7EqdOPaZEr
3qCWIZaw9Rx/JODB62PKzbj21GFAKub2TLcOGHBAwd4wST7e2ml/zVRqLbnS61nx5FlfXvGJ+4r3
5fjj9iAbTy5x8P8fZHXHpPhcVBOdKG9uhK07HLMFAT4nLHJELLvp/7KMoFfxaaP3SfHx8uMFS8PL
X+AshUKslh/JBPvxyCGYPX2saXi10Z4+vvj962MkpMgsgxiIAFHM/+9FXHRFKqqYkDhW8/uqxxBx
SlvD7zHSuceZ6A91j+pcAL6+e//CQqGAUUSVA5TCamCnS5bUatEuAK4LEVTTDfRFm+EZTlu7s1E2
58hh4JESTpBrbc4E2IJkcv17rRNOzQ8lV4LxcUrwhKbVW2jIVaH25IcablKeqkzhew2hxTvFoeDC
4FSC+1jtoaSMszGyyVhVRKn8cEYSoZGX4kONIMrx9qpuBW7MEOAD8BJehLWiXUUjq8RfSfUW05ym
B5xpx+kFYbUx9BBGYJGxGQdTXMhpIz0N8ah3D3k2q9KHrEPaw+0qpbF8q4v6r5HMpbZzOW1dE6j2
0j+lu03qvromAhOb5BCVTk8NYXdVSoyfxxK1j7gK/YF9tuwkzVt3oWBaIcqDWy8C1pebu+sBgBgT
NSx0qaEd5trXAfu1u6DPspM91tYh0KNuZ19vpSYUCWl+8BFINJ3VHAvLiLVB4VoqlqYvvtnpFJ31
xqmnI95OGQ3hvKzpXC5S7/ZxIWnnsU3HwpUi8IIuqXJU7u2JjYuSTBS0Iyk96e+ajAUMQCnZebIX
SVMpneTQUDofnHGdfifTWMpTGJHbHLpKW8ZTFMbw0QjtE5ZnyPTviZKrA8k5QGVXnvAcAnmuhHsb
d+s3ih0rPFTg4axppJ0q5aTLrUwdr1ao2QSqn2X27N8+HuJSWd12/O1IkiJ0gDn7G3L/r9uOfmc/
4MKOAydpxf1ULsbXvO8/ykktnd47EpcqO0D05bGkWj/DjhM0TRdWJtoBY36KQxtFDirlv5J6KF5v
D3W9yxmK9hSfUYy4fgejIg61VmtNL7dkxI1jSfbZTLglSDAAZkkZ/cmYp52V3BwUnJ7o9gFnWwsr
1ItuwVnEHo4nqaOAYVKJpwZg+w5C049xrk/3Ti2rOzf59f0h2h4qVwE1NvDN4lf99f0yLGQ0tbYw
pYuhg/L+oo0yycYJ4Z38ZJVY2d1e2o3gGl4oLXgB11NEa+dyQJSkxj6lwOM187x8ifKK7jfQq+wV
+m97BMobPCmI7x2TRtWegsmaP7flvPdUXll7CCQfBXFhmyOqgOtEJ8L0cUQuziS6qhQrRfdKqEiF
yTSgEQDRunYVtdPOYW9NP7syUl+yRShtGQEEH1dNzPo/uTTtn0aRVB064WP9DfUENC8jY5pLtx2k
6U9d27XjO5lun2PdaLQzXA/py+3VFIt1efqYBiVTlhMI61U/WolmvdPQwfIspR7lk5krsY1xn1pS
lI8wxQNyPU1+zxWWHtNei0uvpEah78Tw1zcNhQOaj5Q2UFJGx+Xykzaq2cqBBnlPTRoYjUYSf2yR
/NjZqdc3jciMoZgLKBuFitUoC96QlbTYuidPo1J+qocqkw66cF2uFhLqnUdnczSqYKRdQijGWG1T
bEf7NDQd3dOqvtLOuanoxdOiIkvkWWaLZODtD7k1HEUotAdQVBUicJdLuMiTYFth7rF0sf3TtJPi
2AdR/L1U8au+PdTG1wI0IeyTYU5zj65KXh3OdsJzwiKLbqJ/FGT1vlZhvBMnbFwrDMLKodtO8qKt
rhWgwDYYRwZZ5ErScEgoU5+iXgTTZmoW8z5H3GHHxGPrZrkYcxUUOipwEHsoLEwzIDNNMlZJ6BVN
fgf3/ROVzfB1mRU7wRZynE7JFMkPQzuN326v7saHvPgRq31jBM2iDzMnckY38mgJvPcYR81HGwDH
+7coHU2IMiDy2TJrbAhIvjanpmh7EEnonAws+llaai4oaVr2igMbQRhIHupCIuQRCeJqdSvahpWT
VbanSEOmnaoo0z7oRrtoJ0fJ6/TgxCoqr2aXLuOd1YzN13BOnQVHmHC8B+8a5DtNq62FpjbMLmai
dI5WOwyjRL2hR802TlvzD2TM/BcJ/DS4iaaOe4nx1mCcFbJwwLTUSFaDDbTwCzgODJYhV9OEtf2Z
+KG5U+2536Gzbg2FFx7DkJjyOK3WWQ/jOBmUxPKU2ZKUA1ID9ujWURPOh6hQne+3t+tbLWv1gvAx
eUKQ84DCul7GvKTeYTscVDtUdZxLx7HvvLqL+9hVs0x9jZd4pgptcqm7MFyK09BoVGAKAJJZN0Qf
nUhXT7d/09YKYENJNAmZANqVuFv+CkkWFAzDCEFeiDV6/yUPm8Gr6KnDmjaUnaG27kI0glhqtrTu
rNlLNpL+cUYp1IuTsfmZUGU/V0irRTu3u9geq0Wm+C+6rOSRYF1X2yewZsw0CwAykWFgmY3jsfwH
6V3UjzpJ09xGyuWfCXbdOzf9RnSAtCDoBRI1UVpbPSp6qc05wYDtjZVuFyg5RLUfEV3qPr51S+jO
s5kvR1Wuws9dM2V4cI+dpez8iK1QizvDgUAHVVrwpC8/p2PbeRVoteMFttPZ53mQlOXQWEB5XdBr
0qdIyvPYm0wrxHUZgErolrYS03ofleFZHpfl3znLyh9AYFnA3lSwctZ7ywpdzHO11rPlFjVWa06q
e6mORtArWoVzrt2NXfL+o2kQtgpdHGFaue6SFF3YqEoPnqtyZiybnBGLiExe/rSEu1/fewZwHGEk
kBt0OomqLhetHbWpHIIuOtAp6B6tGGkY9AyzI+5wxc7mvH6qGcrmUoPLjqLKOgNQOiut5rCJDsbQ
16fUFKrKtlac0hmjYQAbe1iY6+MNLVeE3BRNwX6vcTgSmZUDMFbyqgAee1dk3aEyKuPR7pM9wNP1
UMIaU3jrkjEiiSCO/183Sb3ERdZ2sDckTS0oG6c8/lSqnrWqc969NxiKggBceZFNrcFqzjTYmJZN
9EhL0C1N1fdusmD90Npa6b93bzCUGIg1BLexxs0Hg1ajIYJNsBmYgZ9R/PDQzpOPaoXo2O2hrvcG
AndvKTB0JHoi2uUCJj18xyRKJU9VMwT2EseYj7EUzKCXrJdc1v+7Pdz1PclwYlPQK7UhWaqXw4UU
2maA0gEpfhkg5YBwIHZz2fx7KvOXOWzznUbzlUAtGa+M4RlxKrV9OEaru0lG+RgdMyCGS8od5tLS
QbM0Qfo3f0gLuRNdyQjyL/y1xundrjPkHzZirLGby4n6b2KVyZPTNkYNBwrXnmeaGaN6Qg8Nyx53
KWt8cW4v0EaMy3tMxgciQLQr112BgAi2pxUjeVNQmq8mRiOvKY1jt+4xK+TnDYfQsco7M9HOKtrJ
T2GMcOnt33D9qgjSAFpEPJnkz2ssWzQbo05ZC5Hi0cS0shSY9ahW/aTJS+pvlXpvVUFyRJU7QZcI
TtXt4TcaRiIk4RUVbs4kS6vH1IqcYgSAioB/yjvhOpB0vATJ/D+qJmEHgXZr6+YwLX9Es9J8ivQl
9qklD3/wG2jAvWv9yYgUxy+zYQiOiYPJ3u0fuLWJQftS++f6FtSKy038VgtMZIv7rXbso54GKQmJ
EmFjFPUnhCbmg9Lmzc6g4i+9jDDo2ikoiPNZOLDrXmEWtw2u6Uglk94Z34KqLHkSm+GgVlZ3mClJ
3vdxPHuJNEQ7EPytO1aoV6CySIvsyqm1hhMMUjRDulZR0DZIVOvg5IF91oxir2qzsbKiN05sjP6W
2H2XKytFalzMOisL15nw0BrTBaiYpOmeokzBAZ/c9ED/b68tv3XoGJbwEFqmxZ+rHYeRc8y/vFih
as32j7gquwOt0v4g97OcHDM1C/9DUccJ/FFHrQqKuOG40VTsyTltLDW/A/ExDh2VgjUFdUHgBtoo
xNMZv8TQM+wB3D46j/0pVYY9rNXG1Q8SAEUuGjy0A9cPWtlaStD3eXhwst5C90Eto09hKJezu2RT
cNZbw9jJRbamJ+41DraAya6bOkOpynXZcPvXzgggR8rK77kMMhjNiu7b7TO6OZQwPuFtEzHW6oxS
SO5DB/iNJ+lkzplu5XdJG+PVMSFT+n8YigakkMISQOfVmxa0Y4UAlhZ44ZQ4qLLqqGvkeVhErpSY
e+/11rxoA5mQe5G8Qvrr8oTAdO9y7GMDT9fDoT8Uzig3JwSfsVHM7bwbdu7ireF4PdFeogegslcu
h0u1mi82SoGn4vX2FJlj6pUZSuSE5lq4s45bbzUmjXwrcn1gset3J1aR5+nbmOBAH6rmITDi9lWP
0+SbVinFf0uQ1i3aPbX+HMuxJftkNMmHSS8MPMrGZfqnx+wg4D4MJ2TVCWSwkzG19KVHjv7P7S+u
iGmvLmPaQgjfI8TFG6CvKmxQTOYIRRJxdPIKcYPMhqAtBVV3TGpL/0T02CtuuETVS1XL0XyY0WY8
Sj06ynHQ9s9GjN4lmBKgolJfa+POR9t4v0XGLxIysKEE/JcfLWzRPitmg/AxtCRQRqn1CPvCcRt5
1I7UXvWDVk74P9dDa7hZC2Xl9vJsXCxQcZFj45yzPmsSQhjno6MnoAnxEO39ppcGcPc8jcE0PUNa
2auSbQ4ntDpgAMI4XKc3jTFTNHa4NLEwPqtGVniYhhMmtdl4Uib5eHtyG2UyinFiIKw8wOCuH+J8
kdV2lLFITLou9huKd0cYF9G9M2FeUGtpVWCDYPSflyGrvoWWU9xH7WDeN8Ni7WQkG7sQRCcCwdTm
gRteobpbdegRwJY8bVCXszDERa1Wb+9uT3hjN1Fb4LomeOZ4ruUKiH8kJwzU6NDj73iXLlH4QUpG
50xSX3k5eEW/4+i4c4eOWKz07zVtIIBHkpOoR7xS9OZXm7nQpN7WZiA/uCMqfo5fB5bTCjpzTaQf
jNqQXRv1kZ0TtHHtwSGj2f4GkmPalyeoUyah7UPGXCuBdQSamh4w0rOOwbh/610jE3k54O8L8j6n
ZV2hari6HU5idFCWZok9QCf/w9l57ciNXGH4iQgwh1uSHSZrlKUbYrWrZc6ZT++v5sJQs4kmZgED
NiB4qqtY4YQ/mF/1epzuG12ODqqTTo/6FC8uksVUI8YUUkUXxnvSDxszptBgkrHbBJcUXS9nHLdO
jY6fGfrxMiqnriSopF6T/eoJ1vbueZFTrm5PXQhsgJ0BaCCvla1jLKIs4AQRMhNZeVfRxP7cmFJ3
KuI0Ow95W3/P0s4R72mBdTm03ju9qeCpZEbwV19DlJ46yC47Sc/GLQKTRoAsxE+ihne5AA0IC11L
QG9ITvyv1gJr0cLIPpj5kJxKp5127sit9SbHITelEgwnZVX+WWod/GWl4tkyFfSdR2xJuJ9F0BfR
l/0Pc6PSCuSLcjOdodVglHJb1Ot7Bitbmex1ch6dLLHvysJQ8J/RumVnwK0HknoM8HaDBht302o7
WaOaxQviHv5Syepp6DTrZEGs9QMjOOFL9AIUF+a7ozRuq+jzqcKV9KVtBsVvEWe7TzQULIewCg63
r7KtRSePgS5FM5UodPVsJzisznaqxX4pl+hk5tLHXocz3vZBuPN5xfzWWxzdYuIzHGdAzosj8Edd
ikKmvFgGFwhl8Bcz6vJfHQ7ArmaV3aNTKOarYcH/dywp2yl4bEyRdglFNwhGfPH1OQ4kUw+CoAh9
qUAYb5oWAtI2hoevDf8hNgTiAjqGUo7gZq9WE7yT03dVHfrlUCwnA+f2BzOCMpW2xZ6cwMZLRzVM
41i+9RvXDYM5QJU/F7OyQyV40qJQeyrLJTq9e3ug2y1EEym/AMldTQi2VpTVxhz6RTyEeFU1vVMf
khFv+jaW9xoTG/cNR5LPzwrSmFgHu9rQAQ+KiVoolhuPTj7wms3FFLtx7QyNH0h69+P29LZGJF4A
b8+p5uZZTS8tplwtNK74uS6Dk90h724v9uJGphY+gFjaI5xsjUeih9KGsL3B1/jyDDShvAy1ZYR+
W9eI71rG4GmIpnrREtlf0taO/8PnE4kDQgjCVlxf5WELoj5BW+qhb46EuGlACcacMbTHCmyPTrB1
ytgoQm/CQq51vVOKGoPDQRc2XnW1+HFQNp6Vx8ZrwMv0/lCETfJmuMudBZv4chWtpYPtVWgZisbq
4oZBL53lECOICB+h9xd6qC8xmLC0AeWxGqqOY8cqEHf157FuXzQ1N++xvB0fk0Xa47NvLCCtCJM8
FiYCD9PqfchrOwfWH6e+GlVIFqQdUkx63RS1mw7DtLOE4nevLmPB+hDeuRQ8rvCd2tDbi0Uzzk8N
uf4KnqZ+aMNdyZOtIhJCZfANIZgT36z3O3iqXvTpU7+FXHoigvwcGYF8HhcbZywI7a7VKEKpc+6h
XifVOWqs97oaEixDPhQUOnEAlLWZYs03rZxkZFlNq8KWyP6nD+L8M0Kg3V05JcHOhtl65mmpUixm
OFK+NfZ6ov+RaUpNq0xB+gPNjKJ+yMAm3PdmMPpT4ORPHZXFs9QV1qHX4/oFGGPxqQUD+BgWuh57
ZV5rf+nGGP99+7Lb+OZU83CbAqtBQW/9Dio00hstLxN/iQcZWKQExSVK9+g0G888+4nWOih+JC/W
/cJgJpTqMTHhk882/D1Jxi9TJTXBVndJzdM0WuaD1I+ogsdxZe5EWRuHiCIatwIJEnXhdZABK2UG
pJFmfpbNye/CksLHcKzN+9gudqppW/OkXw/wi3ICXZvV06H21lDwscGAFI15T3aS3hEVyAeq99ph
RMH/EXHm5EQ4oJ9vf8eNR4SXmP6NQqlFNMUur7++jeTKSJgjTdT4384w2sM4awNOxEbdnvt83AOh
bU2V2jOlHWYAoV/8+x+RWxctJtwnQNZpLw9Hms6D2yax7kIbi45pUtuvwbBUrqqH5et/mCqEOYX4
FETVGnJPyhOj0sMi6whVuIhZj19ae/45y9N0sgvHurs93NbuoXhAC5oMW1AZVhOdQR3pyYREwWAU
36fGCD1lQuFWjjr139tDbX1E4elN0CFinbWsaFWgH1gscuarY2HCcyuUv4ouyz8MCp1bzcycHaDY
9eGnwkaRBnIXBX1essupxc3StEMqYYYYL6mH10753A7Lntzn9QJejrKKN/DXS4syQxGhUTPly1AU
VNiUovswjbQM3ruAXDEA7XhZ+FAkzZcTUqRmbqNsEcjVyPqEdOtPPIDNswNw/iErhj3IsMgHLx9M
ARWgBUMOB055XUDUR0OpUzksfFtYZ5Skqq2bQpR7lqelQX0Gd2PXGMngrAmDSN61NG527rbrLcNP
cKgQACIA2/n22P5xDKsAEyAZeSIfkJ3dop6qV5+Nqe3vA4QEThkqOe9WbMQ0Rwh3iN4LjJP18z0U
ehTgllv4Mn21Q1rFymmxI4dWlL4nx7C1cxgMV2Ua7uA/xOT/mFyrVw1VnrrwEcDp6DrTrHiC/df0
LiL3zg7ZceswoLgg0hpEt0mhLgcDhtbZoTOikKjDvqUfVLgYscZ7oYB4AtZ7RnhZATeFNnIlNZei
rYh+EEpgcd3qVKjMwc3MwaRRvah+ok3OcZ7V7FCp3XyyowCUQaAGv28fk+u7m1eAPh7ACcqV1ypQ
VhrZpa3m/lAOjquN5FQFOJQ7rOsTL9Cn+Y5NP/vynA87pdit7SrUsQmwyD7AD10uMu7yixVU3AVd
as/PRjL/mxnqkAOORCMZU5TxcHumIndarzZaDLSbiDZJjVcPcpIBkw5lxpOt5Z9RWfTeLYuxeJyi
zvJQZq7cPuqiHbrq1vIK7Mub/R0c6tWgJQIpddbFhe/odITagHAKVQZEX3IjBcihpKc0duKvitSH
768CW+gWCOFhlKlEUfZyfYu46mgPoRQrVX3kaVLRPs8RbkEdalV+VhilZ5rJvJMwb5T6eYzpudMT
YUtRFb0cVSrsyhwcVDMp0aLaVDhSpntxZmo/uSLC7hB2eKPfSUiJdm5jBVMOamRogEQPQn21HdX3
I6v4QYAiwCERn9B9uPxBBUFgn8jo/C1Go7h1ai33SOyjn6V2wb+3d9jm5B18yhE4o4p3hSI3qrA1
dDxPcIs1R79K8rRyI7QTKteqGx5UIx4eyzFavgF6JwojcxxeZyPsT7WeON7Oj9m4XUSHh5fPoQeB
E+rlxPNmgvKmCXHrtrJOkNUzL3Sqb4P4JZMSxGcbm2kibzu/M1BC8YMubI/v/w24HvEz3jxfkbi7
/A3cY7kUpGTiIWGZ/FRHxvik27NjcNas/ncXB/IHgwCxeZTMOPpa6dwJJ6LXMtp5GzeeZ9q/wnOD
BYEmsVqMKZFmnNfD1F+UtrrvR9U+p0o+3hclkDFJC7T7shsyDzmI/ssEhXnnGhB32eXdI6wAhEI0
gnu0C1bDz7Gu1NWA1NUy562nYt7nTZoUuUMvNf7tNb++5t74JvRFcHVClU78+58PZdZXU4wfrgey
z4Hgq1RfhyqdffTV8zsJZ5Vv+mTK2ft3GwUXZDLgR5NO8z8vh+3KRpkwVnDwNOnUcwvtx0/1tniC
1zX6WK9y5Sym+gnqxXke7fJBmdp85zdcfWMW1hRNL140QBpvwl9/zFzK2jbrNFzuZyUG+JXGIEXR
CigzqFSDZLmKvRgfo3KOO3yym6k4UCDN7t65+vwGmsg0FkkPSDRXH3qUwDyoU4l+Y2CE9+nclSdL
r5NDlEjW69hnWEjPu7anVy/p26B0TRFGEBKEq7SkVdouHKoKkUOprBBEifpzUOn9oZ3zb1IYDKfb
c7wm/4rxhAgPjEOQDuvQGuL2oKHBPKK8mTtfy8ys7hsnau+rZZl9DaWoc+eY4z0PufWh6ZPgFcdS
49x3Tv9YTrL2sw672dj5+FcPrSj4AX2jgS7iiTVoMR27FCXGZgRqKtnHoqxUPOCLztObbHINJx29
1EKwTB0wTL29HFdnW4yMNMRb3YQgerXzDfw5nZ7+vddlTniom7rxYdUn3mw1eyjDzUmKCqrwzRFj
Xh6ynP6tjiHe4FlmIz0jzSi7ZZwo5ySK21OJeN6hUevGlenF7sSqmyMzpMizib7X6jSOuRSSUzFJ
2xhg9DVTrTwVoLl+zSrE3lKxm1fsJpERRd5O24nGtxZYfFsQBHRbeUkuZx0UONcLOUBvWBCwOpWx
pv0dUndNj+3oZDtP1tX1Sa7I+4C5F2we0IOrA4zgwlS0E+wKAPr5aRkikJIxDrifxrEdT6WWo2sx
97hZ3t5Em8MSMpDi0EO/UtpE611zmikdINfmyynQRvOsFhOuq8kSH5w3Q5U8bnZ27sZHRfMRnWCg
AiCj1hcmcGzyOxN9wzZtEnyRm97Hcl5zawhbPrFK8I9mjeFdtyR7IrAbnxRqCaK3byIuMMYvPyn9
a2WAVYDYbSEXd7PSpS+2Nma/lUpRd3buxuVImZXnEEaLaOGszkw611pHEDp4RGbI1gwEHthhVO1j
1mv6U1GGzZf3f0o0danHEnYK5Onl3FQ1RCqnrQcMLCP9ECZzdpdpDiobctEc4iZATHCKi/cSv9i2
b1AEKlNcEOsrmevYVkD1D15SRtMxQIHufqza8AEueLRzQra+Ha1SmDvIz9JcWRVWZJbTNAZOSINC
6ilOGvnJHpvci+0++HF7Kd/W6iJuEtOCXWZSQKWXuS4Wd62BCYMVDp6UKP1LL6XJ5I88KYYH3dWJ
XDQX4+Y460pvurXkBD+ccEg/ZroTjC7GMv2zMtYpTtGBps4++pvZB01SJcMrRjmy7rustRxfygL9
u7NY+ROyOuHPGm3+yWs7GgDuTHX23UgvyqTEoJw4mKC8U6vbTElbNKUHh5u0T/THXuvaU1dH4WuB
64LAbe+11d+sJFZrKNSWxaYQJ30NfzSVOVy0moizAepgY+GByftvalmZ4SZZMIb3SzemPyxWcjkP
RZ7nr0k9Z6NPTRO9zd4K4g/2EOSOa6gFgh9URrv525RNEwoXBirH7tIvw6dsUMadoHnj5ALyEORK
zi838WqlaJNmZhRIk0ceBRsds7jwn6Y36u4F8mMfudGQ5MZOnnBV+eHrsK8pnZPCEbKL3/RHDKlg
CdaMrYKrWTVXr6Hj/OrUUt3Z1luD4L5KoVxoC1ACuRwkb5dY6VqViCHKejcqdBNuTJEebh+ejSeF
YiTgM6AGII7WKLClquxY7iRCUWVYznzS4U5fOqErEM7nJS8dL40cZ+dJ2bgcNPoqVOmEwS7ZwOXU
En3unHwhDEubpvh3mJdoOQaSpdEGQCVuJ+bbmiEINxRv2CcEv6viijwsrZaEBPxVFWc1wDq9eu0Q
p/vWIAoJXSZpjnYTmq+313Xj1aTMC9Schi9iomsoVgIFbyzhe3hTKXedFxZm/JrMCEMO+OmifpYZ
6aOsp/FT1o3SzjfdWl4gdmAL2eIU3lbbEyhdrBQOl4do1h36ZpbDE62IdhEkQWnceVS29ikbVPDv
gddf8ScK2ZkAFEWTZxWF+YNvrqqunJh7hcCtSQmzWKgrYG/hbV/umcVx6sagX+5hWDfjj1y1D8OE
vAAyHCg+3v54W2MJRXiL9islx3UTfeJ1hhoA8rin9OQb0US40ypy85ikTfsfzoIQnufhItax1qIe
BbKSgA4xKGgUhMUDtoc304C9n2Ul2TkJG1+KbIxLm6aqAEaujl0/LiMKpZwETUabvK30AKpWU+3s
h40LmboeJh7Q6wQmTvyKPy5HTS86LZ/pzCp1RINhrBSLpp7R5a4xRGV9P2emuRP7X5fUcNQDrEuE
irghJerVI0DlpOZJsgfU16pYOnC65d9wmvQnFJ7mf/HcA/+gJG0FCsKZctmHWp+f5FpqVbduSySo
3r1/RPIL/0PcrASWl0sQ5SFIqIJcBLlD002m2aJl35enEaWUnalvbFWgVbx85FzUq9dE5WSc1IQy
xyBYJubJaDvzS18nGly2NNsZauNKMyjR6TQcOeygIS5nZSbN2De9DtgIOZGzOiioCCnG+CxZ6vRi
LKl8tms8DZDf1T68ez3pHAstEbz/hNLH5chxxzoGGpM0jDl6DrNKI56Ixwrl81ybd/Q3tlaUhEao
zfNqoFp4OVhvxbHWz9aIBWibfkkTGNGypBmPgGiTu9vz2jgqQu6OqJWyDAiy1VB6bZiVPKg9HEpp
fJ5bRT0aAtvZssV9rRn3gGMbTyHjWaKRhHoseM3LqaWO2jqVYiCEW/TDMaRC5kpD/cVUIu1sZc50
V8i7Blni6K0CS+41vh3xEuTUNTTUlGTETeOh92ZDT3M3pHfXuvrsmM8hch+VW2pD/i3j/2u6YVWX
n1U7LfcMFjc+KdU2IB0cFWiXltjZf1xJvRMokOtY59BI878jXUo/zrIzP5kYRu9F7ltrTNGL3iM9
z2slWrMx7DjUIxI7TMfvem0yDosWDk8Jntk+BCSSElAlOzf71iL/OehqI3VKoiyhSQZUmcXgpYs1
32VLCOs4Si2cxpP4QTKLf3KyXyEE9x+eMBqU9EHpKKNZc5XLprLRRmJ0dH90vxyV6ggHX8LStdjr
FWx9STgZYKJImwWj7/JLNnoYUktidadomM9KQeKVwRHxu8RUjrcP5xu9Zb1zhdAWvWQQ/FcRB35A
RdNNeu9Zg9kelqZKHhZJTR4aJUp/lpbWDq6T1PXHulc9I+nPfZWbtZvrTQzDIDNOInonhF7Mf3BJ
WBKS7t74K+rRW739Q7duEfhxgg8keJbm6vGzp0U1AVojizcX0j/WFE2qW6Ry/bGtoGcjSKJ8uj3g
xkeAy8CVxYdgadZxBKjuoksTjhNsMTwl7ax9yqkpH60mXL79h6FgHgnIEC2ZtbmBNlLvawa5R9a6
kT5qRQo+KZ1z7q160HYyyY33jccFXD2rSIS0zrlpF9R5YQAirG1EqiWNRmDLOf/cF4mEUGZRnSvQ
jm4z4aR3e5YbgRkjE5YJVR7ql6vATJ1bCt7G1HuZZkpnfEpNz9EiZWefXOMoAStQVBAwDEewccXV
9cc1WFekGovOhpZyNb83m/SDZdXjYbRD6aCHUvBxHJzEnWTYSGGlowJpFc7Oi7e5dYSTlRDeFCXU
y5/gzJreshC8BjKnVg9t3ZdsclzwfLN/e1E3hxI1fnQ2oFivDbPaUDZqI7HZpc5snzEaSJH3TJUj
t8q7QQNiYWmfw/ER4tprhIsth1m00BT0nMoKDvFAvaiL1BApy673OhJoZMfLPaLLNavzbVSQy+ge
CivI1a5ZIlPOo0LrvQHB9eOSW+kBRcLl2Uao7gxLwpqPVanXx9RONCwRy6wELRsMj4GcjUdNTcbT
II2I9llhHx0y8BV+Qdd/T2924z0UkbnoOPFfHKzLL143dpiEmcKpasPhpY/nhGeidO5h7SWf0Gh0
fJNO4/n2t994D+nykVERwXGe1igOHSUDIE5ss6afhjsYIc2PNFnmJ3lZktPQ56nhqkEfPCYNRH8p
6tU9w++tWXPKBKxco9C5fqempKOuExH1aNJkn7LWnh6akCQv1JHnqSV8OBZVynawMlvXiNgHQiMS
pPRaHibu1FYtqc97g1HaTyFeJm4fjnvs9q1zBWaUcpG4SShQXn7QSVcrRMW5rPS6bg9KVRR/13n7
O0jqbieTvFbYEugq0g1aHkKxZY2b7wP2DLS53qvawHbRnZReqqL7bppd8axKYUHvUld9OZRmZGAL
QPVy2WLfXuuPRZpHP27vqc15C+yeqJTRgFmFHuUwRkOqiufBCLqj1km/EKQdPtMBKXeaERubhyfI
QKuDUivg4NWRCak+N2kpYUyPl8nXtuilu0JNWt1F2Xx5iZtSe9UDrXs3dYAQGYQ7RUD8bxDHWU1w
SZx+KJcaED31uZ9KUNvuZHTmy5RPu4z0rSmiNw+SlIIzSgKrmCVC8j/gHibz6WX9WFXR9AW5ESoT
6mj2goJq+VZd4CY/dm2HKRaiiMc0tuo7cOHFydHLeXLtIkl08IQ9ksaBSRAWSqV0GI16+g9bHtgb
xDaBeSd1F7P54+GsMqWp4tHBtTiiCps5UexnSZA8mkPzbvaSyFO4LyhzvTXpVw/kJM1lL9VVj1N5
d84c/JO7CQBO1Ffxg2mV1s5W27gyRJ4rogI29pUuVxPHUh4yJK0TVs1pzfygBJ36+fbR2YhQgTsI
AWKA5kDrVulJPY84Z/a4PneyOqMFPObOYwak/Uc1dfZzIqXNv7cH3DirEMmp4FEuoGJxhbPFq3Kc
S63zUgTjzrrefVYkCSucuN3TaNucGmVCSDd4MVNpudwaepRVdT0yUmAsBIhQzLw4DFAVyuTprk+K
aOdl2yp1iQhRxMJUDXB+uBxwjvRQtWrWkjZLAEBKjr5NCFzea/qAs0MDvObQlPryM4un5CHtA+lZ
4gU+D2ndy+8vcxH/E7AKDhAp2eqztvXYDHg+Ino4NvVLFuSaX2M7H7lmn+z5EG99URvcNPE5fAm0
+i+nDaBdI61lnas8jHIPdQDjvi1RVHQ1KZ0+3t4+W7cTdQIK9wBXwKJrl4NNUpNJCx0sr0Su6Uec
9un3GmDKawmxqvNHc5kLV20VZ+eF2TqMjoJAvCgdwJNcfVrdavnLht55+RTgM9ulwVHqS/l4e3Ib
sZEwbQP+wvRoEazeby3uLTNuGCVxutEPxkR24dwZbjXnBlKWSvoYdFn8OJa4SgfGsFeL2R6e7gQZ
PL3GdQYghZMUIMDFXZDDXS4mo4KZNmsHbem6u8XqlvvO0LqTMzkSzVo92Dk/158WwCWnhmAdoN2V
wEgzTnXS6WAKUmVZfkxDZh8CZPwSv5wcysN5YI2SO5SWvHMFXu9fMh7+Q02YyAys7eWWKmyzLIso
Gj1MeCjTzLn8oTWbl8bI5O+3v+81d4zkCl15KDYIRFKDX4UPs5RNWtJSI8HStjEOIzoTH5QYO1YX
ibj0h9yY6ilQLenntCTFC71M9d6Jk+hBFMK/V8ogPcJvsz8VcrAnv7e1+PQf0CUlJRM1sstFAEhS
aKkV9JRLApg4rYwhU4MndIlVVRthIGkbboxV/U7ie73lOMyUVwXcjhtkbVDb4YBt6fiCeY6T5rVb
LvYMgLw12x/gDhXTQwghOWlDNfyMFkQ0j6m24Fp1+6tcvxP8BqSgKJJxW151yZYceO1kgfeIyqE+
tXI2PMdhV31V6V5/plnzbqENUejk/wd1DuwdRPnLpV6sqFTtmFLvmFN6wgAp9aMGCzTgLebOkdrY
2swIkAfIL3bbGqbTI6ZsNRl/O+M59upoCAG12CYSSsUeeWVzKCTMYMeT31Glv5yVlHSFWeuUg2Qn
ei5t4biUO0rxYKr9rlvh5lhcU4CC0CgmdLkcSx2sLCwq0muqJUrzMBlj5ZzLFDN62Snmr+/eHtBn
BeMTGDRN29XJiCInlgeHwaoai4Qg0p8TbQliPxqt3FfmMd0L9q/fGjTvKGkRaOLjyWNwOTtegVjD
rJjiJiiOZxiIia9U3AS3p7Vx4MWGB1tPlOmA0LgcRW9SyegmUooZteDJj2wrGd0qqtPzPFnO59hs
1ENSBeVez39zdibABuIT4vargn+omjNG11w0gWSPnhOX8Qkgh7wHtdzaI1yxlO241MA8it/xR2Ig
91BlqB5T5NEakLQtQN581CIvpvzm317KzaHEX0N3U8R/q6HSKguSkc6Up1UyAnaIZ93nw/C33hf2
Th10o06IiBydEpJuThoB++WsJFQcRCGRy8Jua6/R2/KfslhsP6v19K5cJPNR7/SP4TAqv5I4Xr5h
mrRHlNv6gAQpnAm0KbifV7NFLtvoHFT0vAiGkxeay3Js7SHZWdONh4E2H10EC000mlOrI45jWl42
WQ6Mc47QQwzG4G4w5vyglXb/1NVOi5lfRy0WOe9TrTl7BkRbnxT4KP1hcOiUuFfxnlY1WmQMNGz6
JU6Ok5TWPuT9wavNqTu8f/eA3gQ4L2IPnqDLT9pGk2TnRYlJdZEYXlsjwjwY2AFOev1uuh9/neiD
XhAUce6z1acLO9rPtQzyDzn29pc8tNUXJ0ryuwh82M5O3VhAdgeENB3XF6hEq+slnzu9kJaKXhtZ
iK/nUX2QJguRwLF13v9+o4NmEpyjEcqdttoqoxwMiJhQUZQXXoBY7QaEt4VKrU3NLfSqFI+Z259s
o/olKDloiiCJBrpxDWpociMbZPGuFgmOZ26eLaXxoZfGUTmU7VT/bXZ63AEg7wsDSl5ivda5pUB9
bAPrZUpxFTmEZqH0f+38rK1FVwQ7zhGcdRoWl1spmYxQMm1uh6yY6qM0mml97LsRwzYujeq3aYAp
8SAHRurXNhrNJ7mLYlA7WGU/Sgq8J1dPcEF4nIzIok2Y5fKnTpvSaico2TjaooKCZjzdDqKS1dlC
1GYy5DihwAQu2jcpFXnIxusHp05f4hovRh4r5TzMdU8pHBnU24u0tUaqquPrRA1YA217uUalZZCX
m5R/qyiOXZhu0kMcKr/k3lR2ar5bI2kC9ALyCnKBszptiZOFKJpi7lqlmMqXJQVQADiRZyzTnvrh
xmMuUkaWVbBrgUZcTkoj5ooQZSKkjOr5ocJWgWC2sQFhxFp4qtUZf+6aevrtpRR/9bILS1GSaqgA
s9EhWxsAWJRXW+hnoE5CttGoTtkP0yiLHWzLxnZhFEvAA7keoWpczg0PIyUZdLAtCn66fr506kPU
ptpfTpJYR6nToyMCU6YfO6HqlnKrf7w9yTc44HqWisP9Ai5DVONWGyYeHD2D9j543YBN9lkNoOaA
swmC2Q1aJQq8oIYic7D6StIPQVR2k4spRfs7gXsLI7aXf9ZFVJ9KjIqOQxBEdyPCrF9aKY3NQ5iO
envUxkiV3DiLWqpEI5fpIS5bszrO1MRg+RnZmN1bhlQcMi10yp35XeekBBIC7i6KDhRV1kWHFEuw
ziQ+wuvM+RpXw8kJTNHKFUmpIzn0qHKcpOYZYlIOKEsRFx5y+t/z2HzFPOAO/Njr7SUXF8DFiosd
hfrZGxOfkGr1dkyInipWTx1izrrka0rq8pme/nTXto56tDo796W4Db5YebYn0ye+5fXI9MMIa6i0
r1U8Kwu/sowXxAtnxyFJd9qj3gJ7XYLZAh6atjsPydUV8XZ2QJYwFpiJ9bnNqV9VSI93nmwH7Wma
1Po80D/wOludduL9raHgrgmVD5vge40EIctNWgfzBQQv0sYLsrE46ToepTlnb+dB3vp+4AJo8pEJ
Ckjo5YntC9Vo43yAu2U3QQlvq9P/ylMl+AZDs/Xx00QAMUmm535e9J2wY3No6ssC7wIuYd1H14yx
TGR95AMuZoQwraq7dpUMJ3saw8dJiUPUq5rMbacqPN3etFvrCwueDh/lX+a9uqZSqcUGpQVPnMCi
c7sM0S8LKflDkDV74stbu1QFJwpZE5kfCOKX65tqjZEYztzhjtlmLhXF2Z8c1DJzw8j8ZTDVnWbf
5njUdk1GIxpft9coSfKR6Qd4sizJhzwB6V7rOlY5NpacdPz2OPeb45EaspYwRriSLudH6JVM4xIL
U/h0/Nj1teNDkSzvGjMEbdLMe14h1+16jqFmCX1uCLAA8FYLqkplTV0875G3RQLjKEvY1hwjCYaT
p/WW8ZInZm77mmP1PD2OFL6Ust6NH+SoX1j/JBpHt2i1wnbttLdxLCjgbfKP6idI8sa7UxPxY9Gm
fzP+JTFerQ5J6KQgJkEDhRf/4Ex28hzEpM9kuNn323v6Ot1kLFBEZOrCJRoM6+WXCMe4yJeKdmcg
ydJ3zmz1PdUX/Wz1s/KrawrosEre0P7iEvioS/byW5Gb3n5vyCZ+BUEfpoB8IntN6QtmWAkJwuae
nAWL36t28tdcdEhLVracfb095a29h3sLOGXhMITM1eWMUVnMoLU11MB7rX/hKep6N1iGFk+cIEn9
Lq728AhXURSz47KCNqhRdqXeeTliHaaVYjU1t2VbSp+ddFFeoyjYCaI2BxHlMrrIhGrr0j5GLssy
WlXnZZg4fjFSyXxKp0E93168rTsQ2+L/j7LaLooCnlS2y84bUGDzo1h1vAjRVb9tE/Nwe6it78QN
QQWLviWdy1WMYPf5YOU0oD3JbuZH6pHya0kQ/r0iiitdaebW3XnVtiZHJUAoQ3AHApe5/E5Yak6F
VNFpViosxQJMqU9xb1N3bNBEvz25a9ocewLhQ0I94CIktqvZwWUzjEnjBY2GSYsORtdqryqlHPNI
g7v5JI1Vl2ClVk8xPsHdHB+IZ0LLNZqi+4KT3Wy5pl4qmRdB/zTuuCwgyxeqOkRumVWm5sZypnxI
ohYMlJGp6V0y9pLuDohN/DPqOAu7A7KS6s4n21xAZiMwzlAn1hW5lm9ilobdeY61qMh3DNax01L5
5NBl3lnArd1BqZYKjowCIkWIy29l2UVlFQYRZDGl86EZcuMXdbHUG01D8kdN3Utpt6YmSD00tLk5
SPkux4vkRYuVYGE8lZpmIfWEcFaeEGEF/2UbooUCbg5ROvjNq6GUMNOpNdLZtbIgRjh5rB+TeYYE
0xbxTgK7EUxRSyB5hNAMnnTdQB8MyRz0Oeq9Hsvz3wEy86Vb6fPgmbJU3wO7zA9jJZf+aPR1+P7T
RpIOFl6jScKxW92KTWuncVkVFAnUvHLN2ujOKQhJ11LG9Hj7tG18PMpuAASBhNODWhuwWMrcaHVB
aBHH4b9DV2pHteoHulBjsjOS+Dar9AIGM5YyNLxQq1xXFas0goot85yGhVQekjypjrpR7an1b83H
4N6gesr7dZVUcPU6sLKZT2egK+pGdTN+rzt1HEguq+zX+xePh4t2LYAzcFGr7zQ7rWxIMbEasnMx
zg5je5/hBf2M6rby5fZQ4k9drZ5gJnKHQEVYU6QnLBTNJKOeojgxnhdq6Zy0ZeiPaToa2MY4ChXp
8d3FRaEbTGWR6IMSBInT5clGXrdZqp5BgbQEj33gyIjSjupxDuCYDmDOdtK0rUmSoJG5sPdFFnM5
nhrBb7FQfvLIf+vDqPfjRzzC9TPbySrgUDXlXYw27k7atHFfCuls7hTeNtGTvBx1mfTWoPLGpUIk
dsxwuTg6aM5g/IzIHRjU4XD7U25tURom9J54uakDrnZNmsRhieZz65X9UhxSq5fPpTT+DYZ7r4+w
sZ6wtemzYixE0W9NdhfNha61pJZ3DkBzFFTqt1TPUGUvZRmWgCU3Ehagnar/vD3DjbtTSNIK6hCj
02G7XFEu06BuRFQ3Ndrk24lkuMqUlU9lri9C1V9zk9KI6Nvk9U62tpXNEK4j//oGJLmyGmjwqnGa
HsNTs+nKjz0n5knuF/xIUiU8B6bS31FlHV+6gTI0ZiWaZyVyfkz6rvTVpeleW2dEkx6l57+rWW4O
oZSUe4KjG/uNC4ofiTqAeFxWq1Npk9YbJckyGJjxIBm1ehdqWuAWTjffmaEhn25/jWtoFqKsKMZx
8XKOBfP38nNojR1RcqYuoEjU6r1WKgmXUjWP7bM09MtHZS5a/dgnTnhPebZU/FFKh8TTq7n5d7AH
IonbP2jjAPB7OOPIy4qAQfz7H91JpY5xppX5PdHUt25WFQY9LkX3gOzuKUFvrTVHm0a58J4FeXA5
lAaum0JLQrUA/YrotNSklu5saR3gTiOPnhNHy/YA8FunjreUTAOkC/4a6+XG9TSH9IjzbgvPGsfB
9qCl6eSXVbl8bIUdYa8Zqn97TTcH5V0VPRme8jUJ0s6zGoU6zFPTsE2+ZcGA01Bl1/d2lUcAUMP4
aEjTnl7U1ocUgoQUplEMuULm2l1U91lntOi+6IGr/4+zK2uS02a7v4gqdsQt0NusnvGeG5WdsRG7
JISE9Ou/g78bT0/XdOVN7hInakDLo/Ocxcx+GQHyOYTK+89W/ZjD2OVzJKdsaobz889zWc8SEcxQ
K0VoibaiuV9t/hLnpn5+/01emjKom+HyjtMPiPf27/+anSF1vZFIU4fzQMqOyQyTRSRWf/PSGelP
CpeE94e79A6xQ25CdRA1wet4PZxVCChjuHCUVs9d6SfjhOjDSFZhgH/2PwyFVsw2GvwNz/3shixd
ehswFOoBpscKj9AdrsYv05Ly0/8w0qYYQp8JEyTcZuvf75BQndkBXcAFtzRQp/Lm+9whiCCHS+/H
94e6BNOAeJOCHg7a/yZXfT1W3iRz2xMsN+hbRuwmgAabSeU7TwZII+nMsreKeBWMzJBoFA7zoZZZ
fOWycGnObAItGLihvQwG3+vfoIiEdiLEkR6QsSuFQ3J5yDNZrOhMVULAw/r9h740aRBXgUWH14tc
srNtzfgdTf0RX5JRSADjts53KQJfisDk/9mbBwtvY6chvC8C/nQOnTe4cwREdSD9u2jcARR74aQW
zxykjysv8VLVsHVFkf+5pROe00wBLkoTRajDUlhFl00+D9+pkdMdEJABMFTjbvMOBjOoKeorc+jC
1QSXVxS4aAFhLp03ZdO1gw+wAnTD9BB8HaeGg9oBacz7H237KGclPEbZVD+4l8B+46zOVBqkp5QD
tYHAwDuCCtB8b6KRHzgx6y4yM1wC0gQKqUH76FMszZWi7OKc2ah3/z/8uaW75KZJhxwPOUQ8RSN8
TT7A0EGWUTw3x/ef9OJySNFwQQkP86o/pj5/Lf9hCWQgaiz/Zlizitk2YMXo6bisa/QDgnX1rrza
iwPi0VBWb8G/57dYr20Wh8dGdLhXt6CpWb+KmZ+UDCVeaQUE+e8/4MWpuo0GVuG2a58d8W0iNoUW
xpsG1j/kbKAHqzcRKM7htdvROfaeW7eoZxeQ6cqB8YfIcD6PUMmBtgm0HmSo7UP/9XZTpbohJDWA
RvRZ7MmISAdwrnPdF/Af/PCEC2kG77XQYx9Mu7AUp3Pf7XrNKFwlkN+TlqoVfg65AyiRBe3yeSrW
dfVNMYss9HY2nv2vpNVGFh6SqeMr7+7SPEyBRm7sRdh8n8t5TJ8Qh9AM/Pxgindh7VY4iXox8kDy
WvjXNOCXvtTfo53tlHZqg7ENsVNKOHHtU2G7Qrft8E02Q3MDk8MaLyoLSt8b2yt+DZfmJKABOFLg
xohMqLMz0IAKN5scSESohCtxQxuOPmxTS9LbaZ/PnH14f05e2l7weSGWwfmOA/FsWtRuaAfroX0L
zrR3G8E60i/i1FofIk+reSngjmeqJVjYlxbf4N/VxpC6vv8bLm2kUN5toDRY9BDfv56aXcOYl3YS
HBzros80VPnnGiGlu/dHectKwJmEK97G6YVGC1L418OE+JQtnQGmThNz3aFBVOlLLQ1M6z0sg6hA
iPqnYUS+EayS+6Fqgp79yigRDdpGSKcEelijoWLWdbj3xoiqCra62hbGi9xSEDm4f/jC1VCSaOBZ
0c4ehdtYmmCihl4w8IdmDgMIzHsx9pUhSvxnmg7mBrqpwEEAK8HWfJvUf63wTPBODptgcl2G9FET
irXB/W6vlH/lzL2wGHG0b/IxtG+hgto+6F8jCSeQk8OBuHQiiQv4XCRHlFm0CFsQpd//apf2rQ1f
QYUGXBo3v7PJAZNRVDQEqEBO23YsM84h6nVwTfmnaUPvCW3WNivqFq6spyxZ2+ikZLx8mkg0PSg+
pZjNSW2GoklSXKEcDpV7AqhMFq3Pl+ZOztI8zRYvdc9rRDlfqZ0v3K+2+gAM6K0VBxHD6xflQBm2
cws4uO/iZsc9a4+9Sn/AiTr/3FJWN1jXw1V236WrO5wTAPltbf2NFPJ6WJ71qWgYbuAy6uMHbzZJ
hSYIG4oJ2AlkxDCNhvLf6K4kHSTz2np5kUoy7bDWw9/vf8ALcwW3yxB4DtC5LdP59W8B9125zOWi
hG1E9LNhOtwFgoALO2vbXTthL7xvqMdB5sOJDmHjOfGIeEAiAqJxwlIx3pFORaWedb3H9Q8+mH04
/IM08uXKR77whBgUQDg2FpSD571WxDPB+0U6NLiM6KtpWcJTvPh+mcMVevefX+aWegx8AIc4EP7t
9Ph74cH+LZyJnMs51sOOcHRWdb+GO5inXoNbLr3KbXmDrgxOyhviqyNkTYYebTsdwjACVJi+nCFo
OqQc9GHe5Ow2i9k1jfSlV7m9QlwdcJeG3PH18zlD0jpEqhiMIkVQxm2r9rHKQA9oZnWl2rw4FMo+
/IVj4Y1WtDd+k+hmnEs2hOxQ52N0UDk31biM10h/ly6b6LpCuwKpDEQK5xT0pvEnkAEAQ4wNVloH
GXGJJhHbraFF+EwP48lkmRAK3fC1ynM0zn3TzVeK3T+el2cFIBAQkPL+uJmBRfr63cYZ97mGS+sf
P3axn/BZPwG0qD87yTMY83cE2yTvvL4+kllD97j6nPNiUKonZeqy+jYLVjQEgQCmJzPKJK8kzMA+
vz/DL9Q/SBFHefqnxZ+ck6A1ExNsQ0JZEjgto+nD3C5aos+zDPobmif1FRT/wiyAgg5BJADWURyc
E04n34LHkgKLAmGnRwo3naDApPUd586/dpJtL/jsA2ySORiFbDJxpPm+/gCo+jSNVkAOXKw03UU2
W6pQxhGMwLQYj+uICPUioBRx1JH1Di3SjIci9RJv/59fMSR1W7EARQTCMs4mAkfOaNasuGf52iJO
GLH0FQsbu0vyRd5Oo6i/vD/exXcMCt0mz/HRuzjbtLiPa8PqcEOP8iUFyww1O4APdaOBD/znwgQ3
nDzCvgVHB+wfZ9XztNogVGmE8KG6z48IA0E+V8D8/SDUNd7j26fahsIgmwEh0JuzanJGoDuCl1NZ
Lv647hMohwtf02Xf06s6sbdrAgg8SCJoTeIkBXvt9cRhOTq7sPCVpT9AsO/Hmp1QM3f7mEd9GVo6
Xrlr/YFFX89UvMDNZRTV09YJ2p79r2MG7qzZhDYang0Yf1SOmiTTXnsyTgqNNfJouRU+PFig8S14
ouLbqYtzZAvEpJ5hQW9wh4hM3euCZuPQ7eAkFd20A9UvLRnCPaWN6iq5rsEd3h1SCDkMmz/UcPhg
u/dn3oWNF4glDi+wrdH/x6379YPQybOp3+HNdXFsfgHWH04TfPBO4wA9WpF5Su261csPAkG8p5xQ
/2vCE3mNm3JpqkAu9kcHjalyrixn06TmoW8QghGy5gNmSfPQJlFfZIZfSwC7UPrBgQIgHyiO0AGh
3nr9xLlkUeRtGxoCwJP7cTWAFyLVekfes4L07Z6lsblL0nmCvU6u9wpTNkiuOiO9rR7wM+DJF4J/
ji7iuawitkg+XRRO16iODfJgsuWw9kxXRs6o3pEOdOzi9hraf2GdoNAENxtAIBop544xHJejtZ8T
WeaSQAyUTfaORs38YPKuW6AI13Aefn+CvcUJ4OMItiWUtVgtb+oVk/njRLewM9F74AoI35a9CWF5
LtAJazwvQbSc8atMh+LT+yNvZfPZEt1sa5B3ghbKRvV//Z0BC67ccABxlq1bD2xq74m77s9wcRhI
rfA3bhTwi3k9jFjmztE1x9YTC7hN0NROJzJbu2HGKBEC29tw58H1cFdbwK9t47WfzNAElZ937EkR
3U97SRnbOxaR0/uv4MKywhkG6jDs0rfPcHaeejMsLMOmQ0HTTuEnOHHNu6wGAaYKKPC+6v3BLk3o
zfcJQhH4MCEJ8exFADkHYobBPF+Nu4HFcckUyR5V3sGVzsOhnQApuzLopQn996BnN/pETG5IfYZO
/NKl6E+0oso91AtxSsNHjRbQlWro7XTGkt2UkiBK4dZ6fq/3fdOautN/ApHtCbwzWQgqvd0kO1cs
2Wp2ADDjAxKbryV3v3lS9CMgxQEIBFwUFfnZk/Imsyl6/9DFeE02H+NY1gNktpK0ZUad5cfRrfW1
UJc3Ewi3UZRBuLpBNwlm2Bm0Th1re1tDNbxAbz0cwiWa7xJJg9sxDeh/9orbBoMcZvP7AA57bklv
507xcJo2BzVvvu36MKm012VVLsbs0/tz9c1nxFDQyMPbZ0PS3/R5Gh+SJtRyIOAYzZ4ajkYBlJQc
kHbmisBBzGhW+MfNk72mVP5z1321LWFo7INA8XA7TeBT93qZbB6T0+QBJrOSBD+WcGK/UNDC5T+2
IAugCou2sOioeUHstvsCO6Q6L+qV5w+0lYnd8R75liCGU/n8/it5s3y334UTAQAjaE34AK9/V0aG
YPUU7K6QyhNGwFVdtM+Mbqpao1yTM0+AggRIUHh/2DfbJ1p7m0UtlhQY4WhPnQ27caHzjXieDrT7
Oo6EBcALUbdd2SjeoLjbOAjghLoS3fzwnGiLkkJITAaMs/rtoY8Z6YqArE1UsjBUnxuQsl2xDjaH
Zds4VhJetcf3n/TCnNtaxCF0OYg8g9rw9ZN2cCWEfAW/wNVso/ZLtSfNFBdDNueVaEW9kzIFkiqH
a/Tzt+8Yzr64uwGq2Mrw866xWEGWajJgbHWbLfcB9exH0ahrXfC3GxQqSJT74N6gtHhTEi+stXhw
XOFntE3LdtbxEdF2P5xT+shWoL7vv8638xW8Mkwb0L3ghg0W/+vXiXjPfIli9PIRrD7BRoSq5aYL
VX1so4Q+08SEN9Jr+ZX9/+2GiFEBifzJ8cOMPTtRB65xPU3A/HJzF+7raQD9ZIiasulWfmVlXBwK
e9PGZ8Jl+JwE6YToQpODYhOPA/3BppW+rG0fPGovjX7+D+9y00P8wSFRNb1+l17ADF41WpheiqSE
YzryOqiGsK4ZrNUBe55MPdsFUR9IT77yGS8+JWrRrbUCk/rzjp9JpOVIwVYlmdPmoEPwxkH/8Q+u
ba6l0b1dgLgeghqI5Q8yImr/10/ZrDzxvBDwDnT/5MBj3TWHXDp9iCJBfoFdNJHC2iS7j0eWXmkS
v71ngQYJ9do2U310BM4JU2FkHKNkBqXHhSEvQOPgX8YuMWkla+6+NnFqhn3ttPyUkNH9zpfchqUn
Mp38V9HG9kNgAALoezOfffOtKevMStFi7YZ5QHgONKdl0I8kuvJhL2w6m+EIZIHbfQOcrddvuw7A
OQWDW5VJPMjbOvTE3obNNX/oS5vO36Nsv+Kvezhg/FZzGOuU2bp0EPMinpbMFMTxSXG1hxG4/vX+
Unmr0t848uAy/EGX0eM5e64JKKAHnRBYaKKL5gJQn0gL2ofZw6iI+66xCd8AtglgrEtMdApTq+76
PGqeBzoONxmLoK57/yddfAfwQ0DAA2452BJfv4MJVg9Nt/E7pq6fv6Te1N/YLgu+CzJkFUHg8zXg
+9KaRTm0AVZgPMGb5PWAyaIGqRzgMdp5zdGg011RbrvdZrx0ev/ZLg61QY/grWB7etMeUpkzKQFp
TEAwtnfZ2J9AQlBVG5jkP5/P6ApCYwlpBzYIFEGvnyodvKVVNZkBV2V9ViWkRRQpo4uC93S8mcoi
69iXjb+HLqM9/OfH/CPxxNLEfQ303tdju01sMcIFpNTwtLxfgB091SaDpBQam/37Q8GB98LSBHqF
WgB1KK5r5/BmPCM6Q0jQ6zMkO8lbb+0IYo4FWrgIjImmZ8k8PGadstAdZLAsnxxCn4BlE+mpImZZ
1+wD8Gw/el3q/bB2pR8nSWlawLdgCCrrU2GqmYggL5C5ae3BBkmtq6bPGv/Al4S/CBnFfC/lov5N
wU1dC+lkyopZN/OT9aFcK5uUxy9ErN1LoNZ2OiIyKO4LMfP1A9JnlqkAnrbV623U/4vyPvgyElRP
6BRw8s3MmZ4P1k3tty0FdwIVOZ5TSFpp99zEEUpYGSK+CiHxM2uLDO5w93Orc34E8KrTrfoEQ6P1
nXzRWqb9Q59m3t6mFBd1FLAIAEMsGKXV2jcyPSC9E/4qEdJs9yx3pDnSnOa45pMx0xXcL0dW2snO
/Q7dlNFV3hQ06x4WIv0x570BuMY9EhXDYEX9JHU9fQOVtv4xynH5hsTOZNqF08Bn6EHhz1fF2iX3
CKxFyCZkwPoBMFHgVR5dlrX08nANbmk78LjAJtH+OyaKefckY8EzKGYCGV1NRj8Gkgd5tcCECZ6V
rAdPffbHrH3WyIppd0SD4Vf0yWi/QjHAmgK18WLxR0T7xa1OR7gcwb81gTMJQDPN5vvRecgAccGI
37QkAV03IVbzKx+zGglr0PXXZbx26/zIFbSC8AiDx9a+hrUWEEevCR88RMQ0N/CAGx+aLKN4UpZ3
N3XiDcl+IJj+JU6o+NukW/bDQCH7DZzEHBnk8P/30RVo7WGQMox2TZCgQ9CvLXzmaFwnOexKWnQL
RqQW3sd+bM2unjIB+8gmAKGvZhJJrKDZ2uGgeIRQr7GmX/XgggTMA9jnVNIEbbzPlinvoeEZeXcP
y4IAHIhBsxsR+OCy4SmCfa0SFt948QqgG+ShuCsQr8x4QTSMWo6JznyvUsscIn0VsNCNhyrgF0yU
EIbFGYAjvFCVmxP49C2yc2o/+xGbXCT7lEIpVPQIVyJFGMBA+3lZx84emrxfyWm0SdBW8LOckkNE
Kf5nnrfaGxM3iQcziXZ6IqGYHmnfclX0vpzv0EuPno1pfLiwL4P5J03R7y9DA27wAaFdfQeOnkqT
m4BQGoG2hNsmguXB+N+7mbgAWT7JDGJbQ/CYfaZBeWZsTcROxTX8cRKv9mAm6ddq2vdWCnigLIL+
u6SZ7Y6xoOrfiYbjV9wsHQML3sS2UAgknva2tsFv1qbtnfXXBrtQyoQu4jWT0NhndZwVo5D5x7n2
MFMnK7p5e73dccU0hCITxNsnWnN4Xq+4DtyssBTODogUxn1ynMLx99yiwVHYVCtbDkik7QpvEfMp
y/ooKSSK7nHfA5kCdMP6YTmaPqNVDto+bIYZoeEJ3ISp29aD/hdgcbQUBqjdc47sDVJpOZhTnRDz
WWpv8gsbd/R7umKWVCOiXuVJ1yv7hUu3/Z7EIhWVHiKDQ9ImKzz/8ZH9ipPcG8qeLPmzSrUZwdpi
XX3ymDMr/DI9mByFI8fNMCLGD6ooWXxXgI8R+0fUHkTulOyoKKYJUunSWHhz72QwesjqdL5DvDDl
Nalmfxr9Qo6sFXsYZi/tA2MLzODnZrG6st046GND25Xe5uNk5E3jwwGgYBmSE8tarVqfJuL1yI9S
M8A9u8LF4ujZlYsiY763/sOaeu0/4XYbvwTEMKSQcCane1AYQgDqnZuke5rxc8yORBbYGIzp1+Eu
EFG2HpRDdNItXj4c7FMLGrpX5qJv1aMla9TcUudpuhNwkZte0kinw7ea9SO2Q2uFV4PelhL4QBzS
RObZz7SpZ/KzDqwKm0JRLS2sPuGdm30NuwS+m4VJ3OJ9FHHS5r8sSkVekc6O0jv4jK6BVySWogNa
rEE4Q4sFln/HbTGC/2T9cvK7tDvAY39mP+Cf7PeFihxxL16gtUiQfJJycaR1EtbZLSU5tqsyaHLl
f1LrEqxfwFak8BULpsA8wFSxUS/dErLwqxe3c3/r4UCJShg11vS3jBAFv+w52bg8BxlL2z6BRxua
+3VlNhaQHOWgXRfzEHhTW0mAj9OvJnfhOMIwXU3LR1ihN9NttxqRobdHHAK+5aDqb7B0S3yO6eMv
9UNrBI8R/1ev010N3D5F9vqQzNEngi5aDzg+XjSUMybi7bPXp3NX76awi1ocVUJRwuHVEDLvI96b
H1UgJoXzI0EDs/YKN8P6Ei42Lq5jW+JqmUz6ax9BHrVr/ZFYXq6ApcFetzUx9KjSTrEHNeSa/xoa
t1lImghT/yEWxib7AGsDTBwf5rgwwvGB27S/0DiZa1npCJndJ4bbc12FNB0edLgqdZQI4JvQq481
vyUT7GfrIh9g4xOVqeATOnMh9CJZGWTOxqQYucnh8NOyeGkgQ516dR8DTM3vWZ9ldWGHZaZg/kQW
PlIF8kzz9NMwN/goYKl5pusKteYLP6xd3q7Hblji8DiRZI5P3bQmkJD7U97ueQqiXBH3Wx07eVE/
lm5YFr9GEkFesxeSOV0/cLAdw8IlA+zpaqFtXPjLAjOp2WNoMIaRtY/zZs1ROdqjJuV9NCE9KjQc
MRewrx32yzpFcSkMjLAEYk5Vk1cIHBzQIO+awIcOe0QAyIjop+2AdJRVCCfz6yIJlv4RfHA4OLsl
aL8wBR54OWmVeIcI3MbHfEzrqAgnL18qrUP11XeB0kUPxSDCPPzanGgYwmt6lNmKzlWDaJqq6dLo
0fbr/A3tfOPKJfYCWeAaRNebkeepraBvWUD0aETY7OCDAcejNFM9+Gc0xJ/3TV//HBLYrpQ81/V4
tInr7xBGOrRVtPLpVnmBz+4pZAF25zRljxr7Hl4cmLafk41kxwoXdinBWYUuYKlG0aMxkeG/LYd2
QV2QtVk4lpoBWS1bCbe+ktfIqShGf579f3g3D2jKqVzyAlUiEUVOMx7tkbWn8wOBKUZSmHnkpMrU
hJ1ZcgGTahEsM5IJ/MWqT3xQRhyaZnDmJ6rGMC7Q5+vbX8wzLSgjyFIwBzpDJrY+1IZF3d7Vzjiv
gNDAiG9k7JWf7R3ytUMYwdFE7sScmn4ngjr3fgZa+t+5hMo/hCu+sCffSEOKFLRsrKumbbKdjyh7
r7DQ9gzo/pBQ3Y5z0h59mjTjjUayGykCmKYtT4FvfB+ld2J5Vft0dLsUlzl5a9VqV7gHiVChps2W
AVO9VXGFJD1E7AZDDog2HVanijTQBk7KoB+fEADFXJVPYxLsdCNRkhW4Scv6AZtx0D2EJmXdU6PG
YHy0E6I/d200yalUHlk/ws2P9kdQ9TJICXvGS04b7g5xA4DtLsd3PMS9SzA3YhS8OziNrt3TlNoo
2jEuyM3ceu5XxkF4XMVWko59Mz50ySC/9sjumotM+ChRxIreAyi7ZkgLEjWgpQLn7n9i1aifCRQZ
fhEKx9M77hRfdpM/pL9TstRQmqVGDDdRN2W/tY5nVtXYPO8mCee3qk47sLkH1LZDGSRT31SryIeP
BtvEczwLBeEjQDSc00Mz0gcEGkSymJcO7i8wCA5ZBceT8HnlTTsVqIynD27A6XaaWYiTlo+tozc4
hyVsDtmIAlbJejMlyyx+BEmYWO9zJJDdd3wzlpLS012BLVVMJfPEiHSMZpj/gVqte8JeThxa3ePw
Ze26vjlgJbCPlCf4ny4ppJrlCm4vKjPtWbkzbQPnMF0jiHCXKovhZ9gpH70wMFmBBrNB0EyXb1D5
7OEmBsu2vJxF0kMwvVL/iTVt0qKsChBqp8g83dar9oevQObmH5SKCbRDHXB5gzWZHbwF3KPvKetr
hq730LYFwkXoF61bLQqw7Nxc5XUv/QIFXvOPSoXaeyIfeRFqEOE/uZQM7m6OudeUQICVuunXhf/U
Ue7wg6ElBP01Akx8VDF2gaGd8mUvMqn7m7TJ3KmT+FrPEyXsLtDYGXdWhi64wdKk4wlAxzQUsUDo
yJ1ZnJgPJEYjYd+JEVkQXg74B4WD0tFOZTkfvs2h6cZvgfHTsYBD29h+MYOX5qXnprgtunYU8DAZ
o5yC4yTUj9rrQfDApadt4nIwC8/KNUd9B+w6RIELy4nQ7XXbG3LDJNSO5cCZL7/BcdOSos4a+i3E
3gpnjr7Wn+NWse9+58xX4mLxRdhsfLADdz/Q5Gr7E8HWsRaNxkyuwiHRw4FObPycQSUH9LPByxvh
AaR+eEsWmSKSIHubVJAvgqW5PtZqzn8Sqtx8SGqq4+dctnGyEzaM/6VesKZV3o4JOWEbx5aaNKhU
pev64C7JpumOpSiqChwUBDRXwf1nPeCufoQtThA9MCPVfDQISMcmk9FpvO9nt3RHE/M2+Dy4hcsP
XYB6947rZj20w9py0Aa0d4Mvuf4bO6H5IfYmM34YUJhGd/ESL78ZuJmykj2kwkVMQOhCMTTNU7lM
LULyVALmyz1repntArgoBo80JF4H47mEvPj+mn9C396pE3CMJixM24/+/YJkqZNpOkKrxIuJPug5
oijFVNIfhmg09bGZ/OaDpwez3qZjqMxxJgHdM6Ax6m40bXJKIc5IytqEzr8d8HYQSL6Z8MEXPxhP
6MOm7akeo+hTVIsexUWkuq0jRKKvge+QuKYmgLaFpwAiwqcX1hm7cI7CDqODiVpAu41LxYTI02+L
oaJFcg3maMt9Gu5EGPBnEEejscSZ6d0KKWRbmSxCokIsMHAB0w/5Kxw8iqqNqiYGIbpvFpS2Kv6e
rGs3nELJ4WFEUxndQPnRZiXkJWv0YZ0XspdhRughcUPYF1K6Vu00UhhNoQdMpgo7KDY31H/rv0HM
mrGahPb8gtSk+TW10ta7JU3Xm8bA220t+qCOgBsj1HW96yc6ySJekIqCq3uT4ECZ2nHa+xZhdAdc
8hQMKYnnmJmKYEQkEfJ5yPQQJkiJOCJYBSCaDy94bCYQacktfbm/DV2b3Np2yPzCB04dPLXTLNwe
eFeY7DW67F+jNQ9tKVq4ee59gAT1TdiOylUg38KuhIZN+2uk8MsvlJi84IBlHQYHjRplOK4xbGJP
ce1sc9vadYu0IS2Ni17BSRl3QI+RkuAbiaOIWHZYbAQ5JXadACILOCol+5ouTJTg8wfuHp6bWu3G
fAqXL8pDnbhz+Dk71KzQtdegU0yl5lHHAL3hooM1mtcJDM58wCYzhhZF42XZxzqgY1Y0rB5YUU8L
QBbCagEVUjdSrwzhkf/YeEi5LzooFuVjzGx27Py+lRUgq+ADNvH+W2pzFhfhGo8/mRcPN2QJwcL1
hsbvTtygToSH49bNaDsXP7eQUv2DX7tFTXRBPh9awBPfYRQSfRqw+vShD4Xod3DPSb6OuW1EEUVG
3qsYh9Nvo/z4M9yvQVYBFb99WGpNHG4kKWAfoGf2H0h+YkSK6jVkpWlDv7nzJF4Wkt8nc+JTBOIW
ZWHwtLSd7x2ZREbbXYJOwFLB/jm9HaFD6appbHK+B6EteiaDJ3MQj8NWFmnqUYlL359v60zuvQCg
4/yjIwGfH7MY0Zc7scS12cXxTPpqkcH8McEm8ctpVKoljMaG5BT1s/7sS1ig7zio7/mO4LgJsPsT
fbdCqYiZj3Vy6Na89z5PY7f8dGFmpkr1LBL7IDY9JJN97B6V4HN/0tA9qgLnZ/RlCBJXV2RYGD1G
NqZPLpxWLCforI7WeL6oJs1gtQTzUOh12MwgK4jUWq/F4pSI8FlrfLaFuuwRlGbAhpg+Kix6AU5L
ZcGvPBoNS5si5ODL79bR92UVd5CvoBpbRrg6dJP9ocG45WULu8euaLKpAWI4KPYM13rawaULBfQR
9sTAcbpk7p4Uh9ZtD6BWfpJJB4IZ2IhKllA0obfZMElecLdZT5mH+2MBLIEfhiYE9pCrflp+qjwU
836a/YjfjkktvR8OoYK/c9koWs49i++o7PkLASbc7Vpr4s/LQpuTC2nd71AyJE2RGIYgWnSJ/d9R
B9xsxxYJZ2wpZiNKVGToxBf4+t3yLKdwdXsFKZOuHHaKU4xiut9BcBh/yum0IrSbefOXPBrX5zXF
0dNb4ESlqGXwabJMxzfDyvun1RrqP6coCpa95xsBESPEAvJgvWh+7CFP6AtsreOj53B53MVCjieC
BmBYrg415H2yDu5gYAyIe4IL+mEXslZ9DUF+nk9wbe0feD+D0ZrVidKHwJv7I1mnsLkZNhoJLjnJ
MAHs6ieUTjgjIJamZnixwNEt0GY5hKVWEcp5Qw2EV0PqFK1sSNavBGmufdGRLPrgpQ3DfXAl/r1A
TqXawedw/YHatG9LX+HqVmWo8fsSxkfrN57T5APcDtvhUHdZ/FmSGGCdTtPWIRjC5kCAJ7jrLbrZ
PnXokt2mqf6+dTxYyd3YxhARLu5pjAdc4eBtAUde51Omi9nV4kPgQQaK2ihbsBD4kO2Jial50KnI
a9AonPo/js5rS05cC8NPxFqAiLdApa7OyW7fsNz2GCSSyIinP1+d2xmPp6sapL3/eNjVHIyPc2Qx
MRVRXz0w1hhalaV0l2wLg9VJYlDz966g7eyz6quGr2mv7fHNZgH7KgyrS6oF9cyP2sj53iM2xudt
wG+uOPK0J5KKMo1/dQfDdjJm0I94x4IdIoDOjSchAx44cGadKFfdhuli7btT0Y7jgVGOEGpXNDTj
usR6v02Iy9qrX8j8PHKjvHV769537q3fzI3mDolwE+f7ixWXLp4cOp+SDTyTeCLb0u5DMVv+N+Cg
ry/s8f7D3ndBcV733iYNgCaCX+jkq++cEwsAG7fbvXFq2SUMXONnLWRtQd9Y60OwdhavPq0dBBCb
3hOp10RyzKK8sBXWiob3k1eVHIPQ4rMAvG7hvYmK0Ds4JJE/qZZi5SfH98EnTDzXfcovILITECfP
Stwy2t/14DNZ9Mages4tARUzWmtO8j3xsGnhaF0koB68PGxaYKDMnGQBh4KuFsYHOIyLr4y2wVB3
V53Bp5c37mjLySqDaPUQlPsi7wNn5N7ZmNv6RxBKo+6XLmb9IY7Y1ZfGKUqR+co1T7nam1+qD/HK
LD49qyKiK/GRbHK+NhLspJVWeqr3h60RzY/FZwL7rJtg+l0v0vdfayFGWgcnf3buIypj78zmyeWw
UiPDG5UL6YGltsHfuooLJ4Ev68qHUtvrwzSOUCjjEM8/3UKGCgSSyD164vcwGZqxv+oAuDZrmnJ7
7HK1zG/DMsno4BNq1yaeKDSkDV01d8VWlfVHbGJ3vv1aA8L817X7EmHflJeFTdg6COL93/ttW3hi
6f6Jv8UAGEf5kl18rmsd/cCWyg8tm4Li7TjItzybu23usmATuT73GMq3ax1V7YvhATV3Quv8I6II
z3tvuybs0xL2efsKtBruaDtG/LLborHSZnA38LlliCmf5MyfmJf4KJwoNTn9WEes+JwDE1vndrSE
9VAjy18fblDi70CJYCM1ImAsWfTo7plp7WHN1sVfzMGylPgl5mm0EseK2zHJt6WXx36FSMt2Twyf
QDqxdZ4qM3w7LUzGoxbN8DeYbPU01YvAuofK1U0n12DxrJxt1Wko4/4FDh6rVliU8cWQL+a+V76E
R3IEwVsZYRdh/GODQKvOIMrbch/JYHyrGwiz79GbZ5VqZ+o46IPGZDVbgGH/YwFPln0L/Ksb8z6d
i4VO8Hu5a18DO+IsvBiCu+v3sSwHmTDE9CXczg6cOrLgxWlVLkLyLYYGMDuoHld/9dqXeJ26f9SL
e1RmIe7iNG0KazhPUIT6TJ0pH4h7f+SrKZ3dP6M8CU3aUSJ5NlbudVlMBtaNPcrzK2yPzz4g2/iB
ZB0q5xsZK4IR4r7/Jzw2jky0I7WwwT4H+82G0r3gxNmeelUPW6qJRcy5QTWVGAHsFOg3h+qcFVHn
nm+qL+ybOpzlM2wrqWbw5fkfm42d3I4mtCB2p2DY0yhwhkdJl+eQlI7cf8P8wg7SLOrnCSmlTCpI
S5lZbzGV1y5YOnEedaV+BFHMydGovfgzNl3eHNi5+cMrGl/CcTHn7YmeQc+Pqonyv3vQDP95smfY
XitHMqe3/otHJmT/2MscaH3UwjowTlrlsZd9O734y6rPDvPdDvpY+11SlmxMR7B3X5/4LKEL9NWY
N7Egmn7t2b/707Kt1mdcT8ZJzNLHzol8715fKqLjx6Syy+05gnVRh8ndu+rInm5W4kt2VhbQpMmm
/czhHNzH0TE/hdl6eMS43VhOoxpLwEb3+Jbu4Wa/zuUW/p770lHp/v/no8UFUmcbGmvo7311qmxB
lvfTHvbSgckY6z+tkxMR3Vkd3s6ysYPTEo1KZvyV6q3ord55i1taSJLVHevxGA+9GEkWCg0Izyyg
ESpK2oIjdJmngPlt7BErLt098btct3fQT2QnUjS2DcdIS8/OqqIrzENOOOfTLgwyHA4n+187hvV9
je57PtW2olquCrbgoDhSblBk09fIVXjNyxi3VaqH1VUkmAkgLD1P0X3lR9q6CO106kBfUKsfWD2L
OWHfZ5EXTVBlsHmbvourCObZZTWFpo7cpTssXAIAyIUFMEf63O9BiArCN2onfShbt2dTmV3dJO2i
ty/CGEbuvU3UJ8uai53jtfHkOZaFGmkZbQXfg3N7YGu9FVlQMHpdfDS4MhXhCj42djnxReAo5BGQ
NdZ6JLC5QUdURhlvSdWVMWVrXFCISMTOS2+1WH8OdT/rx76S8JHISsooYTHRX8zPyiQs6nWQOCEj
WdaarnttiaWPrmoN2YKs0afmgVhuccSF0wzZ3oaruvf9XjeHuMgjABR/K65xbFXm3qIh8r4b1x39
7uRC4XlbiZd/LPq5O3NN2R+d29j/+a6huaK8qVNBcrqGqvDaqXjerHyrCO9rfH0YCzEe86Vq26+t
rRnil8q3H8epaJDCby1+W88dHPBVy4xDEnUlvw6SgawLASIwC97q1x7xXF75Vkmvdo7TnMNlMd7M
V1jstTyNjgdttzsFf7oYkeBcNqS8VhoYb9LJTir0AMNpltcCMmpM66aY+Qf5Ag0vdgITTRMqeWRm
XgMwfIrwEvas9RKbyg9TaLaqv0V57K9Lhb4/K/AFRee6xIdxkVvhf/bwk3frPpku7aDpC0amea2P
RreWldQsE7euC0d/NOAqn+1udj+11ps6YYmCespyOZJKhI1c9XcWBPVbz9jkfbANjvrZE1sf/gfu
XqIQCCXkTQMgtGX1WjpgPMgQmXqLtfuu5mHUGG1Hl9Fd2PklbxSJcqPBGn8RzkaxCRpOzmpY89z8
C6ydP7iwBL0h0qiZ18W4iwTdj81q1MfxUUalH3KeNsY917Wu3lTRy1/FDI9MhEtXoFVw4mXH2tmq
/+A0HAiGHS5Ocpxv0Xg0u57cDKwADQTz+ET7TbgHpH/GU3xtzUBrXkg3COKoxkdOtHRaf7MpMArs
UVj/6eDNlmSToFAHp3GW/WqqShwMBfALdhe3z3yk7/rCrjGPh7rAZJBRVBjcud5NeLCUnOUpygvD
DeeXG0y59ls7rak7HZ46Q0wE2BgldEmnOdr6Gs3BeZk7zutoCNpnhDy992K7/J5+BXqv9/PMWR4l
o72UwZuKtBseiLWBwt4IcSkf4T0462CWAeHc0XNjvL6kriUFMBdva1C3wCyNs4K81eIT5oirv5lU
MXwGK8f+j9qTNSvo7c7nfhcmneNpfEfwn1eHbSX0LONr1j/6dQ7nB9narrqAssD6N///KLsd1R6/
YGadl0IKxAab3tUPnIRln1TNhuku1oUimVdKJXBh7/qybYw8N5l1FaVunxMHNJLH8tMDyuDJQhfS
pBttIO3RaTyuqpB/+btffX8FVY/s96Db5F/blKpI0JvY390YBuU1H3pK6CDvgunoGK3f18E0/0W6
HvYDGU9qvddzM8eUnkU9aaKiJLx3n8kPvnOcsfjXWGNUpoSvEfCIm9F+ZQdCe05ADrJMlEQ+RG2E
CEv5zsT9PXKkU36c6/VAPlzxZ0YV9T6hol/5AMoJssjrgSEHz7PcbIjbYv2lw7F7o8s+Rp+0j0V9
pMDaRVdQyiBrOiLryRPpe7KKbGdAP7D38USznreX8n6sQ3dLVEXyViaKEfC+B5q83xECICoym/8P
yS1hwESy9x+UvA3ElAyReWsC7TgJd4+Aua6IWbzfNUdiFu5TQIMp8HD+0A8jEP/Yb1Z40CRdrr/m
pbW9dFHDbD9Avzv9wWv1Lg+ulddP0di6G0hVzS2Wj2RpvgSrFaAHHsza36nNYmQYqsF7CHIxmwPB
V1OZ7ZuK7QPHm7aTMvKpqOmhaw5dpIc9m0rUbTd81ty30egEx8UsxD/Krtfm0FoqCOD5TP1pLSgD
gQhmvvNqRfz3kssw5sCedXDNmRPecuGh9RIxitUFnAbbSd4H6zGOh/CJMaT7gvASw2M0Vuo82e62
nruev5p0jLp6dLxuIdGs1/rJaqvwX7DXTAkQrlF7hIf3ngZG3y/IAmT7uGQQ2BAX7vZpr7cwSvwS
AcQl90CYrILg6/8qUe4mUahDYEdXvVUZUybSl3GHAtHNSGxI37eLTa4s2V6+XagIwsNmZUrQ3TCD
2hrV94EWXO5rCnYmJtEasubQ+k2B+As6/7XHd+Sn0yrGv7nhGLsqmgDcLHdqZ8n0bZNklVUzg3Ve
yKd53JrhXVZI/e4t6vneb3rSPYk8s58DUOXxi3V2/IaqbcTjVOdbk6Gayf2DxeR6v3fwqKmzWvu9
HLfNS9BDxH5Sgu/P9+RFDW+l71M0xpPMEWQmn+OPvl792O0BPaboL0ydLKtpfgXN7Fd33Gf+95rP
8tEQpfMej31AJrnxEbojl6g+yP1f8tSzQVxRMtnRMxi/Nz2UARdPoocyDpJ5Dpa/u/SA5MnqKfZz
7ZbVg7GVRCUFlw+wMYzIIaK+ju4Y0kWZlQ4MSGaConlfF9qyj4REDPaTKhdOHnbJ4W9rNvXUDLnF
I9ly2qdTXldHZ6KlBQIRJPaHaQnbJ6OKomcSlXLz2K37Ovzxu317ml2xRCeG+9w5TPm0xMgXrfjX
riufhZBCAFAlVEXOn1AgEzxUi+hOt/4MrGqNKBn91jguU46idbwqUWwT7AGhd+kSSPGkLX/+zbW7
GnpkRLcd3MnpfhRqr9AfjTGQShvbW3Gnq3mE8eyb+NHRc+ClJo+glskHq91zEU/tB7t3AyW9yeKJ
Q6AnlA1577c2ofoSSwEYfwPHfnhNX76rvBNhWoAZ8ZlJ8eFhrKromEdVKQ/hbhcftV12zjmYkByh
HqpzMrR0x4FabGP/CvURJ/lKqzAi0lEAPo0IWhkfovJnPct6PFRRrN9zjDBBhmLAf0YXi5DL4fO9
NCP10xwVhWqSeei98WFurOILgJVGXlvKjpTRWHPMBkU13glv30y6dZKMR+Lztv9A9fBwjkSu1ums
ILgPJKWtATE1QTzcdpHQfq3munORq21OSby61TzucSV+zlgr3LslctY7ljaXO41bZTm53i72lwrw
67eKzGaleg7ZKlgzi+Ao5yX83MmVVo+b3N2CDbZuv3xjhfNhC/hKOGPlzlYix84+hCacAH7KWs1n
NWO5RUkhigtYtGqPrROoayAQHcOJ11yptTGg/Pteu7+tzYutU1HXBR8n7t0HBchs8ZSug872kngk
Ji/X/WlGUQcnJP3r2WUJuK37Q/8crZZbHkbf58mMEGF9ER4HLLoWokU1XpevcgiLIu3n2f/TBCGK
o4bevg+naZ03WVmLhUouIN1njemdTfuQ0eNoNZP/FS5T/UdKZ/kkJCMI0qDj62VOs3YQLBUvyeyH
+78Fqcl8coPeYmtrZ3Ffoxn8KVHx9ccVGidE3XGjnSHlZhyNFGtrtN1MbbL1tEkRZxWMxa2ur1Me
rm06jK76oCTKMelKnIx12psb5U8f0PLSoI2CO8nD+hMFj9ehRnD4olwZ+FDG7BHP0p8Kel5lvP5e
bMVpYyEHuM9tFJbH1azRmoDVFl95NdsIaC3fIW1K1I1JLAXzzvBIrJQuJF5/MNLmZ4OQEWnW5NR0
EHkdkTPjLVjnDEA6cso7owtqqIqXnMcaXbm0ACrGoY2QtHhBSxL2LNxzOTt2e+4df3sKoDRUOiH2
CRPCUzaVkDQzDLc8kXBJCt9AutBu0sTPYZVbr8ilEGUU46Q+lgWOrk0WttY7ohKqFn3VKtE7Tzbz
bsmoCHFkae9ExLVnsmkI456/sEBOh/6h25MO/fCUlEOuj4D/A4RhbEqPXWIpll8xIVR/lJeH/6EH
Cq9i8AGSnZW5Hp2ODOIsiudyOhRic91TyHfwHsbS9Q6I4ObLTFzO9Ej7VvVn7a3SfkSM4S93Y7fV
81Pp6OgFvrNrU70M7rNaSSO7Wzqn+dWi90Zy5dlUyjXWOj/SaxisSTULeY/IZOpph2+sTxjCEskx
GvXU1QE3hbs29UunrfB77eQU/0FsKKajQnDuwWeu6gGtPOCjnr34b7dEwEoCZdlhwFhKQYhbdSR5
LZNnnSuzqB39qtnbO5+U3u3UjE7TZAPqQu8eMiR/niP4/+M2tBoYXhS5fdxGBblv4Ymj3EBI4CC2
1jcb/Wt9ZLEIjoMp7e14ayzBHLLraEGxNkMsVpBu7WGLkIK8Lv28fRVjtzzNQVTo45zPPQRBMPR5
Kmn96Q6V73kgAYslBqIEXf9arEj/EnuMOyoBak6fz7X1quGb8HfuOdP0ysp2ZG3Vg4hM27/6jVy3
xNYMC2j2l8pJ5mqbs6BnyU1oyJFOEkww2qSCo7s46twJYWK0Xz8W0a36E1GcfaRTxcUCMU/mWrQL
Rz25EEjDhq4p/ko80gFDN/DMledCHNq15SyEgNUuuuOeK5yI+NoQxu3336sbYTfKu3Xw0gDvOqBP
tMwlt0Zf9R/O5ALrsKjCLq43mwEq8n5qTtTYddU5pw77taCYt7ofPDm3zNRqvaJx0Z+GcPWrqQvh
AFhJjjW7xw4JJWXWzck8sUbOgVab0HuI5tVuT5Mzr+1Zd9I2WTsxCYM0AQQnDm1JXNgY5869j4wb
m7GoEGZ1TvXNUuThKxqcdTw4Eu0LKvySElaUluXVry04oTIsFU9CJLaHpiXI7YAQrT3YMug61t1I
86PU2/Dl4V089nppukvsalhlngj48JXfxvgy6gIh5lB7+iHW3BZJYZkySBCODvlTtDhkkjS58eLn
MqYM51DNtBc8hAu7UErFR0yYXl00LeNGUC9ZuQVsoxXipXvo5q47scHOL/7soU8rPGzXhBdF7nDh
2BonVrWu+y8KAbbQ208TB/keR23qo2bKjz6NR+hOartzLjPoBN0QESfJQjvY+yDr6m8YwpMdKFDj
5Q37cf5pAbMLTkMWvgQVZmGOHVIzWuq0GtFqOUv94cpyLY9NJWyHxEUu14NVah9iul9Wbpq2oDo+
UDr63FFOMJDHQQn6oTak/Su6AfaJDmGuRJ4LZJbP8P9lZFeZWfLGT1ffLE8EPujtgEddDum+zwaC
YJna+qGFPNKJjF3VZdVOZ2yy871vvNeV2TLIV7QYkxVYp4VTbTmO1OmUx3L3bhqDbc0fvW3RoNOW
LvOkt9flh/Lb4WXthom1kf5TmWqk9z6UJR6ZxG8quaWimpv9svI0A+Y2Jv/p8798FiKc3pqRiJlD
yxcBYxguCI2HOhz0nQApeQDJmkkX9W5hCy5Xx9Ow7pU6RqUOifc3csN9g/pxSIvNtlV2c/NDm3Jq
foeYBsQh0NNaEevsKtbxeaNVJ+rook2k1yGejT0OBUSGfc6KvSCK6tHgzITONOrNWmQ4XObct+9b
d46A1hxcjCO6R7ADvxPB1Q7xX+FtWNUrhe4jDFvYjtetWkJealCq7yq3u+AIAM2/yysu1RRwYnqb
mDvyREyxvEUT+dFBbr6onkJfz29rK+zthxJl4V4m6ijj73YJtks9isGCrM9L+6+BKRse24FMrAz1
u6fTyanq6ZS7W3VyEeur/5yoX4N/tra3LkEYQFSqckeHOvGot5+pSgCo0/vov+2DaJrPgDV5AI6V
w+1R32+PjDYN0Ls1RCd+SmHOOCHmu1o0RXAORO0isg335uCAiG0HDLpNDfdEQOOlwOG08XkG2PYc
0O5nUbScLRbK+n9t4dl/CR1EfERsb/CUY18Caje3DGUF1BSf5hVYO51JopmgaesZGbmtvB+gZ85w
0KHuNmjYxf8bTxo7CbJJ1NMOguivSWv7Vz4McfAw1Ms+/1i56H5yjexx5gXk1qWoOQoNqdME3zhj
gGkH3M7ycWFjLQ7K6WuT0gduRfxaqvXsaegiFFFlFWRt34N7tKO234YSjvPED4MSkoVF/6iRBI8Z
aK47Hlw6m9SBRaD+b8SpqP5ZQd7+rVoUHCc1hmLKOnqEX30J26aGnf1fAJv4E1RzaT5tHmt6hCX9
zmkc7/uTQuZr7ni7e/0ptxARV7Iu3fILmKSfTh4E+caC6k3UE2LsmT7quXDV66R9f2YqDdDWe3vc
/M4bz7kXwwpERJ8ZBrUmIic+L1bQZMfYjrkiQaz3VO31/DqFLUYP7s71rvWWdk6M1SCRhDHkXR1i
jxNZzDVnzzBPwXMZ1BtSdquIHkbRTdHtgZlgeuxgV1VaiCEufzbKFCphhKT4GfbGIWVI8tsgEaq4
SiSFw2Vawh4t+xiwEORRyxxKpdbAmKwbs2aWh0MliWZnMEwsgtmCH8J93mCXptMi7e2dl2tYzkpN
yj4VXHxnmDKEVFM/uQ/EnDrme4E+yA98yQhFPUKr0TrNs76PKzJOMidkH7psuAw9FD+03SZbt7mo
xZSz778nj2LCJ5cirPy0wNJ593promOtFtc5ukSl/l0xqj8ANSHG3kCADr66MT18vTakcbj+/yhW
SwnW3M3/JjvaP6oBKWviDLN880i9WjO7Hocny3imO7VBDfzXWmtDLq9fgNGJnRf9OE/oBTKK6rst
rRzPb7/bcOzBIJ0+/wfIUmEucfulOvYjjpG0kjxkTDhV8bOsbUg0ZtY1Tpt2B29RIbhzWnQIVu5W
A040NyMo7eYoG5pBg8uzF6qmPiu4LPE8WOv+hMmiFck6BeZas6NzJVMszq092uWU7Bismda8Bh+l
BE0MHrcFkwdGOw6EqHftV4QRW5053M7hw6KHtr8YWi2xlpHI5hzYr7YnZlJVJeQMLDwGK0ZEsF8S
j9FwxWLO0N/aXuZPQMZZNRXLe6QYme+cqmRREquVXzX3JWEFwfxDjzmcnAgQ2hxZsRGgTREnxTG3
XPvHOjCiJY3q5zcfQ94zLnjwk3bJ6y9rWvJ3GwgZHM5MVZf2/VD8Bdtjm6oma0ZExkzwxxagq0B3
TPJQrrV57nez8NBXmGNOkd3aQVZxN70Au/jA2zPO3VMU5f6HEaq1PmIlcsbhJox+dJ3ef3bMjags
dsnUtfgbgR12S9SytdhICwenGR9rHtSaqCjcj+xlayDvCwIg4Iz4mQAlKDG9AyXx7aM3R/b8UftN
WFzseipuv5+mxDJSboIBlskOUuQW5Bb0oXwDjMzlubWr8gt7jL2Bw7UD/KGPZenIGdG2T21j+490
6kj0o2QVvjdVa/3kV9OaFJlc89HdON20E0X430J18r9usBnvZ6GFn017NNR/53ZS/u0EddcO0ljb
H4NLVd8d2ua9fYN/9wtOnikCu1EkVf0lCxlLL70PPeOvKh0Gtcp2U0LJFgRZxqJIfomq6pqHi9he
kd6Ku3kgrpH4OJQF57bVVn92R4B4ptdo9o6gCBLF+IpiCCpVxTDSg/c92aLmniE4i2C3cp2eyULC
4KlwpL+P0rb/iLEwd2PhVICaNdw5EsF9e8b1q1+QqxUdsAbZMi9e6fUfsnOtz7mpB5HOzB1Pzmhb
+VmPlvWAxjOfPtwW311GUulyjkcDiG01i3plShQ9v75icRO83fY16rsQWW7ME5S4oE+kBfibfQ6b
OexOQhamP3mmX7ZDoWbkoZGefPUcE5Ujv0QXD/ETwMC2PAwDw2Wmt+AUW7eWidn95e3KfYPWsUdm
7tH4pzK3XXkeMTZ0N7LL/TdJmYOhajW9AI9V5RlRo3yqzL6Uz4APUZnIPVj/I/af46nEqL5ZCWF9
cj560gk7cLpW7umYh9zQbYs7LNWe9MKT2QCazn7jh/pQG+GdmokO9WNZ0K7x5ZIdWab9pAY4Z4V2
DHwLKCCbTYTBG4UDK2Jm1q6sLrWe+/84uov3XUzWcnBqBVWlxYhPRtHY/M9iCr8imzfrtQvZelNP
rmF5mJ1dHFZX+1XWN5GKjrtTSdwUG4h9XfG90p/CDez7plmgeRsHo6uTO+KCSV3+QEMSVZgsI7hC
BqC8f7eM1X7j2YD+oedoIxPAzFpgFBnwecqu66510TvOMZyoPTytIzbtT9K61wkqDAwb7r6TAUO8
7zEo1wZ5UOPFPOroQf8UoOcbK3tboS/Hrww87lqIE/EYIMntHZcfZdgieaSvQPsor5e4ACuz8Wkx
js4/IRbrX4JLwOEBY6FGhKyKo9+Ti3tTCITv0BDl44Yph56Kuve6U+RrxLdLsAuo70h79w6T+T+3
DY1z3CP4haQnI+bPyHpfXiDnqv9c6aNKLJZl+eYQ0Rsae8bQIza57rd0ZBjhc+HQSfC4uUNidgyx
Wc1eiJPHb3OIZS8Of2GTbcgEkU3kwCQ13XcYYpcewFvDVDHwXfNiiihOG7zhD6MAGrJu9fyYgIu2
ay8CpcRrS3c9L2W9bT44ZdX9W2Y7+vJmLA+EIkHqusXGex9bHjejHkcdnQZjI2ktgnb7htZW/Rnx
XPCI9Vyap31CenJmmYdgJH5+n3FRTvZffGeAY/gUirvGxkuCENKp63QrxeYcMLBiygynILo6oG/1
sd5jrIaED6Dx85zI/U/vTvhjHvT8CE8LRN5G7fIx8R43vOVBc8UMg9itnXFJqUbAWdimkk/rSOLO
0YyFx1FSDCjtS8Tdd5bPjZPRIjY8ERGuvyPpeP9I66muu8EPAF3mdTB6mB7/Ufgm3gV7KWxp5I3W
UYaT/bpXCyijK9q9yZaZAHD0igXiG35AdlskE/szb/XwB8UjRQBjCxN1rhwdnBkAyFBoOws3kjW2
6BDJjFRZ2QvX/4pZo+ZMFX7rEo0Ul+Yspt1dLmtdtXetb8tbL1cbeme4765JC1IHSY7o7H386VvG
dS7IyeHdCTZoEC8hmBuRgvDgJ2vYbvdseTK+c1iRxocFCfJLt3kNnV+mkdznEbPtIbJJ50uUWsyD
WG8QjKPWOMzW0fP4S6ywrX7JHR/LCWCcxzyqHGt4JY7I61IvV/G1tKwb4JYH6smndfE/GxGJzX8u
w6tdRsUvNoF4J/o0r4MLgW1tfdU1aParI3tLXtp9kHuWo+hH4Nq2DhARNpdQKV09D9WqnASYpvvV
xDG0E1FmsIirQ0/hYSqcpcwq3OaPmECxK7JWepi1g3W7x2MJ9x4yeLiJdpsZSeocEk85Vo23Za6z
VT6XJpWmqR7n5d7NR/nXjSav+wrLzfm9wQu1KrObPm8PeI/Kxwh4qz6tnYlR9VGFEKcTB/UTYgzh
/uF9avJrU3buI+dkyeHc+et033EgYGis+XzOfQ20Ju6qoJDq4sMJPq3ltPwOUSP9tdklXydiFr3D
tqvxZzTKYjmU3tSury2C76zEdotrv6ebsY3mML6jUrM4212zwnoWQ3mQbt4VWYiiujiK3IuaC5hr
29PGHXP68vMPG+PWWn3M8WhPT3Ul1TXk2THwVj1YQ75QgHGaAYHJiqqrOnVQ1OPJIxH+01lvwkeU
6PFHG+HjTYI17H8VS+ndOGglp6QLaMdLY1hkmXh+VfzuWigZ1BNgnzRrQFdkXCrbW6cC3i+psGMm
FufacMlVvvz0mVefC6fumB48d/3rO8P6vilqOBgyZ3GMsWj9UoMcmwzxmHW227H6HQ0TC3kl2imB
zXIJUUe6LLISEns55p4su4yKZ/sniqfut+Wr8coT0XMjlip8bbS086tL88GVRJNNXIqIOO4jylks
kSQEza/EIes9w7iHIUUTJZJf2Z6Q3IQNhH9iIB7GZHCDWbAHdf4XpFxcnp3/cXZmvXEj25b+Kxf3
uYgOTsHgRXc/5JyptAbLkmy/ELZlcZ6CM399fzz9UkoLEqoODnCAqgPTTJIRO/Ze61u89myBqZc/
0kZq+nOIPC/bSeJI+x14hOKFwt21SSrwLcEuZYGdx+2gnIPmBISNrqlLLCHWGFrrJFnUamWcmPkZ
8lw/7FK/tZngFll5lzOFpDVkJgpZ/xi486cioYSmnumkfSxqyy+pWqw02E0ujYrt4JnWLqJzzbmY
GQTiuCCv1yl2X7I903bC5TlZxnEYKFC2Q8t4aiXoj6AomMoI0EQ/lJy2gCTpq7ZfBOGWxW4DSrrx
kFMF2MDQZyY3RM8yy7KTUUOhGXrC03JyPHeAuWf22gzkywrcnP4+DE32JWiKKT9lUzHdNGnQXVMH
M6y0HWtCNtk49TlAN4rF2ggainDb6G4snP4Wviq3v2qK0p8fcf/P155oq4ijv4VymmJW03CbFUZy
PonPowcDaWfIGSIwv4ryoLuwCp0SxW6/d9s8G3YGo0Y2W4R0yRaOQX5DMjAfLVuf85mzslMcggqg
Cfytuviqs8C7mk2W+xWFbf5Y20n+qTekW27CLGh3nMIURjaaPEcKXRRMaVmC0ifLTO1cynDJAbeU
jK09r56fq9JBNVHNbr1p4yC4hmXShmdahW6UrHUufG6r7h+NNHRPFSZvflVGaPsxm5x+2yAi7FYl
7VIa87Fn5c/WQMLAVZdgeOtXRuyM5VMGXeVXXtuox4zWHC087TDvh95xx1VR2qW3o6Sj+EmACKQr
uIQ147J0QpfIgN4Mt3kfiKvSlItVCKNfgqDesJEhLKrHdToiO8cDZzl0aVsogytdjZO78ZY2DI0Z
J8A/h099XtUokdprY0IrclOlnvxZtZWNRp8CQW9nZ/TFEztcpU4jMXwzo3MW31U0lhp72CgN9BBu
Mp9kyjymWBlD3xq7qqYi3LSiZgUv0HSuBd7+cO0jX8Q+zN64HmPVX9Mv9/mwauq6nU7xqa79whzt
K+RURJDTHKiRHMaJfg5k14YPKEejBvhLi+ykLWvAQorpFub+tNM4bzEQRrddYFWfkRH1+GE5C6o1
rA7/lzN0Kj16ZdQ/5+MUfepUL+H5VLl7Y9iua/1IQSChjo5QqqwqphvdZinaORREKcZD3U9ygBgw
LC6yKZR3UpAFwKZuVDRCra5p7vIU9zwXK7CNKTnGzVbFtfM5WKywVNzCybecYR3cyQ3SDBxMUSnu
EFcgjetFWF4vvqPjmCP1oLWS0+HIdYS9qfbjuuHoXXjxnrIJX4Mtp3tZQUn9PoU4wPreV/ntVDpR
cYyCSBe/B4Ou/woLBcP9kjl1c0Cf631Cz94yGastvA0+bTXaQIHPl58jHbxj+k9ho60O5I+ExfOk
PdwjK3typy/0wp073enxZ8wU9NtoGGbxaPt1f+xJ/8WMxTGYDk1V5JQCXvZihuH0WzDICVbt3DX3
KX+rpTXCCHiTRlgUOZDF4mtTeoFlrwhqUXyfCbfcMzercp9paVu6KPcplpjhgj8mSbMaGEvQztia
IQlCEcrddod9SJzCWZpxuWfh0NGJ9WRJi0PJLLcWYkK2TmHPPxEW9fOGrGalTmlKH3LtOHq8qnM2
sW1qpWENnMoq7XuZ1ZE+qSLofpSMPzBEQVV5XGytMTyFeLxmWaTo8mJ26J2OcnrPuuHIDnIDscUW
yVWUf4+MioW3E4n2j0kzmHfRRHzmweTjCVfhlPbXRudP3dqHv8BJwyVLE4WB7vo1h3v8owwGBvyb
JhxiBP9l8duMYA6ucj91261dEF0F1TvEHMadBPTALBmeW5Rf3zymGkwG4ggIudN6kb8JAabE6yRN
xtuS3IAnI5/m5ktr85rwqvLZIw2t8u6BU3zSPXkSfTo+2Ll9MGD1PNHvWQz8dVTeBmHK3TAr7c7g
OWqidEguq1Z+0br3xOYBIhjiZGZr4ISPKBL3gVr7iVA3vtlqXOAjkt+e4UFcNmfHsxVyDTNsb+3A
k3pnAqp4Ip9S/uDntt2DE8yCU3uDeXUndDrKAzrb5GQGUVCu7cY16ZzRIQAM1SL5Xc8k0jMF5+yr
PvnZyJm4LxV/7CTlpK7qchrOZRjWzWmIA48xmoIVs6aTpOiP0H7AB8s/oU/EoL7cYQbAKtQTQBWv
8YF0WLlSMQ8bylj4HdFk8clNfRg4m7SJUOl2OkQHQD+VurWCoIxgAF6auR0xBe2RXNRya+DnozKg
1Sc2uCytfDUXDo5yu7TEXd0E2LFZJ8stBtjIWHcdQoV13MyzhZlIJfowDJJFJsnKMPmVc8BqAe8Q
Qrvqp6H6Fk2zXx4Q+DlyJdo6/BLLPnzoccIzwHT91iVUoNA/6Ffxe6kobb41mRCMiHCWeCvMRPrM
bJ7RQKsnQFyWPUZqj8Gw/pV2EKsheqgpWHVxgfkjwC467bqyH+5mhx+TyW/ISS+icfkkpU06OA4y
M+RbLtRjIHkWJwKMrSFjhROIJA0QdBkKJcM9KXzC1SnOPGAEBXV9s+f8ntxPDQv9OkTN1kK2p6m8
9TD1D7usAL+yUjFEuI0d+cF9l4vEvDHLXB7RBXQxmYNWuIPInGaHiUDV+Ar5HVtbg6ZVnPyenvWK
GVqLU8MHIog8Se6ZS2p9NqGsmWul+/JLMzj+FxM7tbPTfD2L/b009l0V1+Ged3RZ7ztDs153Vbpj
vtuhIxot76mROYLDZjSQMvUOH6bfWc5+qDuUG1ls5Wrfl00nNwPm0t0yuMXxghF16VU6NEWxOopq
N7aD+mzoEvlH7BRttvFR7X+bYHh5mwzV8Gc06cydArzHiNLJdtSrrrLcHDRKhJp51Bp3j8HMxEdu
ikGLQizmyDa6aAkxGo3A2RZZYVSbdbJqYbI99+yuD2M5Qx1AimTVNwPXujZnnBRbMBpGyHWz5jBh
njKuaNbaZA3jRx8Q6abuMcCq2m2yIqJ1yvIx+Ct8bP9ZiGsV3+aJRQu0Zk61Mpk6BlfD1BVi1wFZ
9xdSju38bjxHXau61QODeTg6qOeSpjJX+Jg9sY4Dv7vj4fUZY42i/OmTD/y1QtrjnTw7SMTB9MXk
U0BbVnG2x26WfHKu9R2jl/fIXp+a2w7tJ+fe2PR/mtow78EEcA5uyoGOR47GV2NhfPbrZrbWOWCZ
7jQHoRnuaWf7vytZVdHRtEUICJ12vLEe7K6atzVZROMZ/IQdbyitqIjzstdPsw6caKUNVWJlNiIT
KYtyqd5T1Bj90ZR5yzfkZ/m4s0vsBJsqpM+/lS58D6B7BPKiAwgM7x5mAzYMGaLD3c00GWnvuaNz
NGkGV4xkHBBsLkDFU6dCTsiQxyAejGMzEvQnHMU6gnTxLqnHxGEy3dHxjhAMX9kKiztQWAtUXMLs
CHqfZYw/YK0ED7Y0iviAr8z6ydgIOieF2gCLs7Os7UQXzlxL1TQlEy8XG3Hap5DnIhwzbOiiJ3vK
7RcSNRJiSj8P5XexAgRcvDgYvcqT51KlrZOc/X9L8Je3oPwiHJt8Vz7Hf0gk3QNlF0+pJMRx3jiT
ZybfRC2bEflaBRoljOb81vaJidyP1MO84XQI8s+AOku6lrNDVyFlWfhqZKjPDwhlG6CSuUdrkTSS
AkV2YckA17EneOiDyU99k2mGFEeqk8w6cq4a0xPyHfJKQ9pw8EfdLFI4fBUIBezZDALnvGY7Z7GY
5ysv6wpcI/mcqWtMtG1xTStafvNqhnNfDHgwajvRweOCBgIvEBdzhUnKzpJ5L/Gq0jXr4rD+6SOA
POXYuKYzgjcx7+0BB/G+V1r3N0xWg5uulOlPUbRN/Bk5OApG3sGJZiWeY84TtU2sieh61/tu0/xP
Tnjn4mTT5CFlRcoDLLF6WojC6qZsjVNkBeIxnYj0PKTdmHwRZQvsoC/LAUNBGuIYUirOrvhh+lu/
Kct4yx5U5j+ThsJn2xjxXO87N54+oSwHQD6ZWn6NUoSGpI53fLahbiLEsF443hSLzpJelPosAFVh
/LXsZFfT9x8YvjBK+FyEEhkGjoK0O6e+PXo7YeTFfhachXDriho4BU/jyjSrvl5DRvPltk+cXu16
gKoo913o/Rgwkq44DrbS30CAVgwrbPaiQzHCYt8ODUecQwIeYjslflve+G5bfHXjOX1SwAM5DZnB
9GWak6Q8WyPCui21jbK2oYWSeROOcxhsWjWhx4xAM/FthKi26DGbzIw4EjLpH5WFoDAnxDoCJDRf
jaCEun3ph6mz5vdLe1y+4cjLWuric2Ykg/GA0Jh4Xj8htu3skZMZbNEhUzxjPeK4ZA5DkR04zaX6
U2PUza0Y7arf9u3Qx+gVksjdmjAwv6ZotOKd1/htt2fMEp0g2HH0GisLvQfjkpyNcDaSftv5dXW2
7bJyIMp4c7ZvgtHiK3bR83ICMfLuR+uP6LAqFxogZnRf7WeEjdGKk4XFyXI2cxsMZNqWTyN7EsIP
02jzFVahgjka3fkRv5WT5AAwvK5aIW61x1uKQqtaQ4ekpavS0j1ZCVLvY6/LIT5WPAsaBohgqzOa
0GHYzuiZPqWqD92boU399NMwxiNj6bQZ9whJ4+fBMDxBflfCQzOt2TrSRwP7ZMli+cAbw30por4e
r5kCe3rXLMGdp9HAE8gYYcAOzpCtDbcm4E+QWI0jHo3S7eiJzLJl+/cm2j4QdBIMpDJW+BbcfHGr
GUQVqbYQkANn5pL04KzQvGkqPxwglknP3VbQvlkSWkqvnVnRPYJdBKJvto3hGd2G+5KWGie2yhMM
yHZZTp9wwEXPVCFVvhjg240/jCgBl7V8w/lnZD4bjeHnUid0epFx0BsUWtgJ47ZC/4ZcFv9M5oJR
UkDRt/foBkRnfGMEOZTo0DpSOtqsu4+HkhNeG9nBXVqb5TM+Hfg1NR75cZuaDXGwUT7T3jCVSRqD
R9/Th+pgAdxSLBpsRBgdHqO8LtUpCMvucS7m+R6cBiQGSvLf2KZKFh/PbypwDI1/sBt0XGB75umL
SGt3kTVMaAMlb9ddY0fJITZkeMvZiVGUbLHQnzK34bC08MfKNaAwgAqONo1kpdre9I5Vm+rnrh4w
S1oagz1Q2hoXk6IPMR0EvoTqscog0e6WrLAfbjq23ang293jWw7aq7Et0hd6i41AZkYEmotgowVE
ihvlxe/xTdHTQ/PL9xtSffcqt+steLrSX2k7yPd+4ofERuW0RE5jkmQm47/ZooPr4llAP1Ol11DL
wuwaXA1LcdmnABikTfN3U2ecG5eTbB+clGDEuBXW7JVboX3AtW6Bo27lAJZFqYnPvb0u+dK+O9pv
n2uvDM4ggAT65qFFGdJUtbnQ5DneUODLdN7OKjLvgEEjgtJ+Vt2hk2DY3fCYDw1QMEb5HBS/C5Tw
6QZBL3RnGLIw2OegMtOtkdryhYelzXUBiDs6OvFo0bepACKuAzdL3Su2ui7cQyZyoj1+Sh4B/8/+
oJIiY2dyba85B4ijlyynKeAVbAr1FFGj6EMoYFmbRWH8dgV5Joe56GJrNybdXC6+mvwO7StdWX6j
/HehHTqTbtrOL3kOcO8TIBdt76JetL+g2Ue/OdSM1zEixztnKDEAFplZPabKtB9Y9PzruMvbrz6O
yW4bGr7CLJ87+LYG6ymkkHx053kYViFEhJaz2pwQfw4M+5iib0IbFwuH7VxMbbNJOWfgb1cK/X9b
dbCZAydwbzIE9wZLaNL94tDMHDMbYvNHjFrze9/Z3jdR9YRGmAnYI07coXufWR0SqZI4X7apVA5X
kLKkvc7oTpTiG8OxPDiWZaiGbU4DzFkn2Jj1jn6XcT8H8fzdElrrDaHV7jca5rzmJBVxUgJBq28n
iAbADEC3MARHmHTjhLTEVxQxFqVSYcbXRo0yc+W3YTlsfUNm9NCYCm0aHauO0TqzCISr1vDbmZLs
lpzfAL0zWxjMqsBpkNAFZC+vXW8YkzNUTvHQ9tQFRp8FZMr2I01MoZi4Da5XGOvAt315rWbfhL/Z
uOKbxPFwh44nitYpwlSySAti5qFiBd2B2QiG/qI21BOhqp65MagBd7Q1oRJ1WQ92hOSnMdoV7Hgo
CFDlrfFJ6WSLO4yOppsDZfuM8F7gmoMrgg+t6phhj8tQomDci+kiw2k0zJbZ7iMEBgsboMk4c8VM
g1eNy5QQIkWbtyeEUMMD4RNO+721J9COCHUMa5+ZI3lLAa1IG514JfPHTgLRQt3Mte+0bBaIbs7f
aKp1+xzGoHQY4Q1mdaKWKs/J0JqgNsah+j1JQ5wtGjU09RmVf7JTq+p2avLRWKd8sPaZhuGcbFy7
8ll1bXbsa3NCPLGd89jId1XWqSfOBsS0CQ14ccWIib00nmZgfnWiW7AxVIDDLlczZXdgq1IvU+Yw
3rgD3oaNk1jLwNdwg4dJTtlLW1Clv7gm9d4OJqnZXeU1qJsVuD9A+X3NPHHlJHMptwUJkgPTBvon
qyh23IchqkomD8qiy5/UMWZyJkPV8yTnfITTmDbDJsb22q/gktUu2fSW/J2j9rvSUyNeFolRuDJ7
zgSsPrQgVh2cwcV9hHgfOOzk35t52Ke3g6G66CpuKomlDzs/n6PG/lqXZYJBSoftPicBFrSo42ec
P415/hnT1wGDV2pzV4aydejrKAelYAtS+VNQQ9RZkejeZIfBc2lr4UwTehW0hnsfAw5+biV0ZGAu
/nCT+joI167dsMIGMd/vzo0QLewy7U7uarKr8hruLpN8A1ILJNlRPMnGbn62sMjR1liUoXsle/E7
IdMou2a3La+xNZHi3QTC7LaGDgSS6QyrIjcQJjRB4XWf1NAmXwChMJkCnqcfKqduofRPSf8LVldd
rnoCG39rpxTBBgAFIw3YZ+q2zWREdcBqC9WudpIXn08QDrDVJ8yfnEGeBwpg3EpR5/3Kgdn2kKeg
6KwyjoLeCh4Ti0CRiWHAe69x1vkMYE9zTbnB0WsU6QpKj3yWDWLvJtE6WFtZwO5R2tr7hA4dqwua
JP8JdXl0sHQMl0fnA6bkxAXNTQKdiTgEdHmLdGdU5I5qK0J3Ydp1WtyIvLJ+lagDqqMPOjKHVt6I
Z+I9DHs9hYWNebSQbbIX6NavHTXm7d63grlfZ5op53YiTkfs0d9N11KNHQaWMTTHTZ661Y8sDONv
AZLGB0f6I8i3UfMxPZNuKPI9FKiuWclchALZTdfdxYRGBIdEp2l8RPVATY3crj0qpzTBSSEkfxqL
WD0p+PrUL30/IoDJe3jT5tz/iHOban1uG3R8mcORE2mk+2VWjkdHE0AXhkSXvBWmMW0a3dAXdx8M
P8MVbKROtqR70ujuYBlIVBO5liiLaTktZQBRz+W9284silWF5465Z9M3O9kX7rcurCRGc2u2v8gZ
aSGxCaHYJkys0WxA2bCYQjucTvmGIhfyKJaLDcJkD/tlhVOQ1oZfG0xaBRo2pwd+uwpzltZNRA9s
O0Bq6lhtmNmvew/59zWKkBZyGeMgGNcCO4QVr7mWX29FN6TZlxDmSADwemQMiYrS77eQd3EgBDId
GcwFasoPbMhxuKEd4mQH20ZXt62s3v7pMl4vzvD8Ka5zbSxYq7YEuZ445EHwnhn2V1OH8kvAsVZt
7dycM3RKeNw2toegY4N0hwoVG2N5HolLecwRRfzsSm0UzP+U85A3Uw8qAwM2nYmwMr8CoM8+q15P
NPiRen3y4VFAASwI95tOtZCk6Pg04V8KltUJ2VsZKYiKfUXPHQ42uRqeGh/yvhu/1jOKd0MlKTrk
Zu6vdDzSY7YdEQPEReT9kCHGs65Ggggwh1FeLWwBvFZ7Mpn0rdlbvBsDurovU2WXxBeW/EAIh/Aw
Q2ocEFUBGMeHIZFzGjtURsClWkIR72HQhdZ3Vzb0zAeyv64jFvBfjhla004mEKo/GVhM6BVPvkpY
WcG80wfMbXXrZBEehA4XR72dSbXtVkk02dMmRId5ZDPpMqikJfLpxnDcz13udmxiGftShZG0W8VW
baSUklKfZB/7/iYpIo/6BEyMvfXGtv8+e5P9aEZTYW0aRrPeWvS14o0OybYDlxtPdI8LnDU22qP8
anKFLeiv+EH7LRrwcJ8pVaYTJmar3Wmbnn7IaoDPnhk+UHA8veUtAlBOp8xvo4d+8FjJ/C60kw3j
IEVjPqDdseE0lX41gH7Ua7iVk7cjOSz9WkSNHCHQGOPpr5ozCQchpkxe5rLBiBJaR69rSOZ/1ZE/
DHWRkUSj7FycNTkiP20zSmgA54LZSR9gUIDPXdu/whbnKV40NGzACobwc+Uy0SHVJaHTR0IafBDB
2R21Swcc8Dut8U7d1joquk/Msy3K91KHwRezG8W8seLZOWI4inPsNnVUrP7yB9ueCsq6DQKb5Iq5
gg88nFc93f1lVjQrKnqDm8gL5DMDu/ahsJN4qZ3QYgnsyU9/zTOORtHbWIBlYwVUtALFooHElTZI
lcvdXzgoW194QbYtpRXZa8G+eRIpITyHBCHz9EEs1BtxZ9aSq8af4gloFUu00t+isRq0jqmo6iWA
y3KeMhehy24c2tE+jF2YnWd0dt+nIJ2OrdMmV//9X//r//7vX+P/hL/L2/8fZ/lfRZffljE9r//z
329EUlkO82/KeMcRvnmRdThQzXiscly7ADE/BdLbxqD/6XMvKuu0Vdv3r/dGTBTX8x0kjuhNfHUR
BhgmkyY7iBOUYTFqhcn4YnStvuasMZ7ev9IfOZIsGGjQHWFz/nH5ZV//qkMShSWELbJmtRFfDXNn
7dlQh7VjkBLh5vYPLQdw58RtXDVu9+v9i/+RecgkjkuankMGrGRG/friddSHKa58kiQKnRwrEZNh
Cbhj14QtfkGnjyDypNk//W3/c1HuWgjkdZZ/8SznqRrayEUDNzdd9ShsMNlFVRs3wPHjf5quyI35
rmMrG9oPQWYXj5Gp2diSdoDdrKqaXeH5xQbjarsZA+KV3v8p/3hjPMekr2K6/K/rSnGR9uUEVl9B
xAc96cl77SfZp9GuX5y8z6//+YU4TzqE0ptMUsVFOltmSheZE+wAqLnNaqQrcGOxvO4YhuPVfP9a
f3x23IyjpO/6JO4pjLuv3w/8tsSv5L6z9mCPQpaerFVqlwwt0AyviMfoN+9f748gseV6/vK4WGAs
nHOvr5dUbQj2jOtptPl7CJDG1unm/O79q7xxVyR8Wj6DCkF7w7l4VHkdzmzriqKTXLJ1UCb+Dvso
nNxWgEKxB3n//vXeeDUsz8Pp61seU6HLT9w0cMXmAkVeJjoS6V3JVLcGVuQMan58/1Jv3BpeS8vl
fff4DZ2LB9Yv7YE8JnxiLjL5kFQdQwevcl5acIV71KvRB+vyG7dGGjrKPloEfGDW8u//ticYpAOw
U6KpM0DzHuawpCpHULVmG/8omfGtSxFVzeU8yQZz+YFBPGgXGwP4GaigB+Jd+AI6Rgg42br1+7/i
25eCS7v81+fNf31XVoBPBUfR8i079cqwYnEMkBNqI3E+WKDeel6sGayFCG9Z/S+eV2UhORwjbkUj
aMCvyyF7CMdkH7kD/LW5Tnb/4s6YnDpSuj4/5cXaS/LHkPU+r2JBMvJ+HOxw4xAetm+b5OVfXMny
bcAjSnhs3a9/Qyz/JOl42MRTzWh+7sJgq0tC65Mx1P/mpmzMlYKfULr2xaVCanvHjEdWqcGCmgc3
4OgGmDDAQHgfxEf+uVuT+Qzkk9kackXSbV/fFcJy1DcBgGHIOAXS5gGGzi6kMGcoT3Doy6A14r3W
MpiEzKiUT5Nvc+j9Fz+tEsp3TKVsdZncXnKAL/QI9cEKjJpEJLznNCz1Qagh+WBB/s+f9Spd3MPN
LIi0kIIJsGVelCcizNuSoZi9LuYi+mpopjirdiToqEJzdiOiLL2NtXauGJA1Z1LxxA1b7rxl3K6O
aHK831Na9b8RaReKMz4iLSb86SGJTRq8BmaYDzasP2rUi7/uxfMxDESrqVT2OmVmERYRU9hgJAiB
2Ist8Haxzqc2hjwMNuT9Z/KfCvS9H8p6/WbAScHwMnDlBpQjogc4c7m6kTTP1rUp+yt/kQXQKHgJ
tK3PIs6jQ90FH/wt3lq4WPx5XnJZuNTFcoyVyElsZD74/iBNBjHE8Qbx/xFkeP3BpZaP6o/7BafA
F44oWMqLj462S9Jh5HPWQfvdRbG5ZzBTMNqFKluBFHr/133rYvaSMIraAzOEdVHz+FXaOgsNl9Fj
EZrr0nSqs+Eleu8OY0Y/3sGD9sH9mW9dU9EyoCKxpGdd5hr7OK6pIgjjBOfSQPolmQA9dlAdPcr1
40T2F4IUS+6ABw63qIvam8keOAvNKbF7dCPlynBDfzshBK83WGrErqZrvn//h1n2h4ungM/YhKii
aPqxj7x+64rlGZRQtdDI4bVUNRJ8hxnc9v2rvPFasTf5VLXsUpYQF+92MI+MYSEhrJtJQNl1YKZ4
rrXCjj/t3r/SG+sra7jJ7m7xs9vy4gXOBrtHe0cByJhIH+eoCI4VY541TZVlFiGLfd+YEXhI3zgT
JqL/+cpKVc2CR6w2q8QfaewjZtB4iNy1b5TGXSsFdgsxVeUZF3b29f1bfeP9cgk8djgu8HaZl8dp
9JLYgmuuZSEUPnSolFeahh3t1wTmB2XBR0G9bzxFyfbIIySv22Ws9/pdIVcHvqdLbx/1WnMiIx0c
YNWqs7aU/8FjXP6oi9eSS/mmRW3D8fky0JngnoasoIAdOfOYBWVN3EEtjSO44OSsbQdHWJ8IyzI+
WCbe+BokQiYlXcQ3rmsu//5v1WhWjDVht4D3XI8wInBc8SaIKnn+xw+O6QR0cotmjAd89PVVpAFZ
HrMpRe4ciHunrhJmBwiQD3gsUx8tXl9bHyxGbz46X3KqZM83PXVxY67dmqyBvCsiDNt6a4AY+wTn
xE02MUbzf35c4Qfk6UklLZsK+PX9tRyckBUU4As5Q6A2os7xCO7e6gqJ5/s/5Vv3xaKlfMshF9az
L+4rBapdIkR219jPXOKGYBEbGWG1HQLEzfuXemuDXl5+Dg+0dHB+XtwWzn0hu47bIvLJC9eVKnsX
qYBXHkDRCDjLGYaobPCLgXPaNPzWGgE8yT76NHcmxfn7f5237lyylzFAZz113YsdrcnIiPIGqJmk
73qHDj/UbvSbh27AIvsvruT70LHQ+LBRLOvQ3z4KTm/ElfI3oFq0iBfALAb4yEL7Sj7eB7/xW5+9
t5zPyFhj9qsu9olm1Mi0GiQVFZLfI3RGJm1kWW00c5wTGGnjiFFRHd6/vzfWUaoQKlN2Y7YNy359
f6EH9XECo42qOAvx3SLFyCNpfpuc/FDNfvDBiffNe2SE5DmUWNAtLx5cidlBWRMUpyAuuzsvdpI1
iTzzAb5GesYzSAAF5MIPjonLd3C5nirXXuRVRMoreXGPM0A6NHaA3DP0qrCPfdBmWKyi+Nv7v+Vb
N6c8xRvJeylZ417/ltDQnGCE5bGWk9s8jLNvnXSJkDUhlfRxiFR27gZjen7/om99CrSVoYr6HOIc
d7n5v7+guvBqZ4CWgB1m3JSTMa1lZuAPYE68/8eXottJJ4Ze4NL6ufgdCdle3GaMDrAAm5uIHuWZ
tnK6y+qg/2ALfOOu6JJjdRIeJ0WKmtd31WFhwpjVQIv1hdilaCoZhWQSBLZ6ef+m3ng5sPrxKlIw
0YMRFw9tFEHQpJXZrG0EJdea4OoRv2dBTuf713mjNltqI0tilxPc0sUCqry6SBPwtihdtH/IDGXs
7LwVawpzBp7402/tHrVCxSZIEIKX/nz/8m98554nJJIS5mSSDuHrH1TponNDz+Y7F+5w7wVi/oye
G2yp6otdPRXGB33WN74Fj7xT+uJ0tmx1uW6mXYDlOGWimBJjtY8t33tpDIydMYN9ICZEVObJ0Nz8
45tkpQYBY9u2EBwfXt8k+GPA/ai0170PoK6EFHEjmUvvYELCNeEc+cEz/c+vdrGysBXyfirb5Rv0
LpZsPxsmpqQNcLUuTX+6Ue79Whb2n8LD1ol1SsNoN6MxwsE0Y/dAxxV+yek7ys37N/7nr+160qeO
sKmtSBe/+FywcYBwimmPCmlYdwQnZi8MIkhBxXpwBS7B9VYT/hrng234z5fK5aXitMIOzIW95Sv+
29ojYQzHimAlMgxJHUObN20Io0xPOFl+8xLGH9zlm5cz1TJZ8k2frfL15cAWmjiXkDctHMAvKHic
o86sM9wrFEUkdFbeP7+/5Rcl6wsjvMk9vr6gkguZuBwa3D8GU8mED/Z+7hx5TNxgIESzbD+4wzee
I6FuXNNjH6FYvdge7bqPc5KWsH/6eXOI7QqCPfEOGyMI0kMUGcFxNgzrg69mWXlev8R08lnPOdNw
bOM89fouacuWDI/4VMn1QNekR4IGU+ocz6yqZxnV9XPSNmQIYC/64Pv5c5VfriypBziAS4RXr6/s
QBeadO2yYcIw3TJ59o7aVtYZ1k/5waDwjXeHvq1p04ujgcsi+PpSRmAlVeQ4KBwquI16nOYt/mpk
znN1Xwakeb//Qb55ZzxBukno6hz3YldJcy8y5hjRCTbnYldSNyLwD4wd+Jzsgx/xrcdn0tbxpc+w
SXgXL2lijbg78oUhM+P/67URbh3YO1C+7UcGv9YeqNESlTAaH9Ryy6Ly+r3hMMwllU/xyC968bKm
w0Q6Ua5bzB90lQySinYxnY4PPok/HxynDprGvJcsNX98g70JlwTzd7tumgSsDnaADSCaagetE+oQ
6TAf/Jzm8iZc3pa3HMmYN1nUxBefgxYVoOTWbtE6uwsE1Ej2Ux45WxrlPSZxjDR7UTXYBKTID3Wd
gyuN/Xbb9qEN2mOoPwnAag/vv05/PmMJw8+igce8mR3k4nVCcx1ivluesSMKeJJ5Y3wJ03bcwwqS
T22LEfOQjDakbBTcLIbvX/2NR+BzuqTq4z84Ni6Wed+TI7ZcpAtGM38PQSAzbiFoesLMxBK4e/9i
f9ZJrEImw1m+G9emLnj9oZK3UwFFJKFCIOo+EMoFaMebh0OQE5tLJ807lmEOULJr22TrIkD4511g
j4+I6/O3kEDZL74n4WqyvYqiW5ewLHY43s3Pos7sDeyh5oMi6c8viEtRkWEhZfPmhl/fa7d4D1IX
vY01FjiO66jdx0w5P3ij37gKJRjnyqU2YBRx8fgIFcLODnh8bSmcuhMJQCeYgv32/ee2/CmvPxtv
aToud4Ozhffl9b2UgGvBSY8wWhem1xTZ/VGayVd7mOf9v7iSpMSzOdDRJ7soZXvIZRhXhn49hHKC
T5P4sGqCo6f6/oMr/T/OzmtJbhxb168y0fecQ4I+Ys++yGSaclLJmxuGpFbTewOST38+ambvo2Qy
kqf6Ul0toQACCwtr/WZlL1Ix5xGioVRNP335fUIHaxpr1o+BudvAj+jMozEI+aQJqvS7TG+S99kI
Y6+x++pTI62Xl45RoAMxJIAlWPQ3F+cekV6qOhkoqhmv+EgTfDoUEm3KRB2Mv/H9fkEV3F9fb9kG
RAem7+xOICsRxNpjZSf057IufkbxcKsfMS/bcqvYzGiGr6iISi82pONjVKWN8CwrfdLfoXlXfioV
S3wSCsjeXd86rpcVefHi6wpfXoBrPCg1KmbLj4lkzzCkgdHvB5CUD5grlZ4mXXPjsK0dA0zuqP7N
KALat5fHQI6YQ6sGMu1wDdEGnXT0WvWp3uPn9/LSFFPhPUn4oJ1KHfByKE3AVQZeDdjJxrbERqj1
gBueuQt0JFlefuTmCsoMHaDvbS6OnKgbjIF6vd9XfjOeJhd17JD28DHth++3R1oLVrTfuGZmUBUt
6ctJWa2euVOK40ZVl91dWzfWPnfA+N8eZe0rcaHqJqxalDHNRbAqdZ+CXwzrsnKwDkGZHzno2qzO
U1v0G5fn1VBMgqyalzBGX+BKFlnShNZSY3X4u6pmb5+wSBnPleyoMcA/Otye1dW5modi5SxKo2S6
xuLmUjDzhlGE5FGSZ8EZ4HOADFEbPuPL1nyBJI8kgavNrLIXD2uR5WIxRNuAW2YZJWlgsw9K/DC5
Aciq289YJ2qnNEvET2RXnQIhKLPaOGdX+4QHw++DLja/iRxOFoTDjGQ2BMnn2B7HSPbn21Nb+Xh0
7Vwmp4OZUZfYo652zalAKGHuoOl3OByNWCRh51ZXyA7cHuoqxZsnBFaS/izLCELicuP7oEkifUhm
X850wJkNZVdDR38HvIJyKnthfSUFS94NdrNx4q4uucXAi12DmgtYeiOc9m2rySNPQMSLIhN+pjbF
5T1i66GHkBe0e7yHH+kkZxtncWXXWnPdjTNPy4RS9OXE0dib2trF6UQN8aDaRSqqll4Qpvmjjy5A
DC+jQhNkRNfi7m+sOA14ZKfomJFsXg5MylVpmLQj++2jPyAi1/kscCE6wX+xvUq1p1NRu84BH7ly
oyC9NmU641QDuf6Afy2WXJaKq+V+MU8ZDP8eDfpIPiInrio/pj5XnvuwiRUquEX94/aUV04Njyge
wCy2qwOqu5yyVUxGNSKAs+/QwJgOcYes1z5u8yjdiAlrA5F06qSbLhjSZcuN+0JUTg112qIONdvq
jLX/EIZQVjY+4upAlN/mxomKC+NiRlE72UbqJ+osjIyDa4EJw9T0Wx3ZlThgE8H/d5TF4QwThNrR
/FD3KIG0J9vykXIP3VmFyH5xTQS8F8k6rRF4mfRlFvcFYlJV1ocCrI1ViC+hMmpvRGfT5AJG5N3e
DSvb0CarxbremrvNS/gcbjmOm6e+ukf2Dck9hCuRBpfjXWw3w13dDiD7UZnaePOsxDkSFvRu5vwI
bMgilVDt0FZw2tLQmcvqH5ReviGLOL2SRIYH2Pe5Z06zwZxroyx/e7prH9GaS1yUEyj4L7cKjndB
myXski6zxhOMdNwYYwh+Apmdl99ONmk7aDdKI9YVRtal2VMH8HvgKTXFqShz+4jZ5Bb4fW1CVAtB
7tkQF51lwzCUtdONNVZuKElVR3eyq7u2Kowz/sD6S+tZ7Mq5GjLDOW1exosg7Q5YxmHzJfa1mWeH
IuzGI85f4wk241YNdHVWNrFDJVU3eUlexig6NWUwKswqVLryrghlcEYAHSGftJo2rp7Vobj+qClS
FqRNcTlUEoHPz+xU7Bs8Me+gLRh3Je4p9xbbJN/YfWuHjS9FQBRkaLS1LsfCNSFuW4sV1PX6ZwJB
8Ry18OQS3HG9FrMIjKun4nR7x8/3yMVDi6/GU+dXuZxayhIgUAJvD/KBcD+6c6dJq5LYGyuZ5bDm
8WBEgDrfQHdcd0R+DQn4x9SIKTBkL6dp4l+fyxCoYIJSMvJ0VByIZs4xCk005yAUaschwlEeVlaP
c0oZaQgrDK628WXXogzT5uUOvIvezCKKJraGRVQYAXaLHfGs4MWiAsiw5IkqmvyRF60JYQlF+r6p
9a18+HpsTj1hFQ8/qviUkC6XoFQCa+hHH6euIq68zjCGBHW8nXCPMJIarzJCeWip4B1uf+zrm5Bh
TY1tbMzYq+X7FoY+5awOkhu26sbBHmP/KUHx7nx7lOsjMw8AtJsHNPeDupxc4kwjHnIDwFnfvNP1
AB8t9F2OQ1l9evFItkEAmJ/S5GfLFAJLdGpzgy3gJOri4CZTeJKOW520SVobk7o+m/TPZ5SuY4G8
uAKTBVZkKnkTgcN3UVTX8wLhcFVBhyp3/CPoV2Vno/69ERCuDyftZrAXPHN5g9L9uNwmnQ17uzMB
68HYjM5Gha1tjcPceWih2jYRoOGXrudcReIVz/OQFtNyPfM+SRqsp9DFCqcOcu9QExgKHh2PGWCa
jc14fQYuB5u30W+dwbLzQylnuJBdt2hQOw3iEEGne+pkSlx6IerbhY73F4beG2WetZHpnbFLLdxq
uUIuRy5UszUDOp77ADGmj05kQy8t0TlFiRS/2AHN0qrG4tjMRL8R+64/qMUNCWdqJpBw7Odd9tuc
4dkGedDgqUaEx7kDBOzdoKUwxlFWfptk1bSxga6PIuPRdIapwoCUWy7HS5FrROnHHbHOEe4T1eUB
97NQ9wKj26osXC+qrRJahCYsHsJwLS6HQjRmmJDEkJ5Z1j1mAn3TfohcRNq1rk066MGD+RWnlfoh
wH59YytdLytj8y0BLxuUUZYsqnTU0E4dCtQ7yrh86+uxf56wa72XumhOoap1G1nx9bLOOSJdX/Id
B5ji4lmIRc6gWJEtvVqvCNluPOxQzcDZVK0/3z6Rv/qbl/ezPcNXXTH30eYG1+WypmENF90NRg+v
WNQYZQZ4aFcbeKOC5tO7jz3SWM8WgjqvwdyOiPvHdEJ2syI0pgQ46u5kmlkbjdLra8QWhF2VBHm+
wJZAPzSiOhWQMMvtq7gMotoT7nWZj3/dnvt8AS+mDlXLnLMTHv1X0Q9OODZbmtED6vdRsM5A1Xog
fKropGE0CvxMB80AGcrxkOZs9V02Io93+1dY+dCUWebRqcyh+TBv+t/Oq+H66MQmDpvaVJNHEoP2
rNameg8mXt94pa4ORfMMlg2RHlzv5VBNrJN7NJr0xKS0mJ/loWbsw6ZB4tnWZbcRGFaSMCrDPK50
wG7z224xs7DnS6gokyB4JJV83wkNbjTSOfc6rNR932pw1PUxOkEJdl41Ux08B5O2Relc+8LQY+kG
OYC0If0s54xUoNCKAUMhTXschY4xTIQXdp5NyBJi/4qgpVC8NIXLT+7Svb/9dVeH51wRPGBUwyu9
HN5IGz9MCBxenuX0MshLaeH1cKCd2ByQRQT9nkJLo6LNySsUewtNvfbJeZOBhKc4z0tw8Q1aCxxH
N9SDF/RZ+b3EovCUUhQ5VrH4GxGSi4e9DO2TCsiStxJondOKSQ6ooSQoZmCZfJaDpR9RtIkQtxHt
6fbSrk0NlBFtWrqWGinT5dLGuGAmhs32qnp3eG8xgAeJsX2Iy2gLtrEWjeZCyJwkAexa7uS2U3GK
jAA2Jnopirswd1BVwvkMp4Hbc5pD7SIeUY/g3obWCol2yWq107Evg4Ibrqh05wE3VPPgF6gNFV07
vWtNBK5R1XIPtwddWUgu7rn2MsMoxC8owm8RCDlTWwYJunlWUEpcwzAH8kp9dgWqGzS+NsLCL/jb
co401MEWwRGZ2QWX320EW5zl6ohHMwBjqSFwnrs4/E25ah+nqtemg/SjtkBjORu/I8BgIiaPqiq6
vtWsOiOpicpdq8aofibYWLwCgt2OJxqgWnCUHdrxE7oaXzvVxlEWhTa+ET4x1vRG0QLF35l10DsH
pNmH9j4WUfHExIMUFWbxYlooe0Un3yE9cuExiEWJKQ+LOrXNDu09xC/fqYW8DySqiphm2fepgXfC
i78ijDfemCBiTSok81f+7SsmHYcyhFrr1ZmYfpio8d0XaBB8QeR7C8m8smEgyTuQQgEOQA5ZDEVJ
Ka2UvDM80eXlGyRhsodWNfMzHc3g2+1ZrRyIuWtFGcYiObnKZrsmBJnaMRRd7+GBnNrxtHYK7+OU
bhzUSvEocDvaSN5Xcj2SS5qarCT9MmPx5fRJ1LaP8piX5Vb+JrIjClo5SVgtAb+37RagcG2Ovw+3
OBB5Oj+kqc97EwZX7rl1AnTV1Al3xJ3bcFX1tEOxnjFK9XB7cde+I0qYyALw5qQcusgxIxRSURWk
oCvHQf2SUKL5XKlB9SFNsun59lDzPbM49PRUeCEYYKiA8Czm2GgonAT047xqnNRDE1W4d3f6X7jq
4No1KGJf4PjyV9XQjbg98MriMrANTpOPqcG7uTwWJowQp/cbzUtaG80dKZT3QKT+gi3SvxpaQJTW
qOUb67qyf1zKPVR3abIT4xaTlU6JQrLNmL1fO1wUaJA8ZSD+4l0jsGXKwSIfb89y5UvCBFdndAjt
QYqxl7NsUP9yuwmdUonu0RdNbZtXoxHj2UvzbuN9ubagM0+br0kQp7h1OZSSQv7KUHVAXbRVEQFt
a+m0b+w2t+l5tELsRe04z7KEEPTyOUJc1HX0lsikzHnVfwtwUUXBRyeJxGgPlecDhl3jpypVUGhP
3azeeH+sLSiblcLlnC0TCS4Hq23RJpGjamj4TcNHWs5NA6fPMY6WE40bOeLaiprzdQgcH2TIEl6T
4NdHl8PUPNv16wbjN61/6NypBmSDcsiB1pY4QPnvNlogK6mpC66HLINiMOMuUkOi6hRXtYGBgVkq
/d1op8HZ9hGT31djABqsTYXxNvN1633Wm91feUM96vYXXQsKVCZnsDwNSH6Ry0XGAtQ2ZVPpVJ5r
NNKtSXO7k1Gk5rc0qdU7E3/xQwjAz2vGoNkib61NnwINoKaZKXoFU9DF0A2FJXUkwcI8PYy2HlSo
WYrqXeKCmDUKP3nAEcDyeKj2B3ju6d3t2a9tMR62yCvMkkFco5ezT+iwI7em6gA39dzrkX/fRaVr
nBW0N/5GeID5O4PkyQyuUvNQS+LQRpDcy2SIYGPodKeMbsZdVuJncntWa5uZIcA28XQnp1wcHBHg
LZHZse4hlFh0VLaT2oP3YHzPJfDjHTYu8qHHnnlr3OuYi5gCx4fCIhhk1GcuVzMwixJZsHoiLMn+
uYMVecCnE58a/uvwraRg4710og4aVuhHzEpIs4jP5YDIiKNC2jeTl2oi/lxVAkM+X9F2iYp9U4Y/
4g6x5WEj+P66Oi7vUYeaIp2bWc6BysjiyAxCxfM56Ud0PgO18IZ+0B6kYfrfJJTxd6k/ho9t0KB7
PZa5dW5htzwlOByfxt5V/7y9ANf7lySQrIH+PYS2qxZqj5YpMhAKhT8k/9+rcIS/52ADn8q8yj/d
Hur6rJIEzsAlblQeRcvsQehBr8d1PHkdmtqHIRPuIcSf9lBmjfk+ciIfa18ENNIoVh7KEuv228Ov
7K255KfOGEhSpSXEPIAGbVENQ/eiraMcXYYENbwYBEOy1wfTP7luWmx0Oq+PEZrJXOWkdsAFydAu
d5cTG1aPQeHoaTMFo0+t+qB3invAjGX6jt1RdUqE/eb2NK/DMWNSmne4ZEk0l5VjTMm0oatQI6yb
KPqQZuK58Z3iLeFQOWsyRFmUt7/nkAtvrO/aTiICAgsGcc0TdDHZIMOk0w0TFatVFI7aQQQPSgqO
P2mTYONev8bVOw6JCygKrH3YScu6atN2dSpNbCx0AKCAZ2WMjnyCcaBT+8WrJhvkLsVS1ouFHO5s
LRjfRqRd7xFVxfu0TZMnUdnB+fbCr+0vGpUU68FdkQAsDjVuYjGWBYSSaIJYsAtRmcSEIiedhi9l
5ne5ayLqdnvMtY9NEkWdBlocOOlFXSwusOyKBzlRzy7loztp4iPGrOmd0+jZnzk+jQ8gd2xPSwy5
EcNWZ8ttBIqTlzHF7cutrRWIX/kVwshU+ttXQ6MVe/qxyidEr9r7Ogz8jeCxtrsIHxwnE8gtna7L
8TLwuNKOcKKEJdodh4Erj6QPJ4jBKTbuhPlDLaIzYYrVpMFOqFrWcosMz93ZDBMN3KF9Q2vC4DO2
8sOLPx2Vmvk1RUWKTHhxXCoU/kaniUfkY7Oh2mNNaN9VOWo4hlnGZ1XDTsZrohYjUcgcysa+WQlM
ZGqQfMmOeVQt4b4Ucqu+oU7lTcFU4pFVVXdmKcWrDgOyBwrl3W7QhuJwe8YrW4Z0gmt9hiRx6y0+
oUmH34yifNZJbbBvNQw8NbCAPqq9+cFJInG6PdxakKCHTc1h1jQwuXAvt4yk5lhOPTxCd1TtPegA
+0ClEbyCNK03pd4VXzWknb0RU5TDoGKAeKhr1YJf6ifvo65EmB7D7nAjSv4qqyx3F2GCpgidUyyY
5iP92wOILI6WZdOOnlXY4jlxlenO7rvqHdi2/HuA7dtBHdFLTWQdfi55Kv6IsfNREYM0iiO+ltFh
whvgsSUCndUklhsbY6XcT8WEZtX89DUo+S+iGJTvcrL1fvCkWTSo5ZRSpl6Ecs6XRtUV+2gruKHe
W6hf/JAZrpF7GpXqI7rLKAxsfL+1/UJNWKVbRwMWqNDlSmUxFeGwoOhv9nhR7jKyzmOHevPD3FTn
6Rjl+v2In9rZwgkZMXM3/1ED/S8O+oC2fmUr+RPwV+MU2WX2mNQSl70uUcyNXb2S1RAASZ/Qmpw7
BPPPf/ueUV/ZcT6qgxf7xVCe9MmIHsRYZA/ckO5XZNvRzy1Qcmcpc2RS1Xb0P95eqJXDPNMDBAo2
4JwIxpe/gYkIH5aQ9IqDiNBxH2CKfY9nQf/BSh06Nn2LqPYBOz7n5VcAnCqGnImJYFQWV0DcVqKn
OY8ZH+AqTEVrzKB/hrWuQJIWIB2wc7czcffiydIU1wwIVcDU9OV71/Q1jK8iqXq4CdXl10AZw3NM
q7M6OfgARLsgCjP1XstEuzHbebctzi0Dk2zwVICZtDwYoAwNLI9yykF1UlbeGOMZiqs0vpA7LOn1
YitOzNFwOR57n4cQPXnynMXVDrdTwIdOkKUvLITsNF8m2Ad25YPbj991kEbHWO2eBU6fd4aPKjcN
3+7d7bW+njJFCdhz3O5gS1C4u9xYhh5PMqQy6wEnE58oDplQ5UzkmJocne7bY60EHtArKnnrDLag
mbs47aHLA0edOCeTkE3xkBGbck9PQ/uL0dVN/ZRN4+hgO1iPBsbvMBj3jY++NlY0WbGFhrjOAMB8
2L/YWiS0SF1eTlxGOmolMC3wXu9GADSVFp4mnHA2Du51gLscZv75b6GjlSXEEUfvPEBtTkDf2uke
mhLDAqw6mm9u3BvH24u8NiBnlXoROAEaYIs91cZWZw5Z0mMxBx/SKTACwqYUhhTGhjsfUM1GSry2
jmDi589JGQGBussJYqCpAUBoek/v6+CpmJr8vTCHzYt+DjSXR4UKBVoYOnJMJIe/9ON+W0eqMh0d
rg7nMKPO/opLmHQuzjLPfeYiLISv8/gwhR2S+Hbsv6kSRX8qyiDz2k46z7cX+DofpxalA8EgRpDP
LPkH6Ed3YoLB4uGmBMw0KWPlU5wJ+z7QNJAJtMcx4MiF/5N8Pdmqha2kFoxOwQbJH/pHV+X5SkHm
PxBt74URnhJ7jDj8B1s2yUOutlaF1hAisb+cDD+HmBXvfaPsPrZV9yMLW/19E03pISnDAU2/3n6k
Z9O+vb041zfl/OvNGP6Z2wnV+3I3FOFg4OST9bSWu5IKM7o+bxWrCE+jUuo6xs2ODTeml6gGxbr6
DkF1cyMlXNuPXNEIkxJkeLwsfgPfyQ2/dvkNpInx6S70M1CzsbNFxV07ZhAsgd1D9oTMvggfCY52
vcDczVMUtf9QFWqCwSPep+PJnabq2NPG3bgVVydGJQvyC/yI6y561Bio+Oe9hw938UPvsuKV444v
r92TodOb5N6dtfmWxxkudV4UIfEqT1v10Cq+7UVZjydXobwcT0MVAZg4JQzk3XhPX+4Vn1vcdUIb
tYreiU+FlK5nhWp48AO3fPHFPhcs+E5zCZlBF5uiA1KXRrrbeeA6EVftuvYgQoGzeBhulUjWNoZN
3J0lDQUVoUU8LNu2dkqT+Gtwul5HVmqcW4EruVAxxIZCuEENWrm/NQjHKMhBj6XHs9iHdBvyssMF
yPMh8KCundWneqgCD51mf+NmWQl8QiX9BfLA04H07PJ7gUfSY+pbvdfaDiKv/uTug1yJwXL0zVkE
Lum7YgwHysf+xpn+hQJfRH9BA5uKIq1s5rrYKqEAbkRXpvMMJWw+5MloRx5WmPZOi8DJnavS1b4g
7Iz5tIpz2bgPJeXNZiRDnb3NsYJiM3d4hHG/nIMSIqB3O+ytfAVal5xKrihwJ8v+SDE6ZUNvS3oA
Da3TVKVfSkx5UOi2NuLrShC4GGjxuRufd7UMATdOtPEHDwUP3EL01mw2qm/X7w0eh5ALudWBhtEm
uPzWHd7XslPYxWKa1JPb9zVvUk051IZS7xw1V18pNXY5t1dx7XKDzGhRqeelA91tscMEZfpOb7AH
7WIrLPaTMmK/q0/4ozsyF9+VMlPRkFBb3YvHMpK4rOjGm1wvy7dICaEBTeDoEpIcP3iIeRCeODHD
p9u/49rCAGWfW2EEFGMpfpNgAmgZJaolsaZY71OsUA961CmHIHGpd8SD7WFhbe1uD7q2vWZYHk1O
iipXGpjo2ON6avu957CZz3FYfO39iALBEDQbT5K1M05tExTMXMOnPnD53f24meC4KKQXbpB/sYr+
c4IQ5Skq2/xRaXv/jgoL7ITK2OIJrPRLSFc5gAAQZ9eRJZ+1dKTfatZ8oYLkb7ysqYtX0WgH7m4s
RvMUFW26z3iKQQfRSnmuU/A6sslBm9LF3uIUrQTx+VFExwTM6QyKvFwG/CTToE81vnLWpHd93FCQ
CNVPrV2P99ZQNafb33e+fpbhDSEMjFbmlA4M0uVwGCMZfQyTyBNa2L/FVgfKcJuV5sGUFf7nOIVG
DwGCbK/wKy5eK04r/0b8cqiC0l6mb0NucvkLCI4dnkZu6ym29irF5PLjGMiSvpwcNqa6tpVR2uX2
mO8S+DaXIyVZGdI7ZiRS0eGQZlgLK1ZdHBPT7l6eqANzpOMPdo2MdFlGiPNpTDI8S73IFjI6NI6J
3RslSayymuYMpK39iaYyVqHApMWn21903iCLL0qzGJHAWQBBu7ZCEUGRZAFjd7liHTulnY2+cOl9
cviv1d7I4/Z+sKotI52VjQR4hq4j0WJ+0S++Y2hWKae6hm0aRFZ+TlRV7mJD4U0f+crwdrB1WZ16
oejvRrDkiBg0xtYLZSWCgMagFGvNXTFEsi8/sIVnnjMpfuOxTZOjO6bv7LLHRXoS3VEt3fIOffvQ
a7itX76zQCfMEFPCOoI8i9KzH9m1K9uUPRxHzlcsYI1TOoqSLlHebdzCYnWSUFK58xHthWx0Oclc
nRx/UrG2kYNtfq/xCb6nNSROdZ/2d1PbhV4YWOHe1qL8Y4fzoOU5MWCJSTWwGUocvw9gCNXyrh8G
3YMEkmJhNuY2sKNYbz5XpR5iS5Rbr6U/RTpy5lP/NYM5LVnPSd53aVTtiRKms6NIhLldbFXncIy2
7CtWZwmNc67DwRhd4iIdJ8Q5tpGtV5tK8V4Z5H2KBNoIp1PUO5rbo4I95DA9Uf6sNh47KwEY9BBP
HYIS0OHlRhaYCIa13bReiyPUFwLnu0ovggbwKfAAMxQfbh/XlbSKitTMrZjD/ZW+R1fFTkji2HpW
U/JqhiXY4fyXb4mVrAQ/EkReBr8MhXjJXW4bu2r8Pg+V1lOrDg+LPMkizNrKZrwvHUw0b89pLRYA
aZ0vMeQ0aRNfDoa5amym/cRLTjHGD7Vj1PmbqfWhb3ey0Z9oneBZ1lNKwEKS1/RBJtjh3f4VVggr
AB9QLaB/iIY3RcbL30FBTaHvdQ1Wo2ZWA7L5yLSi0FA2/qM15XqwrwO9/ij0wsie7HAUs/N2H+wr
0Wo/+ta0H4s429JyWQnNJLV0ZsjUwRouA1TYuCnyXJgFA3WUj1mMSzRDtccsyMdDVDci3CFds6US
tjIqJN4ZQ+SSVtEaulyJUCQuFo9K5fVlY32Cn1zpO/zNxvdaVCNqTP/CfUjCrvhx+wusDWugiAsN
i3Y1W/xy2Nqpe3CjSE/3saMirgpb5zEp6KXsXcxGDsg3g5Xgpto4vqvDor0H7JhqHVfS5bC6Gmmh
5U/Yguem+8msxMDLwfBjYPl1UB7VNu+O1hAMG8Neu0gQLIiDs+An7Ufu/stx1VyrE0cooOITztaT
rjVYv/e6m34fqWm/jd1aT3Yp3OpzNxq5tdOSpEo9X8aVAGke4ufqoEPraQhrI4EIbaDGYxP3r91U
KMHP259mJRj8eizOLWg+zTIT0swklKUrUZWqc4HRr5G60fhs6ahgZFgkdvVWQFgbkDBOx29GcFBI
ulwccGQlRW5krFS7BGtPFp0+1GkZ3Wct4gMbD4mVHcDhojAxbwG2/GIHdIPTOCHXvef7sfmpqa0P
RTllTw7Gvd5Q9eUxqoKtDGDl0kBTjkzvVzWaDX85wZGeoZGUNo2bQsGBJU4bG9tuNQ12CMDJT5Ur
t8rSKzEWIjDk7fmdML/9L0fEhNiY2jarKVyFMoG/EE/tOXQG+qlJ5CJONmlK+GQHhszu5VQZSrzL
ayG+vXgnwa1GjZqW85xTL9Y6ohvgZ3VVeVoGwHe0a32nBDZxLMQz7nh7rLU1RgCHfjRaI6R4i03k
plQAOM6VF8Z1/zbQ0vFDovaoLdDMOeVTGW5U7lb2EdRFrBjQOCINWEq+2ga1DZAgPAhTrXqDth6u
nIMahwNakm38uip9MjyU/LbILysZwawOA9GPRBrRr8XtqadabIqGVlUEBuYQIsTgaQ7v4turuXIk
kXGkXE0vQUc7dBGeI9WNbDcpGy9NugJitzHex40d70M3qV6+kHSiaBqQU81jLiY0FWOb9XrXem5u
VtUuSEBWJUXgvGUFfsLpsY8wDILD7fmt7BYX90RoUvT7kBhbzi8u+iKDNejpVpQ/9SOOspOBHXM2
juIo/U182spuQZhjFqj69/2+GM9JEgT0K8azujb8K1czkLotaIFS1cdXVawmb/JCbNFy1yZJn4GH
3pxPUDO/DAJdmtc1StOtVw2G3R64YuPpzGq7D2okg49tJiAe317XX+Hz4n1J2wEaGBRgeEs0LxcT
1RIzSvuxp2IgUuQGpI3IwlFSAc/iXdRrRexVjap/0CJ7Su60nnruMRir9hT0KimnUam+jlBWYYrv
GQIt6XNScQzu3LDRtEMg6zh7M3EoZ60G3X8Omjz4M2zLFts1NNkf+35yPqWFk2X7sdEH+0gDOQ02
cserT8lx4BoH1APkm5rz/PPfGn6834bOjGpmCA7lTcw95Q16re7S0pjOsdn/YAk+3F7V6yFhxVOb
mEXVIIQstUjCCRwiqq2mV8WN0z9MjWzindnzXt1RKKino5KQ69x3QGu20sOrcENHk4YL71euEbpn
ixDeoMgjxzEwvSZG3uEQzK7ykc+33ziQ879zuW9mpQHqEsTwWXpgEb4bBxiBqLB7QVREjrsR8e49
5s7FHerrm34zVweDScE7AR04U2rdpbAJGhm53SGJDkQz198kaEk81rX+3Cmhfyiyjsvw9vdbGW/O
N2czU1w1qNBebhlh44ouonkRVV9gwj2F5vhqaiY5AaJnD79z9Rz1gduDrmwa+mQkm2QAgOyWz4m6
KlV3DGrTm4ap/BSMUKdLug/0YCt0ghD0fyg1Huq3B135jOQ49IEpP1CcX6ZyBS6+XRPFlteElfKh
DwCNneNcwXUmKDcNH1eCDW0xog2vF1I62s6X69qILlUxX9c9YMFpuWva0HiscAOXO9KO+I3qVAHQ
AhEI3ueVQFTaDGPltVaYzlsMW7K/RJWhPcA2zXQPqspk7Cy16YeTiIRA10sPlLPRRy06EX443Hcx
rKWdaFVQi7bfFvFOVZC92/Pp4q9WkYxfbq/ldeWZFoeKkxXPfl7J1I8up2eEJhkbFmReGUTqI2B9
IXfuYGYzsreO650cnM488LYrHzqzRpnSHs063ilDZLe4gOh2dr79G12Xl+bfaOaiU87irbrsoquN
EdbUJwvPBWkmD3zUpDlGejApB4QPBS2OaeJRkjdAEXaYsac/DR48KDIGuNPtp1i1mn2NMXq9U0Gh
5zsLCeyCDaoa6jGCCJDsoyaOn/NKTaNdrVvjF+rdJv7eaMMnhwJLkfejsNGeShMDLwpMkNu7aJJu
hKi/qcGxgSn/4/acr3c0yhkIlkMgRROFIvTlRxjTCuLTmJce9DtrPxYiPddZC8Bhklu9reswARGI
Bg5vIXr3V6TRqoaZEeRl4Qmn7r6EvWHBo7I0bHAQ0tupvAY3TuvqDqOvxSNhzhBQRLmcHJZvuKkD
RvVEG8sDF3uyN9I6OThFC6myzyHeVI4KxmwyDxOIjXM++v4+tIvo3wis/3Ph7N78cnr/UZRjHaGu
vvjjf78uf+bv2vrnz/bpW/lf81/93//1vy//yN/8z7/sfWu/XfzhkLdRO77pftbj25/YNbf/4y4/
/5//vz/8x89f/8r7sfz5rz9+FF3ezv9aEBX5H//50d2f//oDXsVvW2n+9//zw1ffMv7ehzxqf/75
j4eIHKTIrv7iz29N+68/tH/O4lNc7njpcB3R4fjjH/Ln/BPF+ScVOZSVEDXkVUyvk1QqL+o2/Ncf
lvpPZJK5S+ZNSU9sft41EPj5keHyIz7mHHu5acCt/s8CPP/7uv33qgc/i//8+R95lz0XEOUbZvTr
rf//rmVsdGe6Cv2CX2Ys84CXG2RKWpKPTgv31EPHKuTA1rZzxCym6XfISbnKaUxS9wGvhqbwEoSY
PmpZFR0dpTTuUtW3o1eTDJy//KTQ/hqavLhXIiu4G9PRPg6ZHb135m4O13xav5umCW/qvCqfVcWx
Hiya5J9zWdWnwi2h7pttydYrzFH9Gg1t9BVNdjvao0BqfdLbNPc9x6BasRNYZIHFgv037qrI6fUT
yiHGO97Anfsaez4S0HZCKHQ32cPge4Hel/2dG2SWdsySGOHUDtiqV7SCxnKXYgxxtPzM/QkjyJLn
NjCD4uD7iqEfwHXDNKkTNYYphUooioJaI/ND3ldldQyqbDDvFNvonbeC7DXa+ZE2DIATMtveR32T
JfeqraQsXxdUnsz04ZRn0nE/+HTqG89Kq+DcutbIEO6QfQmLKX0tK0LzbpQ89865A8tyEs7oe6VD
crGjidM/ZSZlor2cgjTZp1k62KdMN/yDL+pZbUIG9mNcVHax5xltp/vB7y1xNHvUNvZuaox/tjTv
wZWW2H6h1FvY9XMo0UK+G2OVzp6BRlO9ixQ6J4V0rddClEN0GPICRsuo+KgLhemgHUXlKv0OS9j8
S6+bEcq7bikR65om7dg0o/5dazPLeZO6cqyPLfDVeA81tj0YE9XaI5ocKBa2SVi+ticj795PxQAJ
kOCbVwcXw8/mjnxf/a5qeJqr8C6jnTnGOFZwI9rygWvR+RIagY0arB9IZKohfp7RBtA/TFpNdwJj
pfZND/ixhglmRe9dWqfaDpJD/kMipPcnOvnV52KU6pNhp9G5wmvqAbxBpuy6oIfNIt3eyXahak13
Lg+c94nbZG/doa86KPCR7enY6T3wXo2p7aS2eDe7OB39SmDT0o6FSSMFoYyPhVZXz/hgp9bOd2Vz
duKeMNsEMSEeeKv/zcyi4UdRKY2zd51mOnUFZEgKfzX4sXhwrerQxXYFWDPT/L2Dzde3bIqTsxUr
+sdK61zTS8mof9a+iX05ThpWvwvBrav7WtrfgtAU017X/OINYuHlqeZZXh0gfdivKzcXeJ0m6hTv
+sjVil2nBnZw4Ckmg32n+/E3R9GgvpBI5cdaDvLJ4uXwnFhdLv8vZ9exIzuOZb9IgLzZSmEzIr15
ZiPkcxRJkaIRSUlfPyd6FjNV0+gCZlNAFbpTmRESde+xh1AMCF02IJfua1s0YLhW6+Z2g0K8OJdT
Md5HC1/jg8Rj+wOueU5aLnyiuv91zv6bY+uvOwtwr9uMjYHpxoCBtf/7WCgSPsf5XCaoVICHND6V
5p/sVv/2CjevFQJ5EInzd1mNtVwbx3EFjTq3rTrFhP3DqPVPV/jbwQu9SMiEwhUEtJP4G6rZ/n+u
AFU5ZhoM0CDS/nq0I2jD4nYpktZVu6jIT+DZ/+EK/+Lh/uftAX8RQD8kB0GzgZfUzf7410vAFzBo
xJzhPpinfLkfnIpfNyvqL5TkUXKJsaNI/GVk7lJey3uZ036P8qvxPikIov/rzLLyoBcnviwarEln
SbxuX03ib4U1izTJsS9ovFzR6M3ELhk5lJ3/+Vb660iGvwB3D5jbClk6kPc2f08I0hNfNLx8SQt7
2zWef9UNv8unGL76/B+u9Nc587+vhDUG6tAceq3/o5eL8sQOMZIR2nRVb31t2MVX27McxLb7z3/S
v78QKhBubQtwE/ztztpGWQrUG6Vt7sqdoGh0CNMHbcLX/3yZ//vJIfQWqY+Qj/wrBT7763e/QORd
r9gJWtB5kGDHUzfK+tsCS3EU+D9c66+r7u2zg4Ma6snbP27hNX+7FkoG5zyGI6d19XKWDNFUU3vL
8U/tZfinnIy/zcz/uhj+qFvwONyLAC5vf/j/wn94KW1eL0PeLiLrxvID9nu8I7Cmtbr+rPyLIXe1
uGZwhv7nD/QGL+FH/+V5utWpNaC8ETeNO+Tvd2PIFUgqCRRdp4V7qxLPSiAlzVh1U+3IowzNknXT
Ola/0jEa78gst5cs+Gk/20XnOyTg0emEFz19hFu0TDteKjl0w9QjTLIsXPRVBTEefaFi0aV4JV5Y
4tT72qS4WwrH5rd+pcm3frPN974uGW1tLbRq0wL5XLukHJ1uI+GI3NOsDOsuJwqab4bd/crUNp+n
GtNdq8vgf4wqoP6pAj7wXqp6qTqjk3KPyvL6pXAi2BcyV7nsCIpiljsR93F2QbJU/GNWij6NvLdb
G2WwgHahjLa7WFU2bzPa0JfMkd94P5AVYLx0TUuWRtUtWWe4N4FZJK/BAjK/uFql5V2zEP2qt2Cm
86IKc1hVZH/RlcxPBbKXziIdkEhUkXGfzyLRWIPWYYLb1afm6F2Z3Wd5uAWvYTiJsRTVUwzAf4ry
3QwlIdJppkT9YDTCKrshWQWDJ2Q/y6PaNAJZkRIh7oVZ/Wdfu+kCA2C2G7SOn5vM1k+JSafdBI36
td565Mt5jFMdvKeMIUUwnh7TZvLi4D3Eo69kGSvaMq0R7FpyOy33NrKISCCl9RHpkt4uJeLeEW95
BIXsilbwqkK2JyS/r8jzJkNnac2/NVtzx3DenYpp6dEWZbJnDIbNa5A4w48J6RH6O1Rd7KIWt11W
fURl0l8jBD+iN6135KoolwF6gSU9WF0tuwVqkjs3kVW0sSELwF3F5FvAU7OPNC8RogeDYn51DfcI
EkyHqkDuQBiPW11GHyrdEM/ZOGf3vmQO2bJraYYnDA9Vpy3T9aFkpWLtTCdz72a/7W0UMd7OmaHn
VPXD9OLmNVaHpV8bdxH4KB+bodbn0Dd4eUgQzesbx72THYGl6pK0QyI4ZhXUTtfN25zTce9Ssl2Q
+lruFqvCeioQ1tYAt0+nGpj1BNABE2I42Dmu4HkLfmDHQvswpu1EoTx4DJxY9tPDDZDs+6Wfo9Na
oGjzFRwB+7QTAOsLzILVeZSb5LulmVCzvYqmeCu5NPQ6o2lnakG9CuC+pWHf9TYzMAi5g7Vih/Ko
9JhjJ1u6mc1jBqLLVNFZwkTqdhPmyy+SNyY/0NSGHVpi5oPM1+Z1yFFzW6y5t4C60vkzHfPhkEcu
nKI1mKcF5CzG51z9SZMbcheL9IBEhPrEwCR81joO+4JQi4drGWu/S0ANo2ORagfJq+v9ya519G57
lqathCesahlBedDkmvql7z2NuijI7YvJsjC2lRq3z2Zg6dQVfSwPVfDFnU3VRvDoJuXB237+WmZD
/bmuOpFthbSnY1TO85N3ACuKqKBbmxot7mhpkuizskOWHJF+HO0diRoOk2+/jDuVonB6j+Iy9AsN
OOT8kW+jveaI/kFN5PApjJDXRLLtJ6NlXx+DEM20xyqs1y4XQxyOS5QyiDlVT99XCl1Ii8hrcyxE
H5kdKHS4YuMxFn/CrOsdV1loXjz2+PIYN2osLsgeXdLHoaIWhc2ZoshILcy8XYucxmmL3iMIr0Sx
NPoEc+sWg2CXyzM2zKDvTcJG9yFcEXq5AySWa7qbqcp3saQGbjgc0YeeDTGEmEu6vOH3ljtoLsJn
zBavvs3YljqHYsG8Q2jnUB5mz9boAnW6zE+3TPq4NfC5HtEeEo5pHxJ9rCo2/SqRJLC2FUvNndAm
Cp1bUbFRQQWQtz620csQV4Ic4kbS960Xxbt0S7FfmVR3jUqQDjM5Qna6ntePWmXldk0sje+jdVvc
GzAunsIMJOXTHLHh6EBd/QguqWnrGrieDyXfVLaPoR7P3sd6ph2S39VlNMRUp2mGpuOs+yQYFJiv
W1O2dFtVeMXux7a7MaZ0OlTzluZP1Zxb8XXuddCHnKaOPkPUJfaxcDFwXDEl30c3JHKHinudPwXM
j1edjP4ZG9iWnxId0v6UBsjxiU/JA2yf5QvsDGnebaVa065Oeo9GFzpHeNnpdSnJZ2nwvT5UuUOb
IICDpT4wtyXktAS9ph8znxQWrTIsl8p4ckJPckPuV59AaoQ13JxXiENehfKNwpMz0/FCCldAVx1P
zRM6ExFXsqSrUHfrIkbSIWAS2YrJTJzoHBKftG37qAHEStZyPDA7xgbPd73xS1RsI28Z8IsX3+Bp
OXkORvSEd4M5FQBexINpJnukMSm+CJIOomUAHcKhT/x82kIivpAobF83HADVgeRUHmxUrwzuIubP
eixRdwPJtB1ang7JkcTGPc0bhYcLetol6XK/kuTAUQmv22ltspd83iQ+2SUcFRRtn2SmoM56RGO+
ZtzGWAn6bF+ytN9vroYAasVUcawEklLahC0YR1pTlFj5B1g72mpLpuOwbXRpR/jGzyb2CGjlTRlm
2yKrWr7kaC1Xe+58/CoG0D5HaKzc0NrYNNVDka3kJcKSIg9Bbfn7NgwvOKYTthti7/RJ94tjXzkn
TXgQ0YgeWYh2HrSK8vpKiUXdAeIZjbtMKbaoQ1oygASzzPBbbzHk2EyDJAEsgwIcVHQsdz7mI1Bj
jFYLkmDEd0i5Rzx3vg7AdGzg415mVI2Q/qASL9MAJX9EkU72UCLHJYAqFZ9yVCzyqwAQXJxonUUc
Eh2WBEyepIkUgj31CsgmKSwIkP4Tm7wGRJ4H9hHmhOI1ZsamfihRhyQuZkFlSnfr4lC3+ExyZn2M
H2H8Vnzdmhg4RE3m6ejBR3KctYYnJ7CttDgTNETLO8vRwFDrMA/7TFhOXpDKCw8kED6uu3qD8ERE
khxgg9swQan1rbbS+ldE3HYJpeyuJhopdsBmdoFkJx0Xw8OQb/zYh2Y4kHnU6OAqyQGlD0S0SPpA
Q822LCcQBdl+rAuENE2krK88GWP7R0e+alOPxICgaXGEJyGSeNeipRw8jRX+2Yug+b730LqdXFHN
D7fon29CL4rjIHFqH21+vQirlryt5yYfOyCsC3jr0ubj1wD8BGHrkwCNhHTB5JrO1mDqRQTxNV7n
Kb1veA5qZnGQczG8XDEYIAz7jEZTztqJh/Ky+FA+sX4TT8taTfVnQFAK+Whi0AopegkZXmll9a0n
vTkMmdr2I0xnGCai+FuExssahZeNfV6yVMKeKGx5SUVSA3So2bRHDYSIOs2GOj3UfZR1A2Lxl7Py
t6iSaUJ1xl0O2fOPW4JBB2u6jL5hjXK3vjG1Rq+VHOoKmBMFq4TPfv2cWc/XX2kle/0jMVNCD64S
kduBkTHiFdowHCGzVghXNc2AWQsw7m7idSJ2wPqaPSSTq2tBog3dktrsza0Ce4JAQsDdCpDwHCUU
IXB13kf1FW8M340wdLC2yrX+I3PkONRANtuF8fPK+QUBrq1cZZbvZVMO8IJvJjrzVfNDNQ3kxBrW
Py40Ht+UPcwY5REq2LS08XgA4iWbxeNWwAGMRwry5BZz5IbQno30WDf4Vj2HlEHsGDZbP9SayT22
jOLBxSt2qFy4PyMtxnc8cvWxUry+2Ealh6i20Z+E4Mm6tVqt5xA3fbhD/puOL9uCyNs9zn/yE04c
d9TbpqJ3l/EMPs+p7pFQyRKZ3GbU+JBsFCEvK8Q8/kNBOoItrGF1i9CXcW+KCPw+1iyzA03Lr3YE
KbdHHK5MOvTipMfeLP0G4mtbyXmMBlQHJ1bERxGQrNKF0Qd2jspQpWfDNJHXeiynrC1w036lppJj
58ZFobpjc5O8creFyzSk2XrGsTicsVQhwGK0kEruExbWn3gbMEi5YUGn7TLE6R3Rt72LWoGrynk4
lKOvToyg3HOKVWlPiqHL8aWG5gTgWJmypxVx6D90Zf09TNTFsa94s+unxi0tGP9+urqIhq+xnz3K
FOQSEKAuXTnj2CTzUkGgPzJ9nYCiV3dzr5h4m2UNeHLG91ntdab4V6RbGN5hFvEvix+z52jp7fca
FoplPyzldiFDPF98MeafCP4ipiMo7Jb3WwgxIoHpbIaXskcsNV6TOZ1apGStl8iTNexhJ1oeOMIH
Tjb3Jtx2E760RJcFgva8+akkdY9RZKQ9A3XkP3KS67n1/W4uZKMO25r0/L7Qw/YNwaKmAs1mMoZF
NcJKuFr2hc1J6rsMr92x88Dox1b7DcTmjPfP3PaoQ9jBhAIV31RqvAJspa4ZCwG97Q3m+NkWmBka
N+7WkeNfm8aDRfUoEFzY+KKShezjWFd7h6w72QYZ1zDMDeQ7A7r2plYFdZzs66XT80ifJ2PjD5Ng
ZZUwEDwWwKL241JasH906r+BPa8A0CX6UqfUPAwoKBt3iyJa7aHY8F+aUtE/I3KnMZMvzXJs8mF9
KP2KvXwuzXLME7wTd7Kk8+M65emRo5vJvk95sd4NdqC7DXk12wGPXEG6ES6sToTyZ2nT6J4DW2ct
FI3yGSPp9M3B128xellsspvFAJRnPXE4JgjqRiCYxqZ5K2E9I2KmOJZ+sVdO+XjFHY1s0ylnB/zq
+jlLp+QNiXevvcSYUADdaFkG2RvujTGxCPjQ2x8cNMkda0KTH/pyCOcV87tsOTqVoRtFRs8RPy1/
4EPGwQ7DFNBik81+wizH98Ho6RzgTAyoBrIhaZnBLtJDzfCt1iI6Ia0FGFW0WIdSAiRJUIh/+23Z
V/mgFAa7CfU6OA8+oog3SN7h5Gs5gHc/pzbSAM11KRFfpOpdM8JT3nok4DxHtF6+RYaIl1InpCsi
slxGkDXXgFgy3HTwID9MdSlOfs34i+nnah+DUOpkhei52dLmVPLG07bG8t5a7HtiV85l+O5cgbiC
KrUlmrnxfe1wExTuMAwxr6Bfi5ojglISSL0W/AId1bJ/1+VSH5EHFu1K0ydg/1bM3zpll4Ha7YS2
S3Y2S+P6dmqyeSeDt3cI317eGlA5zwOocdEiYK0v95QKZVpRRNvOA4d/dWOAi9XbRXZL6QWC9OjK
T1PaA7GAvg4Z+M6WiDpH/2MSYLdpq3VCdDz+s+c7MSCSNDfxWnVhbRjWdMvw98oxWZ6jtB6wJmtz
zZ2fd7UCfdjDuXIsAs61IllV1oJywP/JNkJ8INk85UeO82Ntk2Ikh0whyQJJ43hXw/rgrzJpjO38
bIrfxPJpjze9/O4K2820Zi8IE878vdoc5E4Ynt/rlVevwkF6hLG1cvznVjfqy4psT3+Itjoen/Bx
4PFZlF9hLV4m1c2uHvHPTUDPspUlSL8bNog5YKnjY55O1XqiDAneV0mS4nOieYLDGLjozqCGojjc
4hhCi/k13ccrj5tdkyBKqBtMzw968Hgdzdr/9H3p9mgbesoTRnRnFTapNomCvzqPR6eK4rTzeKae
rCzq3+UKZGoVaci6OR22r43s86+o2Q0vAMGwSzaskJcaTxfaemrr6lYiDsPsBpeCjNtA2OwD3ehr
32zsYDJaQVIie3pQIMJZu4y4CfYGfBLCGqoB7T8RHJ9XVNFGY1dDvP9cmnXMWwV2HNMv7rwWi9ji
X/vNtOojuoLIY+IYJyo+2wnE+4FzLGr2GkPAt29E9GteXb+1Bvv4796VUbKPkCnXScQWHorebJdg
KlRlzxB5DqcgkZFS5SI/xtWU77Sb6AplZYJLB5uteLJjb57TSCWPy4gvruGx2/ObDzsWNGAeSub+
IZ8QwthqnaMjESn0W3GvqH2blPusauPv0Wy2vuS+oddtRV12PqBgzNwVx+GZ4/Y7rT0sZZ1Bn6s7
VqZwXzcqq+ounlGSjgRcPd2D2lgxHk5YmpCHOJyTGnss9iddfmA3DHehlpDw8LD4E4GQ4pfCUDm3
CA0T8ILg1miTELtdDXQKdu4knwGfcP8xYw7+MU4lvgdTYnXc8zkbxt1QTw3GbZSNJveynmRzMoZR
1w4KaXmIz5L6fgg1Tl+MbEg6YNsq3xuRDMmOAgJ/XAbfTK1xGQ4OnaOAqGWN9tVDlo3TofYz4nQn
i90CooMi/EhdoPQIFb07p8Nom2OPWf8TMqzyOCjPPyM0i6ldFdLkrt/YEh+wPCCli+rmEY/lMx+A
HAxwBbUFRfjmuTEuLw6NpaNsJebk5lBhHrpXfEZIJ+lVs2MQr31V1OedsRYkOCz1/ReDlafpUleH
pZ3wlX2UAGErMEXMZi/ZBLK49yw/lwK//yEOkehRDFNjbMp8ahG/OvQBUc1jDmAwC6W578la/wKg
+RtF98/o/KBFa5Gv/rgWdEoOG6j4cU8Qgv6azbk7UpPSP9nIEevV2x6DZx0JKK+qCYxzu66NuK6M
swKPwkC2VttCgqcop/WTqFrA6ze55SPvobdo+5qzS5JJaIycG5PsnG4qdke3Rcg5rIM1Yp+LEv51
l6MkaT8SaOsOLBpWvjeJAD85x5Hv35YRosJdRcnmDyCY+7UFIdjf16SBMdtSKMWOXI7ZNYLwGRpf
QdbmNAjg+w8DGvjWFlLFRYNRWOnPBOC473gk6JXlUhe7PidrdcrWlUVHyGjKT0gcEPesMDmVuwZR
00fU2G/8mSS6flOliD26Yni4oggev0elSMzPDZJmo84UAFkQdzSokj2hYyKqdsDsHaB/fGQtllQd
PsVgQ4pOd60/PWC67deMRWt88ph7zyj6S5eThGBgbq1K0+eETCXf9Vwmb9Ft2j0RqM7tqZkyWKVn
Kfd5FIlH05f21UEdDdxcx8lvuCdRNScTmAYa6JyBwS+Zcl1cDuw64nM/QFJcAoFO4gNmE3qf+7nf
jmNEzLMlqTsFSAmwRsGS8zj3MUXRLgkPMrMoo6mSRQFQiCv8r8ql/yVXFxtU1BQ868DVEhQzSTTH
HONJhPyCVLFoN5S2/5AZEtlFL019hWxmWrEJA4V/cSke7I7iJv4Qm8TISLYhwmiAjOYP41a+7rl2
47DffBRwAxHgp62LCPugMLJh1wCaL9tx7HdbmdsrmXsczBXXE967NRigafnExTiCB6Nav0ZbZBAb
qwowa3hj/c4F1ICjQGmzxFkxH31Zo8e4LGfswbUdxGUCXPg6r1seunFCvd6VFq75M87YXCGYc8m2
G3prwzGLt5UeGhheUAq9qdq3ZG7G0yI5tC/TUg1nKXge4aPx0xG5pvqbKNbivneROsdoiX+Ns5jh
7TrCz9H/bpSKnkVkzYE1v2jVrk1hkluuFZCDBQPoiA7aeIpAxyTxb5uERnd+gZOzlbJnGex0YvjC
+kGZPXUjVjM4bjcCTrl5Byr46IfxrYcLa4I5YYBdKBCr8C1OUJDMi8OiodhFDOt8slNZQaZiV3dZ
JYCQa9znDTnkzarNnZrDrM6OSVhFcnzVDzlSd/1eOs+2tum5T1uDEidygRobDCHawuZr3vcA+PCN
U+BnWCnGx1hCl6IkiKEdNC03eTTivwHQr2CtoCgx6hSDM3zRt5cumWvceWWDcKmuxtP9HURfwjor
UwMxJxSjMDEmCwZMuaVvVjD56CuJSRAuvxtzhe3tsAAb5UdWjXgvSCgPeRuoWdldkvjqa8JTeomC
sOsjjM0uaeEBgJQZFVR3pGGBIpp80mnLwUf84ImW9GDMNoYvSoGzaGGyGujRqAwvW0Orae+jPoCq
A2rzrILfLgMK0mDDAD2Hv6yeyfiUzEX9TGk6y7uRwbqFTO4qet+sih8h/d90GwvARgXXIt7DeR1j
qUP4GQadplzuBaIsv2TxDQon0Yws8UyO5RX3Un/AHBXDMD07ebfMSf4DEyc+IURfKHMC1/U+WQen
HRr35qq1wqK/O4WJad4xQlj6pjGKJR2Si26ptxCo4XouWjoQR6QES1Ci2r2sIxzXSMSJPqZ+0SdW
4ZXaCjquP/DFJfe0sox/5/iz21TQNHoFKTqCXPF82ADcVdlrmOvoBjrCLs8TC0CgYCawG/fkzzCQ
EI4IGaXMkdhie2MF9eNuDMvyPq8Z3amVZOjJWsUzWHT2Xc7aII5RCnOuxKz4CRpiqMCWIt1DOwiM
UvSwhu0RX8xeZbLqug2KT0jqhrD3VcQYB+7HOQrjyzz1FelEPW7YjX2drAdIGBD+OBqLpvUgyRhj
GqnKPxFEL+MZEXe3vjVkc9AOTkt7hovVTj8USJz1PSplMrzYHgW5uGVJNnbrCh9oW9QmvHvPBN31
C5XvNiwNZmRbA0UHux5FraSAzQ+bb6Lhee5niM0p5fZbRog4q3gbTvkwZZBos3H7oDbLoXtc+OtQ
KOBKeR/6CN9d6YC2uTSGF1BTOB0Ax6j4OgeS0AdeREP8Mgwr7nCGe6u6FHhln4VYE3rHwDJjJx3w
6bdrnbpPKDjnh4QHDUGXbcpnmuIc7oKexVNNKvuaYe2HrD3ysFP2c6meCUFE9zWkqTyMsFl9KzEI
2dYvPbBGFtMMC45dPzWvkQDviKUe/ZN4uXQp3tvLJdoIdV2Sk8XupsXRp4yM2XYei15PX/TGwsNI
yxjbOOHjFxlDgdDGiZ3f5qI0b2uJhoQ2L1UEsB8NW/WmzbDbmihFTWnmOLKqN+wQiCPmKcAk5cQV
gN74jN89QhRlnsz5T746c4F51zwlJQaTNNfbBzJ2hntYhhA4BModJtnR35WATWJ8nWAOyrYw0UqO
MJPDPLtmY21kq0dWLS+MzWA+kXiQPjPp0l95rBpEJNDMH/gIUec3ihkQ2OcKXUQL6rE6WTwvZ1Mw
dwXnVn1PlKsvSPcvAKubWMPDpnt+DCamAosgzQ5pzuJnP6UepoJSj3gI1/wdTfI4YT16fY/VrN1w
ctiJwVoKm5xSl2PJorKZb10zpEHUitr+4JWVQLiqTL3rUUjzaZ0x95AWDk/TwqEqxG0lp7YE/jfB
Vg8lZCshmHUvOtXpk6WOHhCWtjzETZx+TcycXMslKfZa4UdpsPd9JxHaJ/ZUg0Ic06AOq51W3CW5
FK2HI9/vURzP6jtQP8sXIEXygMk53tBmqOaLyQZyXxWq+ohdyUAzpO5BBdec0EoIvnMEB419JSEA
8EGMScykIP5/4Vnq9zCdN0/MwN8Xjz1+IYK2NyKS+BHZRZBQwnVf7wSOky8uxnAf49bcQ9NYo2iv
H1LxpyeY/a40QOt4R+rUDrt+xHl8wpAOBeyAZPbzGHrxyhIbvmeSEonSyWAx1RM4rp8G2it7go5P
3rE5L09Lgzm3LcZlwh0dR+Jlhb4BdCbT7Hec9tu31BZgRmIwbeYEuHJ911s8x/cDGEB8FrlQ/Tlk
DopbWBKy38g0mY99jNi/XTYzM7cy4uMLITVQBwhZkpcADBOTFFC31vLUy8MQgfZsxIwmb0Kz+l0g
R6vYl96heMgyCpGbF8LtEFG4yXPfkGjYCVep6ICJQqEHEBzhSY5kG99Wui2tj0S4ppjrkFXEccod
JrzSLtD9ueQ4bkI+FTWGnLVPshrIa2IRewCHEuaW2xd36C2G6kfgnDX57jed4kExxY3cAouAGG1P
7h21EEvDHTH7j3LCmIUKULu0vY6K5XwLowTqXANIwyOusURGGwpqcEwi2MaWaYscjdOGWIV9uaoj
zgv+1C8Vp3eczPxlcBK0PL6KS1FU2zvYdmIfbpZXBvwwIyfwn+RNRRTPVXDsgSQlQGoI9QgUJZjT
2aGSEVZYLPV4LjZ8YK6LMD3vli3SS7sug/lpPA+iK6fZfy9YgUOr14N4stPcoKUP/NbYAfie9jVY
CfnicNWXfJXi0uMYe8AKUz66eTHPCUW+SZvGEoyFF/bQ9PCV9YiY8d3mVHOb6cf8wCabV/shLcTJ
1TiHO7jT4xcQZwB+NX7W1JIi788rXjb+bi5L9xi0h75x1LewXVPUgrcLkAWBvJySw/Kbu+kpY3l6
v8hoyC7Q1k3LGWZWQFy1iSc0hUsOcsfjUQHTT7FraPNITF7g2QjyyDDfXJJ+2D57w8OrmSGkbB06
ja8GLVB2jyi6vumQNKrTg4Ihsm4ThQQZINfpR4nJ+wsk50hZ6YsMtEOuk0839RuyYoBHTk+LWvg+
R9RgjRFtze8Cp6b5Mi6xucpiQ4n4gK8lO5hcaNGZOVK6rWBN3Y/xyB+Zxwd0wJiQ1MCWpC3BmSKN
9xksxLC+Qkkwmq8Ye4yF1EwPp8IM/I+N4zo6iibzwxNWeZSVOMwzu8yOpehij0wGlNHCFrq/0bgI
ZS3rBSg9ZDgvOAY4lEvxhPfHimA2g/6p9ypxC9hCVAfhE4+/QdqHkipf4P2XouUTeT74uqEQyNqt
ABwBznTEsSw8mn8OkQWn20yga7JljuDfmTEAcAB9V0bT/Aq3gGadgDDuPVMk/8gRVbTjcMT/qpFT
aE4mX5QFATHVDNtiAmQKv/EyXBDWv3xpNk7LA21KE+9x4jYQYuFlSL40tal/kXVL+VmGCTAS1IlG
7jHAL7wr1JTcr43BaJPAyfl1ljn7QReZfera2whiMFl/H6BsgmNMK2HA5pP61wD6osERD/4FEGqo
dBdBU42jKzKgiQYmHtm8wgqRQJcBT9p/kXZmy3HjytZ+oZ8RnIfbYg2aR1uSfcNwyzbneebT/x+1
42yrUDzFcJ+LjrZD3UoCSACJzJVrWfC2X9A94TySwgQGovp2+NyllVzcxTCjobU4RnRxjTqaXvep
Dp1FoHTDu8y9+kvLy2B0u1jl3MkddfbzyB7e1ELRn8dSUhKq7GHoXczhmUW1kNTSnny2OW56NVOi
G7BomUq/n63I21B1mreK1+R1NARxdZnXHTShLQf1CC0QxWQaLdBxpJjQkT1IG9+Rt4Ve+rFLX5YR
76bJI/cd+1L9orWD/k+QEeC78EB7XCZcrc1VSN+feUntfHiEja7ND/+vGaaszaqOIzyMtRyWOL37
bbe11mwCMtBPcZvZB8Vso5tx8PsfKszl5GBleaVZ8BTVa0GfAe6DjnbEI8SG9rxX4KlvR42G4Kcx
VG9TNq5jTZfnMagLQFtqkbJNIRSuTV0XAN1yEXlQH0ZU49XAlaWnECYJJ7+jllvoD+dNLWBdHZh6
aXmm+gKRldBIDj6rSOqUjO4U8GKTvS9x7j2eN7EwZ7Cx0KhqaYyHvsZjJK+hFbRyx5jQisfC+pJN
O5L4502coqBtehdlGDhoxLV1VUAmx0EOFiYodYrS/RaO5E0YH2RgslOgrcCD7RNssC3PhHIIPaJb
cKKomZWW5nhhDpak8DYRab0+lHkiXJjDe2pfhc4qHHle62MwMlMGfxIYEVDkdNgezx6sKXEFzlbf
1MnkdnODonKVVYfQuY3CW9/fdZR7zf356TxdsRn2DIZNRYgF2iJhxeg3VWiI1alcdE9q3l50WbPX
2t15I6eeBxEWXMMKKGtrbr89HlhhJ21YmYTQinM/tC+NvUJ4IWiDgCBngfA4OgtAIpts2WMDNflT
a6hMc6PXrVsqstvlr5FhutUYhBtVB+8Lc4LW/VDrl5qHMbnFyzCyVmgMTvyFLgNaMjgsVNNGGkts
/8hTYN3ORPJKM+7zoNi2cvM0RjTo9pLyoJbRllLCil6gQIP0MXIWT6a9TIbOjLTu8cjNxAF7GSgk
ySPnripfi55oADLHx1rKb8ZM3bW9eUdBjhylUYFz1JuHwdbcWotvsnK6qH3/Ftndp/PrvbQefJVG
Q7PMZNA/cPxVVT1StaKNZ+M1/+SFfi0TgxmRDkFTfmubresP9gax2q+OmtxLxlwj0P5RdWWliWFx
QRyZBzt8qrBiCQti0Vg++gOY2TIFcmlIWzTBNj2MyWQ6LmJSMKB/3s+P/OQ4n33gk8n5kz61MqjV
SAEf0eRN5e0Lg4yHHGx6im1t1V/kwcrePdlWgjFh7QfDB+HcYwzaKmoWKYVMi+fE+RGdHBAYYWdZ
BmIZmspiHo8IQOQYtZlmbZDQ21E0OBRIpsOq9rfHOnICcO2iIMrBN/MAHpvxLTR8pQYuNt+wH8ZM
/g01NbmRtP46TVb+8rdjcnSI/VDZmjnEuA6PjRWpVkpQznkbKZQPCsGSr3UvePHKhXvqf5iBm0JW
0Uela2e+yj45Q974atcgPbGxlJcm2qfUyjMQAqCT2zer+DsarvkkIJBQaKKZW3bo3hEG1Utd0Dil
TzoNqxs9bC87r9vFQ/oYO8jrZJN7fhLnrz+6rWZ7dGyrHD38W9xdYWiT6lNUb6Pn/3QmXLJD85SN
CUwK/oqYyIklBodPMCio3U2o5o7nUZqrVFlkwvBfW4/8l/mF31VU4CLN3gaNvOKJ8645GhdXsIr+
DQEGveC0qB1bk6uhakHisYVbt9afFeN3Tx8IqkhjZO3S7i3r+t35mZxX5sSibuEi8AHrhrjF2jJN
Y1/GYh7pLkQ4u9b45Y1r4nILVggvaUCH+oLmc/GmIM00qk5mUmQe7obim1F5vMlXrsCFlcKGzVpB
AEmcJpz7FLIKm1ZhgjLpxuYRr1dXVvI6ti/nJ0wgm8QdZuJXkwoR8B7VhtzheI26RhttBX6RDUgf
5YZeZBiZrHK4TAYtuh5b47en9Q0YXnJNRQc57ki7VUX1ZqdG3rDinSdHvk0obZIrRQeA7SAqCfV1
mTgDoiWbSNV7gAPU2+1U175oepdAEKuSiNDbbCXiOZ3oWQeZABsdZJ4pYkOu3pLNodJB0R2mprh6
V+Vp78U3nvnl/EyfDk7TNROXoSEQJKHIN+ePRjlVDUC+nMnuio72IOM6BW9RhG7h/D5vbGlQ+CZU
RbqlY1fwnlTr+lCBJm0TJ8UDvZuXtDyC++tvoDG+OG/q5GjmEcRJokKnBdOcrQmhQeyjbzD5yJMi
c7nNvRdobbe82V0QybuseacoeN7e6eaDfZTVMuEFAW0ltjgiE6cVGnq/m6nTq2vZS5MtVcP8apDS
buU0OT2/MAWzOOw93NYEI8d7I6xNXzfqmE6hzoYQjPwfNGFjuh1GxFk2FCTMK98au2sq4y8WhfGV
eOEkKCHsw1PmUwDulROPGboxBqTQWoTbDlUSWtXKNe2Ak3eSYGL2o0/3aqHYraVUINTTUMku8g65
W2PM20sEMullG6m9akr2E2r70u2z5F5r5fJv7775Cxy6vHmvcfmJ6gVpAn2R3vEFCmlil4b7m9zM
ud3HtwROyvOus7AraJAzoPIiR8CrQoiMQAmPpPKI8pIm2CrSlezcpim3bP1/tKMez2oldfQpwiTG
mQrwTrn1qGqHsCWUycolseQhM6Ed/Pcyx6YsXOell8R+q1CJLXPlsSz898iSVsaysN1otuOag7gS
9dqTWCiIwbklvIogAILFSutcQx3qDaTpK95+2ruMcMZnS4IvDrS12kHOrLU6XTfhw4TjBb8aSQfF
mLpSRZ6i/VGDPTXXRD8/RHOOw4bZtMEFQHKKP8yT8GkbRC09uMBqeG8qX0L/nvIfUg1l/QD1qUxx
TQ9v8u5KHg4FfWrVU1DdUOxvnb0RQ3H747yPzqQ6Qghz/C3CNOhRE0LHwjTwLWN+8Ju7XP7uwVOg
GTc0IZqoOgwoYV97UUeRdGfG+3FcuRIX3IqIwFRBmZk4l3glKp2p5WbFdBSVrJDxLbiwwFCcH+jC
ZjQRNEAQeXZgcJLHc94CEqUfmhwu/S+/1dzYg9/9RePcrjSDvzc1Uw5pHDPoPvOsPDZV+lDLFbFm
bigSvXbh+FjUxjV4r3cvLtaY7U6Xj8gQESMSkAapJzHXKfVqia7V7MWadChL+12LVTqNnW9/O3uY
4SGE+g7nGLCy4yGNHUCh0cCM1XQ3wZBSgQaRnI87Xp8riZGPG/x4d8xHC4wi8IPS4i/qNzu6VJdF
F5BniHrLfizI+l/6qib1r0lTlNFei6ih7MiO26+61gwRBb+J20oK4350ycKFlzRqmi8JjdnWrVcV
/S/Yl5zphtYD8PAWxbl0m6cGQW6DvEWwp5qW/B49Wpu2JtRpLyqNkg9ylThXuMzQEIf23ZciqGhj
GTQTQmq9yJIDoowDwJQgrL5a5uQj29ZE3yhmNJdRNrS/PCtqLulZGKKVA/I0/vlIbELpQmjHLS3s
V6NIRq0MAYak5T+hE7mR/bMMoT8q76Lo0lJXTvzTKHJ+KdqkF1ULXxb1GghgNTATDWthT1AHeY/U
7jZK293q3GTa9HfS8PPrQIe6QiXhaEP5wN+O3Qz9LOrxtWPzXlQ2QbsztH5vTfTtrwmAnR45/HZY
3uHkmKWTRFFP1ai62ohi6P3zb5p+DUnj+f2y9Pt59ZJGYwMQzQkBceHQawjPnw2KI/+nocY99dbL
eROnB5oOG8sfE8JcSZGEliNwwI1Mjw21yQ27xUV9qwE5f97SwmCAUJGH0+YLGUHF41WZQKxH0Kzb
nDE1dVtYUrQ1EwuDOTIheHUzdX1Py5ZNp6WUzHrfvhvlcn8x0ai/q3N5+HJ+SAvXHvVEHA2xdlyb
esTxmPIMiGxrZ84GgNrG1IoruBlhv+zhlwA7AiEPCJYv0Bk86dGAAh1dIHl2ndMEbdFfoKjR4/nv
Od1nJqUdWrbhRCUHJFIFO9UUJaEleRsl05903acftKLzu76IpuDNnpSVR83pijJu2ikoH1gGmAdh
Rf24MCW1lSXKv6F3E9XW735qppWD/PRqmqlheHqSTZjz3MKNSz3Cy32gYRu9+4GQO1Bzay9p+cpK
ns4cVlBAozuX24I02vFCxmi4hUMY+G5RK+9NkR08OmwHyaITqOoz2vLsw/mlWhoWsmIQfjqyPIcT
xwanNhs7Cbou18q/ZAX9s6EFh9zaAXW6IRzqEejSw6rMi/ekumMHsV/5DvUPq0N5os3CQ6YUkDH4
8ZNl9MpKCHb69JzNoThOyoBTWHxVJ55kNXYJvUoAa7LmvQG63MU1+68dLjSOSdNIlI0ZGNvzc3m6
eMdmhV0I7gpuDaAXbtQOV0DR9nJpXdnQPQxDs+dAWEn4nC4dJz6c+BpPXJ7zoiIQpAVIVoM0c0G6
XtUlOnXx2F8XqrSSPl6ww1VJ/Ac/EXVoTXARHaa5UqkoXkU2ZI0zvZ58Eydv5+fuNBCY7+M/RoSQ
jGawEUJWBIyGsI9dxQfgXCcuLDzuRCiYeL+DoXo+b3LhzeRQWOfMwDORYRQj9S4sekCHQ8ijLHwM
enWv0yg1VPK7oviPA0qEaSa/AsYlgVduQz1eebyfuAuE6rDFIFvLCUmVavbiT++mlqbypJtbfHu5
KzdNb707mWX8KLVWcRWqUdukzMav58d8spazTUAEPNPm+9YWzpehp9EjMvPQrSKIAU0DViDO5RAC
drbFeVPqSXoEW4R0WEPNjqrF/C2fxhdEtgF0QQnd0d/Dl7EJMsDU04uXwCYTv7QJ2vb+DV1e1wHK
xnT8pWDbhoOZRvsili+l9q7yflnWpdGvXBcf3LdHIfn8YdCfUnNB21AWD9mpGvu41E1oizMSvCTA
IiIyJ6vB9oI2S2/jMQ9NF5wpcPdQgtf/Is9V4yFIVGmHPHzrXaRoqAdXFYfQuCGO1LZAE9XHHhxk
t626saALXBqkaxvqMt1VYkDOLn3/xOslIjxvrRWC2KMMGbUrJ9DJOevMagAzpyvyDoSCs8t9mvLE
UxGrkKvIRfhEu+EBNW2L3itceerkCyX0zYvza7xojxQbG5csH2WRY3txNXVKbQJ8coLkSm2++SGk
/5x7+krgvuC2lNSpTBDismHE526Y0NQAOxHjGss7duY7/C8HX7JXbt+l4cxJdG5DeKGB3BwPh/WG
v72nsyGJvivGz67bm9rPIlg56patGEh5UvabEcTHVsJQVoI2RArYly+b6ecEE4I/PITdz/NrszRn
iBlYVP6IWTi8j81EScM16DmhG3FLHKTQSCH90cMQ4qkoXwmOPkSdhC31EbtzE/HcOdnrEfn53AqR
o1GDXn6BOcKBRTiIlMdhlIFpjqBE4QuUVPmfOuutfQZM8GtCQ9lNCpLXeqCFukjdbiLyOVDhAz1v
ybX3s4YO4csU+Mm7ZdXGBTQJAFnHzra+6VGu/Pj7+SLLgQoDqVQy5EK+umzZj73shW6rj1svAM7u
5BeO99e4IbboZzPClkGlPSanixkAb7TzX/iN7BpxTCPmy/nxLLmZiRakYVJtpyIrnAWOXsK4pUuM
J7Wo/meDrr8qdlw+8dDV3icTgZm/v9CwQ8hFDgffloXLpXYijYUcIpfXCP1Icifdsnj/DFnd0O8g
Z7ueXNJKqLcwyv88enn88Pb5uOM/nXiSZ6MNpNtAL3u4CMveTXkHjHZ64fXpShy0ZkoIUWx0AIcy
JkkR5y8FLV+gbcEYvwX6yiG+sHGPhiRMI5ywjaFl2AG4uvXremc14UU7/TUtKVlvmE8Jyh2ktU/u
CjmUK70Cdc3M2YjlVXcezefQj+3Pu6HOMSOcDOgZUecFVQhnmiW4odZVeRS1cy9e9NqbFQHk83kD
C9M115hsAlPybJR8js851JjiwMzb2IXI4XfYpPscIg4QuytX0EK0Npd6YXbidONVK+xbGQLLQDIB
lEKqcENijZoEhGPZT0pctAmNK1vpNDYFDjeXDRQZnvg5Mj4eVQVxXjxmMWTXdI7BbwFR+2ReyhmH
5N5SIY1rIVGsdkH2986HXZ2EJxEEKjjCMKcyyDypoMWCpnpXQ7UlryVYUJXd+UVbujAAfyrkYMhb
KKQujsdn1oNjpFUWu11C1FUEJDwfHfurDv8bZADUBppwV3pXmn/o8heIAAb7uYKKs/tRFNf6DN3f
De09mdvzn7XgrCTr/iPgi3iMJcw6XfClEdKjxhY/0HFJn/ya2vWSG+FFLCkNg5BGCIeIM5VDmeRY
sLn2R9q16vuGkjasIPUaCGJpY6B7LM/ydPO1LEQzvmWaPjwE0Of4xQVNxls/NpDClVdcddnMnPCZ
nxaGGJtNvl5rNgej6+eTa1LHNWJzY2v351dmyQrnFJcLyGHeLcJgVC9wAE4Ae+/rG2Pm6EKehbvt
vJGF5aeqQtysUMeC/Ftw/jIuC1nLeH9abXth0BHI+q1EzAvjYAgmb3YySSaHybHft5PfaknFOCav
e4FpZV8DWUIy5W9zAwBdZ7QE60/52xQzcOWA3GWkWYDbG2ertFdTQ63AHle2y8KNeGRFcOYR6uyp
i7DSjXCQkCFo4SwdJeB/8spjcmnaIEYG30IJCiCnsPzQFiujXYQJrXfxpUQbjw6ViNeEh/MOcJKF
mKeNjc8GJXI6iWC0SvX0pkGO19Mr+iUhgaASfjWiHo5KBRieEnXt9ve/sQlAFaA1WRzxxG28yht9
C5sQwu7Cjoj4slAeq5zMVfoAbdp5awvnD+T2c6aFWv5coDz2PzLfhplr8BVqKHGgBnCZdhbSdVyc
gGKtNenGpWUj30eCwyZFixbKsbXSs2nLMOiE8if7alagUGxjp9Yrr48lN5wTONCroxpFEeHYSmvA
/+BIMBLIuXmYc29RWmx6uB4g3FyJAhYH9MnU/Cmfws0QOU3Odkyhmfoloec82RTGNG4rc6y+n1+p
pcOIOihnHcEGKyaMKuzykEFjCrbAS3u07iGpWnGGNRPCaEYj6PzCw0RVDM7T5CMxFY++/3R+IMvL
82cgs0t+mrNgBKU+OVixe2kz8SbQqYI9adK/uFopT88YTeBNFMeFMwIWH3nK6C2BqUp/nkExneNd
TGoAjWt8q0n2Wv5u6bD4ZM8SHoyjDTuOj7idi7j0zKsVIKfZ+dbGV8tvngeTdOgfgjzen5/NRauz
bhC5bRI9YojSo5pV+2GZuFOeXFFbLJJf6iwApz+kmuK29oq5j5qoEL9z4v6xN/vQp9VT+8yCmQx7
8OW6I+RZEvRsii5DSPvcG/cpGXYDMqJod36Yp9BKjuLPdgX31xWoXRCZSCiXTgcoVfTycdTgdTs0
jBZoR16PLsRI+7a+hIX7vPHFQ/LTmIV9YXoz132KbaomeA6cgPIgPYwITipGT29g+vfBzdFYhR2i
DzB9Bvk8VvXGV6BFreFepB35/KgW9+GnUc2e9Wkl4an3W4Ry4ENw4Bw2mu993dJu40eAKNekKD6A
hCduQ2adTh4iajCix8aSJvG7WieF3xiQzwYtVF2l9Y7YDP3L3pfoIm83OhRmsGNo8qUM91X0wzNN
t/Pfunzl/Jk95eRTEPacAQZgHsUHYqeC8WqLhjdEWP9KbagWWvrEE3tNPnRxfj/ZEbxGg16PnD5D
llT4CCfVlRo4TKbvcEL+izgV1yMbSpIXjKUQRPolKQ/Yt/BPaXQ2Wg7ZGBThK0aWpo0ICCw4ENUF
HJMmDynU6nCKQmVk+8WNkXg3bWO//L1XEvg4lH4AMSC8fOwoVtFJARCMxI0jM/tiymNyWcH6eBOg
7vlipPHreXNLD2uEc+EtxBWAuYuvoqCbiQfDESJUSJa75pI8bN59Mwn5xqtWgqbTuk36be3tz9ud
Lx/RCXmLzbEXa0Zj4vEwc0QxutaXuZyk8Ab+Jf0Q16O8kXOjfrCbqyB5GVqk361VRNz8i48NAw5V
SCKg3DvnEQTDpTONTaghDuFDcwuFWWPdSMHwJtUaJC2UNDZpa79C+T29Nn0xbpto1N06Dp98Tfve
K/6LZlfxnWSO0yHuoN3w6ZBZeaucRiF8HzMDhIHrVBYfkIkk19Lcy7QptS9N8dpnb+en/vTGPP79
wrmXpTXaCIHCI1s5xNKLpUJo9pikB8NGfrP9611zbEwIQvQo0+FYYzBespXRKE1o8tehDjo/pIXb
EQfmNOMlhMagLqIR1LrpqCySOADGvtGtFyP+rmlfpWzYoHgbq1/L/rru9pC0qfFaLV9ZWK+5yAQ8
D1HDuR5z7MqZ1eVJqTXGRlW+KfE28WZuW/hNf1uGC8qpqqHVNPqd03/10BD1nNvVZMCHcrjg1HwC
uIW5x4NCv+DUEqy59tDh1PSn7yCGiSHTKsOrRgfQQ0OAdN9CtdtFbGPTRWDKzfL9oO6mFjrwba8/
qIVbBxclIe/oQW/fI7Rx6GgTHp57CD3kuQE6dksj2Pc2qroebKbRs15djEjSDXaFCOoPmou2sXTb
FN9T/VddPTv2ve4colE++EApqHAk6XNrXWXZWrZzIR6bj5A/Qxe8OQwtb8oShk5zO/RuMGqTi0QU
J9Bpad0CN92O0ZMB78t5j1vYREdmhUWPhkGSkh6z3bhve6rkzOMzL3Wczb/hIb4Sq5wel0ej1ITY
GgLn2K59zOVwfTY0+cvJVTxADtO5qoKk0fhThgfy/BBPL7xjm8JjNSyaDka7zoDawnT9ArpjcJgh
oiXnzajq6YnMVFq8UEj/zE0fx/vHG0eIPlrsjNPgwjdJj+ZzlvxyjCulfbQsaQOJ9hTDtfXaVzEk
MntV+0n+ftMbJqRe/UYiMVlot/1wqKFRk6RiJfr9uHJPd9efDxRCfi+lcQNuUSYCVp3GvoogWs30
FHPseZhd2l/JqGxmhlnLf5jC73kBHjjdNOgmZIPjjiHUUM4j8Dp6Lu5tOBkr606tzR/n5/EU9AaD
AA8NA7iwZpF+FA4BshXyONbMoz+pW8lynfhrGFwinaiCMYrgDdOtJ5sUOaU8p3wlX94OP+EKWZmt
Ra/59BXCflTRkrBij6+Q6STQvZ8lWE+EWVe239KBfzRYYf/JNlxFidcbm75ytKdsUuQZ7WNcD8ZU
0QEFQ2uLkKgbeyrZS2gnd23rtZto1tOptdBeebAshPfMvYlWtA2wmS4pce5lZyrguDQ2SfmIklBQ
XWp6Ap94urGcbeu8Wfk3mfXnZcw/P4wBnmTnW1+BG/py3gs+jvoTZ/30JcL80++iaVrNl9TdBOfa
RQukN4tnMvMrB2J+aIgVKOAk9V6un2R57093w/hVlxCIjS5astZRNG7U9qqi3FHbu9Ro3AiqtEFv
aMl6g+iLt2ZxOP/NCzHoPHtzx69pwBkq4s/hiuotRFINgMFvnoo2zzdJCzZVrR8G8CJeh6w2OBJQ
8EqzcvgseitLNpNjwCUhXpwQVJl5F04GQjaIi7QN2r6p1P2EqTZZ8djT19A8xj+WhHXxbQ824ApL
ICB4p9CDEuwbyKPM1lwZ05olYWuoKYvmxVjyNXnrcXNPGbnT5EFvV2J4QST9o/v385jEWwnCWtsa
A07BsJxViSGF5I/JVdHCrRg+tlK0UzkqfcWdpDtFPqjalR9e6w5R0UvivGnFi2VP/OV7P95SDqex
9z5zUjcqdzk6QsXr6DyuONrics8ZRBrhKMF+bONPT35TSzyQE3ywKXl3QwCJb2VBpYtCcDNo+1jV
94M8kcmx0EB3vsfee4Xes4se1mFyOrSS13oClz3/0wcJ58YU6OVAN5uxycxpn4+Fq8iw6Tg3daC6
CN2Q0bmu5Ye+MTdW+PfXOyWqua+E+YASX3CTVE2lPkS7eYOyBfkq6dbrkl2TFCuAhKUhYseiTjGX
kU4gvFIdg1S2uBAGQ4pcCcWMDeqC6AiMcNtCuynt+X+9g0fvJQSM3LBpPAKW6exkZcBLgfrMdTJn
X8i/22IfK7oDYxSkHDMRnOaDr21zR3nRGnOrDrnr5MYzOsqXULHeOLAqQ970aPbKfajre6OLV1L0
y7Py6VuEmKKNHXj3DGa/nZMixgFhLNm8zaHmgBdX691KTq/QCWzTlS2wsAOO5mD++acd4JV0EWbA
k5CViC4Tq9+HU7bLm78vHNsGrREMkCNPIS1zbCYBgqCE8/Di6AoCZddpVqoByxP4yYJwniod4p5y
xkBS5863Xgftsk4v4v5VGx7T/ArUoq7e9PmaC81xtnC7Ho1L2DRglfwATVRCQeurMr16kndI5Csp
e6jQBGlAlYH1W8tuLS6ZNsOwTHrKqRsdz6XR8Ig2R0aqm+wLT79IYeTOM2flDT1P2MnQPpkRJrRC
Eme0ZjMIUblFfwjQkcogd3vK6XWDeHnlKJ6j+nPmhJkk6Ffhw+OWivMHJd1L0S0A8dD/hUoSiQ9Y
mrkZ3Tz7qegoQ/crEcf5KYWA8HhKkyhNlCbh2NXqAAZL+R5m7tsusf/NZvvvlFqycmwGPTpSbglj
LIynurmPzLfJezo/j/M58b9PI91VxybyUA7kdmDV4knayD3029KKhbW5Ep5ncd7IcFJgoQ2Cgzbw
1h38q1kO4fxAZi8WBwLGBhwIjYEzBv14IH5Jy70tsyR1pcHOiiqUfauUDTiYa8lcw2gsRcnEAHN5
lJyNBmuFYA3VBKOOWBl0b7rxtxGoF1lzUeaDa0bwpjv38gRh1UBMYiU0eh5kqz7Yw7PToqr209Hv
ZO1nbv2UNFQoH5wm29Z5vtX7a8n6YZuVGzfqSky3dNwdffAc9H06t2c9rQQZUe6uWK3v1WgkIZM3
75pDzyk/iAHlp+ELtNnZdTBOoSv18r0dtMnKdyys0tFnCKtEootXJsyLm6AkEaGajcwbo+0uY5i+
4GJBydZvorUO+PkoEFzjyKhwMvmpaqM/idF02mUksvps3FRhtgMm6rZQ9MnaV9taZX2bN+eJVULE
j5zazOJzPON6PmiZOeCQRl9t6qsogaVTAti9te8S6z4bq9+6mT5VpnR5fiMsPW055v9r2BYOJ7/T
koRZnt+SX9r+m6L+/mBvtL/k1WUTAfOZ4PC7LhEVa42VO+AD6n86aMLCORcjn+QQrDZXPPRXjE0z
FOkusJ1yi2aNfKN4cFR0EFttkqzvXd2JnoMkhVO2nwIX/Q6VSA4Al2KtnW8Lpw+T8eeDhLUP1LYm
sclkmLTtp923HpxTl60ccQvoO/vIirjWpll23oiViLuuQ78jHF/oHufa22r2jwpO2CDbkDu1cqiN
ZXeKIfPOUDwcn4uo2cIgnDdvqkMGNdlM09uKPyw74lxZn9umHbHfqM6yIi1G1iRvvw7jdaJdasm+
o+9oQGFqBBR+neouzHnnzS6l5ZiTP2bVY/+PJxqNHJSrN71DknGWjwx43IW7BhxYVW9tWGtz70cX
QdRV0VtJlchygbVv4B9PpCeIk1XLhcstIj3Z2Nf12vfNC3/iqfR5ERPJ870hnkSgucpAYlZMvd/O
qqlx0yGj/YDMdB1/G6cVFzlldaA3au4r+x97giNKuZ8gFsF0ROFwQTJFCftNoOyLAl3Cq7D42tnP
hnELyXowtKQkb5H+QBP6VzRsQ+XRLFYJLubpPzd+wWXNyUyVLpqXx3jL2umySqY9GqmbNvyqSm7c
voy6SlbjSznyRSt39VLS/fNkiFAPyMeMQaGVmGxrQ3Bzk3jF3vRuPQpiKc+l4qcTwB6ykm74X6w6
Mkm2GTv1cUd+ugMlrufKajRjMyXfnETeGNkbZNobq/xq2pflULuW9Szp0spgRUejoRC6HvoGCBVU
ghMh/unknpZFyQbHIl9Csu/2YBKMG015qbqnPF85gMXcDQY+mEPAb6syPGdCXKJVSHt36A66XQuE
sIX7V3XajRMbOy1ZwyGJd/k8mNkMZVgwvidEcQac4Bl5ASiBM9mr3HyMc4j4kUeqiXxgCjpM1hRe
+lWWrITFC4M0aS+E1YJmH8gFhUGi3VrOOjaxO8ARsGHLtVuStW/I0ERXCMIrm/Mn2aI5SKXg0AAg
pn8c/p/cpmpzhKgh4+b6/q6XIKvRboX8T1nLfH9kjz5vSSaU3hKqtvPF6ZBOPD4xfXhoZ2lD2jUr
IEEmwkyoBGbBZqIipMF4/+Z7X+sMgvJX1TpQUxnVZ6QnbfNwfrwneQ7xO+YJ+TTgJh4cufX4DjPy
Nrbq7RN0vtIHzkm9uIVbwsturNBNlR0yORs7vHGklezGyZYRJkI4m+sJxPyo8gE6Iulub/sbsNLo
NCA5msnxDsb1XaUaK/t0wZ2PZl84oD1UpYwIllVSecEuKq4qCDySYC91F9Lw7fwML5ribqSYTG/X
CcNP7TmtWjrsHAjTyWgdCnWXVOFW7baet3IgzD5z4lM0YYFtAwpris5rx7ml+xVFjMG5nxrQqa/T
Wipl2QRwW5gVAR6Ir9RI1rusnPHjAVq/H1K9vxP/7fyMnQS1Hz4Jkvh/jAjRRFAFyBOavFrkmlY2
CkNyvZM0v31LOyfZmXakX/jxJD9nQxLtk6LobxoAUh1dDVJ4GaOWupZ/EB/O4gcJx3oZoP0W6jKj
VreW7FYBEAV7a3jXFkqKwaMTXpbwwrfOFuWp0HArZe0DxATIfz7A4pqkWgeAX0gOqE2sT1bKB1gR
YpmKm0o7DQ09+RbtzByNAlSYnIraOQX7d91Yie5O7lLRurAe0qiPBqKvtCHJh6C5myBdVcN/QMT3
/ats75NqX1crI172sz8DFmYcVbqyyyoGrHnfk/hpLG5T/fd5N1vcmM4fE0JWNS/lCWkpTFCFlat3
sG2pfd9NgBnWcONrg5l//umM1VOUD5Kc+dOi8S5vv0uOvFdXu48WD9JP4xFOcifWtBjCfaw0vDxR
QdUPPbqrPIVgy7aclWN7DhlPz5o/sycc27mTxYYxz94wPSBloDt3pnkzZIcQQElzRRnn/GItTSGt
uLQ7waM3M/IeT6GplQl6vU7sFsVj2P/wI6oQa3mTFRsf2+DTMiGNqKR9hw3kt6lII4KNViAZ7/Mj
WYowPo1EDExV6ni9WWIlTbQvaq/t2mYrd328UbSVPbTkECQUQfjoiPDSMXU8ZwAgdMToqemBMfCr
fUp9YnxrUR9tjeveO5wf1uLkfTIm7CYlMcyhUzDWe/3O9B8jGoGr7p/zRhbn7pOR+SM+rZDHQURw
hhGL20ftblNzjyo2koZrJ97iaCguw2thzI18grvZTeajRM5NWoAbyd+Hrt+M6D0byq4q1Z0dPCeU
SxX0WKfMbavtqN0Hw49qjXB0cbh/vuKDJOLTcAFRdaFU8BVZRGfLj8G40lDmXuNZXLICUzJhPZQL
PGAEN3EcrlIzBooP7Y8ebx37Thq29loWdWlGiXLn1zd1e8MRZtSExq1GpDBxax8FJudbDVy0j1ag
FR+pWPFUgv0H9gEeDQxFcJAR/gHZma0oMvXDNilnGYskty9iqNzQvkSvjnLIlFQ7P7bbW9ueip0c
9WN+O5hWDZ2Vndjlr16iWw8IXO47qjtFAXK/fqL+kusETTEAtsDhciOTyz0U+TlK73baNDddpw3y
IUmNgQCh0gt9q2uZv0ZsvTiNECTSLDgDPsXG9DJAxHqswWNLpXPXh6qr0Lrd+PHu7zcaCaT/mhHi
46RGSKkxmcfR07qN1iOkaOUbmDfuoza5+L/ZEjxDj0m5Sx22uuybnVxn8W1S3LVrQNbFIIbICX4o
kmPaSYrWR2Ku1lhC1zSiXy10GKXcbpDU5OGsI3xbPUDLuM1h0qvWQJ9LGwyytJmK3ML7Rc6KJFMV
qQ1Zs1JRt5m3SxUgMlCo/S155hymkXRikDQv8kgSruSiUKDEtxhhWfntvois30lh6CsP5KVQGFZw
m5QKlgDRC0dwqwcSWHTei3l9HQLS9bNg5d5anC/UHmbOMNgXxBym2QVtOU30KyKJHG+H4XulVBtz
oKF/KNe6MJeGg1AXIA86+sjXCHOGDFNejiM3SoyImJ0/dsnDee9eNDCzRevQTcHrIETuttMZUpIw
GGMG/baXUfP+bwxQP0elkPNbbIF0/GjwHZ0WSHgFf5LpQugsWNOPOKkoza6FKAGJftYecnth1fNK
TcsqQvttqL2DEu4clWRAukUMVTNe/GgW8bmZNXGhePs3o/tjWAgrusKnPTah5dIqsx/0pbm6r66A
Tpbc7fPYhDtDqROUvwPG5qvf4OnZasNOso39aKxESPM5Jt5NoM0pI0JnzBtd8ARKJZYdTQBXKkvx
EM56HyryHf1r1UUPzuCbUE8nNzKsAedncHF4AJigxoNQyhG7mVPT0Ruvw+zYwRCmlNo2jiyk6rWX
TPp53tSym3C304lq0mEn1mWhRE8zc+7F6grNNf8/aVe2JKmOLL8IM0Csr0Cuta99ql5kvYodxCbB
11+nr905mUpuYt0zNnMejtlUpEQoFIrwcKe3bvUwOqDFO5jkZ8X3tv2kma/usHKBzGf0YmNnZgmU
XUFGreLyLJDPIpHDCh0If5pA55Q/OPC9XrazxPb6ChdPM6TEECpQHARa5Tz6VdYQu9yEKd7hldUa
zZ6ydK1vumZEeW6D06fEJQ8jYHN7F1R/dcEEfX0di1uGuAfprTm/VGXEtNH1IfmIqDRq/U/OkkMN
wlxgo/ee+OTN2iTz0kMEFIn/saYsiOh4a4sKJwzK40ik9X6DymcA2Tewgnyhg39v2F+ur2+xrIkh
L+CwAYPBVMm8ASepMyQatSLRYBIaTk9iKkKoBr5BJfi91CGRh/kSu4RybFlDcof8Q/wxMnsr6r16
40Ii/fpvWd7rf3+KkkvRIR3znCOE+bYIuYYs6h4itr3dbXK5YmphowEcwajeDFbAS1lxzxbS5dCt
hedAmymqW0iGR7G9d9wiYt4nBJCvL2zNmvJZk97rBsil4tzhvexMb5z9I5mJBgSeTP7RKffXzS0E
MkxEOlgYyIpwCSl5Yls39mQKDO4BD7JD+a3XftjdM9SSVwLmQpyGKAeGC5D/YiBeZY+xZKMlTTEP
1aFZ1rw6AmwWx9LaGzn0t0y8nuuVsu3SPhoo2ZrzLBIIaJWFeUUPRDhF1MynR8nDuJQ35gYa9Zuh
a1dG8Bd8EcSoKERDWwiEICp7n645DdPncc4WAs0Sd1QAqT/4SMECmrmPzh/j0ZA4wOCsZQTiLjTj
lLVNrJI0g/xnmILRvte8oENnQeCc/blvnJhR9TKa1qztbjZDkWKn7V3dhrQ2Mbe0Ev+XbjjIwPjo
hmF+HHAy5YRx3+67esJg51Q3QN2CohhsO6XJb8bcetJkmzx5yUi+U+5027HEAHucOn0cWDFEqFeO
35KfYmfRlMOnxJlQfgqEmA2IkJq4JuRnon+CgjOfZlz00cZ8ud8GyVoNbtFPTwwq531qKU8qBwYr
0JT0OYTN36A/HJhVGori04hXzvvSiw1Y438XqCSdWuyZRQeJIDzBb2uvBbamA/PLnOeCN3Kr6QjY
aNv4/Ot1X1pb5nw9n1wdwEEVcoixTIxtPfEKgSZ23qvY22n+9MihAyfKVajovBQlhTlbqpKD2lRS
0pYkD2vzp6w3EvrN1oH5t65/cK0Hv3vriy23cwi3HwRdeW4txgQP1C2AjMy6ospV2YtuqliFbe50
BoKCfeeS7eCFOmaPxBrbyAVm6Hc8wPsU6kDezLWtOG3GJB20BJtLnFpHiTppN0KMAIoUVoGRDfrd
YmmN2VphHsE0+KJBhDsSLpShUQD2cYnHxeH6115aPbrnEEhCbxnPNCVA+QI6AnZpYeepBwkDEGSl
u7Tdelq248W0u27sAiczL//EmlrRq1LCujqxUZ8qH3oDsuu84UB1PyF4hXFlRaJIo7Ix73i8rY3I
DN2Dk7zW6S2CNHTXIbqQPspIi4x05YctpJz4XXM7ehaQAAnluc9rkOBCSQ27INGezHj9gKthZaOX
rm9gNTFXi7eqB5aRcxN+RuNG6+bTnCVuFo1DBijQ6IoDNCZ5AlVlv3u5vtuLAeTU5PyTTk6y1XeZ
idQTeedMCMi/Dv2bM22Egfb6FwkxYIgGah/XbS5uJM4QNgv+ZKnEoSBQZFnaYJW58KHm2N4Kuoa7
W9xI6K+inoTXuK+CmQxqZBOgGNBhb2/1/MaVz5q588XT9YUsngu8+W20kQ1I9imfy6tIw51qPhes
fMyIduQxfxk9sB33/X0Myfjr5hb3DQofDviBCF5Wijm9Y6IrgH8OSc/bm9ap/FtnWqNLmP+IGmXh
gf8xovhDnaIwGA8wYtsy8jMOWZEs4ubK/bHsdmCGRHccpx2OcO52OfKuMs3AijBYxVMjDMxT1odE
xHsNbMJTZu372r8R9k/XX0sJ/h/Ts5DBzIBI1PFYB0pGkDv2kSP3JOqSD0ODulxjboeYhrIvdoX9
KSq5Y8Za+2fJKWdmLODewFVlqw3qgaNJ7JWA8E1Jkz70rEV9U5+yOz4YEFBlXbvy0ln6lCjiAv8E
WBBmAZWAhZqtrQFphWIKKBZpf5hwO8Q/r/vkYrJ3amR22tP4IadWFzGMDJrvB7IGwTnTNrmNrU1n
sWW5m1ABK1P/Sbo+hD2SH//lD1BORYXunpYX+AFMK7ZWuXOnD0bvrXHXtWzTN0+m/uqRX+gmX7e7
dBhP162ck7bpiFcQfEw7raDTsPMcGV23sJRjzVQeCJGAZOLlc76zDTMYadsRxx08sMTYGMNbqu0s
bd+DBjnHDOl1c0veieIQRGlnLCBqN+fm7ImC5jZGyDSMW8MXYdqBpyP9rLRkc93Q0s6dGlJS5La2
SwbMCsj36/Kln8pXUk4ra1nyfHQkZwwy7uoLmr3EojnxBmRQcfePh3oyfyz/5mF/amJe5Ynf23qX
8+L3y0K84bZ0MZOON2XYs7Djj3yNO3rx45wsSHFyP/N1nlB8nDE7Gs0AmQsQ0HlpINeSnDVDiltL
LTX7IcPOpfRoeG9Dfte0z268kucsfR+UidEDwWDKJXmTTCdvcqiHM5t7VTBoH3XN94KVK/fzkqc5
gGNCTNfE/9SHKI11e7JchAYvS6HNTY0e0xRG+nbdn5fqaL8FqmeudRCIqg1VvUvdsocAI3RHtM+e
k52pEYzZ6OEImlkhY3CwfiPgQOZjs/V7tmE4Ul7Nwrz3Vvx+MRpDeABs+WCZt6HHfO6VpHYEmnsF
Qv7UYUw9GWSQSfRjrQrY+gr67H5YJRwj80mAaZ2wmtZmpeegpKYPpz9AORaOz/PCLed6F9KGst9m
7k0JJTwgBFihb/qqwnspvL7/Sy57alI5GzYVKasZevN+I7dJ961NdpUg0dR9u25nCXKH7/zv5ipn
wy79MXFnwsTRlgn4zsugFuC2dJsj60ByhtGoyO2+kSnbCVFuUjMBOc8fT9HMr6PTH6EkThaECjwx
b3Bb0CA3Ub6HRqb3c7K/c+fbGN9BqyXMrF3b/0UBDjJ9v/VA5yatssseGeMMzXqEVCPdMxdKUBW9
NdOXzotS51s6RNc3eym1PjWn7DWvkJVpaPaELJ6+lCPfDJaDOXhUF+c6nPGniry/d3VWBESYgKaa
+rZLuiT1vRbUjlC5ikYeVfX9pINuZ40CZnFZeNgR9J5nhRTlfMbJVPVWAju8eJkPxcB30mCRx++8
tTLCoimQ0s1k08CEqfd53RSx06QcoUA3oPO3J1pUQBCAfk3+VP593ry5nYVBXgfVZ7U/nIye7ICu
R+bQbTobhDJPQ/agOyJ0jdu2WzntS1fHqbE5azq5d40kq1nswlg5tOVuSA0dYnsWaNZ6aGNf98E1
U0oClmUTtwoDpoi4d8fvufaIbH3FxlLwAnMaMjwTxNAAqyjLadFXrVI4RN3zIOurEHiTABJLgf9X
qzmxpKRdmLLxJ7+CJdZhCJRgtozeD8PH9S1bCv+ny1H8O+WDpVcljNhWgqnj55YngWHvDOO1GHnQ
ygfON9ctLm4gxA+htoNa8wVTFy4bBokxVOtlfG9V21o/JPkrOPf+OyuK140AVfeSw0pdQgTPYNrn
lE/HxDAf8piuXeLzl1Du0Jm0Hi82rAcBSQm1MTASRuqhfg6S0E2DsTgBYj2H50EPCrRcO1gQLcX1
Yx8ZBkWpaYS216z8hoW3B34CWCbAZ4EylnqkZQ3ARz3/BLCume5maKLaPgzgD9Td78Mqum4hVM3t
R0D/UVgDvbFy0MxWVu00vwgKewC7k7aFfN2r5cg9xgFuCuasDbDMSYi6wdhYTMvMHVcgP88P3WQ0
sicEXxOgvo1wvA0q9Nf9ZSF0zBC7WaAc1Phg0T23ULZtPjYE/bFY+6zZfTHKIM1XatJrNhSftPJE
dwsOG5MAfZb3mbnareHJ7fWVLJyvs5Uo30YkmU1YDU9o0grT/WHODwl5McBF9d/YAXf9+Y5NYP81
QPYOjm1rCCr9AYCIPq3DdZD00rahJoDqOv4xM/2fGzLRZeSkwbN6agCsCvpmrDOQ2xl+RA0oIwLb
WcXVpui5v6GoiR9iIcVBAsYArh1S7i2MMAAI5bhz+TKGrI7HxW6K43QLa/1PjOPoSdDEvATrpk8h
C9ikKEAmcgJxczFmAP52OHXuvkcnAzikqiWbLK/NwNYm+YWKSf9IWctu/aQePyXLXfqU9Sb5sHpw
6FSxhnqw0F2283LD+UGTbHp0cxOzoZo3lLu6rksBFBgTaThJ6IjtGtq5w63fZBrfkjYz4p3BWPyl
sQfxRWs4IWAurOKPevSMJNAYhUqa15nDHo3BcivSJvVX7rulwAJoFKB+eJkD76Xcd1ONa7AwUDKl
ZRd19q5B+lpbe8lva2tTeM/XnWrpW59aM8+/NUv7ZExNWHO5QE8ao2pdHHgoblw3s3RGTs0oLtVm
E9xnhBkDRHrFU0afh/47X22AzXujhi1Q+wAhhxwVtJzzak9Sn4basU/AyBi2/HtNIrPYEeshiyGj
Ut9o6Q5AIp8/Os7KI3rpTYmB8X/Nzqs/MSs66GPhPYAKH/kxgHaoKp5zaNI4w8a2h0C3Hlpt04Eg
YQ3ZfcG/h7xyJu41ET7RegJs89ywx6dOAzCrCKFn992qPqdBbgGPYsNbn7VHh40bDw+CWXREYuAm
s59wlR6muDqOxN1d/8ILN9TZT1H2oGu8HH0Z/BRLGA4Ike1Is2uAlzsW9lV2MKs1vp+FRAoLxw01
Q0h1VyVLoA4tE6sQRZhXzkuVQ5DGq7PQLuh9r1W/0F/Yt2P7Ulvej+sLXUKHnxpWyRLswsiEZgwQ
S6umA9VzJDte4YadZnV3ujOArqQus/QmnVq3OmaxRm90N08wX1u38S86El0Lu8wxUFwvhkfdHNN9
WniQuLRASmdi/p92H3Fmy/eBoS8fpFbMj7EY7OOo6/mjnuJCLlm1gi9dcmFkpWj4AMhlQwxT8aSU
TW0XDxIIJ20YQgpUu+61NqKC9QGVlmzTNNkrKjKPdr6beEYCQ66JcCxEImBJgL6bsUfAeCghArjG
SSOJXiAhKL4QEu/81n13jDXM2kIkgozqXPxBtQEpsRpeRSodm+PrjWIKHPQ0MPvWx7sC8IrrfnIx
vj8fTjQzDBN4HH0GkZ0fztYQ6Ih5YxFy80PigWmBVz1qjKiYjoP+Bmo8sEPG8Z5wGeSYZtDJQ54c
YrbXSWji313/NZe7Oxes8XoHFRfuFkdJhfQ8nTT4z4xbL4Bm2/djGebyj6M8SIltiB0BNQ5vUilu
+nhwiQTAAFojqPUmkbQ/TfNdrk2PXian52aUUIOkhfC2gpkCvAfCuh/9bGW3LoPZbAHZtgOqHhAc
K8mpnY+JUdiwUJF+M+pv5RQB17/LJ/BTHa5/mKXFkFk53AKnBCTRlezRcSaKLwO2UsjadY9dmaDZ
2xXFyoIWnBEdUQJEGowA96aKHrnMdqH3BTPO+GZDHDU2indflBhPyV/8Fvh7jOrk2gB56wbMI7MW
Jgs6O3npzBerT++o8SrdOtTI6lTo5ZU9j0c5aONA7Af880rgQbePWI3Oi5CVPsRZCbjpEnd6QOE2
AAHMpp5A9zN+k0OxzVsAouyX69u/0Os8t684U8o0e3C6pkBTwt8OfAj4qEFR1ojvJ/qraZPtqFkY
0EJ6L9dKaktehnYSbq9ZGxLn5jxAVBVgKVPZ4pvgBZsMd2YRzbkKlTdTttbvuQx7WOa/tlTISCIw
ERwnsEWmDgBaEKnIG5LceGvorsU1YdwNvYuZmFwtE4KED6VmB2kAhpkCQ68wG7Ptx/u8+yy13cqn
W3SdE1vz0TpJu+RgtX3mwhbekkiRf+oGUuS9Q6vQcr9NqDcn1rYCCkm+Xje8sEa8jIAoQ3wA7Yja
zTB9L2ldqyqBV/vFSi0wS1yUmB9Mj+6qCMuiLbz64R6oIOI/52vURFOUaV9DHNls0T7bmeZOr0Hy
3vZB9+f9TeCcgemEFRsoUjWbrLuRm2zksNXuHONugh51K41g6lf2b6EddG5IOXM1GRsnlzDUFzdZ
fDfVO0l+mN5Gombp9sFQ3qAFopvvVXXw2k2fPV3/fpeZI8xbaK3hdgbBoVq6KW0/Z8gNy5DaAoAo
jMJDa1rM7Un3pWzrEGTf2drYxsL5O7Op3L8EYd4sLNicrHzrp1ujoHuXHO1urcG1tjglqEAfzU5r
iekzAg1OUDtiUWPQZ98Nm0adNYSJvk28j+sbevlkPdtQS6lMIOcYISuCxZUuSmDHro0m63NqLby5
Q5k2hz+3hosM+mlIYzDHPR+Zk2M/Sn3AsIuBd3iVbAhGeLPmVkPhLeNyy3sBhEW/cnsuHcJTi8rH
s+0+gWQylD81o9618qtWYEDZc7ZJXATaaha1aM3Eg3KWDMbAjXLkgXpL46zB+jpZRWPpgq4GcP+x
ikyGYZu1N/PFtwMNBLE9AoQRkmEkh+e7SYUphr43NHQ/Q+iBzaxjsWOGqX7npU94QF3/dhfZzmwN
0mDA2yANvbge4sQu25zCmuZ/bQsMLlmf1w1cuD8MAMQMThHIOyKtMs+XM1StC30lMPiXgKGifjl0
9231no6QVYN2QdHua7HGy7BmUtnBvBB4npn4Rmz8zNH5A610BWbCHNjLr4Nnh/7aXPlFLq+sUbn3
zH7qhhK1zEDKe8/cErNCsr27vo8X8UqxoaRldGJT4cawESMuUrb1BSjGZMStlcO85BB4iaF6geIf
XEI5zEC5gnc6gZ2mfs1JETb1ikMsb9a/BpSz62TdOBXVbEC+4JVuGE+r3GRra5gd5CQgdfZI0qyD
CS9mW+h+BJO15mMrJtTJhMpIUemYt6mNncBi77q/8h2WtwloanN+g2C48HwNVJrOABVkrCFtA3A0
N82z6Txf96lLeMDsVB6aeECIY45Q/dhWBxZD4JFmLassYhwUN000+TdDH6aWGzjuQ6w1Ae9BrNdG
Ol/x6MUtxBAXsFsgYwCf2/kKDZY5GbjXtcCld7x48NqVZsPiiTn5+4qjsWEYUui8I7SNGMIkw2b0
An26y9cmMdfWoXgbdwizx/n0V00eFMae6msN5Ms3Eb7TDIp05/lLoIOVw4/5UjkJie8kQfLq2JgB
C1h635CQjIfajlJ6z/+4uTGbRNvOAggJwYAo/ue0vOODjlVlmGvTg9F4tQAN4vb+ugsubd6pGcUJ
igTE+4kJM7r54YItxRl+Xjew4AXAU6NDApl1vBBUrXVT1jHkQDDZwts3AzVJHo3WQfrv160snFZY
gRfPLUEwYSgpAklnkHMzaUFubUoUCeMmQ5smDq9bWdgsvAYcsICjDoJuq+JpYOhzSV9Cei7133z3
SY9XyH8uVoGSB1jxgQ23wXiLatz5iYxnil2AwuLQ0u4zcZM5G0L/9HvDBPZnZvvBYLv/W8XqJDQP
DKj0RpRxiOkHPX+2yMrfn/3lrOEw/32ULqAhZDsuWpnnS9AGnSWFqOKwI7+M5kV0RxFvSxHFyYqh
C79SDCl7xXwKn4NIe2hWEyZPj4n7aeUbvfnTTw6hAvAjAXwDTAxST+V8kKLUIQkvMOFt/uqSqB/W
GssL6zgz4J1vWNGlhjMCxR7a7sNEtxjEqQEkWms3LXwWVJHxuW3U1TAGoHhuRguD2t1shd/lFCLE
5r4bqhD6DnItHC848akpR337SL8ihoQpMFhZ1a5vj4O3crMsrQZZM8GDdR4lVcNxXsWW6DuCj2J9
t+rAK29oi6kDFOuyFS+7OPH4/KeW5q93clxK05nQFoalCipjaYnmwxrxx8J24dmNjwLEBBpXaom4
E2LIrNaOwwLPjezNcjZps9LLWHAxmACoGTyJM0WQ4sOAO1Ovo2ApyMlPzwpYDcr19LmC4Oj18Lho
BwOwcwsOt5arnH3PE37l1n4calqUkjBlkeM9TGsjCgufBPVn4HYgNWgSYN3PP0mfEDNxpj4JIYtk
aK9J8XZ9FWt/X/nkg9mXcWHg79fZti0eu/rX9b9/uUuzcjZKnL/fYxcROImFT9qGAUyQmt3ep929
Z03toauAj+AyXusKLpqbu+aAyWDMW/34CNVy8lNQEvBx47QVSOu2CU4901YC5eWZRD0dYzlYGg6k
qaaybT5B3KunGcZmH4y4RcN5K+rH3my3tfh6fQfnYHV+x8AUpIMcdMeAC1BL9xm30QO0YAoCZP5T
VurySeTtzTRmzb4a2iQ0R/GNtKO8yRL5/brtS++ApjtIWzAp74IIXAVaCUak1njYTtDPhNQtN+0a
bn8O+OrqLNxdSAUApkKP4ty/WcqdvHRmigW737iaHfhud5PVyZfOHcMBxWoXko9/sSi8NVGeRoDA
0s5NpqRPYkyvA43OH1OvDrq1XvjSF8PtOWuDY8ZbVw0Mrlmkv2HQNoeESgoFgUj6j+jG6ykUnURA
1zAjl1EVNZwZCIAohFE+S8kHhyJtfI8DVEjLxwm9Kv7Ur71ALx9vczUfsQ7jvRa4EdT3U21Wfe2N
DDyAyReXhjrYSoe9ZNBwZSAOfRwwXMpBVe9AFa/dXf9gl4f63LSSNNSdNCCgC9OmKw/SwOylg+Hm
5+mPAaDnS3SV4pGRd0J2RgwuTy8PnOxLXNbbbq1tcekcZ4tRr42GJiJtBRYzGcAoAp4B1oHn1pcB
VE/emQHRu0YErfBXAtali8DsnBKBfwmQPvUeqUWb6ZOFtdEcw/bprqne6R8Xuef9Q/UAdy6obS5R
ipwN2jDb4L4z7IXt/8SM6UOnjfUeecf2ulMsLuhfYyoh/OCTDLkKjMXkp61vJoQJZq043uVL+HxF
ag/fjW08kQmMWNottaLBuU3BEFwWZNuYx9bYTPV3U/vn+sIWvf1kYYoXxunkjwaFTT8xy6jJ0zt7
GC08jCttg1m+tTmCtX1UAnCh01K6FUQ+dPIU00c+AK+zMhmxZmK+ZU7SythP48llCT6V9w0ZGZqe
gctWUtdLKvT5U8100kBazBDF+UecGMEck20JG+uw/TsN+n/8rrKCrg8k2dP8YCevLnT1mB5ADZrb
D1aOoYzA7FaetJc4GuVXzB/35Ff4JakxjY5fIaGuRgIzloEJ3tzsaywfCui5Cho50L4b1sLzotOc
rF5JeuMG8i51C7tj+mI6EM/Yg2s6wtj/dd9cPBAwA9l29OoxQKXscjv14DmgsKNZqNNZWIfhgL6K
ojtBAeGNZ7iLbkTQNj+CDPG68cucC+B8oDGAYvE8XEPKqw7jffZomLCdce+IqbUoR+lLSPLpVO6B
9WsONV+a55nJqTlLxdtK1+PVaELwJ0d+5/6spRExGljtc42xwqZsorjaFqU4iDi6vs6lb/nvOrHb
5z7kJHo7mgyGS+gaceIcWNJsXROYSRAlXje1eKtbEJnA6xL55cWtnvet7MsEtjy0Y4KBTIHXT+DN
z6MR0m92LTfzv29acp8Z+R6/FXDeFTahxTNz+huU6x09u67MBX6D5qb0FSVacVM4JR5VUzWEpQ4K
C6GxaQc2qvFYJ2bzUMhm1+H9tULh9/9sBhDp/9ukUh+nBvSFUBjBD9EdwDC6aOj3qftd67aZvWUQ
r8cAs8Amodgm18LXZaINZyOouIJbb8bpKN+ckzQB81GFEMnGe6JxQJ7X9MMX3QqwcRvvSWsmYDx3
K3P0/QKc0djm5BOsdhn54c9j6H+RZ2AiAgofAMWjhalcJ6kmiVbVzZxn2MfeqfZxj/GM8duK3y7t
F8YuEIRcNPAvFATcvE4ML51TwgEhVlLvvXShFW534IOhfW6+UZD7pF1BgWUU32Rd/dO27hO3KOhf
CvJGO4usRKfF0AgaRMyCoG6G6oMSgodcw8XUoDWctcWGEvoMHNO+mziE0SDYRJMnqy82tiw2LF/J
GH6X5dRQhUcaCsKzSA2ga8qnzcA4TkAiFWb1Y+PIXdJY3/IxC4rueTK6yGDxT8g6zHXcAX28of7o
UtxCojEPrZ0hUTMDx/+4/oXmQ6v+JHwXD3VdB/9VYeyj23LejXDoREJiZXgqyLgD50FAqbyvMPBK
szXaiiX/PrWo5E01VB3GcYLFOp04xMGsqNXzjwR1E3u1az5v6LXVKV5uaN0kTQFbGbJpXySBW7/X
YuUGWrrvThc0n4GTXKKxtbg1fBgZEYLTlAcJA3vUkcZ4/Gyuf62lR8mpKcWBqrzrY3AcZmEL/F1b
bqAq5iafNGORCVGpkfVB3a+E/WWT4JQHShbRiCi3eSrqJIMUNoIt5bCUhk1mHkZfD3rHv6cOiLqK
h0ybVri9l+LGrFSPQUyQNYDC7nxPtaKxx9hAECQWILeud5+wtRxp6bPN68EIwlyDUhEVVa0nYDXu
cH077lg/FuMgAOxDwLCjJK9BG8E6aHO2kAhaucyXnBICMaBgRwUfL3UlADV1gZtUH6AJMD5kZNtB
B0j8zSUCdi9cIb5loTWkfDW9k6JMbAEVxP6rNt2z+C3x3xxve90dF1cC3hkTXUEP16JyG06uHHPc
JPANL3np++E9bTCVIqYVr1+88IFEccH/glr0BUQb40eU6XJEiuff2fHGyW5EuR2bXdM/6vamMjYE
bwTn1hhe/2J9J3aVUBVLo49FPM3ho9z6WXog/LkqtJVdXArBp6tTfD1lycSKWZ4odq06bIj7cza6
9xOrDM26dLdJ3RsRL8sVyMWyXYB80NwDpYR6sm1RctKi1w8WnyJMCu9mcJ1onLQHqpVBaWhbx/l1
fT+XTjUO8/9ZVAFotCuSgWCwLCQVC7303u/XsJGLt/upCcUl8bixuMNgwvMoRpFxsjYxe2TiS+2E
aC+ZkDCj3cqBXgqRv8H0BtrJGFNXDhu1a7udUhtuMqCVbH+AMjCUmYgIUE1JI4+dVdzqYjxc38wV
q+pmAqUhM0wxYaXyYapB1f9oxu+N9tha+4aHfA2xtXTWTxap1i594vcZcOVA1KUY47mJCSYO4784
Cac2lPMGEb/KYSZsWFkLpcTAtuLAREW7GaOxgwDdirm1JSkHbyy8bOQ6zLnx1xzY7lJuVlU9fl8j
SgriwOHn7v+M11HbAiRjHW9xh4Y9iIGTrWEO7ANSf873BMDdrV8Z5YusvOzelV0zhWPDtAd0d9EW
ExkTtzHP85vO9kDYfN17FtY+E96aUPcDuymqxecXrFdiLrPD6xUFmANlx9aVgTesDoDPXVV18fPr
HA9W3OS+Cp2H8mRTkQE1MiG4fat53HxkhX2TS4EnW+PvxsEUEdKXOwne5CBOq2llmQsRZ6aowCAY
Rs0xBauEA6fC0weMyFgmwcwW6KdwWVzfyKWIAxMQMMOYuQ1wnHKds4nTzmbIySrnxu/2st14VZi7
H1asY4pnJwUewyud5qWPhx4jeAdnGuEL/rzcIUVnVXPGqd3mzk5D3okh1OvrWggvzqkN59xBGkMH
YqkrEat5BGoKyaKpuKPJG2gpMbTf/0UqAVJ3tCAxWjJnmsoutu3InJ7gPZoYRys+1vLTS1ZyysVd
A6oVTz94PsbKzldUcCuJ4wkmPAMu/10Ud2O38rgEIdOCx8958kyCjD6wSoPRpbIZM3CRY0on4W+z
IOQ3W8+Gd8jG1KACpOZn3pb+gSapdu+WaXdMC6PYpBgK2dNKjw8sbboPS1L9K08rutcNNm1TzWZ4
VTgV2VUDo1vwbvdH3ZkGK5jccvrIRjCcOUzmSTBIS69BNOo1UTGm/V2X5Ho0tk4dJm1v3rWjqz00
nMoO6jjjtOMGZ1/N1MjvnKKvn2jdylsrTbrHXGt6vDbjGkx3WeGDjqhvWcR085s3ZSCrLq2WmtCF
q7vXvk+SjdUNyb3tNnYbJXYCQqYaHVIM88cuuAEniNi8dw7IfLBx4nmoJ3YwbG5sfIpEJ+h7z9rH
taxqlJx5c5sQMv8ymh4G6HhEJu9LaAdbMchS/UpsuWM3W70UfrHrGe/3qDKKg0OLhIX6FJM3lk/e
UTitBMeDLEmyoVY+1oFV6NatWet0z4QPJqm61ds26LGJWwFxrsgGTgvzf06h7Yc+TzCqaw/+NnWG
ZFdMvvNP0cXFEdVH7TXNiuFzoh59aGthbTQjJj3w+hbJgwTdUCuCIKsFXKGeGV/IZPpoa0vnJi96
42ufN+ZPq0r0R+Hm6aZqjAQJM0YO8kgrq/xLkTmCg8+5yn+U1JbHFMT276kxDIeqNKawEWNxh/97
fxd7HoDnuUvuqDYaaKyQ+OBJM70zE5tHTTUldcBR7v3ic9N5EiXzU0ggN6TGAI6Xiy0tGMt3GCQ3
D5XZdk9ZSvgWU2l+F6aEjEcAvsSnO8Q6er0NisUeVI53AsNxTWCB0fbRw2jGfU55WoP9fY7h0LR4
YVlRPlfl5FRRWsf1oa84/2CWE/sBNxrx1RpSAEdzY5zsoxnn3T8p8JHbdMrrI+118lr2NaEHyL8m
YAY0pyeoHZXbIhvtUKOa+2S7nB46o7X13WBRwja859QInBJ119BKs3HY5W0rn/J6GIdA5j69FbZW
YNJI6/c0qTUjcCWvvmFQJ34l2Jc44GCpfWGG3ZZR6Q75a5Va8sUEtdqnX4NFluW+3gVpnZavJRn4
VztHRQFzRA7GQeIs5l8qkftP1GetE5Q1IeA8t4obT0i2mXrMeOdVK15NPppNwLSm+iUHITcGGoqv
ppNgoCX30CwKCrMCC3SR+PELySjEvxI7FgFDcv5qjqa2rWhP4kCv9ByYfyrFO2mYONC8aPygFI5z
I2qT3jPS4QBXui1xigBmjIt6uBEi0z9GIJ8CM+MWfrrt0QJsvJV7XzR4YIM6x5YHThMNocNpshGK
flNztBotexzTqa8CiM3wA/ecbFvaHepl9hQ3qD7YErMcafYDuC7xVrt+fyi83EdjG0XAhxJvtBIT
SnFUN1XzlXk0vkc07COtKcZvbmHy7WSBxYkMpYyD1q1ByDGNI7tJhgSpqz86dMettHiRCNdbPW3N
IYAhdqj8mm8B9MjurLpKnzU6xnsnJjaOQwZOBM+Juw0jYNTPx2nYghMu+yj8VgusMe434Kxw96Cc
AJOcw+whaprRRdHPMIEJAYEq21qjC0lIi4tNkpbWphoyW+xqx2n80CssewowRtz6gQDvXBeZcZvH
eJQ16A7bNShagwGkYhsM+HckdJmbbRwj+x/SrqxHTp7p/iIkdsMt9Dr7PpPcoEnyDmB2s/Prv+NI
T0J7rLYy33VLXZRdLpdrOSd/8kAbj762dtJAGW87bA4xb7PUoa+32Qdg4jFLOVVN99JUfrSdLVZ/
I3bUHYYkz3bAYWi/WbHWHRpwJYdM67stI6zeWHzRk1JbXm2j1z9GO/MCQrLqHo0B5Cru/PYSNBnL
0YAhAktcS1QkF7JSADAC/95yQvSYpNoMIq+IAknhYUl3OmoRBvlm+q866smLG2p1kM07W0UtIo3m
eLsghxJAMlkQy9ADVRm8lqy1+wZo8DlTNVZKo56VBP4Fq1xe3NdmDGgKFHX7+Xtt/OIg+74OwgsL
CaH0p5/nd3anGvqWhpC2jkFsH7lyNJDxl/pKatMS2k8agoaMtz6mR2fY9UUagJcoTQ5T+hrZv2ij
eIvLAhVk9Qg6FZFTQch1KjNtE0AX8/J1Fd2kaTC6u67ej+11pHrUycKutSBhScHoNPsDrypr7Kln
b1Z87FV0gzK7WIvgn7BaP9pELEn5ri3kOBUOEI+tfy+Nu0hw4SWHHi8Oe3wqoUIjm23y+ps/Xo7z
nvhb31HUpHlALb6VgJGPIVKAHrif2riNtmh1Y+Al28W7Gr38okszsE6m4JE1N+dje9mWrESJPRmM
kLYucmgTeY+efQfGREPV2vt5kh0IomsZwsvLQpRX+glkAJEwBAIdQkRAZi76hkQMKCvalYnOwmRw
wVyB0UALUEQFMFhKI8jodJjBzjfhxdbp3wmaBM5rr1hosX3II1kTtbyTgsVb33oZe2QWLmJVM5TM
JkExgHE9tAIbn5jA3SFvAfSAl6fJPjL2lLDnL2jBM68ACQAEvciDhSiojeYWr5nC3zZN0GHKBHCP
XqnqoJTaClwEuv89DByLBDmjSZG8yPC8taILU/tfMwCxSVFiUIkQPIQOumnQs0NE7z36Q4oRiY2u
oktUyeC/r1xElbHBsz08mb3qo8m2WXU71Q9f2ZG/K/XpxQwQn3qEGjXCtcZ59arvURGOTFU/kFrW
akeEp3JqmEnsOpBTgv3FeqaDIi+sWirhNtIaPJAiG0vVFNsGVIOt82L8Mzg/9w4rHQR/SjMTmHI1
dOjaC9q/Mv8xi+7Pb4dimX5fuqsd96MS3eAMIkz7LclBvMG+cCdw0gd0piJfhxDs1KRmvc9mvUCN
qjAuUtAI4sbW/5muha8TwjaM4QHP1RfL9LqnmY3f4ZTPBZpZxjtPu++d6xgN7K7CK8rigbUk4RA2
iJuTEgNK4azv7eQQMy+w3XtAAFf/3gXLdXLB3ccxXZHyOV0306ijpqSQNBgbz75Z7N0wfmXvMROF
PnzkXtFnfiqCTSAuMiIU2rv62vGroCu+ctb/CnAEHfKyq1wv4d59eC7HnZtcVtHeVY0tSU8iOqgw
II3eayzXqRpET8um7XkOjuzHeKc1WUBVF7XsNgTiKOYwUAYCyq4QB1b1gnHYEbW1BCPlRbzL3DkA
SpdBt+ePo6yI564FCQYGimZmFx0X1Hb1FZJK2UWJpMaWdG17h4nPKGQDoGMH1/0+6Ua7cRdnl7up
FQJnWBVxy4wd9/JvO0T12BSCk7yzlmoxcXRJttPNCeP0D7F+2YFSbDIUWUeZG1qLEmoaZW02yKtA
FG/oTa37EeQc51dWLgHgVXwaDBNugh+ycgCVU5467dp9Xd1Yg+IwSS0EGfz//l+4D/wSKF1swv83
5S/a001cIlvik62VqkClf8PbiDEwnnYYOkLoiJ5/wRhhiKhpAcMs9AYXRHUOHj/azomBrIicVbcQ
tHqRwIzBS5NVV2hYvpmR+1vaHpmxIaCAAraAQ5SO/qE3bvrIR+JLsRay9+H6AwUjxnRav/R8LXrt
1XPvEveiSLZJBYbQi6Y+WKrmC+nSr9ZDcADIOTo+4IBQWURBrE27wK1njBYeYiSIzhuRzNWsFROC
l9KnGB2ZoRhFw6T13Gk3uq7wAFI75bDr6EtA3UK001ErHSBCoOGCmldJZiD8VlV/pcf6rwRx/D4t
c79CTwf6BMBZkLdPLdmV+VveXmmFqh1boYwvHOvId9nYmFAmSetDRdMr8GkdvrIlf9ZLfKG3ljlP
NII2vtvvK2tEXq0McpIrtkW1aIJJN0PGbCPCzs8YIQYoBikBrpVt7OFxpPnm/6eSYM9zDRxFwHjh
2uzsjVs9Fy5muz3FusnP6N91E/xhpBsp8VusW0wPOppAWXs9j9eNiwAK/D3G3rd257WSX20+hskB
fw70BbHbuqZzNtp2j+skvUqLi2i6zdF7bBqvoBPtAeRjB7YRohIc4KX4lXPLO7OQe7cwviesaDkt
GfLTEJ20F2WfhDoS/YmKS4X/ySe3vBIirOhgl7Pm8pPre3tK9qxo0ZKvKJ1JD9RKhnDLNGW6OIsD
GRPwZkoOatArjE8lQQgK47GuU02DBKxlEGlVOKiaaqWWh8IfxrvIb/qF03itAkOMWxXouio9+kTh
UoOiAG8bkFzdkAACCUg38wMqJ+/o/jp+wQY5qySmaUHfjnnaU9lNNrbU6yYUUJ34vvAsDPc8jW2D
XHZ9NbQkLCf9nk0/lu4FffFbW/tnwE68VACti0CVTw2TT3kCDRxCzIDuBTUyYEiTWT/Yg+aApb7O
rjyvMp7PaywzSiw1SHQx4KCjH/tU4SkdDQ6FCqNMAiMDrnx5u8Sz4njJnONaiHAtQvaU1jaEJNbP
lKCgc8idGk/Jp7Z/Oa8O/yfxjK0lCWdsmpo5HnqEx/UE5D9APmLAKDRRJLK6b+clqRZOOGm4Sdwc
hRjEi/57HB9I9kjI9rwI2UHgE/DAigRGCF4wp3tjmk3TpiNay8ronaTgzkH9uUZFUg9G/93Sdk38
47xAuU5/BIrNUF7eo5u4hUCzsrbuhH4FUPIWKIKeFyPfpL9izFO96soxmFnyTcp2brm17U2ZP1r2
FxzVavXER78DQnigtkOKxd4Kuh9qRaZZ5gjX/89/X2VGCAbVJ5AY4UkygRwNxK9UdStJ95/fhsCm
wMir+DweaJsDEs5AnzJ5ZN0c0umF6TaKiaiDHtMZZSLVsLD0oKLfFSMNGMHHhO2pTnFXEeSsINE3
rtII8yh0V8ZjMPYG4ubdeSuQrt9KlmAFJiC0HYdh/RKMgGoueuYVvuAz8iJ3pisJwjuo9ObSZhMk
NOjIpBc1e6ziB2aHZbPvUSBG7EwvjHgHfGvMdYVlqXhRSgMa4vyGSkcPy6eAJhoL1+gjWKCWGCMN
CjLMz3aqoeDMqFdhODoqUfqbmoecuMWtiyGoKuQ9CNcG5vuATGvHTLHm0gOOcQ1MKgDo5hPwNTHj
sWkjC180PFJz244Xna9wWioR/PCvjoVV+HOT5ja6mSm5yXrgqZX0pmQqjF/p2VhpIjh6eN/BSxeI
aYe8u3TIWCEYMS7olLqb1qEXnp+DQpzGl3ZTqV550lOyki345bHrU2eouWyrArbSjmWPVbIHLg7G
X75wRv5KEoFsKW0HL2aQlHROwGw96FTs7IrtEk88sSpCWAUJuY1wtN6ZaPixC0VpQnrUV2oIR92f
jBrtKzC7wXghHmQ8nl8m6YZ4FlCbMB+F7kGu5MrmSkpBf9OgFpUiO6Q7gMre0Pxai+5QBDsv6Xdx
XAwwENninQDHgrEDQZUsN2hu8UEOwAMEkXU5DB95BAjEGw3EUF21Ha0DKb7N0XXt3KEkd166TE/E
hph8skGLg3GLUz0jVyspCHGxjrR9Zwl6y6fvaC67nZwnK2sVB1l2wjB9ipkmzCbYnxjeqgrPJI83
+pm2Dryfy4L+mCwvcKowKS+HbNN2/zuvnVQgoF8w0AF8TkdE/tFABGrWUYc0jVddzu23FmgV3nST
eCMo7OOnpZg3IIpWLKnM/nGJeqBV5wzUYkma4NlHSgNjJJkNBDtQNwyXsxIHSioE0F9ot0APM2CH
T/fN96YeqUW8pZnd7tpoOTaJvm9jV7Fj0oYSgCeDDglDechjCtc3G00O+8dfD2l+PbPbBXixCWtv
gKq2Ra/rLmmSO5CYPsy0Df38/fz2yQ45xpWBP4VhIA9J4VMlXX8p3cZHkN+ACVGbrobq13kB0lUE
Ai6KEagEI496KiAz7WbSLVynJFr2vHJXa/oujj2FRfAL6tMJX4kRLjDdAgcp4XEJWHiD3kSXbrHr
6aP9hcFnzkX+Rx3hMBuVASxa9IGGEWK6FH04WfHeGJjfU9WkpOdqJUh4qaRe5PY1AHTCygS8vP9u
o40zf+zs255syio9tN4XSnoe2rhcOA+U1UUovXrsfZ01SNbH2cW8vOnuwWBfqK6ClRglewRYjile
W5oFJB2qIWHjUxqSCSAVuCJViVCZRa+FCL7ezRZgEZUQUrjene729375cN6kVRIEx2BZZVGBTA5n
BtQ5xnTr5IqtkMagqN05fIINxPRiDS/T5zQeGU5l673qFWaFLmfzUeufaXIP0OXkWrtGMm35ygtv
JVV8uSSIPXOHP/jHbEF7zEvHSFB7GyUqPjdd8ayu5QgOL2b6OAEiKguNxi33qTnfD9MrW/w7d/lZ
YJ4vINmP8zsmc0JriaJNlJlVZRUOU+ZgMIFTDPQP2T+TGOLhshYimEVhtmbMIqg1+HugyAag5QUG
qaWCpJR5urUYbp2rsKki7WhNBGJqvMDyaQ4K90c3HmpdMWgh7cxbCxI8tz0bOTH5bB7IWsN4fl8i
bNh1VD+AeA+ETQChd0wEVF8o6WHMFwB8SCpjUlzMAPg0pq3Jr8N80C+6ktwMSnB/vt2CAUKEzwE3
AUX1iTslcqpxQv89RJDmpuHP5HoJ0qQPCmphUqZBsuaCWOVmdN6m+M2sVUgKki1ERdH1XEywYERV
BHFwh94oUhOXiA5EoLHaU3Rp6N8dFUC2xOpPxAh3IoZ/YzsjENN1aALvptvObj66Ut+cP1yS43wi
RrgSu35phpTPUuYtvQYTC8ayg+x+Iv41q6IAvSiKq15yMxK8g1FFw+Tt51oaNTS9oS2ueuo2L7ZZ
bZP+I4kwdz4+wqTQU/zDT8f9F3RcyRRuY83WRqfpTO6yNmx5ZNl9EFjg36adomQu3TO8ExDXukAl
FMEB65YVccoFjTOQOr1kNyzFRbPEChwRlRhBH2tiMRl1iJm6fePe0XaXJ4fzS8a3/dMhA78dnj4g
fUTEdOqnuqgBxxia58NhRK9+uvUZsjgY0imC7gs1GtBXoUcEsMwciVK4UHyAAyMog6gpGTe9e7BA
n52r8gfSJUOjCP4NRL+AcDrVpy0sjEk4HrIwGKUDeseMHk0nVtz8srNk6Gi1RSiOZRNHE+N4MrW4
1zAFSo19lCAVTm2A1tnzxh98DL1MSCSmlWKnZJoZGBEEeCJCv08jdXR0E8zMAP8y6UCx5LOi2RB/
GHeptSjUkzm+tSTBIy0LcTGYAPUS38aEsn1VDv4xBvYgbprjefOTKWWi3o7GTaCNfHoIA+okyv0M
SdF6Aj2sDjQ56m5n5ivyyTIrN128QzlvFV5xgpU3pPfzKkUmxs9KMGDswR+ZeJcuCWa6O6+QbO3W
koR7H5RzCya8oVCp7YDsEbjkx+BvB+vxvBhJcAvM0L8K8XVdhReGZuoxfoUYZ7klo7+vqlrhwOWa
cLBOTmv+CWM/L3LQf1lILBXlx4wRcf+V9NtRRdslNQDARf0nRXBxaWZYTcKzpn19V/XHGZAkk+JW
kIkAkg0SO5hu5jDnp2uVFoXfj3z4vZtvJudFA0St3ioWSyVDcDtsGhnuOsjw7J0dv40GEMxUXHIy
r4PaqQ9AfXBsYY7/VI8pNzNAieE2wPTij7pIrgYLrEcW3eVAIHUaL/CAHxuctzPZLc7nCXheDM3g
YgzkVIyOXQy90qHGkO0NhcNuiioAEG/o1ltMYIL/9rxI2VldixS2a6jNPK51nNWmIDfo+wjNsfg5
1Ma28L3dQAqFW1VpKOyczdCZFrlY1bmqq7Czp/eo1tpjPrRv1aB/0/242kapf1OgH0yxuPIN/bu4
gu2DrC+b8hqLuxBjAhsXEleAZBk24H54n6rom14Z1yABULQxyM41co6ANUYeEDelcA2DjsWca437
wvESzwZryoIlDVn0cX4bZQkz9FGBQgdjKRgEF/s+bAwyTphuh/8w3Ws9c8M5dzdg1Nw3Gr0ssm+d
VxwdzCE68XyInf7nefFSK+KJLGRQAWkgogG7wzAwQCEjeK9+dlkBw0l3ZjzgSnsvNKrYSOmSroQJ
Tt9y9DQCKhiSMsDWq92XbMmOfgsKF+0rUTX+7o9agg9wMIlHXQa15gQD1bp3SUqCuBAc11N1Szt9
w5Iu8BZla6xKQ/776r4p8UmAyYPchNYHM2chdfrAwVQHsLKup3kO0S53Fw+Ag6H6Ieq7x6J2b0k6
dqCBzvdN1geGEqlSusWuDvAgPsUOKKbTb8I0bc7Gnh8fZK7zZOcDN93eAOogUIHESQ/qSpKg/UgY
UDASaG9P320rKPJDjmKIQTdRXIL5Q2G60rtkJU3wSNUMBAKL65UCwUSf3yLkSQ2QEJ4/ICopgvNJ
xszRnJxbkoN+1C0mPwNEYwohUue6UoX/vjIbq3P6xJj5FvXdm+V3V0nvboboBdNwW9tNt2nyXqJX
97xmsto0Zxv5zzBEJgU6JLSpudTJyXdWmh6BWBkaQ7kdSHdA9IzyCt0AFONhGKxdotVbL37Xtfgu
T47nv0SxxiJFcNdoboRpP56GNjd2YgIbM93XmopmRxYMgtUBDwMABgIxWfDoJG9rx8/w5omJAyZ5
94CB9f1XNPkrwjzdSHQ8p4C+h4drh/iCkgTNpMlLtCwKMVI3s9LEOhVTWV3ldTM0sef4yNr62hge
jNJDG4irsExZsRE9cKDftDGCgS4gYdFsv2s1K/ERFQKTDoxuiwOq9cCxXoj9Ni27Prp1xqC0B4A/
bFvVxKlSurCeCULV1mZQ1ERuqbLv3eQi8cKxvgTGb97/wEQ2ziNg2AcTbVbj9vxmSt3ZSnVhlVsy
Nj3jb+QqBUIZDRd3H6f9Ji6eSx/k4eF5abIM5clKC7djHCd1UuCVFybLjTNsa7S5OsN+SRniqgdL
e8jNzUQVVXGpIfEOR34grE+zjZqfj7pfQWYdJceSDQBhb7elp+17qHheP+k1xAG9MOBvI1spGNIw
O8UcmXgtOwlIMRGnar29z/HCWOw3XFsKlyJTjPen+6DXAZ6PWIacq9h2NLtCwG+RNmBZ/qtr/CE0
YzcNFtN5Pq+brMSBmqeO0QpwuZugVTg9kHHle63uQBw61ex9m9VXXdtUG6eLpyMAkdx971o/u7Rp
g8nrq401AcO/jpbHwq1VmPAyZwqnjvYAG1/zCQ/WLDprQpSVhzT3L+y+Ce2GXOfKV5bEXFH54s9R
UBNwPm3hzupoPJieNSCJmD545Xs93FdA651BkuOiOr9tNVByEYUNfd5VyERqDO2xFihaxPKr5plJ
WkWQSYvQaB9TjwEj+FiNKrgrlRz+++o+JmZPwSqJlPpMwq5/nMsdGLKZ/XrealRS+IlZSanpCDh9
D9o4+RAkHoa2jEdbR2X86byczxbBVw3miSZX3SeicTZpAqaDjmuTP47DfanfNirc/s+H+1SE4LsS
p158n4uYyI+YHA22iSu0M3wsqirA5zscMye6Ca6330xmYvtJB8ASbea9wlN9HzP/Qfd6Rc5aKgEM
MzbybJwfRbBry6BJlEZIyPcs7Oirbf2zy+VonqBDBD4eJ0MRdr1P6rmdfiffyXNr7ayoCrLotsRI
0Pldl1nXWo4QuJpTiR68Eakvt9jEeR7EBIBKKAbZCn1k64XSE4o/SBwBNU3w632HwK12kZli/q1Z
/S8fTdXFKDEuB34V4TxBZoWI9N8MkxDlXCI87J0aBNlPOhg/E1Jw8JeAVde+/2G79L6z+l1G7/Wh
PaDA8dSb1kY3GNC0KviIRvUskH6TC6BUCz6fk4Sdnl3Wg+UMo/wIWd38Mlr6S5Yae6txdjNsf15U
1UuZOHCJwPSRA4TZ8CO+chVVBYyHkWAzWbvU32YSASimWEAuGlZ5DjJ2Ohs2cE168DeWIEuOA9se
SLBMZLyIQRKy9fsl9wJMhFYlKBo8jqhFh/Y5QhLpzqkGW0XSJvte1ElckMzaaI0Qu+GiZYiQR8by
zHhPBFGmb7RluvDS6mrSul9l2qtshI/pntZnLFDPgYHYtGGKKLieLtAM6twp9nigqDHQJLT6ZrT6
K8x2bcgyb1jjI41TYO523KOVUbU7/M8/CYct2MD84AiFgnBM7rRavyC0mQZ/w0b9oOn+jujopHWc
ndZbz0s6IuRBO635NNSxIlElOYCcPR5kZZzRE21Jp6qX8DVLESGGc+IfY+IFJjCs/tmVoJHrd+EB
MBgYEj2VkA/x1FhDhKxttLWTY2NcTgBIKt/OS5FcUydShCM1lYkB+EWs4kCObMKIbXPre9vzMiQP
CgtCOFQOzhHSXcJitWxJF9aiOlQ60y7DsEEQx74Rks6Y952fZWBiGLNNXgGIe6LddINOMyRvjNG5
aIv+fuiWWfFFspMC03WAC8gT1mKNzEqj0UYDIKBRzQ9UEoLCu4l07a73R9Qqpo1CfZmlwkSB44kX
nQmTOd1Ja2hR1uZPmtqIQJZStFc+gL62SVM134bUpTtECrddvJAbAF5fU08jIIXIFAb7e5HF84IN
AM2pgfOKHq3Tr4gcL5mGCIAUU+2OHUaEC0sPY7ewnzQfEDld1jOAvE9ZmVyihwtGl9IMZUoDQ+ZH
Qih7mqwMQFWdRux3b4itDfBslx5XW5Fd6M1cJttswT8Fbee2T5WfGps6qjnaWdnN23hxi2fT7RyO
Y2M86Z2tfTRl2+x9qpkvThQ1h7ybiw1N7OUqSe0ClZAoSoIYuGh3fcwmVaPS52cm9h6BGcJ1xDWu
SGOQTXh4m0OZh56JeS+T3JXOzw5lhMxgQOe0dpOqiVGScoZEAATwy4TX5YX1p4Nrjz3Ba6Wft753
b8Wbsn8tyVMyvIPwLkUOxr22lfSNsvONywCVWUC0Ay5TOHpjbs4OaCTycEwArmpwZpfs1mW2ohlA
EvfgzgEdFvLZOOhiN+2YAy8vndAJnfc+oNyOaf2dem8u2Z0/SrJzi2YX8Fq73KOIOauxYlaP2Z48
tL1xa0750fWzTdLaQW59iydbcb9J124lzTw9MctgDpQySOsWAIib5jYnd82kWDm5EMDioxmZ96MI
G2Qm2RQTH9yDUzH+HCd3uvPI8FzRrlKUmeUGCOoMlOdQncVo0ak6FC08bOSv8yoa0XP6o53RWXO5
+EE8oTK4NcnFgMnUWgUTzUN30e/YvoXDBi4jTHAKob1ndyRyC6yi2z0v/eNUX8QU4ANBpj3r7GCo
3iqSrAAmAdCmz6kPMHwjzsn3IPAr0EUHG+meMbc+WaGebaJ022UBoW9WHsaQ6t549f68bcoigrVc
IfSnJiAFRw96em23T8l0GGfVXJjM/PkbCYuJutWnXCrrxs7MAXTKR7Pr9tiMh7kpeN9w5S6K6ENm
lmtRgu1nVYyuN0TAoReDfSp2D56TB3qRf+FAr8UIV2NM52ZhCcREGCqup7spe/OLKozmXwnQM89v
kMzlo5cIpD0+fL4t9qnzbH9bjh1OGkY1/Aef+oHv3LPosQfBtKtK9Jsye3Dh7MF2ZAHGTPT3RqMN
DbN40IM+zs4I/PrRXLBzW625b6MXzIJr9nUfv89VWHgHK/to65uE1Kjc7L3hUrd/Ma0JivoxXw6l
u0lLFQaPzJjW3yfYq9u0VubEiAcAGU31YJh3jNxb7Y8uVUQev3uyRQ+AGw/oNXit4hYSHI/FvNZI
HKwEMxO0ce3zGdUMDh4bdNl9486bxLCCrCu3eYXLN/9eW4ADCvPmp2NdZNNL6QFydAp1936KFR5e
GpmuP00w896sLZR5sQhNcQk0Kiz+FqkhRjeW/0SLnUs3Q3aowMEWF5vy30ewLMxbQjz6pYC1JL4h
mgZJD2SiQBoMrHPkToPIDkcVZZ7M/a6F8Jt79YjN2tovMWCIAMD41nWB0+1JsbOSp9E5FNGtqWqQ
kAUCa3Hc6lbimmZ24nSGONehoecGtnUzYVjOV72OZNaLp74OZgBkflHhPZXTz5rjGhW8rZUNmDg8
suUhATCdbbznKtQNid/Adfm7jxjdbcjpnYrCYCwtUhuiUvroxgzjnMAjrm5jYC1aIQbCznspyX6d
SBP2a6RmnGsTpIEvZWmA+Yj5/DSxA9cMCvs7cHbR8qJwjBJffyJS2DOKQeTSGSDSZNZW7/rNWF3r
KsOQbNiJEMHdLCOlEePBVDwWQZNfoOCIZQ2AtD40ipDKlO4YzhNmZpHqQ5HldMeKktq5PfM1zB/T
6TimN11pYUhv48Rbu3xKqR0mw6+2/JW6V9FyIBbbjLYbWPrOAxR5euziHYvyjdFvMVkVTnkPpM0d
IooM7HjJ7ej/+yWIasnfzxWWBv6xL80U/8/Qo+Cjeclge9L8GDVvS36dty4JrihnWvgrS4jGmIcZ
nYVHKVHzo3I2rfaaIh3qd0GWHPV5y9JdbV35xtas7jqgM81l2JgPvvOWF8m+Vl1BMve7+hqQSJ9u
FJjLolHX8TU+lhmF1RgksKGT6UE7HAFMHkTjW8+mvePclcVmnL5QcYB4jM25Fl5mmHs/FQ/waqud
eGgaNXeT/2QuaBGpLqZEcQFKz9dfMeIwr7ZEmt+mEFO2bykbN3F9KJvyK4d4JURwiI6tJRPamrCU
2vcWuNh9unVVQMEy38T7svhcBQEClXCujH4a84yXpRP3Rx4dlxxEkUdGADabXVbV6/Ry3lhl64a5
XtD9IWmEVmZhe/ROR39vPOPczVvNOzje4/KFK5iPDv8nQtya2hxB115DBGuu8/hb4261UnG65VqA
tRzzrUg2ibkmwMcvnaWNuD6Ww2y/6vSKqabJpCJQOXF1pAkxaSrsSzKYBlsItBimR3RBz9kVqq7n
90JWeQQO318ZgpOaHXBdgGYE9sXelu82cu5tqDn/M9Pv/XCf41p0+kIhU64W3jmYicILUkwbNnXX
2xUaqUKHHeP4I0XyyHo/r5bspkC56Y8I4baNDN0rkIoHSmu0HbUDgnBnQ8ubxd+areL9rdJG2CR/
jvPE7iHKB+16bBzG9Dvao8+rw/9DiLSxSX/VETYp6+exNXTIaNI5SPPAJi+zVwS+cWmpCkR8Zc6J
Eg6nQRoWGTVEjdVPQ7vI2496wkNxf14h2Wse+TLD5P3RCJLFR9tCRzChgPspnBHdoWcSlC1GEPXD
JWncMDIZXnL1DfGs/exE1wmJ75NGMXEqc3rrLxBMpEYXLMAY8AWWdxzm/7nDk2mhRH0BEJ7K26W6
SmPuqIWFxWSZYwKUDOPcQC89vZQGf0mm0XCQJ2SgUUmCPH0m1TaPLiZ7CSb/1UIKucPb8d/vD8wf
oGseM/hg+BEHazPWNRFgRH+7Kc/bFN1+mLbnN1Oykhis4TxSYLTyAaJwqlldkHpqUhCSuU0adt7O
1feJFaD6FjjpBoEWVaW8JDa6Fvjbp60eI64Jfol6irB1Ng1yWqOX+Lj0V9RS1KIkR/tEjnD3DjqG
0e3CR7IE5OseQQJ7CtovXPAnQoSnKql7pywRloYJhqH8KLT811GFySzxH4APQBqSt5fAEvjvqwXL
XG0prMzNQ5RFr9qqB3sVvezGdFvx+c2BKtZN4n1PxAnuCog44OfQYXO5+Str0iA1jSDXtuA997CW
qqlQlTTB/JjTIxIoIc10N4y+oxMzsNlhyjaOeZ/1H+dt/bNJ2CjewfEgtMQjxBVU0/XILXsCTgrS
NshegMRwCMpqd17IZ/uGENTBQUKNmjiwH063y1kKVECnGPVXVKPtftNoKV6nD0Q7npfz+eBCjoU2
MhR7ES6J7ym6xJVep5BjGB8ZkGtBZta8mqD8G4DeRMYwcRQR82c7PBUobFWuj5UBOmAoFm1ZeRj8
i7b7BjIrJU2bJKxZSwJS+OkSol+kHssOkhbbtRA1R1G6I10UXxsWpbvUBx1GXbDql5248UNieMne
7f3s6fz6StUFjy6nrkBGQyzSRMxnVqGnaPdsrlu0HOfmvUe+Tc6mYYoTJ93JlSRuUasDXjhUZyWB
pGysNz4iuMYFzdeELs9DMr4O9r3dKcIeqY2uJAouxbMjTIFbkAgQ7mrcLiZBQ+ttVH+hyoqdRH0N
tU285nBxnqpmT0kJPl0I0kmYuqFjtMEwAJ1ND1j/EdkPevo0+Tfoi//K3v0RawsGBGZdGrsl188A
9hAQvrQ719+W/lYfFWkNqUv5q6DY8GDEDLADFSRp9tbJr8flzpjfzisjPw4rGcIlY2haTfokQSs1
x6WotgUqQt3SgmouRV/s80ADbT4OKpwAlWZCyKOnRB9mA5oN5rLR0Fg4Td+jRYVxp5LCE/Yr24/8
snBqbiCpdZnQxx585pmKF1Rq7XCTAGnykJe0BWuvWVFFiw8ZjROUCw08tJwCHCBBtuv8TkldxkqQ
cL9kftlFBj/IE3LqtvYzbq59a7uwoFGxRklchmsAasUipoHGVrHpSov63F9IjMBw3Drl7ZBuOvI4
VDfoW8iqDSn+3crB3oMWWgcVAxQMhBWkiRUPXpYiWUKviHGXO2/Fv0c5KMesRAhrlwJzk44zkv5Z
edeZd2x4bqpwmW/N/t+vMdR94JBwQ6NsLQ53Nj3qHmRAm4kX3eX6I21CzwttXDN0Ppw3B9nBPREl
LBsazzxSu1g2L//otDcXJNhhVc9B218bzYtBr+OoV7wYJLZ+IlJYxlyzbQD1QjtkqEfjbdH3zL8q
VeVj/i+nzyFeO/u7hoJbH+asXWYPivnGr3l4B+9d5D80yUOeHiJTYXtSjQB9xlM1vCwj+qF+bBNw
/qF0jNzjgF6MtAWJ4ZXVK3ZL4olANPBXjuCJsnEwrayDnHi5NZ1NVD8Nqp4r/hfismHRcIZQB0Hz
kWAPZecllRmhIT0y0Yqpf1iqzJlcAIDNgNuG/Jz4mLM8vIvJguFesIWBUt58XJxKMeovFYGEGS92
o6VRbC/MEsMZoTQ/p7+q+sHFLMz5UyPbb56R+0+AcNslnWFOS1kgwVTc6/DUZnZL8odExQUs2+61
GMGsGG0G3NvQI2mPS/lCmoBGCouSXAecYeqPJoJFJXEbJ1MGTbzqRUu/+SBSB9VmNmdBrsIilO4K
6Lg9z+LUHyIjt5fZo9HqKNk76ZXd1WFbNIptUUkQlMkQulUVb1QBu5GFDEit4oqTbshKBf77KhJg
XY2ygI/mLy15Tu0nawaQ76jYEakM9PTwES7UEcTEVRwtZZNNaLyqpltN23jVlVV8nDdf2c2M0vEf
Edy8V2rkLG4zu4aIer4BpWrvb2y0TdbXjQaq5AaUrKppIpkvNj302qIciry4mJBFTxu4gizUGJJ5
17jtxgTncD5vNPcK/rkB0u15/aRGvRIn6NeBvAMIMxDnsavROKTkhVibmR1qVS+xfK/+6iU4y3Hw
AD+0QFA/fXfpvkFm1lY8g6S6oNbPB7F484lwjXmNX2BUBDU+q34a6+c0OdoxOl4fKf1CzGH+FSSS
Ezb92BdFA8evz4eheEIMn9fhgA5MVzGCIF20lSAh+RCbHvp30doausmrllcBpjDBB6gwAamH9pH+
BwYLZk9Ei9PRKk+B7gATtwIbVS3mbfQeE7qKaFrqcVZiBEszOkqN5P9I+9IeO3Ul2l+ExIz5Cuyp
5ymd7nxBGU6DmScD5te/5Ty9m73dFih5OjlXVzpSapexy+WqVWslMGPqj5r21mrR+k5WpmcAPuMT
C/ZzpLaXR7XO3KyKBfaoXaAKp6XXJMsji5pHI52u9elurirA08yqDSq/32gKqNbQQhIgGEjFH8n2
AGZma6mw9WZyX+dF4GTHSQPu9bTuo2o/AOgk7iBUB4lMOJgOo7X0BPuhNg5m/N/I77m3VQNVYBhR
hvljROYXBO8+A/MGjLAmBEYtMslt7L3b3sF3QgOAieop8w/9lsKianucW5W3OreAihBW++qaQoez
+fuhNLjlYVtgp4NQTq5ddOa4NEuD7THMmstC28v6g4XBzTZsvdwFNSjT/XJjTyq/1x+bcuECAIk+
J8JmW38vPYhUvzO2X98S6m1/ZkNauHYaQeG1wIbhntLeCKbOAbjqoRgeFlQs+ziqtZ1u7tatqq5F
C69vEP9hCgNI4cuzNluLgf4DjMYDlFcCQIWzEfR8Wgt9mYEcnMk0o6Zv6K02xCgs8tI4rP8AVawX
6g2C0gdPCRlbXhQasViBH2AjsSisXYtDF/tFoBWvZrWRZigPt+gUocyMUrMuvvJZDqCXFht9n+F1
3tFoyaodBK/bAOLEyJqcrUlQ5ZY5MyaFyaWuinhu0fPTmwduR8P0JScbW0a5dr7QHQRgWPCJXfqj
JalXVMWEHdNWoObQAo98xzMTIFdM7KXOxvWi3Cp/rMmKV63bDgCZwSFO7eeUvC/dW+Ivj2WlX+sV
wc2J0RR7C8WrjCZnRs1LF4uk1czEgIslkKEihRr/oSaJKTkMRWO0BbmaXCksywa66SncsrMPa9GC
ZQosJ/CrL87WGIX6c/2xJPmC9s2c9mJHMB2zOn3g+qFFH8cR/b33fzhUGGBHo8PBJSq/NyHllliD
O6MOAHiQN9xB6X4kL0CQj/GWQqxqm//Gj6OVbghGtssP5OaEU6vEB1rACJA3065leBuar+sOqU4u
6H+E/jDGMlBeu7RS604Fek2Od5T3PbM+ZuCA2/i+dzce0aovhDE1DBhg0AmkgFIIZj2bki7FuiXa
DUtOunlXTNdm/cjcjT658m4+tyTtBR1ACpYO4gsZzWHp/OtsAK7MqiwQKzUsMkaMadTtwcTIxtz3
vxrn7R8WFB4CZYOqxCdJZ9aRZRl8saBgtfU1O0ra3YDIkXys21FujzM74pV0FnKJphXoJ+tYUXKd
Odd2ttf6jbtZFZfsPyYsqamQzy5EkClcmcev3EdRdz5moOlNrA+O/pTJ7/QtrVTlbgTExgF+yEWb
T9omHuHmZMRwqkSvy+aha3ykoN036UamrdyOKOwSADOBcnAkOyWnzMwcbJJ8OaIJ29AXbdr1zb2z
VTdUOiQeqfAHSZUcAwuW9HWSmdiNhXZyuw/ijz/9Aux6XbtxwrYsSfu+K2LK4w6WJvMRLHB2+dUS
gmFJvlvfd7/xbnJND5q//3NJSmzwEgbiNTbgUktul7EOLLcLxyr70vT2U5ezG6o34C99MZvXiqYP
mH8LNLrsJvJu433Gm263uDT02uxkj1tsQluLIC69s0PBCqd17Ra/Dey2vb9r7Fs9jTrtaX0JVAUI
lIMh1YfMDjeBtHuS1p9MYwQ2hszfCvYxjuGSnfT2ijfh9GvdlOqWBkEcaOCRWjlEbnvYPDMmAgq8
MJ/va+MeFAjBugHlip0ZkFYst7SG5y0MtG4RZdYNH6Kitfbjv1Qfzx2RbjPPrMfSZbDj0G+0XALH
eDTyH+u+KE/1mS/C17Ovj9F/wDSFDc7KIMvf5iYJcyPFbPwT2WphK9cNw4w2VDUIRLCle3NKRrwA
OWx1DWgs3+Y+0CFTstWSVO60MytSkId4xoSiNyJwiqPjZrshDoDCYvoDifc2eVlfPmW4PzMm/vvZ
8ulJMVmGALlR/TYG6LsH7nzvGy9pEvbdsaUbqdTGCsqP6MrTAIrmvy/KN1Yf5gYwrJdki9NbeU0i
XxOgvd+0OJdOGU0NEah6waNZI4fFAAWxO9zGg3daXzvlOT0zI4UEh6IPEYNTLEyhfk0hwm1+XTeg
fMSCRv5/jkjxvbWsMrdB5RAu5ofN9KDtjpP/attPZvs1BWIJ6lOk3or1yhN1ZlSK9XM6QtM+h1Gn
QWxHXQj5YZTTNEByHFneLyhR7dPqibnIUP33maahxr7WevUyYlS6zWqQPk9f1hdCuW3OfpIUsDSm
J06T4CeN2YRn2XPTYCbiqdMO62ZUHxQTc8CfCfYDMEtc7puyGcqxHlzUQsyIgtmoXJaNHETlyJkF
R/qgfpK7XUkJLIxfZz2avUfDewOh2rofW1akLxhnWCyr9RATi/9mEEQkeTDM3wb/Y92M6pihN+aI
oQ4M98qFZXeq+2xu4UyJ+gZaMY69XyBBsG5ErLmceZwZkYvKxGz01OxgpMXITpk8+23kZ48gguqz
677Oombc4ixWxd9zi9Kx1s3Ex+w6LLotOItDZuIEmAGvbqZfebXV0tpYQ0/aEMRno8knGNPql5xF
8/jF2gi5hnI3+ALehYYGcJzSbhgGze44Q03I6foXD8OXx5mbe69d3sDemQf5RKbD3Hc8omD4uiJu
8TbVLcp/2c6nP8EtceOU096al2EDEKaKM0JDAloSQivDk9bZN5md6gIAT0YNtQ4KRogYharvmRsM
W7KmqmU+tyUtcwcUoVZCti9s2ilAzz9cup/2FkpKtdDnRqSFxrWdEC5g9hUHLCExoroY70oNPML/
1AJHNdpEIwyPa5AfXEYqpCYk7ZMZF4MROWAqTqvv68dO+XHODAhfz/OCjCS+V8JAYmAQELBzi9Eg
Hl9re2dUW8KKqrgLghIP6gfgeLNkmjdGbK7T2RYNy2/N9LOd9uvOqL7++d8vOdOmzPaS2MLrZUnD
xOqj1HsZ5q2ZEdWSnVsR//1sySo0YeIS439hnZ1G5xDrGAkdw4LgNfT8D/6AzgNDB7irULa/tFRM
ZQ1ZZtxT3M7Ctt9bLN6b3kbcUH6UP0Z+5ybn7jjxaPY6jMQYGCPeIR235jJV58UD5tQysZWB/5fc
qKCkVM8ZrimrPS5Qh6uCan7K/gUtcmaFSAWNynNQ8TThh5nsS+NjBrXL+tdQ8OrikSMk6Ajeh0CV
S34w5iC+cFhw0Vmo7BPeoS67p/MBNFgkPjXdV5zQfDg0CfRycF7xElr/BeqF/N8P+ETsq2lZBwi1
KH+lYUeC2P1S92/zeFo3ozxGf/yUKVASnUJAroefhpEGBHdD8exvpS7KQ+QLGnbB5QkBlsutHXOr
B/UJHvMVuHm6Z4ee9OpU97tsC6WkuuXBvv4/Q3JMMGueZClKJ6g4mdPtNH3h2tEe3rryaG91SpRH
6cyW9KKb6qwquAdbGVoxC0gmGrpxl254I3+a2pztnhMsm1mmQZ+jfXFD2E07RHb+rXA3+vwqYxBd
hNwKap2oCkn33JL4dsFEZJjzek9NM2Sec2JLd+wNH5QOczB0zUYjWXnGhNoqACBiJEseZbSGmNK4
QJ5U0zC29ADtEcuioIS6j9uTQwIa/4fELcjau9y88fJo2FLLUL7Fzn+B+Mhn8VAj3WjQEb8gqe/M
OVqSyJn2TXGbJrdde0iypxhvk/UDp7aJQoOonkMrQK4EAYUyDBQaLWGJYYTJRtvmgTYPWneduj2Y
CDHNXucBprY3zIoPKOfcv9lDAX4QNBHSTVYQUpWVC7N+ZWm/mnzpUQOGLAKbtfJU9QJMCvzdocVQ
VehlmYXs2JyWD50sOn4ZGp0jm/4FKAPGPZTDQEKDsRYpyLaoUVT+Iia49DqohreWfDSbLI+qg3pm
RL7zZtS97cnHoBPpGYRTdXSxNtZWFd9EQwTc/Jhz8uUnppODYCcZaImnWRrUyU8GppXc/1U1D5sD
F6pwfWZKrrUYNicTpUkZzkkRQRvlhs5pZM7TRg16y4yUxrNsqfPOhJm4e+qtr0Vn4TBuEeiobrhz
X6T83awWPpRxWoa2tiPplUvukVRl08bHUX7+Px9HhqsUfPFGTYcreI0EXmsF3hZYcssPKYjEulHq
lQELTv44lah/wYbtB+m/tGF9UP6BnFpETDklyYlet00H1mQt6V4zz3/oDA2SvPM1JloPvTkc1yOG
cuH+mJMTkLykmbPE2NWjww6zMT8uuBHWTSi3mWBKEGpsYFGStplrxM6YlDDRNz8tjKDm6W5K3v/a
hidkDaF7ANwk3iOXIZ65feK0WlNCB4nHdsBjXX/AoEXmRXZVFXS3bk0xYAxsmSN0tVHgE4yel+ag
+htbow0aLbvMgkxDLHVuYjTmmYfWb9gseUBYejSKB6sb9hAx2bhdFNf4hXnpTOmjmUG6ucOK2nsN
pWVQsY2RD9Cupd/r2kaCorrKLqyJO+fs+uwxP5TnFNYs62nAU2wZduDlDLz0lVm4Z1CcuImHfzjQ
F0al4+ZwUOwOJlY4be6bZELutZV6m2KVpLvywoTYt2d+JRapS62AX5r2GDv7nuysNIls/daJ33Jt
Ryst6H5ZpbbP0l1Kv6YZE5BIvHhDD3g4ej25P/XknbcvZIy3Nph42nz6ba4DFZjfWqEyOQNG38oW
1IglIGuvJQgGxu/Osp8acii7F3uJsPkADt6ahlMcVLw1gDcEYzsKg3JZR+d23BpCpTaeg8x6devb
bNivnxzFJfp7KB9QYJQ/PHlOvdB0a7Y8kD70pnXw5p9msedJH87VYd4SZ1QE7AtT0g5qAWcibg1T
qREVGhCgR7868C1ySUX8vLAibSLMpg9+28MKyQ+zed+DG359xZQfBbn6/1sx4ebZLoXMW202FAYy
EwzZX+i4T+kGzFgFwgCGEB1vgE3Nz3MfadqBinnErIFH9R2GZ6C7tivzH3kcUePGwkxQvi8ohNH0
rRKxKrZcWJbitmYV4FKzxJRD+wgF17qM9OwHCglggqZNBG7Zzaew0iRm08D0iG4wCjFSimz4WVxY
I4qqAwsKkM5iapeBWHIIBs6CrGQYVkQWEf31VwTq+Y9R2U+dZDwXuMlqeajdB934cOef6yZ+z9lL
MePchlxv78fBmQwdNqxmenFYe5XFPMgAsO8x0pUPVjRYH13x5hrPyMNb96ac051B0N4lgZ5j6tBJ
T3R097yEJID7xYx16Jz9pBi9BW4lGJ3qYZ6c+wzT4uu/W3FOL362fJfSMTWcHj97xCvQrPeT8erT
SKs2QqrizsRdDfiijhwEFXXpoCZ2Gjc9BxyXu4v9Sn2//JZgd4CZzbbSa5wKJA9D5XY1FiMFI/G6
k5/DBHjxQT+LBAXM8J9Io6aiLTEwTgEMKJ5r/boqNrz7HCX+L+++MOFgFE3yrhwb2sUZ/v4evRa/
TcJMz/e+/rbuhQJMAjPASqFUhlI7bF0GI9HRdCCAB+4F+tSB4jPf69ZhhkpZkgCYe+8sUTsGnn8z
hO2LYwdDGEKrttkvWxFL5S50aoEZhyYWmCekPTOkjZFxE+629X917t4MXDtwZm6A036P7l2eKFAT
Q2MaTAxAH6EFc+nuoutMa3REp8l1lzTQgC75MNLSvea1OeaBXgyAFA7tApWc2uqhqlJgBHApjc6K
DErrBwPP6ns06nuKsUq/dyNris3d1HfjDPV0VlaBBmnIOhjaPH2JPda/TEuNFbT0nBzNONu6rMTn
+eQPQG7gY0AtxpNDX8vKwrWzDi0rO8HzpYH8aeEX4FTXCAlas7zhXYF8rsCkWab9A3YFq4lcGWyq
gJgCM3a5mpox+xCIwAmsi4/EvY7pYYy/OuVhfY8qt8aZFWlrQOFizBwxYUL6pzyPjA4kF8aXdRuf
sxgAqjDFZrtQERWQ7UtPWA+ofWONAozbPJjMuU196+DGC66POiBavHF5qIKHGC+FojWUmYncBuxb
S0sMBpc6YJr9zgzM9Pu6Q0oLKFUhAxBCEJ/CR1yDaTQV15Pn7n07BofExuCPcsnOLEhpDG/RKW1y
WJjrxxEE0tOznl37eR/4W0LCnwM9Po4viE3Ai23gf6SPE49QkzQBxM2WO0Ag9fYYp7tqChwCScfd
+ropuAgvjH3Cgndx0lUClt21UWneTvxQtjuS74zk6Nr72Yrq/r6kUR0fibWlnqva6WeO+uJ9c5YZ
QnsEUAHhqN7edCiF+8dkS9VNFTDOTUhPvyb149hYYIIVEZtPYA1AiIcOQObvNRL2W4LgilqxWE7c
LHjM4+vJ7+q5ynO7AjgnTJp9Pzzoy5uZHUl/z1PoPvxHrFNhf2u0CS19SL3p33tnoyKmOgeITrhC
Ad9DdiiW/GxJ49ZNMmbB3xI0J5jdCUZzIzwpLXgC3mSCFAdg1ksL+tI0uekK5JHVB0Z5q9MtTi5F
cQKhAqsIQi7Bny4fgK7V9BY6Lri1HPSTrkv+ZPhHLb9Nhl3tRomfB20PhAT+bJT6VSfvzLB8GHJv
TIZxhGGg0n3tYFg/suHO4F/65sr4e4DihZOyRl3GcfYb4WST1Puef28W80pLabR+vrc8ko9YWxUu
F6jtFARq7nJfVNfIf2P3hz4cgR/bsKY60OfrJ502BrxHn+vCJzTtvW/9cJVN7+sOqcIwRsV0MYft
AWInBcemcUCnO2Dyh8Q2ep0d/Y+OphZMNdRS0jlZdqCL2WIdUS0i6mSCsR2YPkKkLT9rqUV9geAo
8+dhAG95qOlfaiPg/tW0RYqkWEJD8LT/Hv3EwLHkH6gSjVpzYWvwURUzbfelGdxlX3igNlxfSUVo
NMAvgNK2EBPECPPlQU50yPJO4DMIKfQuDU7vkvoBiOk7zWiuGusu1a09cZAOrltVUPEicfpj9lNr
YGZIERzEDzr7R4xWQXzFixL6anHzqGnuVd+8dEl6PaZ9hHscRA62H3JoXWQL5KS8L3aWHm1mh7ax
8fq0FF8ZPwzbCjP+yCBkJEiXZGPtVdi8pMZkg8aS/Cp1at0MC59mr3hNLu/EL/wTtdh0zGyeRx0b
pilozAEyr8MSB+2Sp1+rrtEfqtjM4kifBqc4xn3OwKA8zcNVNVsztEW5a0WemTa/WDYmU2Rq5fyr
AHvzf2kMJuLenvkcTNQ1f3hj55yqiefXPCFsDnFXL0/M7wxsCj1/j/uWnjDm0u8BUOvLG61i/m2u
j/VG0/XzAxefDENpwEngyQRhtMudUmSDYacNevxGf4Wngmb94vVtEW9NVf3WBpCye0yKo78mhp0w
SC1lvnj4jkOb2uj9jV2lh2majrdY0+mDMq0/6jYDWYWbN/MPUtnsrpontDD0MW92+Zz3V5M3d09F
XqOyO4DQ70tH7fyhLTT2o/G1ZWNJVJsFvEAOkPKCE1jeLAnTbciGoA/tcY0eNHcxd27rn5qm606W
hSoQJyQOeG2Pf3/BQxwLeFRxP0KWV/oWeLyimv+7P9o/gqYw8Nzd+gFVfexzA1IMH+xkIBo2egiC
E5RNaq0JYqqH2d8XlDD4i2RdkC7i/8iBXGvHllHRjiJuu2Msv6ssFrCx27jSFekKCBoQ5fBaFAQO
0kunKsc2m/IJdWgyRVTDoZ3D9QVT3Eh4EIIiEBNtNqSmpNthSiGHN3ZwxORhBwpxaFozE0SYY9AZ
1oYtxcdBF9pxAfURijZyl3DU7aYYY3Si0zoYq2/dfD/Uu2xLNEuxZrCCygQWTSj0SHssd3xqEi6s
VO8uuc22Ghdbf7/0lEr5uIyF6A6TuQp0bZfM1cY6bVmQvnqmZ+5QmvCgMvOTO2bHujmuf3X1l/iz
RiJAnCXabZMW7cLhQ1sle98CIcz81UUJ9u8HuiDeQlB2E2LGguvm0o4zGk06lrBTGo+LMwcJ+T5Y
d36WbqyYIu+4sCNW9MwfKEr1HBCuEgOTD3y87aevGntfXzJFlf7SF+mk5G5s9vMIG0vylMUAhpe7
ysuCZDoOy63ZPdLqpPvf+T9EtAvXpO3mgkZUo0RsZxuynn3IWj1s6mtr61NtLaG86dKaDz6DezF5
dpr7LpkDK4/W13DLhrTteL3EpTnARpc8LeRYTyGQzFspmvL0oFiIaUU8YsG1c7kXGDFpYvdYsNYH
Bt2JfJCO8UBU1jz9Cwe3AH3tiuc+htomELqseMHU6bqbih4HtorIuaECj4KOzElW9y0g0zW2PWv3
lvc4lntAF/ZzG8alH+iA/unzTfH3xLIOJDVF9o0Dh1K7lBF7br7wzvCQmpZHjPKBb4X0UTfu1n1T
pA7nVmTAQueXBBRcsOJ0b1UT2cstGZsg7xFB9nH5tm5MtV8E8l6MjQkKW2lPLo2R10QHqqjooq6D
9JCHWunTP9gACYOBm8kWr/bL7TIhy/FbH9uFVh9VcjOAaGXrFle6YeHCg3AlsnMZrltPXTbRGdtB
wBVSgf5DuX6L7F+17f0/RmS07kxSL1sWGBmalxi9c/ovBS/n3IK8UkhReFbi9GptE6Az6bKreIvv
WZWOAFoAYDMY5EWr5vJrlNzDmZ4AvxmMG32O2Pg+ensrP/Hp9R8+u41HOEpBgJT9VgI7uzFAaVuC
kxaf3dWPSxwl3Sk2v6ybUN0YgksEqMvfmt/yiWT1MOrDAuSNUbw32hXeP1E97rj7FHt74h9y88PT
97W3UepV3O2wCpUqrKIBDXhpCZ2UxS5augjkEJQwoZZN42OLh1i9BUwR31t68MAQJsLBu4bmmnxy
jIIVvVnmABO4bFdbbRATTLNhBmYG/MvYAZYBRK0G1NQEXe0l/7G+uor9fmFdSvPGPNc1ApwGcK1z
UJE7o93wT7mOGLDBLAfaJq7c5Cq8sR9QNYd7CNi59jHPT1p6m25dForgAAN/zEh+DKk10M6HGSu5
gcjimB6deP8PS3VmQsrCFlMjbZKXwDOCqnfqgQFOXtYtbDkhPtbZadI68BxbYq1Qgghq/yMdoVrW
bPQDVdV+DO7gwYUnF8rE8rMVTFW5BnIxYDGgu9ZQPO1SjA1YQVXd4cENe2DfBu9xU3+Z2Zd4C/Wl
qDhdWBf75cxHKOeOmaZjw5Vjduh971kf22tBl5VYLhBZmAefS2zE/rC+tIqIeGFWugNpkSV4TMHp
xXrq45vCuZ2Nd6v7Zm1NWH7+hngHeuBQsSEMjt6alD+U/QR6QN3L0EzV0yBn7V3pakGhpxvx6fM6
iuYCKPUgVoA34Kc3wcDaoeJuju5dH9jstpmfp5aHk3XSoV8BUd+/x9kKpAlsQTkYp0AuyM9N6RZN
4+UhOsma8SVPn7T+ff0jqdbuzIRceneYW/lxDRMNYJyd/WYxN+p5tG7kc8T7jZjBZUVwDUPy43ID
ctB8T9MMSerWm3Zu1kfTVg7xOeTBAsFIId7O6HPKpbLS1txKp5Av98ag0U6OuRst0HCNr+uOKMxA
fl2UTTAWIDb3pSPYZeXoM8AHSvbF8a+tGRLwL8zYeBOqrADzDm47NLJQ3xDf7Oy8Ohp3jTxOYKWI
MTzSxk+Fzu6mRetPhh5rx3WfPh9TghfHH2vi15xZyz0nWzQLmuwVbfPAbr7PVfFiJu9kMY98+Fg3
pthuYHEFkQLOEVi3LSmgZ1mTxm2L7ezXCWgUvs+ATrnN87oRxXYj4hNhyBSoXtBFXXoEMPJQe4Kl
bAbuwgmQyniPuCnJr3UzinDwm2ebCJFtwBKlsMNTvzRagQfz4n2+vKXgAcooRr+i2tgD/ItC0dbQ
JJpw+OmXmQvBLkfFC8ASE3TlUiabLlrppwm4ZK2G9Eug2zHHoIgePwAcia/npXhyBymm+EOPjCzy
p3QKWoMgq8YbGXMHGqozfWhP2gS66aWfTtOk2a9l3CMVofrYHLPGypdotBBN9dId0gObCmgNjIis
N303sRtUkLu71uAJu248aj+4i4vztvBlbw48vXbNUv9m8ppcz5T0J4btRTE8ViIw24ttoHmY5xoo
hhLf/Sj1et4vNuE/qMadx7qPy+cUnayvTU7Yte3n896BjceGAPXRVJWZRuXsj1d24bpvY5uC3Snn
qRHMbBp4ZCRadVdTAJoXveiTkHf6+F0wevZ7EKDVJ+YuCNvd5JUPU9UNyzW6rFP84ANZeo9RFzKG
E6gSh2Cu0vrkOSl/bViX7j06ggm0NsAPgIKme0ipBa2AmIDuPEoYxwDQYqbafWFW+lveLvFjPfQU
/RPPaU/lqGURBN+gnDPaVR+ibpVW11WT11f4jFays/yc/2e2Zl2CNS0vX0BX1OCdDcLwfdX39KMf
2sLca15X4U3seSzHuzxhb6Y9De/1kkBTZkxJ9gNiDdauS5gNaY2qsG7stEf5bXBjLVjf8p/f0KiJ
6YIpzwNMAoCPy5NFcVGlWguuZLNcQhvcD6Y2HJZMP1BQM8dj+V+mbTWuVIcZJQmhde2DkE0uijhx
4tlViVNm5XsX4CM2/z3EDk6dWZCCelMVXj0IttQE0rFawYOpOq0v25YPYlnPQuzADWbz35EC+6un
d7P5uG5AkWCCosjCbQG9K7Qo5Fg0AK9aVwNHcaM2tW/e6HnvVZpMXdiSCuVRHwSY+zL2E5zC0h2X
YEhjakZDbpa/usTK8P1of93QaWyj9V+mch1ko8jPQG+HUr0U8IsknqfEBjBiYl80YwzcdKPRoLgs
4fkfA+IHnK0t6Ya8Nn8TG03ma26CxhEIDIc3V5W5YWnLFWnzO5SUmSekFTu0M4C+aDY1o1S3o4c3
KR7eoPBGF+DSF+pTxGeBTUCkikzv1QfHYepsfBGlETQWkU/CFvrdl0Zsr6DNBH31UCOPY78vWORY
GyZU3wQ8rP8zIb0MfUBW3ThDl66fv+WOG2UMkOxqQgdzi91yyxlpe+k1q5tJgzM9PxrdVY+MfAuF
oMiPCCo6yJCAewDCR1ovOnJzRNwTKIRqD9bBfXlwn1MQK9vx31O5gg7hzJS0bnOtlznXUKKMG3qE
2GlVJHtniAb9Nk3/Puu7MCUt3Gx4yZjHGG2t5zgaXBqBYbWoX20dTO6aG64HAdW1ARZNkBpDqAZo
dslYm9Qj630s4dSEtKdBk0Ij7wgZqsCBXnK2tSmU2+/MnBQSeiO3eaXBHC/jgI4R1z/iMRiL13Wv
VHsPeSYKLKZtfu6kguWMOYUDyEgK8QMAEghAG8ayxc20YUXWjOVVoruUI5nNwDZF0gfXfnK3mJNV
C3bmiTxoVy7d0ua/pU8bxz1MVt6h7G/cLqDEQ7Mozp7XF27LnLTNKYe8eV9g4SzrZ+H9xJxd2GBy
KM2+rttRdDPA3IecAT179IcB4b8MdR2OUxczjMiPuHdLJ/SdJ2Y+GxyVDxql9X7g241D1V4XkA3g
3KFgBybUS5t+Co71pAaYwqorMdFnXdeMPbOpKXdGdzeih6P5G6AIVYTywcIPF3XfQ5P60iTyx8ny
JnANaJPNdpr14OQsBltDpZ8a0r6Bh2OrVaW0+JsLALxgQtD60qLLBrtvc4Tdmhce2m0G1IbziRrf
zDzW0rC127g4lDMrNwppiisYoCnL9QiKIeAclp5c+MRV7k5oq1Spc6rZrRe3h/U9ozhu/5eE0QUy
Cx0pyTOtgA66zVD51vO83DkLeCXdrp+BxfD++wdLeAdjFsEXo6CSL0vjuygEI0plNQoi5iPzDo3Z
7taNqBYMk+eCMwYzKZ9K6sZC0i7vBLGby4MZY1jWlvKIYiv45xakzectkILRLY6sCD357CHT94Z1
LMubmv9Dni6QveiPAhoBUivx6c4yvbyaK064wFQaGCJlftikP9dXSxGY0H9EKwqgdcCLZBRxPmVe
YzUWCEKMK3O6quwdJx+1s/WMVwxcifYqsDdgjffwj/TpnaJknIqUYshovfdZMh6r0e+WwKscN4k8
PyW3VC/Tu8RPWR11ddneTVNRPNPFoldFaZb1IcZ4dxa0LbN3phsXz6JUfmNmM4h7TSizA0XugIKz
n6Y+DrIa01c7l1JuonBAnefCB31MiCaIe8r6vu3w7DG0aiMLFF5c1irgH/DQ4EhG0ZvIveSY50nc
oUGAl5uj7/hUxaHd99ppGoTBduA705zsg8PZdOjGloTrH/PzSYZ5zKyA2RhN0k8yolAKnWjeoK0I
upJ2P3h58kY4ACNV3P296DpMCTQnwDsAoMvhcPYzI6sy9BcLNvLAMyp6ShuXBBjX2eIHUXmFLyfY
vnzLxIv48hCgPKPVU4FR25Q3/XVN3ObRzAbygzQWSjjrK/j5OIgpKQRVhwB+C4L8S1vIbXy3HzFB
2jT3rYVWEnSNR36wG23jUykNeUBzQe/PtUyZ6CMx3dar8hFtZoAbOTXwXqV3UOPZ9Xb7tO7T54AI
n/6YkmeJ4sau9WWAKe6C46+v7jlr3tdNKD8RuFvQyCSW/ymwt3aJM9fAxDQmURlbDzk0+NKcb9xU
ijc/XAEkG30+4Gbh1eXnYdRHFa/g6K9Me7Y80eJay14T8+RgxJtCOrO9XqCRnt01BeCYL+s+qpYR
LAZCWRtXC4qsl7Z1TfNGmjtoEEOquWRVWNL9ugXVKhIB/EYKBbDip7oPc+rYRewNafMKrbfFfPyX
sySiPAGxkSAjlPs5PMnrbukwvjnlR72EcMFypMii1v1QrBTSQDRw8JVsXCnW5UoRp25pQwzQf3Aj
ZPkO8yMbFhSnBxh5VAsEwkDHn0sLZYuxwTROq7CqbuP0jra3nv8xmRsPRoUfYsILIgGYAMQMpxQM
IJJZDXmVV+EEgUf7zd1SvVF8bwROCEzjdkfTQ46hVc8GjhmeKmzArDvlkVndW2xDcVFxI7kAF+BT
iGoU9u7lSplFbLsocVVhaxyM8mUih9r7arsn3XmKHSimYKh3/eMrnQJKQwgEAORuisfCWcpi5ECq
JxMMjtmN47ym3nuOgbL/PxuSUzzXE1YT2Fiq+5jdo2Sd0ed1E8pv/8cNWSCgm5ce0G6YsBe+N4zi
yDEl8PcmMBKBE4J/McslBRRvsqsWLBJVqGF4lboeavT5P3hxbkKKlz31UpR3YKJYusDHuPO48Tr5
/PRDio1SAPaYj7RODlmuM4K6q+2q0K1pYFcv2RsaqyhxRC46NfOP9QVT7WUkqyAJExAwqIldbi1s
Ob9g3VBBAOuej5BPxjS1jp6aC/7BA4/dg74lW6bazHAQUkOYEQBFvRTJWJbWflOPiDMuhT9XZfad
bRHxqmLZuQ2xE88OTGd1Gl5lsKFVAf0Y+696EmXpxkZQLJ2H6qfQP0c1Cv38SyPpZMZzp024tJxr
zc2CMn12MQeZ+oHhXkMzql024o7YWVImDEgnMgFwM6FFbUpHdOpNCExyjm/lPy/atQ39ADe0BoAu
+BbZmOIjYV4DT2TfxnXwSYyH2GOFXFyvwo5xUIjjdWm/tPNWU+aTFUEa4GJWVnAp4uqUjpKuYyoH
ORqgh0OOGaaoMarAo4f1Hb5lRAqebWP4QzzDiBMD4A1+Mav6B7E1wUsgGGixoQEfkXNc3Zhmd/4/
pH1Zb908r/UvMuBJHm5t7zFJMzVJmxujTftYnmdb9q//lnq+0+6tCFtIzosXeC4KhJs0RVHk4iID
MUFmotZuRXPShJfVeOfSfyRABnq2fPRbuDiHsWkwKoeWN2v9qGojz38wCj/UFfFAYi0kGBj1xppu
Xtfn/35ycuK6a5BGN6iEtwPWsGKSaXlJPpyUYRAfa35RIcFXR/on6KL1NSUd32BVUeveGqeIVFi/
lyjiqEyVUynmuSpLMcdjFnMpwE86ur4z0vHWclX4JKkYC/bCk9/GK1E4lRPDm9FZMYg3FeR6YNaN
C/CIWY4fd2NsRUaGxpFDfAJP0GbVTKcjvEWBercLoFlrBWggXXayd1cPPgx4aZDToGRlIH86F2LW
bYUHpwNQKCHb2U83mMvczQmwPEX2wLQ5olRFwfMuigoihRiQeU3rsgHNijK1MVO9SZsfSTxEOSbt
7GJrdzswXV1Wkv/FszCKvADva176A6oDTBDnSrpr7TRkQKPW83rk7C44apoNeBt2zuo9THG5vyzu
PQqWy+N9BANsxSg8Cd5OY5Asj3wz14wy41hsGgdt+12dhbX7lOfPhnFP6Tc/OV4WK9MSo5A2tggh
hQBi8FxL5MhzWnYoWlvdMaHoz/CW8VXP/KCeFPxNktCE4hMajWhgYJLKF72myou1rSHKMfVDacXX
Y5GDxqj9b/SH+8tayUTxJokOdBauDPGxald1P5MJ3kKcSQ96oxlvPLoM103fasGQLJ+IVBia9FF7
QseJV2bOrTibXm/EnAK6M50N+q2gs0a17MOgb3gIcNIcG4+U9d0L0gd8A96DEhdY9d0odxM3WIvq
PjUKTJ5W9Xapqm+X7SjzDmCkuW78dhefSa3bTUXHFzB4E/ldLGxnYgvzmnR9kHn5tndULGIqeUKu
1LMeWCoKeU2Z/qfTAUtJ2ZGhAt9r7b3TfTh9+WPQf+oJR3yparctchjUq8C0q33Fmt5trWJhlAR+
F8BlJPvomiBPFhLZql58cOBBB5abh9a6HyayAeLu4/f+mRTBckk5dnnG6/uMmlu9i7+NQ3tjrW9J
2in6PzJ9UAvkcEEkMygNnvu6tS5ZtmYLIvH0UMw+Rsm0gKqCr+SGQXEOZXf8DwVd8eq3MXndxWAd
AkGUEVH9RU9f4j4Lqri/b1OsdFXEC6k4F04OqBuQ+uK+woVRoAv47HO/Nkc3vy6sX93cbpzfDfri
k4r6hX8L8WYBrwGSACQ2sKIQc8FKP+r9hIwj9/03rQChY5UqwMOyAIj0zMLjCWkaeLDOPxIOEXa3
94i1qBId9LGKxnl5xUsEU1VEcU/K/AH5k4tHGq9Ii0/D1AA8r3LRKMncPbCEQELve7NQlB3eU67g
qJ5KES4Px07Lyuc72IbCLn9pK3GOMbO6OzBcLU+GtrqYHHeaHZoqBWqTbn+VNaiGBFWX+bemP0+P
TrkxZxVh/fuer/CzhMPgpwuJqQPlNfD3FPMOEx7OGiaEYq9WVLdWaNNdr7oHZN6KphGuGrB92eaf
TOIk+TZAueuuoCMMm244pI51WNPxOi7YfsFRjLvxmNvdxzM+3qf6K1JIkqfaWeIqgUjwcgSD7QTM
exviCICrDTqJVao4j7ITwlG7KNLbYAoQZ3PGolmrgnMEGH58Z4GRnLVPl2826QHB2DP2k/K3qwgS
MRNS+UvHJQCHnB4nvTSyHbOMlgZZQ+IfA52az9gQ5SbQfuDlh0rz+ZmclmWyE44eGqp0N7r6t0pv
jnWDkoNr3gwLyARL1VYaqZa8zgk+LjBnipGGtisjGaYiQhdNAXvVwZpYXdm1j/kLoqg6SPNXfCwe
1CDwHfbOdLMcS1Jxd8dDgZHYObBx57nJNsvfmBto1pc2fnTNre0qQoM0/uAY4CDYHLMpmJWir73m
Nm+j9m6A1TF3wOhtYyyTuewwstQE9cL/FSMiY3pvScyRHzq9SzbJ8KyhWdDWW7qs2HGsCKmyz4by
Lb4XykZgbhFUSohmYLsnT/QYoER97P3y29kNtYFR0NHku8uaSYMYBuFsPHLQNsDb49wxE3/y0OTD
13JG60vaPdSei4XU9bwrSLI11+I7WwnWVtxmjmrGRaroiWQhrMQDNtr0BD6TFuW3WX9Zc+u+QXE2
RENre1lLmZugloiGBxJn1MeENMxtpypOMojKW5IHDbH/84fyiMaaauGWLHahZYqQ4qIGb4jshelg
YTMgw8Qk2u7f69angaWk85XaDQQReEThysW3O/9i2cjKuRogo3IBIMZC9DoDgt42QdeoeB9KnQNv
fZR4ELH4FOi5KNDkLOu8otvsDINnHAffSoobJJsNC2ysMgBEfcp6L3BmM/9iD4Q+mNQcrzyA2T9e
p0GlEVR5eJVjyFk8FCRtRs/X8EPybnhCPo2xNjOLKrDIKuK0VGXAqXgFjTcdxe5ARgxaeC2iJtLg
o+VlSZBj3XLc09d4mn+tvvlMSys06+rOwHPospu+/7J4tCJUw94oFL2jnCHWTOYGuU6I7ttmdkAR
X0cJOC6r6uGyoPfxDIKAV0PXk78mxQzRmmYyWj76E3F/XTmvrEyCotrjQY7OiEKn90fvXBTX+SRf
Ab1XYzEboowFW/X8jV8jWVRd6CohQiY2EdK3Bm/pYJNJ0v/0tSnIP7wiAChj9D5wzaAqhFk5IYZg
2qPTWYJSfo65G6eY9qVbbC1NVQqSqAK8EVIEzGQhYImNw8VAUtkYqKpXvfsDXfmdGyMgJ02iuGYU
ckQmZizprbGcdYWvlUtAG23ba2wTExXOWCoGbE/8dkYeIkLANX9atL51YLUlnkLdq73Ad2rwfI3x
x4OVgS4LpqxRQgKJgPiOS9oOkaoA2X/qNEHpbTw3zLMbr04jr3t1Grr1MBO0fnhOhQclIDBQezGA
evME13PSnmZxCqleUXwFN9Sz2SDt0TVsaMMMEMGwW5n4m8vHVxIn+MiZw1koQa8k+shkJVkxrmmN
0R99O1k/i2XercjIF+wMuizpfeUVjvhPkuglcVonPWOQNHhPGGxBTrLRYrJZ2SsxkettWlVvXiVQ
SEeKoY4B5YJA2reBOyNj/JLNmHF7SV1v02vfXBVgXGpLcJ5hPo9jQMSbZXTtkbA+r0MDsMWF3jNz
ifQ4mFxFivz+3QZL/pWDVsJ5HOzqRm9iB4plhoXK9Yvtr2GchRr5VvovnqZaafM+ETGgEkiF4JTQ
yxLs6K50pkmHMNI6V+bSBBbYry+7huRkg0KKU9iiC8DTqnOFWFug0ICZ3rDxTD1Y9Dnb5AOoW7C3
ScWLLlMGtWMHkGN+zsQXITpqhVaYLtrpSRMQcqdMqf4k8OdVGSzW43PPiCBAEIqJztgBg9vFOMWM
9FXQxOTKLcmw1Zbslurabdnb5Bib87WhaUfP6w6aWT+17XrTmEkCHnicwp7eoYdkI22ejjVW4MQa
MrJEtybFiXxPnYrrGqBv3v9HngKbnNt97iZAmHJaYzbI2TZGudcpJ4zXo2bCfjQGSHQWhzp7S1YS
ZUbCmfYU5UbJlwe5ACasUStDwUxsG/RNjA7konE8wDGZ3CDpHkBstfuwe0EIhmaxKgcAGvFclkXZ
ls2SIBAgD4t7feeAel+5O0+S7qHtgccxnnYuYDNiMj1mbWVYOcTULN9U45O7cGzswPZry+l0xmjB
4imjwdpD0qtyTakd8azk0pFTiCOOSANbKyWQbWfgxGJDyBrjqqAqSIDk9HCE+V8xPAKeZmBVBxam
EWLSGv2dwvkyUNXidUnU5i1BG4hK5K7gOzkX4bVYJ1RqCG5O92DHX6bqG4h1Bvbg9d9sez/GitxF
Um7AEqUTeTzYnqg0LIMXL2lWh2sb1d2XfAlSFL+NaF6PtvbqW8EwP2nT/uMeiSK+hWcIIFZIZ86F
Yha3LhsA+dCf0G8Xqz6yhNym2rePS0HvCsNfOnzfFKs2oJgE2LLAFkdSLJtuWA5t10eA+SquI5lT
WNgpCqgVMHbvytBz5tEW+RCcAiMqVv8buf/H9bARIEwT+CB04oR02cwwEDA5PZxb/2qQo4WdAoVC
B9n5AcSOj3oBIgTnO/8gMSayazRO4XVYB1J1DicZCZR3g8y30bMHUhDgU9x2wk2aOF7tox4CSzlX
I0ZNQGJizPc5jar4dzdHZa3IY7kbCVcR8CF8dg3sD6iZc61PfLuYug7z6BhytsDJ6Y4sMOf7ob5L
vTQosjRoVbuzJFbEwCFvyuqArCGBPpenLRNp8bKpw7zi07re25TgcrFMFXhQ4nG8bwnUCL/IUas7
l1NZRhPTVOepZKcd19kEzfJEVFSdMilowqIGCfvhihSs5+UtrFcsNZaMXDEslFaNaEq8AQPAeGKA
LhfwcbFcZo4u2NYo/r7WbRodpdQc3dCvRn8N3n4z2S0qlJpUHm9SIj8Fk4PYcAM+hcyDDqu5NTuO
PtuhEh84/n+W+xM5C9j53B36xh8dP0aEc7DYD0xsvo77XTDiPFXtnCPFwcU07N1kxppxFaPTn78h
ujnUMjhzFIq3YhJhjxatQXVbhwmKDyCGKNJDqt8MyIixG3N6MpfAW++w2CdJfxTjblpvqSqey1zl
9BeY5w6ZEzaxtrLr0IxX7YiNX+at3ZK3D4dBTqn8V00hRnVWbsCQUDPL9Y2G/2IF0sEF4dhlMZJX
zJ8WHMD5AK1gAOtcl8XXF5Bt88OFNGJovNBg2CuS3ra1ikFRFi54s+//S/qTUJ2EJ9KtaUpLow4L
a92XNvhI/Gyzzs7DxxXCrBraTuiYoM4p2K3IjTYbUf8KE9SeXT/5ybr0RkfGC7YkVTYhMR4apaBV
4Xzz8HvBeMA2loWVQJaZNVfjmNyti7NzuxLrOLxtng973bozAK8tWhNU5l9M49FxuuukJ0Fr/ezy
XKG6LLs5/T2iiYcWz+5+xO9ZSfxST8bG7owjaapjltO7HpWNAjhIF/kquk0UJCIKl5VcQOAUxOoi
8KsA4SWGnHkyl3weAE6sej8ojQMzQqwVLMw0LDVkdd8vf2iJP3mI1xwAB4AQRmjPPXd1km4pwVOG
rWNY7Ux2S/FjnRTxTCVDOOkkrvPCj2kTdmkVrPGuWpKoVQ4NSt3oRBPBZZO2YbrRQxM733nDdw1z
RUVEs81le6mk8Kh2cv5o42MidoQuDlbAJQArHPDsM72vl6XILeZwIg0sRQYB/7kUz1gzF27YhAWW
sRsYoC9SNJ+2l4XIVfkrRNwTQEGmo68d//TaTWXflu4+W0I2KtAQUndG3QCDS5jOe7eHq63cOGMu
DKb1FtKO4dBY7fUIlm2M6ZvhbMQ7c1YVe2Tm44UXjJgg1wEQ+9x8RebmIIHFULbnZah8+td6We38
wXi6bEDJDQYWFlQAEfIhSEQNtnmbGUvTwhcc8wbrhXd1/POyBP5wE25pEOfxxWJgpuYsUOeK0Lkf
zc5Ccuh6aQkuNRAD5HTGfHlfvc5LNiIuJqUi/r2XCYJezPmCBB9L8Cyx0L6WGhl8GynWkEaT/922
NvF4nO3XUQ8/qhwEgRqaz+gg4IlxP40Na+xrpDnN+I053+PukIzPnXlcVUOb77/TmSAxoPc1qKmK
GXem0X1zc4Rs1fp4fhzPPxNWfjtoF+MtB0ZYsUDW29NaD4ODLINdrcOdU+00+tIl+3a+asyrpFeA
OWVf6FQcP9gnMahOqmzsRogrmiVc9AM4lXdx+qqx/ZCpwD9SWZj8AwoRUCb0qs5lTSt2yOOk4TLU
nwcv29tkva+tbqN1Y4DOkiIXeH9w+QQ7B+qBNQ7/FfydaEOW1PymmOcycN3t7D3Fzeay270Pe1wG
iGfBZoDlbCKzQJ1N3lLP2ME81r/J8tBm13QBDETxOJb5HBDamHNFYoimiGA3w8A2R8vlUox7J05R
Ebm/rMb7uIoF4AiqeB78iQyCqUa9baqmzZqwriKnwS7Ot8S+tbJDid2suQqsKfOCU2H8x5x4XNnW
dBzBJhR6qx2k+YG494Q0gasfetWLS+YCQFMC0wZ8HhBewtUHOtu5IhSGa7F7o+h2fAEcoSqGAakU
vk4CdxLnDxSsR7uaoGxcNFhCdb/4YDfzHzRXxcYq8zRc4X+FCFbz2llDpIWQFYezPvTp22ocdUO1
5E36cdBjQL6IWgy2855/nKppejdPIcbLyVWJgd09nqagLU3Yqzs6N2YSl4ojJJWI5c9ok6KTAuz1
uURKaEX0GPdrXP7iV2zvhq120OYmGurdZTeX2vCvKEACzkWBTG/os7qGOyx7UN21cxP4BGmdQozU
H07ECMfViUk7jjPExMXGmb6P9KFJny9rIjWag/UlKC9iO6oIQcNCCbsD1KYJTfN+yrYDOep+DPBI
6KgQfFJlEHx0QJ4RHcQiDMVs/WyVUGbu022zWGEGhA/DUvLLCkk/zYkY/u8nQaEoZ8/BNssmzMcS
tbGQpZvFcIKh/kQo5dMu/6sON+yJHIyIFiZI9vF8wPpha/SeqzX5zOc/ESGcVNTGEizHgYgpeSDp
berfrkxRV5R//n9aCGemt/2xJdyRQVq1pcnVmO9aUFZQG3tmlE9q7q5iQnJiMjG1BxXH3Lc2hI0V
xVzqzGcG1p1GXp3Riwa33EyrHbXOmIGSZtrnq/9/s6eYNTguhrrABfYnvI7m18nexb2qoKnwcnGH
jlmAlsBrIKPo/Milt/rgB64KPqPwcRGq2jr1jGVyEGIkkT9sJm9LzKOrKupIfQMDSMA9oQqC1bvn
Hm7pC6UGg5S5ecPOj3bZTMV9ESehm6vyOanVACcGyQfG1JDWnYuittuDuLlBoNO/Wu2mKH+7qlgq
zUxORPDU6OS8ZkkxWF4MbZzq2at+MuNH7oeT9+jNZgBAzeUgJDfdP32EIOROWlHPNt5gnQbKo3SM
KGOYiA1m8rMmz5dlqRQTokSfJJPe1rAd7cgevZuJvRBAPwzru9ncTOYncmEMKvz9UkLAQKc87xIb
0szK/lm4SxqgY7nF+pTDZa0k9S5kkv8EiTP/gCc36L3DhEOy6eKvpIpctA/XbM/GqHb2dYroTvex
rgIPcwXeBakTucKduxoM9MUYZA3jLn+e/Ozgs68k5jIxmeZnoYFqdNt9Jm0+ESrUoup47WmSQ+g4
d9vSvG/aGZtcd2b/fcZi5nJ+u2xcxXET23BAR7e5zo9bNQI+jJnQbmgeCs1VaKUypXDkwM1L1qmE
GL1+I1nYDEcXvHCLv6dzuPhBr8psVWrxfz854knRUI1ZkBcvN+7wpa6/mu3jZcvJHlCnXikc7Kkt
mtbnItb5kS0/rUVxH0ugB+duLwRd5sWJk00Q4LHheV20B8PPgsag92DawQIUcpVWt02BCYHSUZ04
nrRe8nwhkHSe2epZCtGOXT9b5XidFcmV6y7Hwk6Pna+Ha1OBiNrZEKYr4qU8hiH/xE4UDFz9CQYn
X67CmOtoDQjOmWaHhf6mZ3RHy3VrYMFM2WU3mLxVVCukvoKrDXhXPOfeIdwtDAiwIuMnjmAlQDtv
KsMG7YsKvCu9CE7ECAcbqys7P1tg0yGdtqXnhd2c3k6gPi6t39RXTZRLzYhZUJRmgbhAK/L8ADjd
YE2YkUReMHDizDz0x90A/jZ9Dcz6JZ+Cy4dBrtw/ccKtbYO4vwedO85b/awBC+O99HW09ltL9S5W
6SUEEtT+4oT1EDTmj3qFQarjwK4G+1bTj7b9+/+mlBBEMC6m1SXvtC/jD9feVWCvY9dGeuNn0WVB
KqWEUMJxqaNdQ9AAli7vSxY/+THosh7q6pqZnwkr6N9wDCwSKWLzH3NywHw9tsscM/ohTb1DTV90
i4RZuYSOS8F0hAYLe9OT4jH2VS1droUYVHgdGiOH4AcFd8q5YOL0ZFxnCE5T/cA0/wrh8z7rnJuJ
UtVhk903p7IEJcEgWNV6hSjCzHxHk2iu78d1j4rNxteChNrgW/M+cQRORfKfdGJXu0yatkihXl/8
V3pX2vgfG7AnJQYnr4rUWuYv/OEMAkpggNAXOxfVjdPACpB5hGu+dWMM2L6a3nW81FvTjLxExdIt
vYhOxQmxpKxdqxl7iGuRU7r2oaBmAMZuL0GzzL/26k1T/h4dR3EopO5yoqQYUmgxuI3FP6F247Hd
VKNsCESDo2ITk4X/U+2EiGLVmE0bUKMK6/k110Od3uWLIlPmf+Kd56P2jj2KaJaBVez8e6E1MiZO
ixum9uovUxM/IONSXNkqEUIIqbCk16uHDglWE1/j9G/aXvUIlBqKD4Rg6QMfWBccHAWjNsVqJgCP
MCNl0O+9zoJMxSAnPbh/hbyDQaPIhV0dDKHQXZbXdfia+vSQopjLfvbaY5Ya9x543y5HX6npgBJD
K5OzM4vY3gpAAg97tFEmWl47/85WjXZKHfnk7wufhunVMmk8xU4dZ+/56S3N0SdPam0TL5+pa4BB
0ENnHjAqyxK+kUOnFNzH0AX9ziJIXK0M0nE4tlTVG5M7w19BtlD2HF1WmDmBIL3Bo6x5+Z+xHUVI
lVvunxAhzunIPN20gBBSYNKxCDwM+Y9PKVUcT2k4JaiDYxmQiylVIb5VWj8sngUxC8fxJgUNaYnF
aISl4eqzoMmL/Ywn32Wvk2RMYC/CnBAYTQGwfAdgqUhGgWevMReyATG8PYGqI+jqSPOfLwuSPZ85
sxgmx8C2hdFbIfrkYP5wSscHWouMG3spd1qxbmOszyy6dT/Yv9GN/kJQn8oW5zojqva6TE/gdIBU
5BOr+O957HNWfa7mDGAVe2zHyMJymo0x534w5vWARTJmFekUFFGXdZYcaQDQAS9F6xvTByJAzazG
aokN9J6KeCxA4fpzXjBqeVmGhHXABGyVF33/cO2KVexpJb1TjmgEOYt9V07AA0HacOVhx9FRW7BN
SmPaHYpN7pWBFCA01+wHBneBHHKmPEgTcDlnHyfs4T8JmFdMrWNMUOzzNoupl8yC3hN5I+1jnuQR
eIdh9SWIHV8RNyUh4EyYENdGdFn1xoEwljBgZjSyhCbopQKNLj8vm1pyKUASGpV4nuEFJZ6VqkXF
xe+RWnXLhA10NJmCIk21yFi0Q7ukZNsVvhGAIOb3wOqvl2VLYtCZbO5qJ2kdtuyN4D1C80pbnRDz
Mq4ZNYO1sVXLFWTn5FRH4ZQuGeqDfYPuS7L0X1wkO221s5oOq1FAClvvLyslMyh2EGCWBSRqAFII
wuiwdmbBoNTYY4dua5kgytId9ozFPQQl0OpXWoAkuO6m7EnvxlLx4JaZFNAzD5SRGDwCE6FgUgYC
15FpwO6tTRdkazfckaFvo5RgMdW6slEhT2ZajAURTudgcZ7gc3mYfJsSO4e2LUYZp/HZ749jvDeS
m3RQHAlZqox5kb+ixHm4tS5tktqICTYjcWCQKVxq+o0MTpib8Us+dgdgFN+Wxjws+ieexmeyhduy
6gnKv6h84TWX3U1Yy50Q41aruzCfiqBZXTeYiHZ32ZFkn5Izf4JBwkAFRXyJeFnrNTNvU4/4v6OH
WvxkpHm0JIoIILmiAW/+J8c8/4TofvZTZkGOF8/RTRXVFQaX2jst33rm5rJKUlGWxXGloD4DNPdc
lKuN+WgRBJsaDIZJWu7ApNVi801n7Il95amGFKTiODUGbIgQJ4KMYtKU5E9rZdSTdN+ujgG6GKBk
lrJevvilb0RFGt80BbbkXdaTnzLhUQLKKlSGwJoNPgkRYWC1JuYoF2Q9TXnLqXnApaurVlhIlTuR
wf/9JHhmeWXF+gwZLHN/DlN+FadpiGz7EZnRwaVdYGludFktmUgXVLR8cRX2t4vosKmcW2/l+MfZ
+KppoZ98d9dDP38t0dxRPsRlcfRUmHA51KMZY2M4YCcuEC10+mVnoHAFIlK3fhQaDeL5KiUfxqpi
aSVeYOjSo9yGQYZzkzY0nfSMi9SMdcuM4bgO6Xacne1lM0rGCCHH5PMeOgwJztBzOevYLn3Lb3dz
xl5M6zFJ0SIDowkA1pGZvKEBg1e/5kWkVI1oyIwKNlcOuMNxICJfXqZnAJc3OOs6OmVYT70p0yfd
fR6dY+I+VFYKSMIn7vg/VCoYCOE07MIFgeG3JOs12NSg5uOIqcWxNDcUsycdtlUq7CopreOo4/X8
P7LEzrfHKCAjOexq578oeHjLOK5CoKieuiTdpFV9MAfWBnrj33p68nxZuOwi5IyHgJaBl/NdbxUt
nqkfddxOfjEhkj74uPcBMgp8LQmrRoGKUAkTzsa6YngnMyBsst78ZGcORVRkL227Ydhyflkv/qfE
UHaql5BQdGuP6VyOZZuMZ7P4AT6OT/x9NDqBoEQ1HdMG52ch0YfEa3z8/d4vHw06/TRLLfqMCB/w
C+wyAJuiIKLRO8uv0VICmWhUgDpRx2KyyxJk8Z5jIfnWGhdzzOKBjodpzlDoCl19CEkVLD04gFUz
M7LoeypEuKfBCGl5Ha/xWv5T6x7KIjJXD8NiVliy2/LtskbSz36ikXX+WcB/tLSkgjCTaYEB3hDb
UHx4qc1cTBeD2gYYZxGnjSpy6podSjdLAuAQBqfTMCmejKz/lBzMQuJUgphP/DbY0oHTwuE9nkfn
nY48eJMDSx0ZRq+qO0i/kA/qWkQ6ZG1iMqzpWV70BPHH17vN4ByzNCLDb9LkgV59teKHj38iTpwA
nDbwAO+mtP0VZL+Vi1dNs7wMqOBoqvKC7Av9E4DJpnMfWNrVKwsPApz5hwslWvdIVTFbJUM4ORRN
0L7KIGNxtn52b5EvyHQv20mWR5+qIZybRh91lNghYp6uaQa2skMzRnaviJMqRYQDQ8DHbo4WpHRW
vy3bfItNzEE5dApvlkV+kDAghwbeE89M/jNOsj5XM/1h5kGALzvyAuo/5UBF5s5b5f932WxShU4k
cbOeSMr8cUFuC0kNeNkdcOqWzq7oFRmXtNBzqg/X90RKi3mnpZlhtild74mnBXOLe5MakWPnT5Mx
RNQf8OEWNLacyF6HKajqdFsU2ZeuZaofI8sfTn+McFEsNunNJYPKzPOfZwy/pWu9LUBt5Nb0yGw7
QAjZYXo2ouUncFOcXON/v6snnDWKp95oc6xZkt4w9rMFB9a8AaHEgj3XxuP/6cuKU9UVjb0Bc8Yo
/br0UCWgsKwAnRpVNCgKB/KEc+cY1bLWLqyJQdbOLAN7TAKsKr6siyzkntpNyISqyWmdlIMdyXJn
mKE53Q/9g5lfl8u+VN1YKlnC2Sum1lhZz78Rm6+r0Qm6DEvWp34zZfQum3ws9psU6kmLHpzZCJRo
eMMiyp+fj64d6qXleDrM6sSHYrHKLez4zS2TQ4Z1yAG2g5AwJ9lj7ftHvV2a7Yfti+ce3ntIatDV
Fp/QkxdTqwZuKUxqinD2NtcejmNI5p09HTPVbSBTF+JsB01sVJdRVj9Xt2jnzHewRzj0qPbFNpDJ
kwGlpDQcsCkkBwncQp3NoveBvhT7y5pK3PVMtBDvCrsb+q6ApqVxkzWbon2uYoUISfCGCKAvrT+7
1sSqduU0cco4kiNr77Mx0uxN5m/j6WqwFEAEqS5Y14UpChQBsfP13IzTkhskdWHGydmby5HWz9n8
9bK5pLqciBAOXqE5SR6nEFGlm2y8aUHIBxKzle19FdcvN7zwAsEI1z9lBJ9Yu9lneYMPA3rRMj0u
zStLAKL/eVkfScKL+j6aRXyDCyAUwkFz86qjqwuP8wnW36GDM6hWaMo+yj8J79qvuZn6zBghQdfu
Jnbt9Ycyjj6uBHhLwCiBQ8Q5GM6/O7hTzGnl3bak1BnAa2AyRf5bKlId2Qc5kSIWYt1mtPRmRuY+
2t8GOyzNqyp7GdbdZV0k0Rb7Of/qIpY/7bgcNZpCl8wHQSKI9tlVkW217MW3vlTr/WVhsm/DJ95R
X+bEr+J8hjdi5Bz0FQDuLJ2JapPTB/Pa0I2LETiF9WSOhliOTj8kAYgnZLzaiKcOwjpv7cxRvw5X
i67qVMtMh4YOXtQuuP/g0+duQDw6lSaIOkMKImzsXMb+3npnopiU1f69TX96Vnm4bD9ZNAAdGYew
Y+QW9JnnEgekvjP2k6ENwMAvOLWBqT2QIgnIogUpUUwVq4QJiUVrAclQGDwHrjbYuhwu7Niv2XYx
QImtuP64pcTYc6qXEEg58sPL+bDTxL7ooHLDiqcgzjZlGfXxACj4nYYk/LIpZa54KlIIrN2cT8s0
ICMGzOqYV/63AQPGlk1VPVaZk8BHUBcHEz6woIKTTCseJ4mGU8yAYjTz59Z99oHNdA9Guo+pIrWW
2/GvMJHEuR7KpXZNCGsSup+LCmOX4x57nw6pXQWau/42HTYGnqarBkVksepES3FMm+rZ7GQc8l0T
LxjbJ5aYwZregJJY8dkMhT1NwSvHGPO3E1dxNpsf1LC7QO9JWOfLtduwTalbUabTW+Z91504qr0n
TW92WW8GgzPfms3XhNno8mDjGtYtfcKhOJUkyLNQmXiHwbG0wmpcnE3mJPu+R8BOh//atVPEa+mp
ROnzD4kuXx51HgKMHpBYS0MIdfSvffw4WLddtVt/JcvLJ9QxQWpncMrId8O1s99OWrsifuaZHS54
EPouhhBVbXGpNsgCsLaZExOKrQBsri9pa0OK7uT3+C1hjg1LMYhdyqI+DobqUpABSYBg+ydP8J61
XleEMqRTeNaaQaf/WulrzbCffLS3aMTcrMbyNdaf3L4LnULFnC09JCfChSiXM20q8mRCQNWLK488
lnr8mNN168Kyn/h4J5KE4NZYxorFQTBrne8B11iy11E1DiFVxudDlqBlsDCffu6HDZsnu6+gTEp/
dVbkVdu0x0i+ivVHGqb/iRHTkyZPS9LlEKP3mJdp6pDxWZLPHN0TIYJX+IM/mWnHk+z5sZ33Rf+Q
JYdPfJETEcK31+oiwRph6GEQKIBdRiYFXFkRHGXGAl8y3nSIxVgTLnyTpMzH2KohpG6vsWuha6+p
auOC9OmIxg8CEKfwA7/e+XdPG73IXaYj6fHexuVrQt0AOxgwY/llRJxgWWBmj175ifYI2Nn/SeVx
5KR+hYfL4mPnCy42LA0Y9NABBvryB5L4MxTC0x8gUKxjFPEkLRrpOJuIqzYzn3ILr5PUSn6OjADd
MahqNpKwB0yXbaAqbyD3FvO4eXFWZ+hxPjXjFyaZI2fJD1q1RB7pAyt7u6yZxCvOhAne7bLEMOkM
YWVxHFmH3COYZ0WnTGq9E4UE98Y+k9UyJjy5V2BiVvPJLB5yTKNS7ddlXSQJzpkuQmCbe03vG/wf
a+jZE4Z9t+6ACpTfRp3n3yyj9QT28o2TqdxPZUL+7yfu56ymP80l/15oNzqANpQ16DEVIYL/diEJ
PtNNOFmeNyZgYYVuCYgMSg97mwcVjEilh3CMRpTwWJFAj4xZV0DgY4bAhyKqLd2SHO1ME/7vJ+ai
WD1TY5shvMHdOcO1N2xZZ/LzFJChDGuFT8jtBspC8FfiWSTeRENplMTvEb2bpY6s/qpNVQuJZGkD
FPorQryFSN95HGONqgUNxjnwjWtGQhC2uCBSZnkwGiHag45KrDxK/JMqHFzqT9pg1JBatCTorfuy
/N6w64myIGGK86uwoSucX4uled/ySpYDYvl52Xma6iKXn9x/yvBfcOITtTbVTe9zCXjbeXPAks2c
7cqcE/+DxHk3V/vLoUJlPeHMpmilsbWEQBDoYvBuXe/SOQ/HNJqt18uS5Kfqn2rCwZ0rv+xKHZJA
4byMqDgZQWUoAN6ye/fMBYWj29pVP4wpT4QW4DgjJ33pqtcBY36T/lpl0WIGk4pySeUUwjHGHBTw
yTb0soznMX5VltFUdhPSFaOdwFL+/0j7sh25dSXILxIgSqQkvkq19r66u/0ieJWofd++foIezD1V
bKIEe2Ccl2PAWaSSyWRmZMSEf7/j8TdjHg+gEHvrKra7/HnWtk5t+nQQRhgW6dxVRDH1swPFUhuB
3BHcpvGtU2wK64qt8WFpL0QwqILhlgEe+rnOics/tBACvTHaiNw82ijRuMYPF9D8y8vTfqX/WfpU
72yIMPO+h6W5wWhRU/pV+y/+fWJBeXKWrtv3pgznDahg3eEHVJOiNUoi7ZVxYkONdV7dJo2Nb8Sy
Dwe63tEd2tRT1mFOHpjTlS3ThgZJSO4CFw2meSU0EGN0a0zJ4ixZjzbJfOJtpvamF/eVsb/8cbQu
fmJJCQ0mT/o+pfLUtk8m2zBzy6u1yKB3gP9Wo0QGO7JEuYxYzWggZxi2ht1tC2tLqs6vSVA2I5RC
wBsN7NuXNP8oh2DsV07Y2i9QAgX4+ZBedlhlW/507B9oc17eRe3dcbKLSqBYMr6E+SRXWHyJxidO
IJPxEPYvE9vkLTQZqjUQ9IqDcKVNzJYipAUU8oIIbGyuGYRLMEYg/4qDYa1dsWZKOVzO2FhLT6Qv
omRmyO/1Lub3Ib1iazSka5aUI2ZjWmV0W2lpNIBavRZGHJDWd6Yfk7dywLTRD4zAAK+CIBKlz/PL
vl5mMLxivDMwvTejg0iE871jD+0aNld7uk7MqKfLElkbyRrV4n7DbMgw3jjhSkVV69onJpTD1XkD
6V35eBq957j7PdPjZddeW4JydFhSO+DlxU5ZReKbabQx+70d/v7/M6Kcn5nW3jjIfbIGB4piOeb3
93b0/v9lRL1l86ZJOjyV8TTDPZRY28VgvivWiNhW9kt9OTeDndBWFvCI+xrTryLaZ//AIoUP/j/n
9ZRcuPaAxPRk2oMB74ANX8RQB015k4obglG6y5umjWwntqT7nWTFhrDi1K1hK6q+hZDlWersi5nY
kLM1tx3nm7rOd8zJPy5b1V62J1aVc9N1xMkW+WKKxq+0ejVAcz00zi4jBF0lx/OLNF2Tl1yJCCrr
ZBkP4ejJ+72rwO8f+zzcglvKN9aQHGv+oZwn1ykaMsmlWfPRmzb5+LbK675mQjlNXbNQE9cd/IPv
3OmpyL6vQqxXTKhF/rrwjLmP/uzWS9Y/8PaJipXApjcBqLhsJiJPVQNbZo+1KQ/SvPR+nBzS8BXg
oct+pr1x7P9sKB+jd6xwIh5siGx+FXnni4nu0in0q6r8KOgaAFnr1ujHg3ULjMEoB5wfprphwD/Z
uOBczC+AVszn/W5oxKauruLkaK5VjbUuje4yBSoUwx5UuU+bcEn57MKcMD/ofOXVx7gMcu94eQ+1
3+nEihIhWJqhAF/MODj2DfAy5vQWGysmpMN+KjxhjgZqrFgHELXn+zY2meXkEYqrGabKzANJty3Y
Bq1p00Z76k7+kr79w5pODCrxp+ktI7UNrCnzZuvGQV4ShD1Dn8Kc11hdtNt3Ykpx88Wr0mRaFoAo
ePq4FHEgIvc6m1bG87SucGJFcXQLPt1GPaw42d6zweT8kJt3bA2ZrhGUkACx/z6UGnkcsLxPHGbG
Jdpg0DAzG9+J7+pqO5VfBsxhi2sMmojwemif5gQkBzv+Tw8aV04lgQFFsmwqvkJBsTk6shCPCrk9
3bD5q7MWNrT+eGJD2U0bnXLKUAuVj6bY3uT5d7f71i1bEv6s6bZemyTVfrwTc8qutkbUmU2IJVH6
zuYfxHpx+PVqFUKbSLpgMAcFJkr/Kv+gN2esLOS3a+cpGOrvcbjig1pPPzGg7NpIYyoqFwaabp/m
V6BkArnJ5XOrC7B4o4M9UcZ0NIbPPz6GRo3YixDx7Lksnqq4u+IMcJClT9hVh8GSu8iEMIBF2zXF
UN0nAmzMA3YI2N1PYq7WVEyMFxMChvPkuo9AJ03Wdbr2jNXtoA2WcRuT5xbmixRHgFyPUdWxLY+X
tQnB8BOxBcp39v7yLmo8QSr8gTMBc7weWk3nu9iCY9gQHnTSTcyDgqwlNH3wsK1RFcmDqAT1MyvK
vTHw2p16B1Yw1P5QVWBBrbMdKO6fW9StHRSuLy9Ks3fQuLHBPiE5YkAsfb6ouMsy6k1Sib2Pt2XT
/rC7KXAMc6VOrTVjo+oInWuIcarpvwu6ZNADQOV6SKr3YgCOnTQPfI1NQweXR21T0orD2eBz8mec
pOWucHJGY+hPh17Btl6dJk+mE78vaZRshd3f5GF1lybOWwkQoD8szm0Y5bZvdkvtT2HNj2nL1lhl
dN/TgnCyBH5BQkQlEBgGC/PDNeShJXBy5OXiF51DfBf5bgABpdhPnDUCNq1JyfeDEXvst8pjF09u
BOnAPA+macf7q5A1+O/rDFnUag2Xr6vRQu7uP1tKMkWFMyQOha0ZlKx5fCiGxG9FYC533bKx7ccZ
dAKNsb3stJYmrpxZVbzWgWJ62U4Z6AnyVPKzTG5ya5Gy/RqG3nzrdcK+J6HDfoXj5FW7qOuhnJk5
ZniMTDI8jnNWoK9gkRqNzsk8cjI0Q9A2LXp3ld0TiHkanPyI28jZjiJCYOmAu578zLKrQ5iK6DUu
6JxtaqOLdyIc2ErdVhOuMYuFEwmoIMZsVQCpTcrRMCQB8sIgqmY/9/wIQsKY7kf3thhW0IK6k3lq
TEm+xwiea/QwholYy/JHozF/EQwyP/WGyD4uf7c1W8pnm4WRlnUKW3b01NFjRfZhGvyLCYlTBVKZ
uqrvW5WNcYgexy1jv6fiAZLvq4JW2lUgnZM67JjAVqfXe14mYmwQZEw279PR9NFKQC1zDXWkG4MG
sAqa3lAzBTxNrWdYWZ9a/Z/dEqU/z/R7VPzI++zGwmBeP2c/G+IGhCYBy9PDAs2YKBUPlzeTyA+i
Xka21DjFzcAcpsbTNDM70tjyg0F7YAvlmDeTG+OOccw41FkCJWlGn83Gy3zTFNcTE8aHm2RPOemd
LRhSjJWPqwtspz9HhoWT8J6ziohFxtLBjv0Rwgfpcse6gKRXOX+5vHRdhMG6CebIcDlBiuDcVIEx
97hNkzzA4BEGHvooDMIC7x0ypyFePa3RrTVatRZBUgQ1VMAEcR2fWzS9YkxtaTGxf3VkO6LrXi8H
Z62HsmZGCdghZGVHUsFMWt6FyaYKb/sE7rXGFaD3Xki+oRXo4Bbi8luefKt+zFLR1mkeRKmb7Iaq
9BOe3CTz/ML7t7jIbpusD2pTvPWOsSuy5cis98ufUOstQO5KNg1Xgt3Of8EQtflAGa6mjkKJ4Qt8
2Z/KfSN+5msoGm3APrGk5GwQpIS2lrwEm45tePoex72fTqYf480j+vFYheNKFUiXi8I7oacD6n/c
EMrajGgeGltegEiIJz9Pp3nT9HQNyKCLdFSmLYCLgfvok0vOgkLgscAO1pskfZ0wRWsum8tfSZtB
UGrKyR8oi5oq/hZYVZfWBhJdMwLb0NU0f+m9XbPceOD4gwIEcTfu2miwDowMeZv/bCqBJBIhNE44
bFqQPCohR4hIVn0b7Ds73NXWZnHu4zqYEeiM99oKMtBQlOamy49OeeTlWgquUfjGsCraURiKljRM
6lHhRSsf7fg1Y3kdcZ/RX+H0WCW+Efqj9eyE/hJtCZRsmnuWXtvlJsRga33V99tq/MjEtkx2lz+J
zrmA6v2/sikQ2VPeUyTMjcYmbR70wzT4pkxQu6psV4awdIGIAvEIKXj4Fri1zo8nn0ok6VmfB8z8
tbTvleOCBM/DIP0/oCtxWYN0llPUFlH0OzfUp207MTrmQF4fOb73Ih68tSFq3UlBsAMsEKKhoO5R
gncrvLLHME4eFDM7uKy+dUtyMEi7kqzJnVfvY7Cu4rUEYhRJwXK+lDHNyijjwGKNbcGFv4zEvB/A
cXfVmHW+sZvOfBx6q7/K5850gjmPi7fLrqFdpy2/FtqDNv6c/wDoNonF6fEDjPoYDR9muM/XPpcu
mGIy738m5N+fXBx1Zc942cFEncc4AjeLsxXLJhpMgN880BRu/2FFoCXBsx67ij/n5uw6tVuvkeYG
K6A5v40ntp3F8nTZjHZVJ2aUa7evAVzoang7qPjAT+02jV8Yb077wo1jtQr2lf/aJz85sab4iRUJ
a6EjrOFh32XvC3ik4vwVd29cvXXetixN3/tl1kfwL/qX1/kn+71kWrkLzaUNm3LGflbx3jKvhmYb
89vCCPJ6H2Ubr872jXnlVI3f0h+ht43pR9wcw/5BrPHw6+IL3t2Szd1lmM1VPiyrgWxlHvbASCR6
+1CVGxF94cvKY013IpCwgS4S4vJ4dygngo9ZPRPoQEDpm+ybiey8Nt7Oob3iptprEvJvmDK2oCyF
Lsm5n0bMGdqxkZfEDAqdbT7G7LcxNH3qz6GVhDsu+nALLtnuKUPK6gZDgV4p3gR53K3c2LoVQ70N
HPmSYAG1vfNfQpKud8N0gCuPO25/LXLfNNaA1rrjcmpDceAUqLw6XuTlEG0W10+tg5WBtLLcgW3A
+QcALwaqUf2Cppr8iMrW9qAIxWWIBTULrofeSvykT/4hcJ7aUDOO3JiQjMJG6GG0CNqP5Gi18Xc3
b/+l+nNqSXFItBpcIypw3WUvbXnndPfTcmsm9+L58kHXfqGTTVPCdO6NNRDd+EJh+hy11M+gH003
EFhb6B5Z90pY0focXvR4kCGf/6SH2bDO6TIiB37YtZfsM+vRWaNK0MULsKn+PxN/DuDJvWPNdlOP
tdy38W0Zf1rthjRBvjYGpsutTq0oUckSVmr3IxbSQRHb6lsfDBaXP4xuq4DwxJAz1FdNkAmeH0+W
Vig5MoJUxL5hGDfNATpdK4Xr8pA/lXAT0RVFKuV48gnTZy2aj2iKoK64XzCOmePNY1WRP1X7rkg3
ybi9vCxtADy1qVwsTpESB1EQ8TxafFrcdFGDUdprM9+Nc9BGd+DOAGTuslG5V8pl5kmRXJPZJuT8
1DvE6KKkASoe7wSAnwdJV5b/SmZ0Vpvv9hr7wZ+SwrkxBu5cWe9DNxdzgkoYYlHWF+6AWcyeoTeN
KUjHG/w53Q6uA0W8nx4I/kb2XpHZ51GMPHmXzrmf8t92stzmKBH17YFON9x97syj4z1FfQEl0mzj
gm9nDfX5eV/kT+VQx8b3ZxBCP/cxU/C5WnL81KzdivGJ5B94vA0m3ijTr8tf4NN5AfGuVCRFXDZB
e6E+QVsO7ts2djIokkIvvl5o56fZsqZ7+unMSCucyZIrIsyn74yB98opBNoTmHNfrtqyfZ24BVG4
wnn9++VAitICk72NDpJa0xvsLkz5gmzBjKNvOcplixUFl018CsxYi+TxQt0fXSqiAkSKzrAzVD1Q
0K0+Zvu5W0B1PfkkivxCfGHO9rI13c6hoopnHKY4LFdlBrCLak4X1qBNJZovjEQ3Xtx84dEao5/G
DZCgy+lcE7NXXO3CEiiLiTwqkf2Y9ps7t48tMtvLK9GZsBjBHJ4Mmp+eieY09hPHkQriqncCcJR2
iDRrNFifDg4G/CiONt6jIMn/VJ5uBAaNwRGQByRDCj6+2EUXROzJoHaw2CuN5U8XGmwxuAK4QaiU
P1UOqQjzgc8ZxZ55KCL8NsgmXx766cvlbdNZccB+A/IMhtIllw5ycm3ObETxq2SyfDM9JvZ3TCrd
VoUHBcVlJRh/rkZjQWAWRz1KHlGUJ85N1TRy8sKFqQaMzVN/Ndjoxhx4eTDoNWHBtGwdFEuS8SNx
rwFa+vt14mGPFh5DUwakMefGeQ+e0mrICxBxl0Hs7l3viPekj5bGiiGdH0I9CQ4I5DRml5UMwbMh
V8tnGALAK4CO+d0U0cfLa9GbQLqLfqQFllNlLVZpNjEFfSGEY6Nj1Y6YmRyqH5dt6PxCoojx9sI7
ARO05/sVxVDTgNhqgSbWdw/lLPejgWix+dcicvAJfBITngdPx2NPMdMn6cidBrtFr8ua3+bU3WDW
fuWbaKLcmRUl2UW7Y7SJgJWmwtC+aCBWQH/mRb7Sb9HuGd4hktcftVB1+KQTLOHlADOR8y6gDpmF
ft1uVof3P4/FyU37nx1cRuebVjldyZIRdrKi3Rj1fpm+2uXVElt+7EASld+VqE7UQbZGVaS5ms7s
Kq5t1TyLhlDapd0Wo2pBMXA/ybztMFGf2k8m6gR/7YUgESYMGAeQ+6Bqdr7SYgpFN3XQbUHsAi9Z
6Ytu9EP7S7g2iKf5dGeG5JE7CYMOQPnEnmGotbP82RW2dUR7t7yem+prCrrplXVpdpKjLQUoBXMx
OK6iCnoDI+PERpBoq/QLeM02XdT3Puaw/MQsbm0U5UJqrdjULRGiSHgfI7fwPhVUUpeAETnpi8Ce
HJCcDf4Qb3gBeYd6pTKsOW2I8H+4n+W1olY5xTA2tecidKBGf+XlRew7BL0A213jeNGtCMmrC9F7
qNWhdnv+0fhsVsOYYkUz3v0CWrz80YYkSmOv7Jx2QSd2FOeITYM6gxgQC0N3L0gUWG6+Sdtld9nZ
dRckP12PchdPYYxKVY71hEuxSdMFJIm71t06c1A5V9BWn8DsWxubFsOb/XIt7L8F+ci3EoYd4SFI
pJnaNyjAIiynyYuAY4yAGOnWmumWWOXT5WVqcqhTM+rAQkh7khkZzEQxnkHh19Gun6lZbjqLHMpq
zRm11uRFLEuIaCIqzRAx1ZMxegsWBbcwq/LapN+F+BUN7SbG6+fy0jQXM1ie0QVCP4hRqjokMVoT
aCEszRbFg5HbN2797bIFrSueWFBcsTbnJso5LLjJEBTR4C+ke4JCxYorahfCGDgSoL6DxF3ZtU4U
cz5AfidovejRdKdnW6yNz8nDefZc/vMyh0KTgxcoh0zA+eEtBf53XjI4+xQ+hRJXVb64KHbQyvee
i2ILrkuX3rq/TBDyF3m3v7yPutABBR7QCssUx1I56gva1iGbQaKeePcJalHF+EP029BcVkKHLtDb
UrkNy/RAi68c6YblI7EEIEmJ7d4CFb2ZSscP59TnPNsPHvFFvnaVEe3aUIDg+IDchczQ+c5mUEos
RkoLsEvabzSajg5U5L66mX1ddey26FsnWGj84jTukxin0WdpTI4NHc2rMK+PjDb2rurq3I+I/Xp5
1z93F/DRgUZBWiw7UKArP/9p6H+h7giJjKCuW5/Ftj861HcGdFPGKTlaZbhjI6iljLr3WZIGBIgZ
VtymmPgYAFsf6tGv2W9Wrw20faqH4WfhOsfzl+HQWmrpBv4fjkmMhLro3A16pVj677Rq9yV5LZbA
KG+rfHN5J3Tn2GXAbeLy59BGV7y/co0OnfOsCEidJ4fazGiQ2vF0W9qZ8y+msEBkTxy8iepZpp5o
w4JjcWWz3PIZTenJfHHc8fnyij6DN2HDhRUgedHh+AQ2QsPTyU2ZlS6QAnXT+HXoxG07/JrDn/Y4
Hr24i33WmwF6uc9ETFsGevSNYZnQlunJSsKv+6BgKMe+og/OmIqYbipGRjGHeGqOxLfbAISHUb2D
7EQISN7MX/p4JWDqzhwY2KGKiqsTZOzqOwY8tcJpIniQFflh/911d0W1BGINH6dd2Ikd5SXj1W5s
eKWBsv3w2k0PQ3E0Gcat0B7jt6TaVeM/5HIgcgRzlwzT6K+cH1iBKGmEY4wD64FbHNV1wxj9tiEr
YVJ3HE7NyO09Sb9p1yUtgSooCIYeRrf0OwxaeGuYMF0sRujBZ5KB0VKb3zgHec57gTM33YXxbd6A
8do9cHPXFdt4TYNbu6ITY8qHis2mbPMswfVGTb+ury2xb0FZefnM6ZKb0xUpkT5toxZINqxobnaG
2wcFBgnj8qYTr9bwLw7+33pU1cYBw3djFsFURD4q7zClj431Uq9pkWqP0YkV5X5w+JhOLYMV7h15
9TZX98CaD+PK5a89RChpwA/wBsPoleJtUTYkIsdjL7KjDe9/mZZAtfXNbUHiYIgdsc3Am9cSUZ1D
SCotDmEaPIvUiC+S0sobFw6BLH7Ls9pPmmjrrdHD/RmRV9OqUzNKgtgR8OUYHGYMlMtf+5QNwDy3
oku2A3PnZ4rJwHAHcuqC+YCI9PmmInz4hit53MycRBji84bMCJASkPLJs4zuy9QTIcFMLXcBmW7g
anMMpBNvSvd7Pi/8aXCarELBgXjPSZjwx8kBK8+Qh+1HjX8F3VggN96zGkq8XVxG6S4y6NCh2QT+
DD/u0O96bEYU1Da4m1qQuCY1SLgt20x3YzzZxXYcR9ru3DZzQFq72Ju2cauHKqwXCJQmWZP5fdW5
gTuxalcDt5BHHeZcW1oWmT/FfcX9GX3BO950ZPEdZyp+GpAGfZ/NtBO+cAFh9MFPglfVRBek1G0d
9QFNKsu5SgfX3lhuZD6P9TAltz2dnQcS53zagnRhjLbuZGX3ID7uN8AtR44fU8yh0QwYJszamuGX
uOKTexvneC4GyWi796TJm2McNe5uSgYE7ZlWibmnBYfKG58T93VM6qjz+37I9qTpyl1OvarYJbxr
0W0UdLwGKnL6Fppx0gfjZFSQGrKqbCVh0B3CUxdSYn6zjAvk+3A8cnTN2vCuD59c1Ja89OVy9Prc
EkTGgCaUJCVGmQDSVOfnsE1MGhNZx5yn+6I8gDQvMXdz/QpSWr9KrkP3aBuHyza1p/DEpHLRTN7Q
uoWBwksDGHJl1TGqINVjVC0fl+1o9xB9R/SjAVvDmT9fGm/rZSgy2Omm5jAC+1/WyWtiO09VP658
Lv02/mdL7XxPcwHhXllxXpwD8b6b82NHRTB732i1XZZtm0IqfU0LRvPIkLBq9I0c1NMxP6JEaiA8
ogYAYdQC+W1UP5TjbTP9iOJvcxkkbDfjwIoXnHMfU61W1fmltRHpe5d9v7zNnyP5+a+wzrcZU0he
2MX4FUMKpGP43MzppjCnIIw3Y/UWi0C0K+/Wzw4EizaTqGRJLKyuu2CYaxVxV0CVgAVVbeyo8I5j
uGZGU+OFHTxI0E120NVUG3PhODhVtpS4CUfnmXJo/A5xc+hifuXYaBbnVjoGsY1HXieaoyghjgVO
bu/vXUv+CkcyKOOxhhHE8/0NCTDKJEVOn9dfBP+VxrNvN9hV48PIvw3zHcaI52WtVaPd4hOj9Nyo
mYdZ1FB81Ikth4Q4713c78qGrmQBmnODxcmuA8rpmDlTKxAmeoRhCTJVULCDWTC/a/hLjps/v/eg
e9Fs8/Y2D9fAwp/jgrSJzqHcUtyDyrGBck7P+wbu0+a/mjYFZfldGM7AEv66fDC0e3hiRzkYIefl
nLlYW9Neldn3Lt+S8fGyCfkZzjON86UovtFAQgcwFSylax4Xs/QnEIhftrC2WYojeFbrsrjAIlKg
qRG1j6nwHl1w+GKuZsWUNpCc7Jfcz5MHSF55CboqWEzh3RvuT6N1/GUCeVjoh+RmJKHfgk7n71eH
EyXR+ZACgS7DuUlu1/00eqj2Wh2F5M79LO6KQezsNV4VnSuc2FHH0ca4tWczhp2YFNeQrdl2TrZZ
smglVqyZUT17ygbamzDTg1yEY9wozptNla/Bzj8P40NgBJHIdaAZKwl3FTuAeFXC9FABrcS4bJJp
qF+qASRvBThKx009RJl9ZL1HQKPQJGKLGSyUs7zauBOmGLZ2MxdfvTEfrq1WCkKODeBAl7+rdiNO
fqB1/l1du6HIq/EDvXB4LkPys3Xpxi2fL1vROezpNiinjxTtUs0httsd33hXQcQO86j1I1AIsbkg
V3tHO/2yRe26PDycUSGT2YZiMapEWsUWasJCeOEuqU12VdpDip5jtsYXrgstGKKSEBtAKZEdnm8h
5N66qJSm+t6+acLyQRROcHk12uiPLpV0Jmi+Qvn83EYcpkm3mGgM1KDmjxrM1h8s89ANO9C4Ef5g
ObHf9StjP7qAhu0DNh5lUORMik3D4FBZmFANZlPku6QLsmU+5pRunaJb+Vqfix3gY0FdWyLfYE2F
eLkpr5tFWAU6fbm/GJtliHzifDTWbTFeFc3r5d3ULuzEmlLtcPOxW/Ic1mKUvzzIj5sdChGtX67R
53yeS8Pxx7WJ1BMVWwQBJWoaS5O1hVzXzEzwNnc7m+cbASBm1xpB4pLNOL8B1B3M9XQbZu4uTOYV
z9GtFT8A5TCgtKT3nDtOnpcVFLJwK8V4lob5j96LNznA+CYXK9/wc3kHcRvlVHQ3oaf7Caa3eCmv
hOy3i7a9RcU83oe512+6GSyxfJnRc2ex9XL5S+pOOTCBBNcSLCLJPV9dNfCKCxNo4MiB/laTZ20Q
1WO47Svy67IlXQSTaD0QF0h9TJWsziggTMCNvES70R7ezXkZG8geExfqVy31vpXO3N4zEY3AcaFb
idch0tSVDdZm2a6DDTZBrCKltM9Xy8TgRFPqojZehL5tj+juPtfcn4qvbL4X6X1F7x1nv9Td7vLa
tbvsoAgEXViUk1TIOvHcnkajg9zJ+GZQKAzhUV9EK08VTUWeILEAkhilcBcznEq4cZowtxigpYFr
xX4z78vyYUoenRyloH3sHMz2xrJ2i6DBiLSDfOTmSkqg+8IewAYU/gTEnBruMGrkFQBJSpzS/eCN
OwnA7R6Yd2Mnx3ESvus2K3evLuqh2QZyKIqjg3Wff08PX5O0GVY8ed8WgnfKQw5sewteKnfaRO0a
B6zmgCIQ4BUoAxKapUoosOqywqhWLZHgXn1dz9SDaFwTg2WZIvWwUXPad53Xhiur1AAFcPWjlQMg
G0huAc86X2aZWH2W57BbzLuJ3o/MH3iPceMB72BIrNxyFvTebw9tNfQrNoT9NS+7nLYCZBTjqxg0
xPE9tx+CnMUYOzAf5dbVKH7Q+jGOfl4+IbpAf2LDVkFOs8tC5jSw0XL6aFm9n0PoYDJ/JCy9AUDh
gBb71y6aP1Du9K2eHKt0jY1U40xnv0AJDqjqIFP28AtKCARz0Ke17R3Id66dbtowgO5mkazFI3ki
lTcVemd/tCQwH/gJ71RndtovhJaBUUWLszfY2Lz3SxRKRcCxe4pRzX2sTYPlO4tB9dUPmRtFNySi
6cGtysHe9Rk1rxLujWtTQ5qUDKS9NnqkDHBuvJbPP7kzDeVUynoDS9jeWLxdJdZAUVoTOEuYRwB7
xicln8HJ09mdEYxBs3WsLRSBAdK47FWau5tg7lrqTcoHxKcnfz/XfOkZHg95frDqCKJ+N42wfB6H
K59SZwmFP0lRh9jwCW/qlEmWWhEivEhGFH+jTcmvWPkYWf9iBzkemCxsIjuw59/Fyzza4g7Ad8nN
a2L+MOv60E6ItAlbo23RHkmKFjn6j2AXRNHk3JZl2BWN3VSy7d2F4yvKM74ZH0iWQlnl3ihfnf66
Z1f58Bo7K1ho3VE8tazkl0NhNSJukJWY861b35LiaBEjYPadG7+S5XDZSXRZAXD3EjTk4qnzSYMp
oXGUz2ZZBhWnN7S0nubhhQ/VNorKXZV0fmePt6aZ3niGd9WS8OOyed1aAeqFooIrq8d/vsJJKUL0
HeuhMydvbf5lZrFvlTbEoz3osZnvcNbrLlojrdKvGJmII8vwGD5STrcxzXYcRljxlLKXCXOfxkw2
E+nSIHWiG4eMGGSBAGtlByz8mdO1KQRdpgIVKjwr0ToHIEe9UOwwJu7Q4bSU7Y1XIZc/emOLnvMM
OPjB41uP73m4y0BKl6AquEvXuOh0r0HiQJhVkncg8VUnhRouwraHenowJkeCvlQHnAA1fseIDY5x
yOYjDW8hgfT3Xxo4XrAz/MEpqAh/AJGjOpYXDEbSk5u0a3Jo+nTVLc/BxN6LOzcJvw0p71Z6+rrQ
hGEZUBZgkgFFfPVes5siE1ZXBrS2IVtc+K6DZBdAIBPzH5dXqEmQQAyBTitofQGLVqdew4o2plti
VG5gP6AVsgfF3abDu5B3zdEFZ/5la7qviPcEcC4whYrun6bFydHpsxC07xxPCqQ+z38UrS3onpjp
lnj1fmwfBm4GQx/uInQlL5vW7OmZZSU0GiXEb0b5mGnDhzFMgq4AiimLdra7Rn+qi8IwhctLil/C
XZUc15gXTMHkiA/dYl9RtGZx89/ERrSxq2ab5tTPq3hXek+LE18vo7NvzbViqXaxroXwhNolDq0S
LYpF1FZcYLGL8RWIstZo/ap7atF0vrypmkiISRG0HkAKaKMbray099BDxplEmkv6q8YbtgjVgVOT
H0bRHYx8OmbhmvaGBqEmlaFwoaK1hceT+mahleuCBRg2U3FkoH9hVyTaN9kBb8/CO8TLJnffmHFT
8J2VvEI7yoeQLnPv+78m1UVejQcFOFVwe1MInZ7ftb3Np9iY8TsSVBfSPbVfXHbrNSE689c8W9Pq
0H7R/6wxZaJgmOZaoO+OnYZOQWe+odawmSbqV2shTxcQUMzA/qLiJiklz5cVZtY89v2CR7/ZBQBb
oPfSPxWkuo7t9GnizeNlD9IeFgQfC5NhGKtD3+XcXmtOpsBbsQwIn4Hqq6DSsUt706fVLXhxQOwb
iqew+CI8cN6Jl8vGNfksKlX/2bbObUPPm5gNeuiAMUaAjic3JF6DscoToLwXgKIEhBC1D5CbqvUL
KH9VsReCWTIzvK0HUAAzZ2SB4nh5Jbr7GeAvCe3DZKuEsJwvhfWYfacderttw8u9iGLqLzSPHnMv
4puBTdk+7svbxHVgHJiadqaJH0czEsOIvYJtvTsOZT6vJPN/Lip19YCR/tF6wdifih/IZyQNSY+P
26CSP2TEHyFsXbOfGNO8pqYcbUcApt+4cPyKNXvaNwGo1g8if2g855Cyzg/RSk0ccR16zj62DCDs
1xp++q1jtgs6D1SoqDrCMrR9Es0cXlAM0JZPrvr0PQl9IEtAXfya0OpIxTtpbd9yxhcrz3ZJ0viN
uTb8oXMUuAdIs/EcQXKrhFJ8ECJSdOkCYWNuR1AyHYBNBlC9bVZSdb0lvHu8P9OLf1LNkzsY9bs6
6+UTNqHWwSPxoR2yrZO5+8suqYtYaNyiEc9QCcYU+7lHTqZtJJhbhdAPoClVexDpT4EJY7rGXKCN
IBJLjecAqJQ+lSmLGVNdXYJZ6bIOQ2sbQ/Znx8ymQyJhDK+DN7tvpCfkkMduddO6LbnxnIZc06IC
xx7h0VpEk6FYdXouyy/AtWIwVC3QQrPZsplUrmgbfxA3YfmzN35b3dYFi7K1r4t9tnbOdFt9alHJ
bea4alouNTST4qM2g8xCXXi+H+21vr/ubji1ozzywjw0/w9p57Ejt7K02yciQG+mLJZrb6TuliaE
pJbovefT30Xd/xxVsYkipDPQnjSwozKZJjLiM1nVEEeQ451QAEKz+o3QV0ectzFO8VeOj6Xs4jTc
bAV1ih/0QcdExvXbWCIKkD93wZMoOJmb2Zm1u7xeJW067j98OJoGtP0nIat5ZjGGSWikCncsJRCw
mknZ9+W+Kiqz2rJl9Kuylgtl64Gx3g2YV7+IeSk/CJo1KFe1kbT0KnOp3+mRgs9HQ6HE26njMDzK
QyYaG2VUlPiB06fY512qGofAjfpvkQTdYKMNnrL1R49j0DO96LoqrLpzZDikJXL9beZve00or2Ix
E7bBtGyVVHZR/GlE6d2qxeogV100OGJiCYHT+mFqbKreNe80oQhBEUpm/qB4qvipkKX4TRMT1LkE
yRzJ8ivREzdqILkwE7M6PDZJp5C3DhaSbZDq+A1mc9carqLZsSh436QyyB2qnuWzUihd7gxN0W2b
sBa/QmVgr6tioEMUSjxf32l+IV95HS7Cdp13dbxJqk7z91UCTgBM4yQyIcXqRNMSD1Yho/NZx408
2lbeA/cI+7TgaEL4/qqLfAspQy803zMMOjZDY1i/Ii+XjoliBXuqBINjxXCzrsDYI/1Uo91nFxmT
bHtVOIQOBn7NBjghRoSNqCY/i3xobvXRyiqkLUO3QWO2QV0DoxbtV2K59TcpqAdzE3lV+aOppPQ5
w0jKtbViMJ3aFKxfscb0PhmZ4d3hqiGGG2+IM7gS6nijonW8bcsIXwWJaz/tLHPfpq7cQ3uvj0nd
hFdj16VHCl3yUawpgxd93gW2nPq435YVK0woQVVeadqgJLeplplbWWgDz0HPMUWdrnVvRTkXysOQ
SobnRLIo3CYNa9ceMjl7k8sBTIwLfFDdlMNYFE6HC1v2mPehf62Xg6JuinwsYPP0RTG5lmWVtu0j
39uFflfdCdooPatlH4xgovFot2Ulk6WHXGvTfNt0UuPdCnWp3PSdXG0VkuDvcOCLPXob4FVzVkay
8sRYPN4n4gd9Nk5UZU5ALsua1ZNgcByiuObKe7+4lbsvUXCnRHYaHpTsVzk6g3Kjm6t8+IUDgVcN
NR5YoJOs++xczdraKqqIzADi8A20sTvNe48wA0ECZi8TbujaHV3w6yIJ7CoGFK9mK4fSwhGIiBbQ
fgBmiHvP+wipII6JrzcZmA3Jljd77abpVHaliBzEmjPfwulOKkw/k/+Qis+Pvziv1GQwyAuyqEKg
gZK1i9hEBNPRkmMqsUapRNeQDcJ85ZxfCgwJClIjfDbtg2aHJMRaJdUCta0G/O9dnuj0Uw+D+8lV
gpXVtDSfVFUQK5Sx8+CUP09K8qHjvC4AUbuVSh2tULMrSeyb2Eb2Fk0ljq/GGT0pSu2x0bs1tZuF
zItOpgkuhtoOYu2z6LUyVMHYEV3FGLoSGy4y9xgHa5aYC+kAyoGQ9lWeBIAZ5mEoRZq5n5MOSPW2
1A44U3BjfzLWnopL6T1QCfJVZpIKwHx1DnqfK7kXQP9jrt4K+rQU4wbYRZsaiDp+qbrHr/DDaADY
3amubg9ccl/dtmkLO/a86Cb1JOPar1rr4Hu6v3Xd3Lv2g07YSmrcUrSo9Mh1orqjLxrrqIfLZeuv
MXaWilLMFqh/eUICAwc+XxRWG6Sa2OBwnetUC/zR9uN0G49ffSW1Jf8rnBo5dhJVWln2S6vhNOzs
M0VVmshlSNhG67Z58kkZhn285hA4/fZZToPciqqDw5qgNPNktI6VamhFkuOWOrWn+PeR16yIKqyF
mJbj6XsiK9nYHiGSJOILu/6jXAd//2aZetQ0hZAznSrQ5zHKQjTauMJayhTzJ4Bk3zw33mE2sJK7
Txnlh9k6CTMrCDRBXOq1SRjc1PP4PoOt4Ae3oWXH1lZpXxN9fznnXDj5GBZDguSqI/87WwJJQfUw
0Sr07wffybL6PhyNbd2rV3LtOkYyrNwmi+HQvZi4rlN3bRYuHPVCbyTyd5dqqzTGW63QYUYg86X4
t/mae9LCWavSg/5vtNm6gJHRC+FAtFK4H7vKluX3KrqttZ1PhyZdO4yWPh28DRiF7GCEn2YrRI1Q
5PS7yeVF/6kaW8vY992vOPxkda5TNO+9utZiX5pMtCEAOFkg4ShRnS9JVempm3tRAdoOqmTm5vYY
q73dROFm8I1h0+jN98urZeHAoDpADgtXfsqHZp8v8fvMyibZhiwDKtbr956n7WWyY/tynKWRkR4q
vNuRRf6gOGQOgxGw14DaVtt2vEZv1IZR45ckh2s00OVQ9NI4fdGImENsFRexgzEGQGWUb5koAkf7
PIDry93DsFavXVogOpyy/ws1R9nqQUQeJQFah9Ull3edXjjyqG8Mdl9sfksqp15TY1lKXflgf0LO
lkjQpAjb9IQ0cNwr8s8WeZvYJ1tViB5AodrZxLil2zU5X4j72LI2nSuvYIwWkoEJNoXMvkXSQUvp
fJnSqmzLcGSGY9xTA9SsLaG8rQXxaIKgvrxu1kJNB8LJRRALrawIk1RQ0RcHs9AcgcS17iNYfCtX
ztLRAkIf7gXGbHzR2U5Q+sEqzQH4adimWxfbAkcWsmeh77ahkWzNWNj2fbZyBS1dc6cxZ8eZ4YW6
34bEjDG6T0uFCuHz5flb2t8GEgQqdUjQFfPN4ILrU6sB3GKuuQgwxkjcA7gzV/R0F+fuT5T5Pkhh
prVjBy55bCyKFcJLEFl3E3xXMPBB8tR96615oy1tvZOBzWv8WZ1L+hgBuNb9Vz1+MN1fcn8Mqu0Y
P/jJs97+vDyPi+vwZISzWzysA1kMpnC+e2v26Jdtx/JlVbt/cT2cRFHOV3ug0U1UpnksDToXXUhB
PfKVld27dD6eztz0I062VEbfR+osgkDAtuX+IDXvpfqoBT90bfsPkzZJ2QGWMzn3Z8NpwqY2pIxJ
a2kKhGLtKMEBGyXLfbkcZ3H5ncSZjSisrIZmNCNSpuXWRD/MXNx0UriLYuuL5qpXeRT9y2lxEnJ2
Whhpp4XjSMikpjDqOr7/VA3IadJC1H747VqTe3H5wVyGeQdQg67W+TcbvMqMZWM6nDzBjtu7HCRa
Gzxq0VrLYHFxAIWYGH5omc231ei2gywmBKriVy25FeId9OVNam0L6kn/8NVOQs22VEpJzugVQg3C
jRjJtpw02zi+8qiNRNGNttZXXtxbJ+Fmi1EJFF+0ymkKxWIX+e61163Zi3+0qEB4goLDf2dvthCT
wEoCtZlmb/ia6k8DDuN+b5vDVY3a/7iDvYfWYZwf6vCAU9xGDz531pNePwwouFXCp8vzu5gqnP6a
2RoFL4pmvMqvwSirKa/p5tkGiNG28uxcv7ZIwWRxV1TXfrpdlcb43fGZP3uAgGAjiDwGdMZZniLo
eEaZ1YAUgil/iVA1l4vuTmjITaRoP1iZPaal05dfUyuGi+2umRgux6cogwwIeQrA9vMd09IT7QIB
pkcj6UdFaTE0i+20+Szqra0mCvKTsIAT95uql2+quHI6LPX/wMjC+KePP2nYzUafKU0LipTRt91r
l+qOK5fOYE7K6MWLa8lHyrzbvI9YGv3W06I3qrdbV69vymTVqWTp6Dj9KbNtBqAWz5maiUgtOO/+
VrR+8jITC++wstymMc2/+Gmg2YzXZiJO7CxSNYP0N3pRTLwEcrvKPultg7XjvqD6EtI28Nd6SEvV
lsn7ZOKrws5AuPL8YwMriNrCYro9JbOVHMjIuyI+JtI2xBciCu/94S75BwzmWczpUjq5RkeVndUU
xCwo5BdbORiU2NHDpAM4EvRfoFR0T5dneOmaOx3llBKdRPTHIE9aiYjoWIbCdZSjz5DZfr9RxNsw
XqtUT6fDx8/5nzmFLHEezZWKIZRzPqeRZldBVh1yIO2G9fPymJbumz9j+ohlGEvAy9OYhr7ZZG5B
NoJfXvCcWAxzXGtqLh6JuLJBZKOAZVpzgE0sS3rW4I600Xz8eMaNKD5qamznxidT/w5mN84GO1Df
Mve+SVf2x/I+/G/oOdqm6gUtMgdC10W/6+Rd0jROgl9Y8A8KC5PH1G8sE6fPh+6GUfYQpmQiJdmL
7+7KYSN7t7LY2ZJyFYeOMW7GVbfkxc1/EnO2G4xxjFMpI6ZO6SAydrFIfZhaf7gTtGsdtVJ3qwtO
IH27vHyWSBFnY53tiaA1hSaWiJsm7aa0jmV9p+kc7rg/3oDoFIXaoarnZ7tGtl19bY8sflMA5WCa
Jg8oZXbDSnQCQR6Cj4+z8nPThY9B1206/yUW1qSmFnfjSaTpl5zs/bpvY8SuiZS5sZP7vqPAGs6F
dHt5PpcGRP2Y1aMAP0XU9jxMJrU9wB24irEA/cEIQ4h9HudoqqpfI6lZef4uRgO5iTUE/9R5G84s
ykQSRKhCggzv31VAiPqbRCgekYvcXB7Y0vzBHfxvqNn6VHI5RveHUL4AQzlSaprPsL+dXNf2lyP9
LrDOD87TULM5NLTUb9uEUFl6XclfZetBz++a4sbPf0TYq45fRelFcg9y+5pFT6hSWWv+rktn6skP
+G1ddrJWaMLqFS1lUp/sPUmuRPNmcpw05YckWOs+LV1Jp6FmeU5buGplgZDfVKPxK/JfojSwM711
coGFAyK1VeOV6V38kBQqgUeC/fogxi6EuhBVrcuHTLUj6OLPTe5DAP8HJgdI2z9hZlmTYvr00FTC
kEVe15m6GwkR9NoBbN+KP9jCHMKrRhpRBwgNL3I2hzi2/t/nMqyu2sauajmdmGCM4RkPIVU1Ryt7
qGxtVa7kEwsvIrTdoAmadGgpKk5TfbpOkMz3k8TPNloWCE9KkxibBCGolQ82LffZdqBpSCd2sslD
Y2q2HcZCcbNE4WGMmojeOGKAeAgCQ19NKhwx/kBSucK3lpfGhVA/lXtcLHFBnY2ryFoqhsUEe4NV
oECBjpsW7Vys6hoNkQLtgE3ENpBVO9KEo4IMoWF4W60O9vUY2qXXUbnqHFfvtqNufBIzyTbNmEpq
hCRT5OSptYnkyLl8aCychBr+aRyCk74MFZPzTzH0OFL1OaDGtKqw9yQbCe04fE/qx8txltaaBvWV
f3BdPrgWGm0qUMWiH9/Xew0TStc/eiAQ0dFR64PBPv7fws1O3UwqR9EYp3De58zybcm6C9t73/2c
dq29qva/9AxA6RpYIO63YMfnBNskL4K+EnVozJ0TYztn1XYYSU4lA/W1K+04ZrfZGi1z6ctNat6A
OjiSPnQRPbnRej/uIDuUTq3EmzT+mQ6fOnGNJ7dwqP9WDf9PnNmBhP4v3QWJbaSZhxY9IN3WBNWW
xk2cr6Ifp5fafMtysk6eGorMC2C+Gr2+LNWAWIb00KsPQo8yW2ujl9fULUrzOwj3Wb5DhQmB2725
Vmpd/IwGqLWJ6Dq1MaepODmXEt0I9WTofy/SWvwRFV8NbSe3qF3iJIWuQbOP+5V9sXRknIacLVS/
dvu00vmKelVuxtF6ThRh5bRd/IAno5qdg76uDJ3WEkIo/JtCQ7sRcdK2DG61KH5tV6UolwogbPH/
zuJvzcCTWZT1uMrNmlk0iu699O8NzEti37unBnaVK82z4Jk7i0Jlrb5V/wRzOos+u9SszKqH3GK0
fnWMim0R9iAZn4Tm3fVeTP8my58lc1sqn3J1JadcehGcRZ5tlECQ5XQwiYx1hSOUSPrU/o2mh/el
nn2u8ng3dE8Q3/aC1zpR+DwoL1K7Jqa3OvmzWkik6EPW5Ux+VLzH7iOIRqe2Nkl43/52aEhH3mKv
1Zr17+JZhKQxjicA46X5VTsMntinKlF9yUnrZ6N6cLtdmK4s5KU7BL3b/0SZi4JO4MZM0Iiiqdzp
DbfrbpQOsvZVruyy+3T5BlnIHigKiNCDoWTihzPbNYExpJD+OYosE+JNtNfzl8ESnksxtaFfYekh
27Hmr3RIVoLOn+oqjKP/z3RvMydrP2vudciD0teol94YXmDr6cr1Px2oswN3guNBa0Dyg0xwtlsQ
nLM8AHjkSNJjjuaUXB6Hdq0Fv7A6zoLMNoaW6IlbKwQZ+4eaV3psIdFADqatXPprg5mt/UAwJRAF
Uxzzu1921MJd2/x7TyYAjAD8pjfqbzbl+R2RFhhqYm7BIow3avxCP84ct4OG7mi+9nEW5w3iEtc7
xZQPghaWDKo6EwmVu/dj+7Pong3vWav//hXAgP5EmW6ok+N6jOgoxQJRBINCaWwX5lZ3t0XzxVMK
WvgrC27pjkXbWYLWr3NHiPN9Rafbq+QpnJHcl973TimwrX7RtUdjPEjdtmuQIVhZFwsXIAVaw4Ac
D56Gisn5CAEdm2o8JYOxVuPqipqNsc0AO5s3hRqsjG9pBxucggBsScmAEp7Hws41k11zwp3iR5xF
R0v67GdvZt/bWv1jVLYlJ/Dlg2pplbA8kK0iYQK+MzuohkKPvbAjogZgUajdjaCi0TC6jgxF6X8K
NX/f03OItCKaQgndJuqjgyC/KtDyx8xc62Msj4onlIVlPT3BWSpWebKb956WbYa6jN9T2OLfzVwS
3kBq58+VIbvYLmexdw0IP76Jx9G40QcZ3wZJsvwjBvG872R1zCQ0yxOpwRPaL1pHVJJ2JX9buJOA
N8iSNUF9aTfNZj/X+r6CHgGmmXYsxVW9etCy1o6hhimZj+Dbl8ufYGktT1ZcMGHJ+VVrdpZ6epO3
eUU8vy7sKEP15UtPOq6LD2bwD5QVEFPwR7C8QYR03twQ1DJrlGlsY1FKr73sD1vZyG9L9GsdwGl3
+CsEBwa/gulYekYb6GZMyhw8FT/sVz9WoIeGIIu1UndfzFQcnoBySM9j0MvSRmnj+kunK9FBVhPt
V6E11jfYq+22ahsltHt6Pkc1rbQ3drw32HqdmE9mGGnRXsjUrnP0ovX9bdnq0avmC6jZ60rloKMj
/fJGhXqHJHnS2sNm4WbCDoZ6Mf1IahJze7PW83GvH3CWRjz2LvOymzhVAMMYf3/QoTYC+JK+HxpB
c9A7pEUT2ekopxZux3A8RPmZ2rcVfVe6lWW/cMxxmnJ+G5NghfyBZpimfqYGEx+usCG05gNmbdVV
2VNE7fdJ5h/5HpcX/lJmS0gocdDt4bHPAUWmUJZ5gbUjpNNfYrTnpLWlJrDjZNP20S6yvmTZi6e8
hOmKqMASR/s08Bxj1OdNJNYKgVWkJgsg9ZXghNaD5n6T49YuOgg3V1axRz02sHA1fiiNt8D7MmZ3
1Rq3YKm7e/ZTZrdLX+OT0+j8FEEoNxoyW51EfztxNPFbaFQbpTzIyY03OhDFPQRLwMam/6A3iXo2
3ppA/kF1zSnVhuLCvlIASLsIZYTave/rtpitnHJLWQK3KFsGGuukvDk7VmWjlhNXn5DeFMm6XSx/
c5O9OS3kchcOVyV2RLqxqjI9dRZn2fAkAYk1JTQycKnTNj5Jhdycn9JFE2I6+yKrt7IVO5r+mMuP
stw7fn9VqVuAA5fX9cIFchZzughPYqoG6ueqCW5TgHMzxjD+h29Tp0CLYyhkQPgB3VyOuLiKToc5
u1v7ofN6Q51Cllsx22XqPhn3E1JCMg65VNtBfrS8W6rBdYGtyGNuvVz+ActDnkQWWEE8mWcflwdG
HrcxVEhRvM0zp6qfzJru+bgFMZJyZF+OtvQuZ4b/G27+qIqCIspdia8aiv5GkQ+ZdTe0x6bYCAlG
wRD6XP0lFw80nBP9vS/VtfjLq+pP/NmmzdBdgLjOcL3xiMuQGrzmcOzEzRB89pVDj0mzF67EXLpv
Toc8yxK6gLtBnmZYlh/99qc43qnNr8vTunQDnIaYJdV528ZjLzKrPuz8DBSVKO00QBBWcsBWq5y+
7MoNsJD64FAMORoSEEqOc4SY0ElWNyqA4kfrCu6i2Jq2VX4P3L2x+s2WQlFbRaEIkLHywZDMKhPV
Hbwu3/TC1yx1tBEsVbRVYMv14xrwbSHThb4+iVvD20GBY7Y81FozkZ7uoU0k9OXTG97j2zD80RaH
yx9s6UxFeJz6CWcbj5N5EiK1ou4iW8A91mj4IaeGClVMjVXE66saR7ShErlRektMb3TBhLObhE0X
O4XXJyuNksXpPfkl0wFxcuaht6uKrSLiW+73j9X4IwveapABQ0RvdFy7NBfn10JBDB02FY372fya
muKVyDaADBpxXHENQXWQpX7LLONNiAEMXZ7lhWikRSh/QMlDFmgubSUGCNmYWVggCZm8mnndHuTA
LOFD59Fj6w7l8XK4hY0OEt6AAshhqn0wgvK9NjALC96GGI6m3RQRaC5JxruxVtfUJ5dGRrMOy3kN
GQScRM8/WoAZq4XPULGRlHzvl+k2bdtjHxiHuqlWUq6p5DC7h4E0QDbg1Y5t3ryd0nQdTceKUGZY
HxKj3/vGmjTf0sRBCaHxycaTPii1uL4gFrqCbW1Y80zG5+QdqyucVUbj5+UvtLTtUIzABpUDBerC
PJUpKLrledkVYF9APovNNYCKrdW6x1w09mJd3kVygd1mvpNc830l9rS25xNpIDVL4o/nMXWX829G
16YJfWMsNrI7bGt33GZ1jOBYu9OL8rbTfe75yk4EhM4SbZ8OfrhSDVnY6NNHpHgFHBQVv9lNXzZp
DbVeLDZ5p8ML6QekA7r2jjaPv1VDIbFFo5G2lwe99GVPYs6ve2QyWJStVHAx4bZkfBV5DKUxQtGX
wyxth0nlVp7UOmAXzc6wBAqfYLjyxJiy9mLX/ygk7aCN5UFXpN3lUEtPH4xruIxMzi8ymfnWK61Y
HTXKcVknb1LglGqrOh7oTqj9TiQCbW0KJ2lfIrKKtvX2/2P42VDNHrSYVxC+anpjiyI1hI6g23W5
CrYkEIYNh/l97wmDXYTed0MLb1yz/L7yIxayKHiFCi6ToCOozM+OcciMIzAFrdjA+XjQMaSmttLv
LLf4Jg3yVegq+wbwduNbns3xsZKkL31siASTAAoYPti15/soNcvBLC2j2PAuuu2q/gm91CfBE9+K
0fpyeaBLy/ck1O/j5ORuHIbcBMtiEqrO4VQPaXIftrq/0Ut1rRa7dMyatDkBADCvaJ+dj0oealMB
38/lQUGUJ92XTtV+XB7N70LA/ASywEMYQFYnl9/ZZ0tQNhyHSM4ni7VCdcTiehzem+gQxwoeCm9+
rV/r3uchP7r9cyG9h1a+KeJbId8l48FI9+oAGHObe3vstjpl5fL8+FXx+eZJR8nERH18LgNZ9Zqn
Zi2Mbwn2HHZdTeJtBvlHaD1dnoTFOFhUYgo/iU7OXVh6q1VaeoJo+mDRrtGUCDuaV6jprdoMLEZi
SHDJfhsCz857X8hLtwsw/oO3jqvhEyo9g3vfJ98uD+jjwoEq9LvCPQEPEAA6XzhWj6mm6VJnqrtY
xyMaPzHXddeo7EuDYSdQTP8tajvPV6tG0KrS54XR5n18TVoq3GalDMcXnKM3dNVKH+TjxpuquLTY
IIlO1dXZSpVc9EtGl5JDabjkT81ea4yNnq0pSS3NHSrak+6nAi91TltGN0WJ4pTHd28cEvddjt8u
f5vpMD7fcAwDYjljga1Ddnv+bXBCbQc9gaicaEg02m6CEIR/jayZHapHtfl5OdryaP5Em/5+clpJ
khsocUS0oNO2o4h4a2w4l0NMZ+uHASFvYUmqRl9lvksLSxm8MeN9JDbKnRCbWyn7YvVPhvwijw3y
JQ1PwGJNR+1y0A8YdCU2C12reQB2wqFqdr62H5AZ6pN9oANGoeyYr7GEFpbf5JjL3YZiNPX26Red
zKTZ+6HV9gq1p6rAbmEnjKITrZpQLUQB7AU9RFcn1oI1W+Ru32WD15D2xlri6FkPmVegLhFu5CF8
HUL9U5u9aELsRO4jDJcfWN5fQxYpLcUp0OG6/GEl+eOXPfsx099Phlx1VMXdKQe3rEcB67i8RvM4
cCKuQLs2X9Mmu26BcFijsI27274fVo6xhcngQUg9mcsPpuCcqSP3SC+HWV8gG2h+4t3mIazfVpuo
itcyuI95sKzS66SNi3A28tyzac9yKQhoy5WbbMArr8VE1c5H8aEwvB+a3txHRWSsIAkWNiYQS5QD
gDjTv5m3ArQaj025rEsW8HgDcu26Tovt5e+3MH3oEwDWhmfFvpw/bLpAC8xQllE5zD7lw1Oc7oe/
x5VMcovsCiSLUGad7/1RM6PCjbRygxiB0yNggsAu0sje39vNEocu+IRxQ3NyPltBE7deFxOnQE0c
NXNXORTB0RR2l2ds4UabnoE618skJTjvmpQpD1JojuXGE2709EkuDiPOiWt8j6Xvws7GJlEk6UIx
93xbWSjo9YWhluztBoKfeWhqaxd06l9XOpgzlvIEloMeaswumshTEzqCzFkyYq/xaLiFDY/XpEb2
D5N2Emd2xQwJutyZTxw3UXb+5EJg6J+RCEvtbFipOyyc+mdDmmb25EAKIk0JzYZQA7ICOs61nWY5
WYFittS+lPqPuMTzek3gaKE+fT6R06o5iSrUqTK2JVFHUD+o7Vnyz0FCsIyDKLMN9YhiHo/kupZB
0h8RKrs8vQsHBcABPOEAeU7ttdnRVFpVmYapW9JPCTfgdEBI//0HhIhp0I/kzpE++B8n1DX0fmpY
pRijDMDijC9h/ByMK3nC0kBIeeDDKCaP5bk2RCtHTZ6lQbUJihoi0KYjjbs8VQsbi8TtT4TZOxh/
iBExQCLk1lGrYluoALv9yyg4UjmKJsNTcbYYCiVXOpRSq03c4j1Mm0tac9lcuIs4r/9EmB0PQt+I
fZETobMegngrpKjigVZ27VRZaTQtRYL5QoES+XcQdNMXO1nYSt+zrBHZ3AzJdVlTfyKJeM8Cp3YP
lz/MWqDZh6mbxA/KjEAWK6yTcNfkOUtfCZTCWvtzgWQDy1o2KEGo092nzWLRwEeUuCsq/PY6jNze
iuxOF1Ar/KENDhrPdfdDVX+M1R2vdUUrbSDgjbmyDpdW+slP0KdSycm8FknZiMPATxjBmbf6o5qt
1OcX7ik0E+jt66QOExr6PIAgZmmEd3S1qSXZ7khbSteWpdKGjX/5wy0cuKeB5q11UxiqJjIZiTgA
+UbN/loNrqbXMS9jTd0p/ko5Yi2efD6wLBOk1tOJ14SHNHdKlRRsl2gbSbDz5JextliWDoyTeZxf
kaYGXkqrmccRiwcR0vl3r364PINrIaa/n6yFqlYqFRd2PhVq3P1LIt3Fa8iL5dUwAbqpbkm8wc5D
dEUYBWnAKCasQXHTeFtf2fdrZkSLi1qlDwZRByjV3EyBDpQhjA0D6UMR5HRiW2uN2IUIaIWhYUFW
DHJljl6LotKNC3koNjoJuA1Ix0FKvFrJiqbtP3ut0lqDbIueD5fe/E2hGtFYh5ZaYGNXOoK+L6M3
2gojroh5c++vIUSXhkRViUeFSXfhA66oiFV9LH0qeHosjs96XXwefKv8+8IIZZg/QWYnHtSLFEsq
ip9dUNq4J1zVusqFoR8ur+SFmZsgF9LUkZlaJbNDpwhdKUxxnd5AdPN3RWsAtsGR0E7T7L4oLfPJ
VYviUxAX2krghUOBohz+NzzOeKFpsy1Ut77bmEAuNoF49MxtYz2U+l4Kb4voa1WjCPJ4eZwLl9VZ
uNkNr3oM31Anmt2gbxtxGwn5NixKsj0H35CV5biwQHDtgIymA3+lsDAbm6daeZNYLbllcWyTaBOD
Krk8nIXT4SzCbDhGHGu4lPUMJwdAkkabKnxSk9us6p3LgZbm7XQo099PTjq/QwAVN3QSVfGx6jI7
9fCbL66lDEVm0J6Xg62Narbmcx2j3kzsyk0zCsV94kf9thEK7zEfrUcxreWVsS2c4mywqYuE4dl0
Ap6PbcBsLh80wrXWY5ocy+DdaldWwtL0TYJ7Ku1iRAjmYM62iPpkkMdyU+Fvq9ldc+gisEbP7d+z
NGBonASajcWVXUCdEYHM8IA9TCg+GK2jNs7gP/ntSqKytLz/xCJjPp83s2lDgIjEqvvnoLsy/6HE
QcMJGSluvYndN8sXBs/ve71ROBq8kl7lawgHXhRWSjUL7T04JjjssEWp1XyQSutqvxhJ2dlCnuP2
Tlwljqfblfgi1291vDX7G1BYo/Xr8hJfWnMnUee5V4KGmVxNYzOz9zzWXuVS3ppV+va/RZk9L7ss
tvKkY2ykkfsIikQSZ1eKuaaHuHR5QCeeGk20mei2ny8E10oRF1IZjCH+yuJDlzyNWWS3pT12TOT3
y2P6nYvMLnlgr3+izc482VfxKguIRntY/zo0kXYdGTFOF4nmjuDwFQUR8rF8qCVP22hpld0YQDeP
AACqrSjEwQb38uroh4nudGVtbusof7/8Exc/LrDJ3+XkyYnmfD6UIFbrztL5hclDF93F0InFp38I
gbwR/h4aRaZ5iNaMPTNKmARtxJi4jeDfV7mduO5K+vE7L5vP9iTjhvkn+QHVufOxBJmSDok+cIdF
8ratXxveB40vO2Fo7brih2xYdtE2mz4HmiK2t7UyqHZXjLuq+TKaD7FfHgVJvaL4cK+JrpNbay6w
S4fQ6e9Tzn9f5xty4YbwbrPotVZvkzXg1tLaPv3/T/FPLr5MDdVIVTnkZA4hJTmOdesY/lUYPrgt
cLuVGtjSyjmNNttJGDIIoQyOAYrW16GcigMv2hoAdOl2PY0x2z96Y45dkTNjqLyF0SeFl17kyMPK
Al1A3sg0QoGnT/KTNKBnH8ZDab9PYoYyyi+dZ8DLPJbAWzPjiPaGXl2p1ESLtQfZ0thOg86+VmUp
helqrNau/RxHn7SY19LtP/D2GBop66QjTdo/B7UFRtMmiPYTJY+2QZHAc2tfxvTvjTDPw8zuPzMx
XTEq+FBYSY2ZYw2YwIwjOluDjSOlrSor9/nyJzsZ1+yTwZqtOvH3yhhq3CFBuoAm4VVwkyih003W
IzGy3xlQaatY04tYWvmnczr7crIPsl0RmVNXfAyaL1GzL/ury2fmUhJ2GmK2uQTZyEYxksgn+vip
NWV7wL2+MspPJXwJOgMrBbilkwno89TtQ+DjA46uGAUtqFzC6bHwcwi77ykWJZdHtDhpCu81BDZg
/86xDZ3ntriscL8HhfkaoKYnZfqt6WsrYZaK5FD3/sSZrUQJEl9RxsTxk+BzVXwOGuuoDzESC8NG
GV77UdjLbfNcBd3W6yaDwGBjDvHny4Ndeime/ojZ6lSNRAo6cbryBuW+cX2craptGKs3gu5d0STZ
avhZZIS/HHZtjmcLs41kDcVvwkalYlPxsXMJGJZ+vBxlbXCztakEWQ3CkyhlvDEZRv9ZwaddAUDy
LY6uXdrAl+MtHpQnX3R2CYiZHhW+McVTt77rAHFKrVeoXv8QBcoVS3OSmplbMKexL+KZzqsxVW7E
fq95TtfcKtJKlruYwsMvBWdJW4+q6SzfCjwDTuI0mCB7KVXZDq7KX4buGPI9QgdG7PTtt2HNRXbx
MDmJOeUNJ3mBV/8/0q5sSU4c2H4REWJHrxS1dVfv7W7bL4RXdiFASMDX38Pce8dVMlGEPfMwL+2o
RFJKSmWePKez/ZHDJnSaivzn4PahGt9pfi9WeQ6XQhCoPQNljJ5DYDG04YHa20c6GLvPDe5adten
d63zIPibPT0BifjnK3ZuSxtWbxnT2New5ZRpmHpbHkcOFLkMteLva2Oa98PZ9IFkKas9iFJt0r7c
1kMAkaXvmWeBtkCgz97eIErZ/qeR6chUiKX0TZvMs8gf6uSHLz9k4P2hZGUCl/xirvsDBwZafVym
lwOD3C5Rho96ouuD57O899TNBAbWWNxafH99REsn07kpba0Gpxzq3oMpKETF9RfiH93kx38zoS0T
q4EyxesZkY4JNpjs0eDfmuHPwbwzKOPfKdPfwrRziio2Z5/LemebEzDEmh30ATKULh9MGpPN9UEt
+h6ABsicoZkXGYzLJfIED4Bkm59ng/U2odd1M3lD1KrxlpQMjRj2O3o8V2wunbdg50C4iFLcnGG/
tEmd1ExahUJvVYOHbj7RBbQdotJ5uT62ZTuA79uo/QGLpo0tAfeSgwaJdkOZOkKsPYeOJzWSDR9X
nG/+If1dCPAmImA06szosMsBAdGQd92ESWzkl44DIGij5Xo/FFsQItlsa66J9S7uqzN72oVVcZYo
a4A9azrUKrStKBGffPOO8T9GG6M6YYLwYZau9aE3czkwqzLMUmR5t6lNBIdbJe5iiIJZxz9dJ1gB
b4CF0BDZYR2TVDmFa41TCd3zHE1oJ6Bw2yEy1p56v08acE9I6c/i9kjr6zIflkNz9N87qGe3EeSM
IfxVcbBiPvK1Psrfj6JLQ9rqqCBJgYixUT+yv4GqvMIbuft6fcaWTAAm7SBDi/zmb32LZgCovSGD
Di596syfnvxWr/H3rJjQu2sH2hfCmmDCGo+5e7TJHkq710cxR4uX22ZeiBlFj2QKENnzip3de9xo
RiLMAKmyDDIdAqX5pF5J2SyN4tyEdi0kdk6GCYh5gM9AnsWTA6hZtk3P/vg1hZHYhCAxBAIM8zeo
q10KUQucaLVyvxRpheAYzUJ3AAs9KyWCHXOtFQ/4/ciBRccG6BmFRAetdJdz54zgFAfzJGIGAA3K
5H6i3l5KdHcd09QORRtWa9Wi30/TC4u2luGOG9CJ93K+YdHdXjfbock+Q4HxNHlyrcHr90sJpsAC
CLoNJA6RpL8cnNUHRRbPlxLIW26LRDx7FZJ6RuO9Dip+7omMam/8cN0ZF5rrL41qrtKRBlysBLeF
n0yPkoOeoQq+Bfm0of7n0fchW5ntxjYoAfYynry6u4eAyp74H0gZR9SRN8z1d7xIVl4Niw58NhXa
OjeAEcVxha8yxbSL+/Z+ABS4TpuV0S/OOM5GpJJt3Mp6S50TZH0fDNgn1fDZE07oQMgB+psg85iG
Q+cb4fXJXjqL8UiZ0+PocP+N8loQkCLmAUZVVp+EzXaB2TxV008m7Vt0vq+EG4tjOzNmXXpTQ73E
RxEX2ZQOIjasOBTdkVCIptx24mgGa1wliyt2Zs6+NNcmbea2LaZyiuNQSWjnuGQzZGu1mrVRaU/x
3vCIIWPskUHQ0LC/pFlkkC9m/i6DW9/4fn29Fvf+2ZjmMZ+d1BIC9TRDdgh9I1Y4ZFbUiO/JwI4l
8n3/zZJ2eXYGazMyh1Ie+1kXKHVaYdG9suDPATHY7ThZAE5FJwxUuS5HhOZIx89NipDNdkLkbu/F
UIZpVxyuD2fxijszo60SGjsRVXFcDFwUJIrrzDyA88DeXrey7Au/BqMtD8sc0gU9BuN1JzTu7Wz/
o1RHLvaesWmCT9eNLfsCCOsBGoJiM9Gid3dgE40N+Df4lTdGj+jG60K78cOU/TktMBYJ3FXBXHCZ
Y8PLRWq8wbRjD7NnZWCl9Z7t5t0fDJA8PRfM3Jh8xfeWTiW899HZiJ4bwOr0abQnVPVSRLusdcOi
vW8h1VHzp1F+bNcoGpcmEYhoGy18aCv6TcWdOf0Y5Awhb52gWVO2ifVgWXm2Z9x9BImWeL2+Zktu
OBckQWIF3n/g1y8ncobNOJVIZl6WfFtZyf2YDLvrJhYmD3gmDAYQYkht6WtVu0kbTDkgqdR4yuRd
boPDg0ceshdBtuLuCzmuucccjwb0jqBWrb+32ho3Wc2xUGkO/tXpG+VGBP3FkGfjLkMWw7fBWEzU
iBzY9MzcNYAY3iaYLy1yResl2rPQtQEmYb3okddBNbpFAeilhWK/m+fpJz8Zi60pFJmgOlcUryw2
1JbYSX00Mrv6JurA20jwQL+AqIu8QsZiuk9GVGELZohdkGcunj6BcVJ2K+97YSq0GLg1PILbRfMN
Lfzdx6Ic7I3bmfwjMP1BuhlMboD7ph6+EsNwn7sm8O/bksZgpKzSA+CFw4+s9yr7fogdcBz7c5xW
TsT76Q2i7iK7TK0jnwZjq5KpPE4k9SswdBagenSKND+5HDmpEHUrl4SuFNYYjcPo+UAdOEyFhVdT
aw9edAedXVPlpNvc5BB27YjfAWarUrUtoTOz9eNY/pT9QLsw9fM029C8p/YmhkjKcTTt4TY3jerU
lZV6DYqJv3VG8wH9248wJQ9DzXwAtck0yVD4FNyQqVXNWlOWvcukKj/3vgg2k8nL5x7J7kPSURNt
DBZ4I9mA9D8ABVnLt45XKAnoL/H2jlvaWy8n+dEsmbUtTbxqPUhO3mDTGOARaLuj0crmxpUyOI6A
YUjkrYZ0K6TRi29F3JvJDRj8SuA0Kx5Aut7L6m3jtL59o9LBQgcCpjzETgD5Xc8IGnrKFiIlqATz
F6fNcgSvBS5qiKq/VbwFp45B6W6QMSACje/1YeB05PMw5mAU6iHE4UUOTYAMNPM436EHHJ2bDZfJ
Sz91Ingpy6EfNxLtNe9MierAHfBnb7ypKnZgYxq/Ez8BsKZF0/+2Mgr5AZJD1IpMFnv1fmoc2LRa
N32HbGIT3DhJQ18ReVeHETQKVhxWTWzfTWARoyHYxNC8wcxenAaL++wGpRzHgZqPRbasIWkd1hSl
xtBm0IgPa0Z9tLBmnGMjqlruesact6xKihiSWozdGBUhhwbTtROItb+3JXfwYCosn4VFEr+60jYj
CUaXu94Www5FbeumS1lziA1BT7YqMwtWkwIyHkQkB1Gq/BlEzNMReHUkvKchM7d1DC5zZ5iSsOVU
goPKdVUS8dKXR4jIQxdgyAYzaibb/GlnEqw3ncwQQ0lriEMvGeKTbRjlC/Fr9YNOfbYd6VQ8jaoW
B+CwzR9ga+MqHPJgui1YHkdV4tpPTWcam6wCn0RoY7Q7t5EFAKRG0n4GdXVmhX7Fk09WniMTyjMe
qMeYseoGWFAD2VEiyidHdfRFWE3yWAFp8EmN3ejvSGHT/aSsmB0m3+hOqVn6uOXdLNlWovCeJC8h
ea0CozRPgpT82UUfx61lePnP2kWEGKqJIonsOJ3aBgnraegVgVQvQrFyk+eNuPEmf4zcqsq3BXqF
xrXTeuGugwwUuBdmqjTIJWuhlqJ+5QZdhVMBOyIyJpBaD9Vm9GkEKAdEg/IPbvPDgVppmOLc7MPi
5uuY1BGr71wyfL1+Sy10+uF9fvYxWkDWEcK7pJgv3jIBecFrxaoo9z8Pgx1NffKzbr41iXtKY8Sc
AvxT3drTdvHuOv8ALcgoIcsesGFOdqn8Jmd91DcsYp0FsKkDMSPz4Dhi65VpVKEYAKKe95UJWLq6
MH7kKWb2YnApXoYChtHkwKng6vLar0XqRGmX7mzWfe7L9xryKmEr663w6iQqeRpSPqxEIovOgHSF
j7gXjz89CwfQGaS4fICrARF+cOP+K7bKjWQ3DPWOlZHOCQn9kgYE619T86ecPVpqA3oHogda3OBN
lNEtyZttjVYcqMWO8s3L9kN601srAf9CKI6e2fkJDe4daD5o01uQ0omRDEYMiRvQndQbpPIO00TA
EMX8DW+LZ2OteXQp8kJjC6hV0MQNMjwtuEsTw5jKHiazLtsoCDInVgpavmNcbsSarspCIGlCNQq5
RxNPF1vnpZcs7Rxuj4i87G8iUaG/1nW05B/nBub5PVs0HINWUwcw0IsmQ3eiU90zFX8sIXaPJ2HZ
RNedZN5tuo/Y6LQDdeQ/+W1tuYDpwOUN2NiGyZdWvaX5e+Kt5AYXp+yXCb1HJh2NkRsKJgZ7iLyh
i7p2/58GoUf3LJ4c5Vmw0LdfA3no/Q9/UeGAmsQsz4FqAIocOu+LDfzGWBQmHhBZCogPxETqpgsN
0/zILH6SqXiaUuhLN2qtHra0n+yZdwwqgujd0lt7C7tE5zexuo3sTFAIfCXVFtGakU7brnwdyAoA
dsn70OlGIRgGajJ4+KX3Qcyu7+z5qirM16beltNXw79FnHJ9vZasQO7GBC8X9isSDZdW+hSvTGJj
vXL20KHFMx7CxsaV/ue4BhuA4V92tL3kcipUVhCMBgzQpPYP3VSeaoSMJSMrhaIlJ4dGfIDoZ95J
ehlxMFqIwaZYJlz/pzKYTmBaOVyftaWtCo5G3BvzGx2v2MtZGyVxcHWjfmP0foJmM+ZHzZDFG2ah
bPQXpmZXRxIaPDv6Ia5oW5SlT+cgoQuz4YaxH5Ctum5jccbQqj4r8KF53Z3/fnbQjWbZNzQ3MJzh
sSBuGFsrCLbF+TozoM1XkiaZFGPcbRLUkNFNFTqNCss1cYIFCk9sFjSJAmCM/6FwfTkOL8uatC68
uZGNNIeOFUjXuGIcIyPNjWNaK3HKpwapUG67lblJAid/mRrSfagVNFTiyhwOtT2xO96CL3/753N8
/m3aBhBT0IJbEC7TMgnM6nCsDbWylxdwgvP4obE00xahdq/dIA3JM1sFoLwtJgdPQ/vFbD4pKz0U
EOPjDEWn6gfn5Em66Uoou+RAZ4Z1cRMAoYMuGzHxcW7ulJ/umLkmNDZ/u347npuwLtdWTHVqcs9F
1yAjb4JbhyTu9pOfbrjvJGHRJCBd9h477ny6vm5LrntuV3sxlHYLTTWCoVXGY1N+bYwbn3+4bmLp
DAZmddalhWArdLkuhwbxhCHwYywb2p98PDLdBw+QEfLxupXFNTqzojlgD6qNoh5hRWXfA37s11Av
i7+PWxlH74ys/OexcXaITB7DSVljj0vrzVCngqx49+JCeOADRb0cTU16lrwFeMcfLBSB+xb6dsYQ
js2TnMhK3nXZiu+DfhbXLl4fl2uhVIrzQWEUY/dcq20zPrbFysW+aAKJQlwdCPbA2n1pIjEDIYXC
aduM/4Qv94DJg/yq+xuvOjOjrXcwVfhdHyNp8qPrFOhBODjeG6lWqtqLzntmRpswWhJkM6oEqJnx
UPFT4R97A0I+m+vOO3/sb7v/lxVHK/gqmrGpTGDF8jdTfiLtZzAqUfMYDFtzjRp5cUQA9OE/aNkA
RHO5PiCj9Aa7y8QmN0/ZhFaVvDjm7Xd0JK4AkRcTANDg+39L+qhcJIoCHNoY1bjp+S7wbl3+bo7v
KTsWrEaYdBT5UwXN5mStMLg4n2eWtdNUItWQCFagkTMFTuC5Eie7fxv6+yo/Dc2fQ+9wLYF4ayb8
BPRO37klWjs9BrQkoKwPLYSSyWOrQgMq3Gt37OLOmuPYmYkA6YT572dHEIKKvMpjrFwGjvLOMUNF
v8r0eN0VF8+5MyOz+5wZKbxW9DTHohluHJrDM3JG1w3M+1/39bnQBA4ZMsPgtDd0wWUFZmyszYS3
sxjTzZSUd/VANwnv9sxvV96ES+5+bk5zhUTYgN1xmOvzOCydZNe3/zANrmGO14alLQ4JWgFNS9ih
wZcqvUHz1VgiHXvo8931+VvygvMBaQtEe+UqIWDIRW0YHGh1urfUGpf4AuOFDTqhuQV8zjj/jm3u
qh5s0PPxyraJUSM1f5uU761zBJthn9+S9NlwQvCzZc4pt14LtonTlaB6aULPv0A74EmMHisl8AWi
eijHF2Q2Q2TXkQwKaZ79xbWICgM2FpoxkXPRoiCfFNUUDDh/s/HBMr431c5eS+csLdu5iXnfne0r
o+2kZcwmxtp8Yjmkeb14J0Cid907FpOe53Y0PywgfcN7BjuC7mn5pTe2aPFM6p+2iyY5FqXjpqIP
w5oi98KBCzexLciKgV7zN4GICYqiCAhg1Wyb0DS/yh4UwyAhNF+GGLXBfmUPLGzqC3PappZ1Vpao
ZiFHkrSPDWORI/KdBAQUEdTKhC6chxemNNeYEJIFypvDGVltW1HcJJ23vb5ma6PRXKOVhm+PAiZk
9TCZ76P5Ekwv7C/iMgwETN4BBDywVNq93yiHevWEa2pQLygOuNmRiZVlWXqhndvQgWsmlKiY4Lih
xqCMgP+NaAJJJmp+En4dWkmzFWCAgqIPiNbGp+uTuPQ6vrCt3Ssj5Dqoq2CbOB9zvlXFTckPdfY2
Ndsu/ZC4B2G/jM1R8cghT7a3coIsnFYX1jWPLOzUcZoBs1slziYl31vozxZpEsY1eav5GjvLmjXd
KWmZlsUcw4G3wrR/OBKC20yGpLpFjXllXucv1+5rPLcRxMwNlQ5Aw5cHl51zSwYxRuaOzb3bGCeC
FJcSyWOTp0h3xZ9qhhK4MJ9VET8ETgbRhI/XP2Hh6Lz4Au0mqKvAoGaB0eYDKiZBoEwU3loT5EHN
WsvZ4sSeDVbbJOD1qXrCMNg+c29TI9lxx72xqQwLq0QX2ve/GRiS4rhhQXmvR44kmdKSgc574zZH
cB1ONYqp++smlgf0y4R2tpQZRNONASZMVKoHP+TFhBTDqZD7vHi7bmrxDpiBGujWnrnYNackKIRn
rQtTY3mAECOxb6FL51jbjD1zr1nZb8vbHZRvAMHMAn86qSmcoFEWKXGcQZy4A/av9uaK/RTmo7wr
3S50gRu1vGTrZcmmNK2whox2734DpGYlYl6c4rMv0bZ+mppDN8k5wgSgU0FCh6GVDu1EbaTSlQN2
zZS2msRSVHgpBm34EDT0AMwSRdS2fZjLH+BKWZvjhbKeBRGBf+dYiyV4Dk5yl8PcaLwPECTt0Us9
ExgnYAR6pd4j2hXCbI1+Y/E2DEDXBD115Fl0xJExWV5ftzAa90U4Ik8RePwJzQNmvcb3u3iunFma
v+QsJHPdBt1tDiwlyH9l6FCQRkj8lffHshEwvEC0OwB+STtRsqAThUsqsVEC4UnAd3kX7FKyJm2x
PGv/mtFv3qIbjKnwYWZAd70RsfgR1EKKruR21qxod2yAltR0KBlmrDi4409BH3MWJfTP1S0RSc6s
OP87Z7a2owLgXkYT7TAbXD3iSLrsmyFZ886K/Icp7XR7/dxaG5R2blWlCGgRY+ri4qc3bmn2CpqA
MtldtzJvzd+uUYqC19y8D0yAtpdcvwtoOuJdXSapvXW4l0TOmP1VKHlmZR7rmUtnA00BUsFZlEEs
CU+4vQWBqxiqcAAqXR/P4mlPHbzi50o4WkouLdVlldnmfOp5PsSFLJSKwNX6RcA16IMBhPR/s6aF
AJPTp8g0wSOGVtzasezChnfgU5YmEH02geKj8rKworReOQMXneNsmNr27QsH6I45W9GOL7xCcyBA
PWzal5a9uT7C+Yd0/wCXEZQZcHOiE0ObT8eXvWAZthYLgIsSEKuts3C0jG2BDCCZuqgK6EbZ5eG6
2aVlBP0e+viBrwQNsub8TeYkoCaA84vhnlabtH1JzGNSfU35GLb5mlbl4gPh3Jx2gdVg0ZJEwpyf
ggTNvfdZHtbkENuPrvqQZbuq37DiL3zn3Ka28yQH42VZwmYiIEDsHFlbhoN7j9CA+E/BGkJg6QFu
zST8/kw56OEQu9wYw4CG9MCtkQjKPqAdwRb7zkC+Mwlz+zRTWYPicAgiP1kr3/+jOvu7B/0yrO99
1cSewWFYxmxOIefBl5p/aPCuNKAwGDTYH7ZxHEUR9h4HnrSNarffy8reQ784pLTfxTyPCLN3nrHG
Gz0P+tq3ad4tmi5htgHvnpAbteJn5n3Mh5UdtBQcATIB6SjAJ1Dn1Wy0LYRj2xE2jBRNWSNlRtil
SqJ+XfZbAOLuIT2rVohzzMX9c2ZUO5hk5U9kSDhCJL/+kA9q76d9xIHazbJ6h97EjXSAm24+cZLd
5u5Pu5juHPNDSYzQBkMaA3+sY0+nNmb76/t62Q3PPkw7uIiX9IMEa93GHkBIa7xb/UHKfTl+c9ws
ZCDM4Hc+4GD98brdxYWGgtfMHAr9NR1wwXI8ggFPxnwM7OD64mAFCUrVa9W45YME9UScWYBd/Jax
A1K0AvIOm1q24wYKdxt0u28Fesdc9OiAr/LVSetI+kCSTunK1C7d5HMp8/9Na2eYo5D/ovMZ1nvy
JmuaI0Q/Vlx5eRZ/mdDOEKZmXusCi0eByoU6JY6QIuTI+P/NYv0yo+0YzoArK5Gx2WTFEHU035Ze
t1Ugbr5uZvFqO5swbY+gSNf73Xy1BdnRnXZB/Uxx+BenvIdk5KFf655cmzzd8wX4TOoR61OaUafu
PO/kDd+vj2jFBXSgWZ7HivI5QDXq18F+WA3jFn8fpJAueqcBxtLZSUHvi3BxmofAHkT70tDD9e9f
PLWgegN+IDTGgILw8o6CVEztlx12qSDFSRVeaJv5i8tfPYcfWq+8lcNaG/X8i79dAGcWNR9oKo80
1IJFbzx6EHgH2sA4uPV3EFRcH9ri6p8Z0lZfUZIABwBDafDQdy50LwErWiPnWRwNELVoKppr9fpV
U6jJyKGHjCNA4YKpyuFIRtBTpeQjAdWwmMjKei1FoWYAzA+EyIAR0NulnL6O47pq50EdOuc9MCOP
oniwcnYvegUIDhF8Qh8FqLxLrzDqGJooHqYu8cqoFSrMywa3J3oikgNL29CoV94Qi9P4y6COq0lF
zbNKwWBT7wPrvm23ov5BgldzjeZozZD2bk2MAIKmzTwyA4IVIgKlWVF8tcwNnVaqVks71/ZBmg3l
vpk2Yv772QMs6Ura+IEEVMhCa6/cWnStfr9kAYV7YJ5npmns30sLHFSSlDJ0qqAEspk4Ggv+AjQJ
CAq+H81N0MH1tEDS6Ux7MmNYoIXcJAqotihFJGuoletn8RIHrAVc8yAHCX5rZMuFzONGgb6Bmm9+
icTxD88/yeK1sN5yN0qLG7mW0ppdWDuGXAQLYGzCoxUXuOYIcdtV6dBAwn7wPtSgKKkeuLPHIysI
UmS3HoK1g2LhNMJTH/VTEINDdE7PUloWuN48E0TPpKnkfqDgLAZoXeJeKtfqwgt+AYICG6levDyA
H573wJnnlRnPJJpT0cFJyS7g45fJISvOvTiaMxPaIc4yiZPPhQmza0KoB0dCPcg1hpeFsy4AhxG0
Q3DYoTlYWyKv6XM74zAy2XgbJmhMxnCKHQoN1y+KJe+DIbwUwJCNPIZ+ySZmZXdoNZtJhm4GKGKg
YiOdvR2HYBJhwN6Udzx9uW5zaY2QcIS7oyEfoGdtbODI4Hkhe/AxB9WOxfxY+u3KmboU+GNYv2xo
ybPJTQHeL2Cj4OAYgOqsjV5yNjfG7VoRTWjQmqJU7NLkzxOdQBSBu4YCVYT7Qz+XKOMZDVQLZr77
OP6RDS/1mvz4omsAWQaoNTbVb8kKMkAZc0SZdyP4a0PNMLG/+WWOY/bt+jIt+TlU5/61ox3iKcvQ
oiVgp+abwoaM+r0pViL8JXAUINyWhzwB0LxAJV9uV8PPygHqg/C+qn6a8pgfYrB9tJMNSQfiJAfo
3037lnB2qs30CDG2T1SB+pBNSfV8fbTO4rSiLWNWw0ThRs8BmQ6zY7MYQEReDkkZdtTv3lSdJo9+
OfBvo8PQbZkr7kOewXOLSHYsuE+L1NvYPfoZoc2VswN+vN6zwkdrf4PL6TQEnfKhIecldZhN02My
iw5nBh/2oBxsTjxNxAcX7JUtcNJckZAkbvaInobuKTW84iWgE7RjRgvZX+gHv2VUmTxKQdT1lMWF
CS9uwwFSbqAotfKHup+fETEfA0hVyGxXF2P9U6XGmITodiDbBNRYjyZrEM00Zm/dWCDg+AsECZYT
nGSzDCeF0M7lcoJAqE5IAJdBCf5Umu2eGOwUJ8lfnMCo34O9CRqZ+GztkHeHpPJ4Ps38df4DBzvL
iFJw6ELs8bpPLB2OkIVC9grF0ADsN9p4psZU0q/mrUahWED7Epmi0WuixpfNS5t0YzgltbWxSlOF
HhjEtxZAJ6/XP2IhaqPIlc/y2bhCUVO8nNM0HngJUiGQRdYIsu2XnBch6J+l+jAk48qxubAHLmxp
p6YTp9IZR9gy6A1t924q7iBsWfrGSoy9aAd5EcQ7CLJ/ExzNJapeU4J5zVIreBotFApdA7xS1AMD
wuS57MP1OVy4ccCShqQYPB37SdeCYEORoUkZ46LQuVU2sJBq7Xm/cFpemJiHfBZ4SAGuvhEswRsF
0bQcQtjUHCMh1/Thl80gs4RgCheoHhckWWDW4+z6Tvu1rdBWHL/kxo/rs7XAODuTyv0yorlBlaRu
l89u0Pj/ZCvQKDQUHxk5muYHu9y7IEfhEqW8+x7oqjXfWHh/wThCU9ClAIqmdxdOqVGy4h/qaq+D
BtxBdRUY9O8L78ZLow6d9tcHuxALU9C4E7RFQl8cs3q5bpWEhu/Yzi7P1THOnb05DJ9RC7itE3ly
HLYhk3N0bfV23ew/jA1aDA67MzoXcT+aOTS7yhAzTRj8hYEzJag/4EYCFWe1m+h06AIztEd0+OfZ
18T9SRrxEoxWmFr5O47eqHLBHAP4CWs/FxB3dzp14ODLKy25ktddcjZk8RF/znx56Fe8nJsSYF/S
uJgbS2S3CpX1uh5uBv/9+lQsrcC5FW3nZFPAejReY3N2XN074CUF+WlQ2F1IvGw6EtYVzwWh+8SP
qw0f1ON180tnA0RCHTTPgqcEh/zlIHmcGOgmwo7Kh24vrPredv/ixYDmrl8mtEiqlHlle/OmdUn2
JEn1nKdqM4PAro9kabmwb+bmUgQwrk6U44xdMfk9w8OkpYDRTDuLT0dajStm/KUdOms44zGH3kVb
n7HGj2VrOTUUYlKzqcOSYuuAI8NVEamK1t3J1PV2gWyGl6Dn8p6XZRGVII/DPzLwkWFGMjGGPkk7
K8wHASYfsBTXEXFbY9y0aV48QofXvgODRIeOSDC38k4lYP0gZDjF0p9unDyuwHtt5UnY0Lh5FzEF
0VZqViIUnshOqmunJ+oo/trldLqRqJZHpYv+bJC1VvV7DZ2qJLQ5z/MNwmtAakGAI7/ZbpnIbW3V
9cFgJo2SIY0fA2U1uOAtX+0gxMrAX+vIvd0MNA+tLmiREUofWwm6aGI28dFg8bGoDevoG+7W5JO9
Y9wfd5PiFHVuOj6AZ3jaO67hnNwGr5MwLfsain2sABhvAH4edGiOfRinbnobW8+sQuXn/NGekGAP
QQsi4nAEi88W/ZzydSgHc983VfHJSDITZAeZh6KlAWHhlSNyMQwKoEJt4saB2q3+YLOo0bHSx0MK
8Dj/BM1pft9DvePoIAX0htp4DLIk1g8RN4bg3gz6nIGqYvxzxRsbZeFfX6HdSiVykFy5+ApFp9NQ
+OBk6vfXd9DSURR4oAVFfyEE63WFcoVounNki0M5MKFcl+LpzRMcRnxnlPXXmtTofQuO3FvLbC7F
eAFYWqH4awE9rNeLKAVbpN0hQcLMk5VtaiMBTpQh83jgZC3ftBR7ndvS0hdVnw+VLzGN3G9A+tKX
1Q7Ubq+ibNrnjhp/oWuAZTsbm3bRZdjmRl/DXjqVQ5iVArjJ0TgFWfajSMu70U95BBYPtiUMjCmN
r9qf1xd16VjED4A3BthCF6mhywO+HkEhUwp8gNlIvIVsWm/jUX2NjW4NkLp0MILNC5k1JI7nbt5L
S87Q1DniQNxkTvzOSik3tAEIV9godrvQjCCAhbcuuE+uD3DJe87Naiua17yO7Tm91rT+nG3N/Mgp
ECIwJHHW5KLnq0oPW85taavJ2rZzcwOTCXa+sGRYUH64Pprl5fp3EnWtQrTlGl0OO5ssuPdA567U
bVt8vW5jaQ+cjUKn0wp6QqdYYMYS9jNrjRDPEAAwkgfRyJX2rzVL2qEFZgNQas/zJdD/V49y46gX
O9iO3UoUs+IDur42Tn17HCqMKGiTrT/talpE0xQ16gXEUiv3wdqYZh85e+owYKukKLBCpMrCng5h
ysGruW26lef3oh3QngFxjX5TR38J9AkVtjWfirZIo5pFrXvHnSD0zRWPW7aDPDjSrHgF6N7QyBGk
RHxOQiEZLvufLYiqHHc7xD//wuvmgvn/2dF8oa3RlGL7mDfTKnfUa07Ejd/yMrjBhbZG+7M2Ji2q
Tapm7Eof+WOXxl895H7CBHCQri2DUNX+838bmOYQI5qomk5hYAa8rkrC1iu23HqN07W7a+l+hlrg
vzOoH+XWWJS9A0PFwEK/H7ZgWQ0JfZvscdNlxWPVclDINys53TWr81yf+TteIamL/nCcr/mNKknE
vROEYcPRBMNKhThyl4pqd31GF7fz2UC1m4SkyicQSsMzX1oRHndhZvYvBWsQJBsbUa/13a95i3aD
ZH0r0QQHc6U7hnZ89CTIxaAusyaQuGgH5O5QpAIK+DcxDTXWzBxHZOU9Wt+mMXAqaCcykNDy2Jr8
5+IMnpnShlR5BZVgEZyrNIjmvnjDAfAOiA6wTev9BSCdIhGJSifo3kFZo12KvRUoXjEcVK4Nxeux
/uKn5U1jWeDUwvXYOsPKgbVU3Tg3qOOcXR9cf5LgVsG7+ki4c+Nl3W2XkCPrP0JS8cFzvdBM4aYV
wTYpj9edc/GGxivYhNqvSVHmuNwPzVDWkBPGKpYGj/LGBh/j19iNV6KaRV85s6ItYF1ZdS9yWCEz
03AvjyTNd32B96Zbr2zwxQcOICDgtMKbFikn7VwJkHhokwq2DLG1ZBkVVobgO7LA4Nc6YZBEQ2KH
zl90MlPkyvGCBmvlnMi+nEer95qqVKgVNWO8GzzFQxNSX54hVtI4i+fXLzu6+MqYGiqujLmQU1CI
iH1GnlqxPpTBPo/lxm2/udTZXneReXF+CxPPTGpJ6yGwmGvYMFliwWgaIfqV1aZrPucmQ1pnZf3W
rGkX6xTwmfQWE+nMsMqXxHj26F3qvKTo2nVWqBDWJlO7WJXHPIcR2PJks52MaGQ7MSG0fwPjSwOK
x2K1C3nNona7FtyYUWWwaI75TrgyymmyVZMZJdjZ8fA/nH1Xd9tK0u0vwlrI4bUbgWCSSGW9YFkJ
OWf8+rubZ82YBPkJd44t0fYcj6tjVXWFvdOnJBzu1HaJR5P9s79t4exOCGjJ6vQcYn2wYqVlgsST
suBI3qobNeDbARgQLfBIr8wWU8w0aJcQQdCQ2wbdc1W+NvVG8k1BXEU5Ygpg0bWnKSFedND5gKjA
NVc2WutKBQhjQ/r7mb2p1s4GM1vnKkzrbkww4U49pu1oFfEGIeoFITdX9UzIbFUTqY+UvsSM43gt
VQOwR/4FoB0SmCJ6hmRU7F8x32nYqqTpEGzksIRC91XLHuEzAuCchd27uV5ngpgCP3OLYllCpXQJ
QahdIjmaL33pWVAXdNe1EBkInjzizyJi5eCGuRRSoWcNwFhMkcg95brQyVsZjxvhf96WSzEzDYI8
tC/FEvZeF8XOynTes8awSczfT9i1SbuUMjvuHIqAgAqDyeiTaKbRc5WEpPQ+euX938gB+jarP0Ya
ZyZHHwolSlT4PnIDOnddXlWGVhCpbxzA9i2xa1+rJ0wKeB+oHgFGI9gVLndIZCjKg4zwfYtjEIwP
ErpwNTMAMAJwsPGSx61dOHjXd+hS4myz0kBSYz/hYc/UaY83DmkM//D7Ct48didAPhWkN4oxO9ud
NuQaeNBxiaTkI8t6+QUtMJ7jxcYS6M21nwpiKhk1jax+G5mgmTOVFNw0CKOM9EOcrwHj1TUotUBg
vHxDauf3SV2bSYgCZZSuAH9KFcWZgpv4sm7bQYG2FdZV9SKoj0LkgiV5lKCNFhbwhkt1KWym6EJe
9HNugjAxMQV5JykA0AgJr9tdhQ6Lh8qzpiXyqJtLeTa/2aaNPSjRw1CFG550RGpDMgFrG/5H560W
YUNvraWkosPFQB5EVedsRahy8Lqc07BtORk4iQwGQvNdCRiXzmyrTfry+9bd8PhZLeVfebMzn4Wa
XEQa5GXxUyOThN+nxTteGNTId9xIhsHWW1obCwrr1t1G9BbFe/BOkaicHc6hGLggTgCwBw/DiwAs
b4D6xxICg8TFSuSfdNn9fZ637h3gywCZDBwS1L6xAZ3ZFHB+TPFYQmCDRu3qXcufB+/rdxE3stsy
fyZjHmAsFbEQm4pjKfTqYcoms23/gMP7XWaRi1G4Fwp5Uyhgu9d7p0R/VDy9oNZwweDcqHy6HMVM
bUZJGGAYmGnfF7RQPkovO6RDbgteRkMw4/U+3OUtx4VO1bXAGE8WamhuXZbzVZgdqDgXlBTNQcyP
NayyKMgkv0zCVonutWEhNnnrFJ2LmpmjHAHDUqsxVR7x6aqoiK+ZUvsl1TYcurhead2/UT7nEmea
LlekSKsnSIzHx6h0gP7t5ynhwA/RdE+15lsBTyv+f4+NX27pTOUNFYzexKQO2lOOiJu8ZNeXFnKm
4PRUUOqakbvU2RQQQJOCGrQjdRZuOym3JMl7zlDBOWXK8fcrc0vZnS/nTA1wtVcUKOuFGpA6ogwP
ctwQrQG6dPAdRW74v7/82TriHa4JKBhGldClEpiaMqrRG4aXR/rTNx0e/CQzzFR4+n1Wt3XNXzGz
Q4KEdCdo7AY0U7Ty6nEnN7LFi+WCB3vL6TufzexUAArC52sJYvj6mPXMKLGsMNUidfX7fP4PlfJ3
QrPjIZXeGAGbG5ViCMgPSWMp4Ys6maLmSD06w2z2TFToFJhI8i64FjftE/DA0Z6BCjXGMnO5Z/pQ
C/kk+wCeTJT+O43lwVHjKXKR/9aRZUy97sgVcv0ydXJpdlWbr2Vkc60qSjn792W4qdiQdAZwF2Cw
wNt7ORIuKOJYjzESjv8GY1Rf2QW3yREI45f8qSVJswPE6rOiIIUk3fBprllZ8Zjzr34ZWHkRL9iL
m1f/bFazU+QjCCC3RYBYZmKjFwqlDKU8onaoIKkSou38RQiff1/Hmx4cyg7/u5Cz4wTrzGmTiuOk
aA4IGbnW4kEYEKnUq8yuPRgj3ujt0jliu3MZdcDdPxM6UzVG6YUtSDqAaVUcNBQD8somqV+SSbBq
wbezqkGDAsIuB1S5VsY6XiqAXNpSpgnP/A8pUdtQq7DMKcidg+iRAcXgGSPLlhYuZAZPLdC/TXXm
63iD0oVxjalqVWuG/QSZEDZFT2Ws0sp4SyWQZBT9plFipxTVNw38CDzAtbuh3/LdD4fieehON+E/
DSGgyME40sA5UegdyyraNHVOE2OJOfUUCb0eNMMshHMG1p/ZOSylERi2DViXFGELg0d7tSVysJqi
Pa45mE11FDh3wxGExWr/2BtrlX/R2iU4gpv2CCx+/xnE7JAI5dRV2Cgg3KNKmoj9Ox6nIchgRrPl
S+Cg1ubQKtrC0bxpLs6EzrYrFNM4TwIIjSsilZg5cpLFEkscVOXNC/Dfuc2f0y1I7vVOgZiijTVw
GAVyDG6FsEZhfCDQBnXhAUrJRelOCPqsp1ofNOu6DYOaRGnYfstCJMsk9kbjgwcB7QYo9saOb1K9
IX5myONhGrzmLe/icit0tYfONk2pj0AXau0RTGSBLfaxYeYGnk5NOHAtaYrCaDGM0gP9i56Uaz9S
mhUqSKRNrpUILZWccBgAp/qQV22IiBPos1ZeUOgvad1767jyUYCe915rjm2BsJ3UT/tMMxIn4gbD
qbM6t2pPiSlC5N4ujWrNRISsMkf0+T2BkKhfe6oB6imQNCRE7KZ+ZxR1dg+SdO0PAAD1XdpORUtq
TRcjcwpSxLYbFLa81ADrsBLQZ9sZaj5BIYhm/r6opbewidv7vBbC1DTQso5k2pSZU5MGj1zUqSQJ
Uv2+SbpRI5JcAb9PnSZhBdJqJUMV5Kh+8ljATVD6rJFXa3mUExsF6JdLIxhWuoHcGWrXNCCfMp6b
1jCqZ33qxkcQDpT3+jAEdzU6M9d6FwtuiZYcK+k7/icsxe6Q5xX/BtorwwXpBf5FT69Suxi1cqTT
KDRuhYj62o8B2wZQSF8yEWLXnwAj0eyCclQLoGDy2ZcHxh4bZE+tR32UWKwEPS1SWL6kktdtNAoq
EYPGyOxYH9ESWnmeAmQ6L24Hgpi2OBI9EoXjONT+QfbEgLV+JN6+BuvWPV6C4HlVSz191yrfq0ke
+UWIha84HcjcmrHi5Uy+5724WYOPltsZasOwa3g9sgBJMP6otSrTfALHvPO7obppGkHqKavAi0bf
xszgjwnONfA7QBzc5DJpxnKnypNueW3/J430z7hqt1qGUSv56P4u+bbXYyCecqpLA6DFpbkISwkU
S0OKLkShtj2pjmmuG+DjLWW7kjofLaQcNDOy4oRPgDzBCXiq53m28JRjhvhKJ5+NYm6omyrXeUSv
KSLLe+CcOTLnTqlTRr35+3xvWsczQTO92wH6l0OIHOjcZduSrI07UkTeVuG5tzbUSTctESTe9EFQ
my2x0i1dR4DxcoG5JDaAthQB/rTfSMIJz6fSHgQop8aH82h2wy7SrP99loxZgpH94XvecCGj4aZN
Rsjkqw9GB9crLyr4GfX2RVnKh9+eH2Id4IvXASE0f+r4ARjFUJQBdiL+0R+AUrFRkh3UrqmjgEuT
7RBEQoKwMMFblgxAzShIBoGCcEWD3RmhX3RNBraJKSMKcGyDJrQKPIB+X8ebYlA/C5wJHoLmJUl+
O6Zl58G/yadVFYMFjNuJzc/vMpiLPT/6ypmMmQuO14VkSCJk+FpR2kKFbvASlG4LC3brgp1LYTM9
8wq9cZTaUoCUrq+AHViCZTemvWhWg7/g5t8+EBKevUh8IYA/b4gL1ayIOA6ilL6ypl4hPZSoXk60
rHNXKRuVZIhkBJVughZp6bqdtuTvciIHpyNdAOwcBN/QYC/yDArvbKJAk8/BzJym1I4e0l1B9nS1
OWzMH8NcLZXynNTyX1m6KAAEDEJQdg/XFJzbM39q0Li8L0OYysLsaW2BTdwcTI5wBMUuVk4DEyzX
VMU33ou0sQbamwL1SER4UlDO7IlnaaZitgs7cIJVuxqXqCDRg95/4SqfwSU+33O60ZPSYuPqzM5E
ATitMa6J/B2XRkMKP5OOdm/+M6rYzKhvelQzdVosaN4rWCO8qnk0TKG3GYBK15UzQg9DjPjPQPTR
DRMi+GZlEOgo9aG2hb234tKNSlqs0FNAHr6WFkWc34C5+Nm7qOOjLgftx0C4gIA9SDzoGs3c97uc
wq+UALtKQtezi9VnRxOSEZyckfwAOoEupUsAEje78oDiZiXaItwXhF3xxr48o2U61Z1URioxTXNj
mjtzs8PvbPZl28R2XULwy862bfyOuMRpiOs45Ojg4z8/8GzOPsiROPjPLn494u/h71rsv+ODsi+K
Hyb7oJSY9HAwV/jarCDLZB/4pvhif4X9VfYH82vzfHjefG0Ks8CfNht8fW3Y/wXj3CyciFOT48U5
RZsxz6PkCKdBEgVjviVKkPFDkupEITl5/+dwSneNqZHRCknodDYq182Ufvd2SXXJ8h6mdeL0m560
5LkwefLzpVPf1sxxzS2MTbg6Lrg5jOwEhH88oOHUmcJMxKFKcy4J6OY1JTHx2VJ/vlCLHhZKRK8A
UHFHgZgg4zio6PeGrMvTEAC6wVMyvBBEpzKx6Y6zrc2EYD9+NzQnQP7L5b4UNLM0vSQO8Rh6APsl
6UllAdgUp1u1JPxJwiTZd4qfm9dXc2dYuzubuAObuHP/KZOtTEpTsQpLsT7JPdxUgiQOeXGsB7o6
fH1tlqi4rgwJe50DbFxCTRNon7FElwvTDmgNF2vEoYrPSKboY8PbrFuPr/3H8JYsWPqrXcDxw1k0
UMuBTcdGzPYbQDRCN3F5QF/tD9v9vv+09g/+omq+LhdhZTzg+0IiCnzM2lXSjSukNpjSkD4rBHtN
yBarS6i1WjhVp/Tu+Waz+cA/AvsXqJYZmO/l4omemOQinjcU6mVnv+7++WFDq+ygXNjXP4qCKQum
MRymP1z87+z79MOyiJWR7ZZCbRxWP4eVuTlAOXw9r34/l1eGAUMFJbrK2ItYNy0/M6Np2Siyl7cg
YqQ1hdILTxqLrpb6JE9psdmaAGQMjaGAS0J4Ym6v+T5P43TE4jNtBl2LSVtk4Zbd2mEg1wmIAYJj
CD7B7IVRSUaaliGIGGOy2TxvzN277bzg+rxYC1sssJfD1XTOJM3UJ5/5gmcEkLTZ7bBt0E3/YmPQ
cSzAswdRMsjQL89QmBt5VIcTE2Carzv7mzg4DnS1oGtPSMDziZzLmU1E6NI8iHPI2b2/fzw+Pvpw
Ux6heJizMuH3+BNEW1uLrh5+Cvrw89AT9vNnJCMJ2C8L2bdTuev1iIApgnYttPDOsR8rNCiCtlPA
SWHXxb2DSYaNhKFcrWAof1/m6ygqzj/KGf4rjJmiM5e112AFlZIJg/mH4T/CymOqK2agfxd1ZQLY
VQOitw7095OxmT1GeYRFxsYA5ynzOpi34bJrz+4/cwFO7sCSzNtreSZTvJyeb8RDW5cNZKLSnOAD
CHj4fMZsY3ig386Lc7+9326thU28DvTOJjszrG3ZiQEfQzA0YE5s+9F5o/slpXLzvp8v6UzRar4g
FlXIpmfuNGJAe947OKlPS8fkOjc2m87MQqlhUgloO4WgV9N2HbxsFk7H1XvmdDpUuOgo00Apz7yH
T4ryjIvHf3Zqo5FX0JBbpg3jX1ifJ1VJV+wOLJS+3r7+Z2Jn1z+WvDSdBIhl5yMmry19fQZ8IczB
SBuTvV/gEdpHAkvJvI4GXgdxXoD9enpTJQQPSvzE+i8YphNs2ZUWOBvYzDDp4COeAOzwz23BITJ3
pw9cHHZ5mEWFqWSXlX3gEz+2+PV0mU7ON1YL13jhDrP78suo5rXQXOmVLX8xKjYyDOgf681GwcbC
HgHWyZIujUBiR3o+AiANoBALuBfwY2brkudGosgVujyZ4NM7hT1V2CvkBbPf0zVTk+bBXnJqTnGr
C8HoLFUAtmHgbYuKSmmmKZso46JAl2CQcnLnE5+kNKUd+cbvJjLg02felIUxEAzF2d7To3t0XMvC
kH5+Dl/wuFwbugePnA3eQofn581h1ZIfH2/xr0X/9SrWKMIPABAP4Gjh3qMI6VLxlZyqRC3Hx+AT
I9Or91MTaTV9JB++m7vRsSCVEz+OZv+xxH1xbVDQM2GAKhzFB2imRwDwUjCXoGN+QK8qs153sKeP
j8ykYA0eRgKvarW0L9eOFXwquJoQB4QS4JPMBHqB3KBvVOSI6kyf4Spx7Wn1LTncungO6QdIN6hK
eMQWgFa15LczJX5xJJg7ByMNbwuQinBSLufaq4HKqZ0G0U+i89qZ8XPi9r0jOLGbOfWqXNAJV+9C
cSZvdgTLTGl5sYC8zhYehNfuVaTHmHq1Kd5v+6241Uze0Rau/P8hFCXyaLZgEZRZUKuSWy7qfQhN
Eqr55nt4mLbd6rMGlclPtoEGtJFneSqXHMz5G/ifuf4VO/MWQs8IQQgFsYZIx+Mh/eEpsKdpyG/6
t5fRTN0n1LQsVtQz7XG1o9hUBK6A2oEe5MsdbXncmYlNdjJIuVY+RWd09F3505iP91FCxrsAa4zg
EYme+I1q/a5drx6dpzmfSZ95K6VRT6UM/G0yKmRCGcQzDA4wqjyLc8SXJQTiU5/R9VyRHsBbV0Qc
e3Z68zREzQnAiUi0LX/KZxHqLNmoruAMx/x1WANUi5YgIiRLKuKmYDi2uDh4QCD6PBNcx17XFhwE
p6mFqggLzTSlk22UY0L67WjrtnHoV4MTWYvRL3ZW51M+lzzTipzmeaIns+3F3Ii4Lmz5viHE39a+
qRKdPNWrzDlIrnK/tLenbtsL0cD6ANm2AnZHBJ2AunV5sjrQDAEhPUVMZ0CA018ZdxJBB5Hp2UBB
tMNNbDWb9CBTH6FaIJw/3/cO4OWhvTKS3td3OAMbz5L3+8nJaO6KxDefkoU3l8imPx/j6ZbjnYri
96ti6qmuEylvwahoqs8D0SxwlVrS/r2AD4QaQKfZhuuOpm5Aor1ySI6Gm5pQAw73mFuKu3AZrlwN
cAlAsaOumxXh4xV4uWAGugj4vJCRvLY1kYQ1ES3PLKzad0aRcFjD6WtB4pU6n0mcnQ7fQBVWAnIS
WnF2+MyhApGWNNv42xLXQf5U/j/i0sw4zVb8YpIzb6YBUQ0qsiGyXWfcrkgh8NugA+VfwxRcWURI
TfRIOb9P9PpVJIMiGMbZkLC0Cnb8cmklTp26bFAD2pnl3ica0dfaXXoEGgHt7ehHNVFygMh0vM32
P5LVk31CeaLvU/KnJ/7H74O5jsDMBjMzakjT10qTg6R6RDxQYd1u8kiAMbkFBdpHY3k20FBKmiMz
IBI1J97/XEc0kz/bdfQNiGU9YTFGxCJTUu8rW7SSR2DJHJuVsJqcJ6AO2AkB34rZ7IHYtW5XGTUW
yhyvlSKGoQN3CNlwxDyuugsqH05n2CAQ1XzWCulQKe6GG9/S3eBj2vN3iuPTNLAswxWWLhrb7dkZ
vJB8dRpQP1F2kFxbKBLpXuWf1pnuUDsjUGXHvZfbOsQtX1KI134b3DVBACANgtwgt50fQn7s1IgD
dxmNtpIZuanVW4aFrefgSEtO9OM/artOp0A6MofPlrYN+f3g3bgFlwOYHbzQUFPJQ6sxe/rZ3GoK
ibDVf5rt65duj+vB9DfDRv4RLZmgAivbxI8y8JYov943SCd6BLjdSyO6Mk9YEubEop8P91LjZyNK
kqmI2w5+ViDR3kJzPJdAFfd/JqKbDYgjyWhH5Dl+hCfi0y8e1KkLI7hyf9gAGGou0OtwBE+v5bNo
kKwPXKwpGEAX4goyHSDf+fc9WfQ9rvXepaDZTEs5ShIR/JtUeUi2GogXSJmQYhO6KX0RP0VbN4i3
YN2uQzKzyc0MSpxmgB1WIRMJiEd+zVP5rcV6fut3Ia0Q0Us/siWRt9YTcDZocIGXw5ysS0WrNSVX
dDxcZfV9uEOrS4m0Eux9t/IdzUD+c7Ks3hxxqlJz6TDd0KuCpOB1gtYotpnqzLToajUIod4kNF5F
LRkeMtugKLuzauCdUg5pYeN7Uum08+1hIvVmKed5c7nP5M/fDXwUFpI8QD44nQ6aq1Ywp7o50dzp
LXdi9X8Cffj9St9QohdznteehEMXtYHMniY5QWU9idfaK3iHP2Jafg6YvBlYg+W9FLslz/K6KwZ3
FrhFcFbQhKZAnV3udBOK6DyZfOSLttJXZU+v6Vp2pV0Fk2ahDiUj7er3ud7QnxcS5+sbNTUuEarh
KD9S+T1fDWZ0N+78Y7dKSLobKLQ3zQ68HT6B+0lbL5KnXEUYLmc8X+ssEjw+VCE/cLk748HH27d8
jsx4qz+OvjWttJhktHwU9xO3oKWun6Qz0Uy7nKmpQQji2JPY1J1uy0crvNVo+D0apEUD+11vDmtx
g1eEKT3+vuYnYIhLUwksWzwMNaTPQXwxv8+J16qcmFQxlZ3wRYZtwhy3+U7CU2nDWeCQcY3tYMpQ
2ij/MCfiPb4C2tgd1uGj91p+yQtn4MYdw3gYVjCjnYbPPlNpQMSZFCVB3Zx3kI+Cna99qzNQVSHa
8Bfs2Cx6QpdeCdfZSlmEV46kKOJhyBucgtJnq18BnlDojCym0gPgs0dHQWmH/JY7xh644NFzvQVY
34KTdh3oZjJFQBkhIIBSjtP1O5MZeYEm1EMZQ5l0Jv80hKQjMgpbdIIDvtXveGhRbtPYyNAvHbbr
VwFEA8+OkXQwopOZf5hnsQxUYqwxYiskXPmW+OZtW9tw0FB/RK/9/e9n7KpWBFl/cHsBvhVZWuyq
Ll4ebklOhqqPOeYLQ5fY1Wvj3oFpSaeqE92rpkYDPJNfm7VKDKf4yWhBjSeQ+qDCKFyqdLsOSGAs
aL5B3JOh/l4hstVRLdVCdBqLSNEVqvgkW6FSHRwYd+HH7xO/zjHMhM1UaF4B1T5PISxAMfqq+krX
MdWo/MmbkTU4S5jGN48UfG44ngh9IMM4uzsyX5a+x0GJiIcKHmjifoTU36EzK8UzSLz37NoFoKS+
9++WWmyuvQK2qn8lz06UUU2B76lBTKvEBnr/j7/lP6vnyNEW3hSn7v6ZuroQNFvRzIhDrwogCNAT
xkP+bE8OYmjwr2WifqU75Yi3Ba32gEpU99XTEun5DWuMeaIUjDWhgYRzjntZa1wlygU2dJcfmzv9
Xi4Q8Sip5FGD+jR6z+/HTe+qiOO9LBwltoJXEz+TPLtDihHkRsCOUvOqK+SOm4jgqKakkfwTHB2j
XZHQrDfhR+R0GV18ULF//TfpTKOcKauQA0ldgGwBLZ9R8Oiv7gRg/T33ZrHmnNBedLRuKSjUE+C9
ABcTgffZceqkBGhXDXSjekj/4D2/n1YcKv9aG82NLS3+LKFt3jQA5wJnxypOFN0XUwjsqQAiy/tp
dd9t0DVxLzkIyvLbRRV8/S7CvIDeLuNVhMwLPxMYJamidinMrneI7lD1DzXUrUE4JlrSl3dcODvs
6THfPRX4vKzqAGQGc30/qrk8iBH0PeBuS9B103af2QAFtEpTvWtd0OL+hI/tg75k4q6fRCLM21+5
s0l2kxZwRQi5GcrP9s09MhrDOiJf/FZEDEiAnl9MEt26Jmci580yXu81cWBgXRN32kobySypsTdo
YYVu/cl/ikTbjisFt/Y4LVi5W57L+WznCBFR3cs1iBtiGj8bW/kwmIbtwV/u35qNZyfr7jiSJZls
Aa83FlQEBiuoEucKX2jVcFCSNqbTa78vabyN76e1RMMl5cMMx5Uc5iigDodxe83etl2kxUoQQU6N
6Pb0gFC+Ha6Ll6ywfDSmbUa3fIiewIMEj839/ezOCpBxXGFCT9VdmoQiiysgrtQzxClrBvgqtHfC
Y2IqNjAVVuqzDZoi2u3U19AOcKh0u94+jaRe0d8HcMszvxjAbO6DEuq56mMAg7lDAfJnuKnc73ir
utFeQtBWzch6CQZsUeZM/0liODRq2UP/7YKOIEVl3EW26oSH7EXZIa7IOWgmF6wQtZoLs2XZoPlO
awx1GMwIjHJ3dmVl1Vdqjs221Fi80lLNdMt9K+v+sd0shkxuWRWEwaF4ARqOd/0sNRUPeGKO5QR/
ZV11FNDcpvhV6bSDx+s3RIjMyl6Y3i1NqGlgeoI3ChavuaPfV4UwipoU02NiEOUO8fe3mjTZit9I
h9SsLPEI4aula3rTbUB9O0q/gIoDMqrZqmZyHExhzszLwbBlJz9OK4Yo6jbWdjQ1eMVkC7QcNCgv
uUs35qtJKM1jGV0VPuEsWlMMXRrzEZrpUtjN5KvYhsdx/cghKzasFLtCdEpb43l7J5Js79vc5sBe
HUu+y0nK5aFCqAgJZdD0wWdCzxsO3Zn3oAJmgR86lUUScIzddxEBerO0vPfaGS00o5HnnbiWbMWC
vpzIS4pj0K19s0H6iosI4NP+eJZPg93oLMFc3ngOAACanXawnqlANJm5VaAX4YArwEG9PBei5T9J
H/zbaIrqTvbxDlw4fdfqGgXqOhIVoGZFKHKeXNdSbqy8XGXhuvq5/QOY9w/JDL5y9CGiWr5CWfRX
QPKXZqdvltjxbiTCQK7F8EMBLohRqEzFn+0BQqBGiRapmG6wCYjZIR3gjOvKrRGPNyj3FFLERbdA
GN9z7xXJrcKJtoiRo5HS8heUzFVDBeaOCj2AK6KhAmx680oOoWaRFg9jke7eQyq91tYDQltOaz1+
stKO8PiZ1haC9yxmCwgp2Qy3BUnW+YNvT5ZkafeZo1sLe3N9U87HhCrNy/XhR8Hvexb76UGrQ3oL
ODpW85Hw5H40C1Rqh1iJDbdaUrjitY+EcCZDPgUEE8qK5+SSQ4ket9wIE1q9xn9kWmUox+qe0URq
+1tpT8qeyiT4s26xVvUazG8/P/z7YvyDqYHLC4pBaKAUwvEE9ORcTYzAodKHNkqoAJoRtG87+pr/
g/B1/Jw7ySYL6LQefobaFsnCql87+mjPZNljKGXEsuclsVEmhZreIHWd74VN6oBPy+Q5lKQp6FxH
O88UkWGhNfJGkPFS5Ny2CloLNBGIFJ3MDY+Pmeujk+eFdRUVP9hrJ9gLB+FdQkdRheajr99nfFu8
wTqcGDraFfNhlemlnEw98gN3fED9IwOJxELvDWvahzR0/UfDASRWb7LIrrfP3X8RRccCnI1gpo01
jk+5IQI19GALtvIQPAYBOprkdekUmzJClQbV1tR/418rYixb4GubD1xHPOpgZSVUGmnsHp7poTAA
CKFYYf7cytvlf7iaDEe5skC3ayrohybpYhz72nmFRNRS8aDzwUE7Jc3OJKbCOPW1gA3nD+pBcOFQ
iYf6O0WNwkp9aDSTe/JQ70YBKWsuapVbFwtXC04zY/VB6drlbIOUrYCsJHCcs1ccuLugs4EOYvqN
iY02+Qj0ETT/WHxA35yzATYevDIZltzM4ZCLUZoCic053Wh29wqyN8KDuyIi431G6nvFUR9a8w/a
u5fc5Vv7i85Ildk4zHdeTpkpoa/nAfJfIGiyBiL5xEO8fnJaO/5CZCJe3N4lgTPFrYJfzuczCIy2
7U/meutu0/gE5O7TDw/ODLIU6hJvCdTQZYagORzXqzJ+OTfayihF5DGBwmVrDwYJwcFCgMJwvyUv
LxMlKK23VLJa7sa8ZSzORc+2NUp7IL0OEC3dtalZHznK7ZH3cvwde8uXbkEtMlj+Q29mT/LWR0XJ
79rrhiMLN/Lv3OcE35kOqOyJExKqvwsP/j5/FkwY6Ojhm3uv74XDGszlpNotJdZvBDZxhBntqYR6
FpbMvbxGud97fuYhdYw4aomWqh/uLkQqu7CzjYjn7lazekifLHUfrBerdtg/PjeOwGIG2R5AQ/AE
ni260Oe1XtZ+StHN1BkEc97GO9AoxG5sRk7rk9/X+JaFgC+KbiMVYOXgO5t5aqmaVB0iueA4o5ON
SAL11/53tQpe/EPxgaMtHfWCiF8idAf0FkqnMjd++X0MN2IZeDLI6KZErxMIP+cIClKoANlExxjG
Nf8tv5UswYtuNRo/KrTdAKnCAjflUlP1rdMFpxDhBfC8sV7G2WsliLgm40SUDA32aIl/vHfRmuAR
prntf2d7VGXeGYi1utFhSYlcR41kA6kvWCVoadBLzLa48vxJKlliFzkJfiSVRlTX3wK4XV/Y3BtT
VJA7V1U4Wsg4IWhzeZKbJBPKpCnh8IxEeUSyz+Sf07W31XYAxkSkfpd+ZTTdJOtFR/P6GEMynA5W
sYc39zziKHhg5ZIrJJIjV3z3/qBJcYs6yQcDyTzPzF87XNxV36Pyf53eyfvge1FvXi8y6GkRRAJK
vIEAw1VojkvxApNh+ct9feDROPxkoECpd76SnWLuQAIUmJrzIqyI7wL3HM2QBbKRGdWR4Ed/+2Kk
8No0w+/UEOSA6wnHc44jXICe1ZBzmOaohQSoklW+BVJtsfFWvohEFIKEmQMlt3S1rl1eePpIqxss
y4m02OwEhGmBShnA3VDx0D7jcFsSePxM3p3WuQ0+T/6xXi1c5mtngHFsg+USBewogpyXk3d9X4J8
y0vo6CCpDdAcmh+1TXLn3aM06yfzSRwSEWUjnLlU8nzDVjLRDKsDjQ3AhppNVpbixotjKG7hQXmQ
17LFWdGHfPhQ9h0C3jR20SfersaUwPOVKPDDnH5Jn54KnC/19+UYZv5uxIdATzIwBuVTQg2QB3PN
Mq2hSPjAaj/Upaj3jXN+MWdmxM/8zSBMgi4KYC8Ct93l6KYxvS0o3uAsrDMiHDhnfGlRH/MsPTZv
Czt97R9cTnWmQDmQ5CWyiKlWrwDac0Pd7F7QZgwMJrbRtDnG9tLhunGNUFjOMwIPpFSRu7+cbQNa
7WoMcZwrgDV4bvExoSOtJKAVIP6dQosdfxw4dKgtzPTGLboQyzbhbJEjTorQA6ujDMmBf7sabJ+Q
ajPQ9rV8KDeLacdrnw9lAX9nOVfbAlcOUynCyayJ76CODvND2maPexOR1PFgj1/BDGEGxwdpXdEk
MhlofLRkPG6drPNRsFGeTTof2qLxAqz1hLgJiXfgBaXBg2F9iy7AhtAAU5Sk3WyGpWN1e7FRQqey
R5QxT8eBWUCPKzAqo+GkM5VVu08p9yfFi80jLFy66ALdvLKMBPg/Amf2uEXDqFgLTEc6QmJ7zvDo
H1DAP1EBjS//powOuwuYE/Za4tEiMTvDLbBh/dGDgmzp8NlgH1Oi2TjERHwIUddVHAa6xGR1I+N4
KXN2gPUMwO+qj6s62PJPvOktFJI5+TbZly5KEWzFXTJ4bM3mavB8krM1TZSmUrUOAnnHP6ZP4TZ2
B6ug/PH3m3nzjP5dy5N3e3ZGlSIM1P7/cfZdvXEzTbO/iABzuGXcHJRW0g2hYDHnzF//1Qh4j7Wz
hOY8hgEbkAE1J/X0dFdX1TDTu5rbxWbjKhhOz9iSLCvUvRLn4SRIFZm9j9kOzv5OLHB9Sevfx8KY
su/b7cdYUBL223SAlXjneyB6uTQ2tPRclndZSEJf7YXvGtgPO50gt0E8wo58FuDM2m3tgDv8Gcif
8+8DWth13wEuwNjIwgNCSV0QvmC0ZdjrKBgKeEXppZV9GQCpNhLpytFeub16n9jF6nerC1EArBJC
NIQBOpIC1GqRvHMYVT6KSk7+gNSzlbkxkm/GLl03KnD5+UrKnzSvtM6DaSA7beyYj7jbpUTPPYZs
KJCc19COe+06+UY0IK2TIQgws7vkSejNwIkFC4GAGW0izwdDiAQAx753Aje7h5br71Ow8KC6tk++
78cSV1CtbQwJSN1uM7uCnbryi3CYXNFMH/X9p+a9fTIM3vrsK4P0Oez4uQbXHQz6r4pgDqDVfuq3
gmk4yr5D4u8LdRXWGG/jTKLdjqcyj0IDQcdcjzHmJ65WRixzbXP38ak69PexZqs7cOv05uwZr4KV
2JVvSQrT6yyk0cExguWFDDpSm8inX9vus6oKg7ZDWvG+R+C+ey4sbQZoVAb9waHfRqBFUpCQquzu
lL2Hjo4tiNyQxJqC2yoCPoM8b8B8DMVPncpuSoM/FnqLh6Thu0pnivvJes8svCfFk5Hb0rlaRzuk
Vdcsr7uQIUGGEdcXQjADtId0eac3lDocSiR1O1TotZVx/weNNx+YghrhGMBnHr8atsaqfB4Mm3Wz
LG1uUO2AaRFkYVAFp/1XXGW6wBmY/OjNeIAOgWrOO9XGUzNAZgZRUo9OG91loetu+3JJTgZNwcg1
kjc7bVbtxgC8kkhy6r09OfI+tMW1ZOfbyU1tAsvW7RDAUbPIIeNo5579trF0h9Ftv4BJv/4IKtqP
tFKpZX4ijys8JHGy3o2tbzf7CF3Jxl43q8/kz040k2Np64yr9nuA11f6tW16t1W13usCbGPDgR1Q
fn1FefXlQ9noR4SGpnpGd9trdi4e2sP8rkbgh7cEx39jeJrbR8f1V1CuFboruaSK+ApAwl4qKPeN
ZvmePe76J+5LX8l3bYKK3e82xQVXg9Zd9MvjuCFO/AZQ/HCnUhRBQ3XmkUaBlsixMqPMa0EVpx0f
Ys384M3wS3241CZnWLUD3ksbBVag5DrsQfXQbWMWfHsBlohMMHY+8GoCkJca5d7VVtGS0JczPOoH
EHqa405fO4mXeOg5AqsK2j857IfBnDvzkfOYfSC3SwDzSJHiQEDfCe7n2vvJUT+pmaDiyCvbZLCB
YHN7czxH+/ncpmbFuW8is3V7AdVLst8obSApuoCFnEulaJVKAWeA2ZjdBlXcNjahX4SHbgdI5hEs
eQBQlysJZHT1hDJzZgH9Cml1xIPMPvLbgPD6Y8TrGUhmCH2mDT4GXhcIvrjHKyGAp2tPsYv155+1
O2BhQcsXWQfGVbsQ3lzbpu69Ts8jIclhu39OvqaNLQROZcqn7uVD/5y9EY+0djXsVM2Mz5pXkMc4
8zl8+wq//gTKC3XoPiprshaFY9xLzz26B6S94qG53Bodbn8WzyWLKeAWwYgcFhATUGtDmhqZvesZ
7wAgGoK6QGqn9SbSatjs4XqPTeMkp5FlbGF8gGlA/wU7HPc8fb37PuiD8kKDYOCh8cKLDK7HndiZ
/P0peQ6dIF4hdm5Yl/nCnroySrlXkQuzXM9gFERaXrASTB1Soavmpbxoe3ElHhWI3IOBIdsKJGX7
u4dbuFdQb4A/0Um/kwgw1vX0asY8ln6mZ2i88L1qH6/1TQDR8HfxFFjjOX+KbGUdvSSX6D72WHmk
pR2NBi9orKFcKgAsTz2IR3RtDk1Z4eK08gfjSDpxFMHuUqTOmhhNtKSHNdkFng4Cu9SBm7/kHjOW
uo1gcamj5AJsI6DA6Ke8noG+rdO85fARlZOGTnzKHvUdvxahNrQhnQoCBGr+IYS9tknfZahNFJwC
m/VOuweFIOnwUu5kdNJnYPXE88/Sj9omt/j/njS8NkwtNxjCI2MMa6S7z+mpt0mF7UXZisjQ6mvN
QfuTazwJT/3etxSbsdMWDrLGw4fryJcBREo3oqBVmVCQQAbXf+Q35b1KzIlupaMDaGLt6kVbuKdA
Z4sCF5D012saZf0EepEJqUgoz6Emzb0ZvQ3QEfL8zHEt+Awk2P/aovYPNycxCMthC+jj7JDt9c/Q
JRhy0RWPFqoNe/6dZ8jsLbyvSVL/r03q4AhFNYmDAJuFE6K6U+BmDG1CyyXtw0NrbnRmdps1SmrH
crxAOgRRBtRw737wT0mAMtK0BhLWNsDwKVjppluzikkLvYFX46TlhousV9R2xDihLtQ4KJlBs8KS
7/NtbJ+0cwOqx9836W2bmgIGE9J5gRZ/+CT6fdOk8hyLRlQgwlZc7vA+2tlbY9aocFeN6U0f9eWO
nM18u0uOoPl4uucewk35Ci5T7/cvuV1ifAkApCCYA2KKFFSut3DSl0ZV1inQxyuu9fQzD2pi8aVV
TNWWweHSe8kHI8C4bSOCSWRNMHrC2wk857XJ1hiSUR8hRT8fw93o9mtITljCa7GTP0B+zHJFJFS6
elVQ1qhzA4JZHzsY1loXMfUKsGNP2Nbb+YB25hHRHWM+bzYwMWeoJJIETRqgQdeD0/CA6visKixJ
AEFACwKg2fzGgKmQzt31m9l6w8OSVfG9fTDDLNJRuN7wUsftQi2jr9SiX48Dkk/r+KjvH9RPcY12
vw2PBBh68BrbwpniIsY+vkV2f5sFIAnVOPJilq9HO+WBFtZlj91zRAW4twPCS6E/IJZJPG1f7Oon
dVVtjTWLCeSWGoAyTO0hpeSGvMw67FXvdYTh+ZjvBmxfV7ovzORPuavgqVCUaxHYxGZ14TZOB8jw
2wRAsLJmxuvkPqM3GdFm+N88UJtMhWpQwKv4nLZxlJV2D6znVgUXinhfFnbjjg46LlfVLjomFwva
Yow9t2AdtNkowKMED+5YmYrY41AL1Aza85b6qL9qO0KR3Fj+yYhM3BAoItnzRhRMbq+7aCRj2F7Y
71e2qR1QxfVUdRVsg0H8K3uqd+lJ2gKNpmPYRmnNllSZ5SN/YZglv5aacHATqcCUYOMhB0odM0hg
IfVbwiy3VcF6I+y07bw1HO5PY09QFDD5LbPufDtSQHUIohSETIAcqNTVFApDNGp9UZIqjtttokNx
KB6xtiukpRDKJmiv6lbaA2Og5K17PVBiFTzTAi8iJ0SHGH7YpkIK+UKrxEsLBbqXfIvU9h59ajb0
kD5/t3b78EcC6qc1yo0k7diABKlCHWVaZQ4IvZ4I35F26Df1KlkbjyD7cnqnRZuc5NV3kV0yM8vk
pNyMl7QzEMF4tHhRb381LopIztoSiV5QsZN8j7qu9vUqAM5xDbObeDSFl3jNXN7bQ4RnCbK8WGBU
f6HLjQ/7kYPpUxQZejgzazor4IA/g9Ok2Kgx8H7ZOr+gTLrJvclO1j6g2yz/cQuSIthxhJFoOkW6
GViha+N5yWd8mmRQzTsWEfoKxnXiTafqWXbVe9V8K7+Q6HIgJOToHvqSWIWh74ogNekoQWLwYKGA
GjBdEU35tMllCVu72xCmgOmMkN1MZGgdATnCr/3VZOdO/Khf/jsCDwP/YVmnXNecGHMQEMvKMTuk
x9YF/NA55e7YmjPaKsihat77fV2ZCutFtrDgeJCKQA+jbR0gFmrB04zrGxHazlD0g4w4SuD5m+R0
SG4y81nEGVHTi3BHR+MK0H5gAiBf8mNrJZGqpkUolJa8nzbB3XSIEOJx62CdwVrHepTcukYoO/y1
RgezWgG9ppDjSyvdheh6KHehG+3x1nQDb/YUr2a+rxcCOlgEczD6nlCSRSP69fh0btYGaE2SozPb
0yFFt/Jn7UyufwlfOZdJvk9+HT2dOqgUMEiIRQB7dm0uaONUHNKuhFqOI6DxE2/46JE/KT55vO9K
FkfMbV5aAb4dyEFcrgCFiLQ9KFg3OSRrsEddaQXaWUe2ICe15R7B+jS8oK/BEh8gmbYvPd9JajN5
z74S5h5aWNWfH3GDs6rVMetU+MUxQO4xcniAylY5Op7AqCGLVnXkHkbQibQ240ZY2LskroBiJq+T
BDV10aIFp0qTGXY1VNtWQ4Y2s1fxhBjzJBwqO77wa8gRkKYW9Cuiyy2vzGrLxNqxPoKK9kK/yIW4
wwq0rrATXD8BUll0hq/MggSUuiZIAx9V5vyJd8/Be7N5YkwCufaoHfdzEr6pgH8c4EnSSijGwX68
g9qPJ9xFaKkZT3pi1qjXIzOZIwl6EV3/Lr6oF94cVuKhswz7UfIyO2PuhYUDgEgPaWrA7QGKpxsN
MzVvsjGbUO6+a54a6JFAOGpXnTgUg0/yoWE+yhfu5Ct7lJPGrZnrQwF73Eo/Tw6/jzZSYaeXEq1V
wjr24k1yUiwWflZaCLhQC4PwBWjwwLhBw1jnKe4VqQPyDORfMphbBPBdIdByPgQbWTO3OweOtNFA
K4IEj27Gm3iNSN/JVhDUXY/byck9CLM69+Kuus/R+fX7nlh4OOOb/n6dRh2MMps1Navwdeq5Dh1h
KwLy0lsQZS/cyc0PvsPbX7+bXIoSrkwSH/FjG8pKoZbNAJPa/XPkzGvw2b6KVnjcCRZp8ffNLDTl
XeRKqPr/bpo5WuoEKrNRN5UI092X9jA/98d3hGEetFk2p8wbrYTFc7bwoMX0QqWMMHOhx++mqU4g
mEM5wVgDO3wARDwOzfRrcirniL77y2AH9wLyNGuoCUKGh5Gg/+4Apw482idR9selhvI77W01ww/C
Wu2QoHdSAEhAJuR84xx2vQjouOI+D6bgasfINA6c2XhdD6BxYb2EjgSOVt0ct4IDhuGDbg+FuWqf
JyxK/zR7vnkubX8fOgwHdZteB9ibqOToAunKRWrlemckcRABcoPvTZ6QRprt+h39E3h8/em8BFyc
63CnnAATcLqVevjvWVAYB8YddLGkGxTx47VxKYm5OlOAc0cP1CsUNcf3UbWV2sXVn5vS6fedeJvM
hzV0/4Lgm9DCoER/bU1T1TyMgx61oBqnXSPoTM3sX54Lj/CmqJ+Fp2noQQOrErebrY3yOa1YXfwL
kaOqQXqGRI5A2tHUCHI/5mLQQ3S9fs6Q7gjxKos3/t2E5iCHMVoyd9RG1IEGAOkgCK3A0UKFjlGa
BF1U++hcsGSrvx9kUPKaEwTanqJtu5bcDAml/M4A3T0KoydjbXhdjj431YSmbwMA0O+fs+QGfn4O
3TCjFn6S15yRWflO91RUUwIn2fsr5BbCrbSJ7plAkIWw58ogFVoGw1SVRYzxR2D/BV8ces3O7UqD
qfHJBytG6X0yhnhTp1EQO/+dcZXy6/OQ+VKfwOJgtVC0NMGUsIndEzp1USgRvcT+3d6SU7+yR12u
YTcMelbBXmu3O2k395ZhJqi550fZ4t8KsL9CndE+YIlDpHWw1/7BtV99AHWg8rAu1Kb4/oBm34gu
9pjqfgSbCy5VXzN5KFKDueu/jhrBpAFnRdwFnkU0BUcUd0WvJYioJkuw6wtKJ3fvOMlo3seDKIQ3
PW3Qs3HqIDbHqkXeehAiAoizpKEnyIDPovyVYKBrddDaGptYfCXMnZHz8RKjPz9ywJXngjbBzOEp
Hwcoj53/uyIIrINSFa0rSPvjLyrFIutcqIhDV1sNri+QDx1AzwOzKD0G+96SniScZTTtZg+rhNns
d/tSQ+0LeSR0QaERi7TsXDvPYFBHTiqa2hL3oC4Dq7C+TqxL8VysE5flu5aNERQJaOjQik0DmkbJ
7+SoxTxzyIfOK8MikUK2nh3Uk1ZM13TzRiBD+2GN2sZhqgWzamBolaNugg1nhsfUjiJTPb7I2zxm
HNtbkCtljtpE6HipBAFFXbx5a7sEQgEKE1qKlh9kjKzfD8tteYqypV6vmirEACp2sDVsOud93CYe
+gKeCXacc8cjMxt0c+dQ5qgdKsgdOKzI0NrnzpnetG0PMifAzmQQewT3rVc/npln8qaSStmkkqvI
PumDUMCmfs5WoU1qYZMV7iCYI2WgK2hB0Tl6iK94N/dYwdONxye2ZVAck/oXxDgoDzygk6yZatgW
PozP5M319yKKjp07In29KdbM5bx5TVL2qJ2qRB2flGQ55T0HYNGAUIXwoFXgb0fOi9Bjtla6163c
+30f3YQtlF1qy7bDZGRcBbvgHHP12Hy/Uzz+/6P/YHl8JHhHlxQUGqj9k0LyKBSMHh5uI3rdn2wP
VhCg2TIQHNVO/xat38JNt0WX1O/Duw1Ovsf31y61h4xckmI5RqsK4Z5QiSqjv6vfa0cAaChPzccz
qy9dWvQ5qAUIKiirsH2olexnYFjzCL6cRGfGrnGOwnqyjnfPPlQDSF+NdhDX++jxj2pOL2BAMAPX
C7cR2DeNh0dmLpW4gatYEeOH1DLBEwFZpNCilFwRC0WSyzVoyNHoGq1mxKWyqZzRyl0MKAFWOx5E
NfOp41kOaun0orsFfWJgBkAikNpZoYwSUDPxNcrZvb4qT4gKLUc9okjBM6KVxTH+sET+/8cTOOKh
iZGNsFQ5PdTW8dbKDcZobiMyMo8IiQCsJ4Rv30jBHzYSPZMbX1Ph/z5GaGDiieFpAHeoa30HZs8Z
5Y/QPAxmAcYHbS0yQuxl6wgQFPgkdGfT6VtoXWVVN2IVp42Y2b1klXjAWYKHHXw3eODVUMyQc2De
CQnbuYHWYpvZm3VbCCJzAOg1AJgiGsVojqMuj0IhKdDEq+6bN/0uyAB8j5DhmD40F83bb9JsSq+1
EzzwwKqVH5Fr9IxlWLr1oIAJbXSyqYjO5/VSl2KAvGQXNVaG/LxbHtHY6yp7/rNFBaoEfZJo/MOd
fmWR2lyaOHVGk8Pi96sfFKPDyQAWtAUNW82qPtw2hRGF3x/Do152WTmqIF4IocLuqefQ7pzY5lKQ
jd9PnvbJ8IwL5xNsWQKwvMhkY0apG27OmpSvodaIGw7jgbhKZmIvj2ixU/fzC8PYglPEUxXwYZhC
GY+Gd4yRWpUBOI/xWDKOvDODLhCMhRDkeYvN2MPRZdgjbp1ye1f2qOsm8eV8lsQMkB0Ao8+yR5jF
XfQoID1ld4bZOtKZXDylWeyiL+WBYZ24+N+sU5fOGAyVOuew3lkFeUAc3nuXR/Fdt/n74rO2wj8M
gwu3ODKiYLwB3xQAB7Qqg8iJ1cyJBZSx9wB+DxvVU5zj6Yh6QLmCyJmXmhu0AndIRfxDIyORIf5h
mzogc11rYmvAdnHuTdQDLP+YeL3z1WkmqyS6tKo/TVGrCpF7MR3CsgFzer4Lj+2K23NnVtF3yc1h
QBCW5ZFhRMsvZaXVWhFg54pYmcFk04JWBrV8ML2s69VL6BbPxl58CO+mbYxgJnlPJsbmveUx+57R
vx9AeYE6m7vR4MkHABM7nVVgk3RvhMgT/wnwlVk7oQvoO/CpwgaUuK4GbaHQG4+G+QTCfoextcho
6b2MBLOGkgJIBJBmu/a4SR1Vc8TXAK8geIHfRUatO4RwvAHhMpBXkd2BTJD3WGu99FIEjeBfw9Qh
yjmIXzUjDKP7ZV7zuNx5wKYIhxUOcFT+g7oFmfa/BmkGlj5oYgi+w+BrsGkq809uilj3GTjKyeaR
7wBzE2Nul1zwT4vEj/wIKpSxyjpFgMV4x1vdH/8h3XKvoNk5SKx65S0oixocdUpTFf2XSktm0w3X
QP1ucjvzDGChMLgErdWQ0liJF/nu9xF+P+dvdw86psCHh1opXcpXUCdsVQ1b2bhXN9pWuoANAg3m
J/QgYm55t7Qu2MpWinicX/G28MIqEy5GDNi6SG8gXwqUDnXNhcaY8p2OgasekgBW/BkCV32ITpyd
Oug+XbNgnIt3+E+D1KJ2sQ7ee1RGSBsm0rKDeXkRzeZ+WhUge/+X6f0xOCocaiqErLUPW4XD+46K
vrjE5FGIBu3mhfA1keLPyT99lHeB0+KlnqAuzf/3UiAAq4gKAbiCiAawhtRJHf1QgAbOjOjU873s
a3bb7fuM+FRzgCu/D06lJwcIK34f+21HHqwqCllSMH8CQUGnrXJt9oVEqoEYLUBp42T7wRuxoRUz
hwAbOvd55LxxZlmEH7fAGGIYrCooAoGv9wbzJVXJ2PQ5ngKaaI3baiPccVbkqGuQeM7nbt1vMgga
jC/CJ0v0aukQA0WqG+DV5HmUwEiU9cNfjHVB6E8mEoCPbgytuWCV4hjLreWv5HtAkjahjHCqY76i
yT6ijjHA0Ab4VQAoxXxT+0zG+yqaZgGvaFsDfaV9bLxIc0xRcsq97+hwy4QYmRkOL8RRQEIjIwoa
W+Qm6UeXro6t7qcwK92DvC91tWfJsP37xp2taY3IzW0mm7GrFq47KDiAtRDCoETznfKTxSzwicEh
IOW95o7w8qCjGDdvbsorf4dSrs3b/BYvPIajXNzNiFiBJwOrHOBHlNeYZlT1s3Yk+Z/5GTh36T1G
Ju8QbdqLum7P5Z0amMIfJmxmIXBEexMwk5qokE4U6naHIu+gTaWGLOLeOAxg1b8kq3IV7etN+ihY
DVS91sHJd/w/RrdK3pnO+Qa0gKP00zzlOaQmbHiDmO/d4oDeG3Az5u+4BAFkbFZhwQqsiK+/3sYS
9EAQ1uEFTdjHqMBqGoR5zHqpwTOaQ1wu4u8GwZV0EDeGiziv8BoJl1IMnPBGWyMl01hIzLAcyHfh
9eYzAFMyAFPlkQOnJl3teb3lEvxyHt2rlYUcgit5PT4FXEWrDpCsEGTuiZfDYXNQ0VDWPLhg5f0/
7Dng7IGTJXRk+BZavFueZn/gR72xgqf6Q3UEdFccVQ9llz+ak69i8HALm4lB17xwH18bpZY8UgxQ
YhOj7ceEJkHNnFf1LsKN1bhg5T1MK8aBvnVdV/ZossauFIlQIOw9lWsdcuvZmTMFJDh3FwMFw3Yv
7M+/W7w9UtcGKSc9ZQX0SlMY1O6lS4uWCRAfP+RsmZDb4PHaDhXYjPzcxt0EO/G6Bgx416NfwgXp
wgN2kVOsJxfVKt3Jv19/fuSyMosLr5Rr+5THCtTAlxuykIPjIysvH1o3fskceKztCDkrEm5o2MX8
OlofvsaTeBQhnBa9+1hiVs51IT92/S3U/VTweSz5Lb4leOocZJbBwY2OKGingXQ1fm+eyyfOiw/3
4X6wYo/F/bEQEFxbp+4MQ5kUJSErMW1Ux/f01DSANBLQTUna4vWP5IU76ytmZopsJMqNoF0UwQDe
/UhIGpQ347Jx4sQWbkR9ze0WNBvH+iIcSidbF58V4npWefbWWYPNFnGWgHsKRUo6zJsMseKUzCDB
5visQUcpc7YtgmrZmkFTSegnfBdcCI9wp+ZUmPUmZ6RBlyb6xxeghngd/xhDJY3JjC/gVgCZV84+
c9p3dDV4KSjXiw//oTkNl/qV2UizcG/ALorSEpDJSMJSDlvR5K7OOSwwarOv0EiD1tArdDaD9X0F
/tVVlljMm/E2DiGT/dck5SalYJ6HxMdQeatfC6ugs9VT3wJpL1jciwrKgXgjHrgTv2Ly+ZLdSm8r
UNngD2lJRYfu9SSLSjmFUusj++CNO/EROMLYBnvMCteRh+QyiAjua2/YPv1nr4nx/rVKneBZ78cp
DrgGXal5aPbb+Av9v2gWMYXP3w0t5BXIzP61RJ3WPFebJJIxvgyw3EP7nCOHzTkFmu4gEtt6TJ5R
4gd/m09qJWvdLzWhhz3Iyx0UPM8q57mHIsDav+fdt2bFVDJZuBiuBkj5BVkdo77XYFD6AFNAtp95
SxzM7rl5CGamuN5CzRu8h3h+oU8BYeRNQR/4Q1SiKyzclNrtc+OJLwgf9vpRAcqKsXJLO1NDjyQC
VYJVoGtZ0DWrjDkLWrAOBnfSfW8DVN7u4meo7d7JstNBPbB9A7USK4Rg2aV2TJSrUhIksCt8JE74
lNsRNJdFkHprgLRZ4kF+RdKV90ib/L+MGGh2MIAQVjqDeuOGqtjpU6rhjt2UO+GzgTQmXBD/CHhZ
8GfH7ee3FAzQEovrYylIA84Ry4ruQdRZaJRtHlcDD5JrbKHj6IZWBTjdgT9BSumjco11t2JK2C7U
abGNgJ9Dgzb0rUHeeu11uFTp5aGCxmn3pndO1TvjBryZkpduIlCWo5YFAhxwa0svjBlecu0/7VJr
K+R1LKg1sbsZPO3I3eF62xed1e5bp7XaF5YA6MIbHgMlfCKAagOXSeO0pVoYNL6LWsv4mGTTuIT3
wl22T4hE32gN4AvlUMbit4XNayZjrAuhMGHjRzMGOGXQjUrNMR+HzVBXMN1oYO/hN34OGNvsTCfw
kq30+3QvlWZ2ZD4zluIGkJIBlI60OtomKH8kFXmVKDOmuAVVJ/LIpn8frF/CvcEWoSG+lPa1P0zJ
VIAQD7oR+DNGWAKlgoTfQXlP/hT76Qiu9MmVXeWUuPxr8BKyUVSLG+nvKG/WdRqkoiOjJG1SyHJC
VEI75KuXR98qtuy1XPRJP8xRrwyhn9sUioSYVHRHCZBys6I9ZJQs6Y6oTGu7dJ/9A+U+0Z9HFhcl
cLQ7IktxfUjFegSmWIxblPRBUQ1h5JVijva4HQQQk+IVr7x20A8BwfJ5PDH27lI89NM09dooRyPN
IWrRIipRPkQnL5CFSoj0+BHdecYZUu9eABSZ7+RMZ7hwgcP7EgkPJL+QQKCOjSCGgzgKMD1tEDL4
e8FtQLSAm+6E8ruykVfpOfZ+H+43YJnayLCJzinI1QK3QWPyDGFMhD6CzfaBFIEL9CyXiPwCiFwi
/nRIC8noZC6qIBv1gP/YheawlU7sNg9yOH/7EGqfVQkgWEOKD1GOqfWUbNPQzFRLbG0dejVAaq7e
oFdbmdxD/iitQxbz2ILHupoGatWLsU6MoSDT4EKYF0QHz81o9avYNu6Eu9YJTQ0pZ+v3ub/FzeuA
JwJcALQDiNJB5329yyO9TCChlWKrbfLdHvdtf4pPENJ4wB4H9ZcJNn63++Tsc4zn3j/YFnDGIGIE
Ynpdoa6jQc15MZ6y1qpqSLknK7QRfEUQhsx29Spf5bp1Eu91km0FC95quvvd+nfJn15sUiX5DuTQ
Z0t56kybgmAKW7yvcjO0+I26UXHU1QkCuoRQOlkr+8E9xJuXE1TiwEN8DwFyO90qXuXm4FoEsziT
JGgBmAt8wt9vol16yQ91LakNClfHZ84JNhK4Q4tzekFrHfga4gvYa51zwpvKqdoGNuD26Hj7fVqW
YpNvvkUi34ZGevowJnWZS5kB7TJwQMkbCeTIIWFb65FnAVPQSTJFxH6/21zKaFzZpM7dlPp9reqw
+R6AEng3XvjTdOKfK/sFNCiAQcLj2uFG3mLWV0wm0YXL5co4dQIGQ4oNI+9JQoP0uRSOP1mJx0Gw
aYCsimBG4PDVmRmlxYNHeC3/N8/UaQ/AYuGXCcxyqxnaaYpZbJIEFd/mY1c9yEcopdnqXkMGXmRW
mxcd7k/blJNvJ0S8k4T5lo6CO6OSjsD3/U4F4lO1hQ1/4o+GJXkymCKSyz1EWs1/oOuA3/n5CdTZ
7/O2HlQfnyDuJQFbrHXuZnN0Oev76OVu9lx62kYCbcTve2153iFOBeFLFTLd9It/7OWpCXrMO+jb
sLUa+NXO7J8lcKNoyOuU2xgiBXj5g1DUt/7tioEwFkoQME0Qg9f+VsjTIY748Tu7ItjVaoLre8es
bz/yp9L8gwrEw2SCaN5Kn3Rm7XLpfoMmGJoOINhkAKB0bVzt6zqpZhiXCLeQYaJse8zeoBdgKWfc
7jV4jXqreKmh3k1E09eMqV+64H6ap7b8UEVRpo5k7KAg+Rifk32MruHSCqCSAOGi5I2I1GfHz9/N
LjpVDYIQhBeEgBmpnIQWSQMI/FEIqcGxfu6RqdSOOWhFy3WyGkDzI6FEriTwcOiiRlNN7IAjJHyU
mSQlt44GzAZgkoVqggQCTbqG2zWFCGQlSqkiPNqzy9+PEK4qsONU20gA8R6eA6t7Bw3a7+P/vsiu
L7pru5R3FZoo0ScVq6uZD/om3c2nxpmPvXsGlxR+1kEWo8OPNZDgmw+Kg5jj0ngcoI6KUzvtKn4S
LCDtcQcWuwLndLgwSTfIF/z2hdS+1Iui7kqJfOEx9MIH8PFBrk8H3xW+YFsCEgguhI1uincQMwlB
TNezbr3vKhT9BUjpINCHkAkh6bs+GXIydeUgAvioHY/qC4D3Xm2DYsOsgYay2m2pmCixrwvrA0Go
+QUdOd5NbM5N4Z9Y8MGF/SqjcPf3W6j9mgYBQJECvgX1Z6T1AeH482pAmsD/hJuEb0L0i39VsybE
m8qaYycoFmDdV59At3sXal/FqYJPQGE4QyeQCFF2df1e29m7YkqfEyhRyovPkc4h1OHBhwJYy/Ai
3X2gD9st1qk12InNajj+PiC/LJJBbWR5xsFKeHyVuI/u0Nn8CnKyZOPbH7kZeeKxQBHzMqBePbl4
8rKO0UKQcj0n1CbNwqYwerIsuvfeYQ+uwnvUkOczkFMvMzpL4zNSNtpOO/oHjSwSi5X51nkDGSCB
aA/1eg2pDWqLzoKRdNUQgiqM28ntZEtT8ox+oMeYS18FHxOfoj2lZZYDbhOsMIuXGaHUIK6LCpOV
pOOrUgVytqxXvmQmgtdD8hakXqKlzgCcwJsC+fO7y7q9KGCTlOh5FGvhKqkShNxNXC4SZLAh3Smi
XWcTvDTjNlq0QdgzkMbFH55azjGrZqMoMa5UDbaV6Il9uSrLP78PZAEfhZH8sEJdeXGr12k7wEpE
iFUn9CEUyV3lj8dG1i3Br3sk5mtbJvKQtfKAvjwW6OE2lXD9AWQafqBo/BIp5iLDrm2T6VlFQ884
Rx+cVK74rjLrtmCs3NId93O81CZVMqEfeh/jzUOv7Z+i8dJGTz0zr3ib+iKjItJTBvoXURekRpWF
mVB0Cd5JXfI58/pnJk4OKJtNqQl2vfzR40UZdcAodVK0kUWAvTOQpudVAz0CNYzBe/dZ6sI+Qnec
3OYMRVLGx+lUXi7X1DYKfEz5MJtVtJ11D7RohoLaNQ8FbBbYcXkfA60Kj6BBfJLax6LRNn5ApiLX
J7PM0UvKFWs5zxlQhkXvg6j1f2aojTzKwgCoFMzE/aUtj92M4Fl29VS3JrQyzpYWN87vZ4c1MGrn
Tq3gV2EPi3w2W60OnSt9EqyiHSvGnmUZovZsEKqlLDRkBrXHRDkA0G6WMQvetTh/qBrhWSeQbCK1
Y2UtKSOhAUreB6N2k1yG+BBMsd34b3PkKahgNyqLRHrxLKKLR4dsAXitaFKitOw61Sc4+Uhx9Ur3
hgYq8/upE9x/WCgdZRu0gYHXWKMWKmkncS4S2FGayZrldTgLTsclzu9WFh3ZDyvUKmW6XGsx+jhA
iV7u8mZK3aDlXrQWeDxR7M5FELPyUyyL1C1USL7Yj2UOyEHnu0X3UinAwPMIeLpgI8bJ+vfxLXqN
H+Ojoj70TMdqV8FaX6054TGuN8oQnud6sAuovEp65P1ujzU6akPm2dzHUQ17aTO6mSadSrUxZT11
ojY+jIWYMk7Z8m78f7uE9op6K6aaFmGX9AIQnOND3XxV2ufI3f0+rOUb9+880sQlwFBGcZnDTmuI
r00C0pQ6zrkt1MB3YpahaWMcVScH+6rFlxkgFWL/xbUli9SANVrx+oJqIvgqgYy25lxRt0ugZ7sU
MgIaK5+xuIxolsO5AzIYHE3XhgxRzURjwjKG5T6r3DE5CyXytvUl9Fe/z+ziBv1hiboBBk4z8nmE
JUN8annMo5sji5DXZpfoJmgq/mW/kJ5SwnGCdk7Kq8jckLZRT9axgqVIsDMIG7azuFfTgVF5Xlys
H6Yo1xLX/0fale3GrUPJLxKgndKrtu52u70vcV6E2Em0Ufuur5+SZ+6NmuE0Ad+nGGggJZKHh+RZ
qrJKrkAK4KJ24dFSx7fUmN1iNA+NYQtGxT1rNlCMT2lTqYBQGCZRj5DHsU00zffvuiVUI/s7DYkL
0gaH8SapDnndz+ahAhRRi1fgpaLGlVfANmr61EEup7tbLNfovMtGIppKxqtkJJ76ssFU1prudKpd
OrQBFS70WsbCELkUTh3xOko0H69t1uuf58Zf52UFYU6gGen0iyJnJKvRrTVFhy5PvoVFjl7ytv+d
Qi8ps9FDZUFHJG29tA49iPK+6gjFXB79isc+UDffw5LDDBIpqrFHy1aBEJKCumpLBxVXbPpGGUim
R20f7FVfmHEQDhqgA0SZr64xFiWV1NCmogGmjB5nCGf7ejl7SwUqbVUXBOo59S+6vAVjzIoOUona
JXS45PVRG46y6erJ9Zh7JXkGPQ1Fgj8R3WI4AdtzTGaR8U7rIHG/NogpV0Vym3eYyMrr0sdMc8ze
08tTJO+z1EfuKuxOs7VXxqu4eyCJ35jHJBLFAXg7eDMFbIpGkmYt1ig+pzWi72PW/jTVbFdNoSAb
uHpT1pQQAgKfBzQawdDCuD+likotKQGTkn43mcWbYi33l62Vd3RsIRi3Z0caAvCoF3b1tHVa/dji
8F+kOyV7CeUf/w2KMVLT7izSKdgYTas4cX7fSnVQkaMhFW5bCmaOv0B/Zo6x0a6Nw5xC4NuFI3Jl
cBBIqNDUBc8hPsgq0QPxZbQUMAPKJttKWgm7LmvRLZnGbh6Fx0orBEvEO3NNUAT9A8OMpUloGdbL
mg8sTlPzZErtt7a4KWkXmBBcjkHuIzifuNenLSKz2xZNL+S0A2JfTG5c7u1fGJx2M1fOVSK5y+z2
QxF8wTjQkYEKzP9tzj734h3uoV2/9j7KEQrc0LMrkdGn3Y2tPHWaiAyfu682YOvvm3hIRaMiQmAT
j6JK86cxgTVKLvj/3bAKhkhxlMHXlZfSvq8bhEheenDYi95L/DnefAOzt6NioZPdYMCm6djh90l/
iDMcyL4u4QSr/HBsHEu/bcnb5XkW4jIbviIkJmML3GbJHCgJysN9CQo5Naig8iXR3KlMJHp1T8HN
4DI0d7tsRsxslyIfpLSYgVz1PpWhAWBOu0H0ouEv7aqbhIsTdMnXO9FmaaVxkUspWlOKi+y1HdR8
tK7/dnkgnGJBnEaQi/gHhLnYj3bTEXtC1YBi30ImuFNfbXvXSNe5fjMkkLZ5tdVd291Y5UcnouXg
OoMNNHPVl+pMlwaEe1wN5Rq9ITtL8iTFKGNrZNeEFKBEDIE34N1nEDpAHTjKI8lfJRJGVaRytKwl
EtXTPJw62yFJEFYoyNAgTNztrdIXTC8v2rxBZE/XwVJpOxdAHMiuU32zvJuzxQkH6P3FnaPhtdFW
jkxFdeBc+wTDL4rb19Zd9rGhKTby8QZgbfmlSBo/kVH5Eg17wei4FrqBYTbg1NnZaJbIPVvSR9c7
NbmGC3essHYl8G+D37shj6C6k1Nfjb9H9eQYJRGcjivEX/eKzScwO3HSYkrTeE1/17knx0aQ6Q+z
Pt01veDo4k+pDY1WHcTufwW80saChNqEnF4pXbfTfRaeiuhweT750/kvBEtLHfVFXfY9IOoCOXNS
eSP9SmwQaib/jIJtk8+VEHLB6ygMdCg2WelF8zEWMlpwrR4KB2CZATm6pTM7W44UmkgWUGgWv+Hv
ndJY+4ZUfhoup8LQdqN5X0BEB2+JUnAgcp3KBpo5DyEqmy/JgJcQVV6qKXZsOjhj0h/68E0bv7f1
ItgDXJeywVvNZuOk61gx0nFYJ9Redtoy7dRR9qtSdXJ7uI1qc7fmJRKqeJdNRTRMZufl0zBp8gqr
2tKLFL4PtI6dTpuDUvuuDLk/qpUgqMB9nEIOBbS0yDEhq8wsah/rud0tmNlEhS6wOj0rS3VKlGpn
WSjlUp4TZd5PET6DzCB4CKGp7NjSKxpyHauFOrU5BpengLtboLAgo/oACjlsB5U+JXOfGhZayOtp
R9X+YYpFObXVefzlXP6FAEPt+eIOFd74SwwI1JeMxg3eg2m2s/RAm77ixTZA7FHfGyS3JxThhmbo
JiFUjLrYqbJlX8SiuDPXj22gmANftWiZyOsyDt1+MO+t8bVTROcs/129AWFspTC7RZ47jIfkEQKk
mjOi8ihDO0DYuWnhd8RX14hCK0rXCYGZ7V+EYPWPlbUnWYYGYBg5C7rc9f2A+qdmcmZzr9U3NfnK
0bAZLeMDrKHMrFQCaKF6RNKdMNqRdhDcXbjr9in3iKAoyuQZEK2g+WSt61Zk1n5KQMswmz5RNPfy
ruKa/AaGcSy1as5WagIG0hBOX703JWj3VoqGNAjDSQDGPbw3YMzhDbF3UjYzwOq5cGZ6U4EBbo5+
tOUicJcioNWdbry0GSkNnp0ASoq7dNyBVc8hyPQlgkypaI3Ww2IDY1Q4ALIUhiCj6yeP8sdYnoO8
bh8vrxEfBpSdoAdHgpQtaQV/cpyjKxr0lhpkC7QZqYHHSVW+ZHB/UBhHUWRVEyEvAQrAztgrdvw0
18kuLWxB5IF7koHa8J/BMK6iTwiNesuGj0UoZYl3elj4RrLv8EKvI28RBQREc8c4CKsJR70vAReV
N7EKKr4Bkrui0hbRmJi9ivhXbJsTpi5HsNdrUPqBUrwl/5FQC2SDcob4VJ2Pmq/RpX+6bBv8RzGO
KnT1QZAQlCLnNqj3UtyNYwi2j843oIrX+12MGqfypiqv7M6D/HSPYoJoEo15nbi/zso/uJ/lRhvb
L6KlnocMY14UdDOjVCGcRDcQ7rVyA8GckvMgdZQqgICgsSdhFBXZm3C0aupmU+bOKPeFtHokUrAS
jYzZCKSAmBMdYDKGRA5T1b8sDd1dXjWuVW5GxmwCw0z6Vm6xaHZ5avIC1TVPBNZ5GYR7Vd2AMKYP
OgtLmmeMA1F9R5cOLbxgo2pOiwUzJ8igXy3S/jKkaOqYjUBHOS96FZBFGCKoTq+g+/L9MgTXtW9G
xRxYphYiDWvB59Yo8y2aUxGWu948JdDt+AqQBppxVTM0dFeeb6zUjMdQ1ySQvJDxTsnTyFULNDdO
0Imw9NfLWNxTGDwy/2AxS9XULe1MG/aQG0eEDSal8bTO09DWAT6dy1B8q/gDxSxRS1EGU1SAUrT+
WotmN9UfphwEDHIfvQ8NPaCb3R+rUBVMJ9/k/+Ay66bLGXRhM0ynCh/fg6DPjJ6jaRRkeLieeDOR
zA1DQwdSqK2js3Svow+VnqBqDaKORlA1th/FweXJ5Bvjn0Gtn7Nxgks/9LaSY1A08gdkyIZqp7Xf
dVNUOirCYZy8QsfBqmUMS0WlzbS+/eoEWbnssS9Tkdddverfjv2fMYEB9HxMhSXlYWIBy46fk/EA
Mk4tA2dh7y4jlPOyx8X+PclPpd4JfAeHMAKhyX/XDu2258CTZFJzyQGctODeTH+3oR0F1iQ7HS4k
dSbt8upxGGbHHqDKgidnNYSBOkBRUYOmwkAeJr2+m3NZlPK+bFJg0z3/rKIjejtQrHGXPnfD0bDu
uzK+SumLaX7PGlOwTfjbE7xhCoTmoD7LeB1NmSuI+eLMa6gM4kR3KNG+rrVQiDpMxY8ZxVd2LPAI
XOMi6GAjCiI4eGqcD3DKQlVNGjhtRC4dEvtt99Zqv2pT8Oblh543OOt3bDaL1M9p2oYYGqkPVXHI
E1BWfdBmnw/3s7JTVJy1P5v+uab3sx56lzcqdxE32Ixf0K1a7cz1TNfqPTVRiw6ZHST1eyvoI0/u
x/84pYxfgMiTkiod4KL8V53c6JVbQwvaEAyKe9puBsV4hdZOTVppQBmy5WAY/U+lVwW39cu2gUzu
+ZpRObWrIgFEUqOFDX5NQpBXuqN1cHl9uKcDuAvAWS1D00NlbNCyB7VL8wi5j6k8Sbp2MnP5xWzI
w2UY/m15g8PYYBdXWR9q8DHa+IrsoKL5KdS2FBARRr7ceBLklUIn7mXBrubb/gaXsT91ltq2X4Db
oEqtGeqrcNEcPB69sIASYQaWWPtHW8QfVQoqphptE317TQjqrS+Pn7ucm89g7FILl0Ibu9WX0f6q
0qtjizq5fEIjj7QIoLhXmg0UY5y5bVQjXl/QKsh/GjCcJsXjrgra8RV0jfv/NCyWcT1rs7DQ1jdl
1ARRnLjAsmdX1gVXT64TgUaWCclitP9ZzCLq+mSmZISR1vNOb3+h+Kkqcy+RPaN7buRWsLu5J8EG
jVkruydZRyaslTx+V5tncziq9ssYxijzPRZVMHe9YA+KAJkVy9pQ0styHV6ROhG0oaST0qhOU97k
mm+YviYKB3H9158Rsl06Rhyj2FhFmwRSCs6MSMOSdk+XLYNffbPBYC4VYYsKqmLCoGQq39vJiKZB
Wg5OmaugfqDTTT2mt3LXfjTaiCJwfXluw+UgrSmtJrlNGiV2m4amfkm10C0GZLug0p07qR1KgiOD
7wH/NS62OSgEY6sR1/jQVF6uJGQxaKXfRDUklS7PiAiHuWCA1SWtUgKzQkxxr4WlX5PWgSCEAIa/
V8gaJUX6FfSJzMFh6iXq1jAcYj4P5uK0udd34LwA1dp0L5tCFXPurRUMAOB8ABMAOCPP8aKRTGGm
w5Zo5lIyO2V/nSPJO8VPE4jkir2NImQJ7SKFqPWOa8Qb4PX3za0mSmyJlmur2UzqnTSNu1HUAsN1
2hsE5mykcW7gYMdUTiCrK5agMkMvI/tSF3HOcF32Z5MpJtDCo/d8KCRN7akcYRpF/GDUfoKKChl3
JN1PBtFBxLXCDRQza+GkDnJRrFD1PVozHLOVnTxKBR5NhMLMXB7F4AhY35xScm0j85+gnLMQNXtx
3Saql8FUChb4vwp94xHFYGjbQUWFgtB5cj2nbgnaZq29tamfZuBJ1QTnEIeWSAcVKfrZVokTsO0y
m6uiQ5ZnBJBd4WQn42G+M5/aG/UuDEB4+w3sObhiHKLfuGJc9h28Tb3BZc9ZtcmKVPkMiSwHC4TR
qIxN79To2CvenN5fxuJ2S27BGM8NIq9swLVs7eG0HUjYR5ADAnuhY97lV/muOtqLA6Fe+lwHkZdB
vzgEscrlT+Dth+0XqOf7ASlNLTF1mM8yBX16nGfESJ6sxjOVH5eBuGmsLRKz80DUWKhjBCQ1PcIl
93PvafLRMFA6ou0bM6hB41KLghd/K7TiXNyiMpvQsoZIHSTMcOuUpwWXzkc5dabIQSg+fu2ew4dj
t3a0J96P0I9EuVZNZEzM5lSXLJEHsFxBLTEOwifzLn1tPeInoKicdxEW9D71LE93m4PxUHvSd7QM
H3ZgB4V1V267xyEOxnDwqe61tyaQ76VjIrq181w7QQcnqH2gjq6zlLvUnJcszdEMSKabMJncWXhs
8RwUgcrW2v9gKFBeOrewpsg7Ks84PIrQMWYUseW7UNiJwH18bFGYdW7QCY3eY6Cg0VUGyTqhJ2i9
6vFPrUdmn0qBrfi1/LzIu9EOjFn2Bda97hM2orTFZ1aahlIn5wT4VEMNaBvtZBSAGbSs9moqoxQ7
u4qHbqdXmVvhlSml4wGVRl9Jb20/Yj1lN+e0jkwn6iPxEUp5P0ogckaVYl6IEo/cB+YWhn0jdLmk
5RmsGk/yxgra9noZX0zJRHvztzZ9lsu9UR/q5eHyFPOuCFtU5q0gVRPKytcuWb2WrrKFHEf6W1Lo
aztLPy8jiSyWOXqaQS6LwsL4yHxnKM/z8NiFv/8TBPssSHvaFyTCYNRscdVEdUNtCRZaeJdhREvF
8jUulh0b/bhOmh5IeJHjutNbh0a9HQx/VH6myrFUPNnMD5dxBTPIXvSjeBoUOQZsZHxrkDcblHtD
fb2Mwfet//oV9jZsWGlb5RVWKRlRszrUCHdI3yxrPDaG+p5aj62V7C8j8n3lH0TGx8x21lA9BGJT
n0IZF20QhYhuWlwMFDeCjxEU6H9VJBWt1aKLdzWMPr4p7RHhEVsv+4/LI+HOnfKpJoQ6L4OdOxkV
QCNdqTTU2vRmyZnlU0hnT5U0rzZvI2Tr/hseM3N5tMxZurbYZ/VDo9+GWZDN16n1lof3k9kIbnBc
49sMjnHFRE7STF7ZEOZhQf39oclaJ84ENXlcb7QBYVxtFg0jUt4ACcfaR9e3Kyc23t/WLQo9BGYn
WizG3ZpRkaqZDKgSVf42Slb8bnmfp0dNPUqdILfEnTt15XkjoFj5KzRPunauaIjrEgTtjXm8UsAe
Uov4yfnX3g0KYw6FrlYSyihRY3uKb5v9skf26pCfKtB0pA4St9Ao87RD4UqnPJBzBzKjvipYP44Q
EC6Gm29grKTrdUlvMmyB4eNWw737BTV9P789qQZIbWpvcI0dgTT9/Ao5ele7Wgww/umCb+CWH26/
gTEixEanvI0wDz34rLx8dI2H6djuwCf4Xn/E95qfVaC+qhX/8m7kX4o3Y2csihbqbLY1cEGZaUmQ
8Z6O3V79Gf4EZwpyS3KgOvU7sqS3IDXXiP8FFuHzuV8tfnNPCXU9y+wE+Mbjyc5xEQ+vR9RTp0Ce
HeuhP4YP6k24ONH75YFzN+1m3MzBnpptZZirdGIKujREaSBtIvmtKAkkQPl8CG1GRzK0PaCGGwdT
856GR4O6WTo4Sy14Ia8f+9eN889gPo/+DYxqtCFY8dZJjHKXxuSXhpeMrcSOrP1eYhmPKxlxW1HJ
LNcZbVDXe/AGFSqGTTzMQO2rn1KoezTbh9Abna0nE3HDpA0urxiXaGmzRT7v/Ru8qMptqV/jp7Nb
u4TgdUy+4R/0yZIbo4Vu4pv83rnyg3Rd7LpnPXXpvXQ97y5/hcArfvIxbj6iA00ePBbsplawV0Yl
KHUXUkxfObc2U8t4pBLE10O82k3dFE5o1q4BuY5MdCUULSDjc2hTrGUKQJHTj1bx296r4w8j8+es
dlKhADkvZLldPsbTGNLU5GT1stLQOjNBM/OdTLxk6L2+9WIE3owqIN0LWkAFPk60ZIyLUftahjYE
htn1OwQcJvoLpdSCBRNNJeNOUJpeQgYXGLbqjMu3MT/ky85CrR8EKIPFFERqBPudLUYz5ibph3Xh
csuXej+B8lOBLZgeFnVwZ/s4SQKrFx3Tn79vzL6yYPNJg8WjB5Rvq1eQuK2uu6PtUyc5tUHqtJr7
MAfPdDdcjY4B2ebL2457F/6zIT59wwYf3QchcpkYsZR1fkQIQoEC97Ka398+1FBtkPeDeJAl5hl6
ydB0FVcrq3zp4wOxj139ElOfaIKhiICYG48xSXWZr5xL1RzUMeiQrtC6SUev/1IZDQgZ/h0S40XM
YczjCd3Crlx+oNkcN1OKXGsp6uDlr41FkCEELzEaz87PgTnVZIWaK9cQSlxzK0Mx0uHy6vN31x8E
ZgfPcqwulgnrW5TUmZMap0vphkS/HkrJoZHhtSMRHKmf0f+/7eEPJrOjrTVdV6/sdUlRv2YqwROP
FsgSWHocUHnqQseOctUA12o2vyW9nqO3GG32JiUSSMYTSXtX+6X96Cc0VDW6NV3L41R917uYPqC7
UgeZFeiHHFQCJPt8aVG5WqGVrO476zfKCsOXfpbnd2hXQm6rnkDtmmmS7c4d6hEyM4r2UUfCIO8M
Dbe2ys5OZIiGE5nn6IBeOJBidt2p7RJjFbvRJ6+2teRjsGaoTGW2sV9Iq/+K5TqF9kaWIzYkGX6q
TY9yRfJdVhuP2iTZe71UwecoJXelnUiCBeUHI2Aw/2czLL3MHC4EpQGYXRBeSCj2nxYnT3scc99q
SCNK10v5jNyZPYgItPlnwR9cJspezLGioohsjUAu4ESRnJCabva14/sPCnMzkggtQLGEHVGD5szo
3XAI4vDX5T3Bn0IN7G0y5BJWBp3zbRfVtp4VM0D69DFadvL4vBi7DJc+9GfkSSC1781a0faVg26D
ytwZ9FXJuZmAGrY/kvolUVLQ4R2l4aBlj5khCoFwl2uDxrgWShIDnNdAk6S3RPvQ0W21EP8/TiTr
XaYyjUIbIGl1H/a3qn0zyaXTl1dz7LWIzBelOyLnUolS4NyDQLNXTkPQgYBm7HwBq9imdOlAkUWa
cLdMk5sn8U0/RjcNmX+QNv/KAbeBY1YOFI2k6VVw2UTKm147s5Q4RHP07HoSziivkh3tx/+OjFk2
sxltS5IwMjtVD6aUOrG1r+w3CXdyhRyzGD3Buo+Nd3khebciBLBWAVTQRcufonCbO0INAkGpWDnv
5il3mpYGc5G5Y9mDF6jYxVG6n/MWjeby62VY3jJaqyY3CgpB6sSWMBbQM4LUHeTjwxYHLLkfjDSD
U27x4LNPMpKkl+F4W2ILx1wfwpgYkjwBLpPvR9r6rfWcdiI3yTtwtyCMaZLGspdyAEhU/oKcRZJ5
AwXFAtgVyqMamoIbkbL6Q/asRasPkrumsioLMHAJXcZqssE3YmaxQ8Mfo+WgftnTQlARPfU481qo
i6Fp2J47J1TevzChINde0cETwAZAqaRXqVWimZyoP+Fn3WR57UQPdO58bjCYRatzQ2uylTMji1W0
yuzGCK10KW7tb2r/UxfRSXFNxAK9JGoadBMlrueOxdKyMjJG7PRCQxAnBsXQ+2SUgjcI79aHwPQ/
IOwJno2g35VWGsG6bF/iwggKVJx/ZWX+QDCHtVktUtFLGEdbJX6M6FQ9d645/LyMwt2/tqwqUJQD
KSJrfLbW2UmSYm0G5aXLXNVMYQLIxYJEmgxUYOpcQ9iAMU4YcZlFLTOA2cNjaN4pFrrgjXc0rXoG
OcTdFxr24IVtVJlDMgQCOeeGEPZFRUJlFQ5Qq11EGiedDL/IBBto/WZ2925R1t298bugSTVKo8UG
Ku2bEKUJJtll6l1KBTA8976FYZLH/Tgts76yW0RLsaedvmsHlFlqVlBlqtODw7mYbmVFxJDG20tb
VGbn2lkY2WO/oqpvdv9b7a5U++myAYrmj/V+UHlpVQUQfTchfGYjz1NZ6ttUgONJebiMxR3O2l6r
Wyt/gcyczAWheTfo4JMYYQmyYl2NuvHWgFf3Mgx3SEh1fLof8BwyMFVXprPSA8bA0w2FXPZdX+m/
tajcofp2dxmLs3/BY6quNo67IHSiz82vSRO9Rkkx+tes/a0KxaVxuNESEXndus6MkZ+hMBu3mPUS
XAgtWl+afbV0TiM6IjjmDQDIn8kgDFehsHM+jNmckzkLAWBkrZejj3FRdNCYPi0NdBlD6SNuc6e1
QkGSh+OPwHGr2igMA6GTzBJj2WFsalHTob2MwIPLoTOZ+j2pYictrrvryhCVOXEM4wxv/Z6Nr5gj
lIWgPgIlakMA1oG0Lfc0PyxtJhjXZxz2r/XaDIw5A4vYNGkbA0hB94V+MFS3M3dZ62f2CxkDtS7Q
27Of0p2x9E7XW7iQiirCOVttO1SW7gSXNGOsVHzBPJ8oiqlUa58V+8u2z6ukOgNhPHy+9hYv6/pl
0uyHE8pcUttJpva6tRGQIClqq2InVsbHEtcvwSb/f8DR4wtKNdVA8fv5YqLwYplHtUd3AR7TBtot
JSugyWuhP7ZS6YTkAC0pB/KTl8fM3Sgo2PwHlfEtUkXVUSYD+mr6QIm8QnVxUQ3keheVTpUjnSzi
1Ocv5B9AxmbRYVfk0oJhNu0JfS325NaT4DLFnUrUXIEY04Su7V+1V7NOwiqqRpirnHQ3kx1PnlzP
ELdXNKip2ehoBe9+j2YoZMYMfTHB+1WKuBF441RWCXoDpJgmrkPny5mb3Sxl44K2Aly1w0hF6+JN
XP64vHo8b70FYWxGoigPW4Z5rYSN3Cn7RtWdDMEu4o6N4FzgNdgpWyjGUDoZpG0hxXjMyUd9/1Td
J8ZrXD1O3c5Gf/hY+TQ7xfRdk3dLvx+piwLSJPFUEZEbz+dtv4Oxny6xZAt6iPB5YAuptJdCnj3E
HFBVPwm2BncFoaqxakGjXpZ9ymRIG6GoXsWINQNE78GsSm5VBpdXkFeOi6qUPyjMlSi2q5jqFCip
kXtK603zuyVfDfIxrnehcRwIpJjU6yQ7KcSd+jcj+x0u762onHOdNdbBb7+Csda5kuWx69EvrCU+
QS3hWLp9bThdTECnjLhlJ4gucOcW+r5gHYDaC9przneHaZGQSgR4y2JXHm0N5HeI+sPoDFH0UOPd
NaA1a6xas6vKLQNF0zrOqhgTbEBIsvYnz3CQMXMzSEJnDpI8UBcfoWXfpw793eznILlOX39BW/1W
vUk8ZYfD7JVC9V7ei8hd+XPw74exBdGI69T9NOLDausxC2NHWw6ZJniz8BwEekGhoCyT9TXGrOui
jTOlhYbe8OalluEjUpBlXBmLr6ii3hDePG+hGF+UzJCyXDQMp2t9GXmLDGwBl/eKCIFxQXnd0TFb
gFBCE6VVaicTZZO4J8d2EIx3SacpT/QBEEl6ACFGrPtj/iOW9ylEp6WrsL1WRGxOPCuAPsGn6LNp
IWpzvhMgN5/PqbJagR7Ill+j2UAE8ZnBZHe3CiKCVaAAV2K2QTLUY7wcUlgBhFyv2qDd2bbXfiS7
19nrAygBe6EbgoLDyYmD2mhfVArPc9lbeMYypDI36LwOMQHVqAw/jZsx0a+SRXDuc3Fw14fsg2Jp
sPfzqbTMEcVcCYY5T7eJ6enpu1neGurjZSvkLtgGhXHYsiqNK5crHDZY8Uxpb0aoKBe10/HKrnEl
A3UEgfqQAdG887GMKu3JUCJmaFv5jSTvGvRZWi9h9NIvjmaUx8y+y4GvWwEaRWzRTuPBq5CWsRDH
wxMKzLTn8HQ2o1gpZ9Qxrmo9ozeRexK/GtOHWjxJtRMvHqp7LGwK7VYV8XJxtvkaPrJQ1Y5YvmIw
O6IleH9CnRPVoLL006pqL2oNEUEWD2MlTYcyHt66eLCdj6/PhrabbRPxtmqoHGU2Agjo3F82FM6Z
qqprRA9XB0RCbWYc8qiYWTNAuNmILdCV+gu4Kxrrd5/4LUSqEyu4DMex/jM4xnWZMegLklUnWhpB
vyVZJ02a0MqDO70x7S9DfR5NjEOBgCUul6YGrWSEPs6nLwa1exPaKMQfr0o0YIwuCFscA7JfXn9V
7oYUnTal/456P8d4GFyw/EFeMPI+ci+71lzZIWi6uPxFvLnefBB7lko21cdFxwctPaq+f80k9uCy
Y7C8DNGpauYvPIgxATrKAdBeCl0wZnsOkYEOugJ4yioBDtVe3cOoP9pv8d7OnLcxd0riZLN7eZSf
GpV/z/sfWMb3qM2A8CToXtyX3Ae3RQQi2h3klZzwoN8l18veDoYjdSbH9u3vSF3mzg/78KPdg9pO
c6Kgfb8BWVoXzG7oX/4w3i0W80FAPYGnqwbd8HODiLoExNkhPix8loLqOvK6D1BZWl54HfkKuJfW
rjI3P3yBbekMVj2HDSMqKcvKCBy1ELLUBsd6vTwwXjXrGQKz0Jo8GkNNgDB9DJ62RzvjTXmTfmuf
Ezd8NBADdqJH/VuF6yTKEbyr2M+c3//xE5hFz6vMiGgEpWgItjpg6HpXrnWvfL7LTx9v1cnYja+h
i5WWPMsxvPkooq/mVSudTQFzh7TVKEKeB1Mg7U/Tbf7bctGHYu6tw8e3coemr7BwpO/6o/Vo78j9
7Py8PHzew/MMfvV7myDX1KCOSE8wfOP21nLN3fCueBNKa6N7CC5WUGbWXLA1iohsOKc85L7QW4Wq
EJxGrIezoVhV5UsGrunQb6vAUBNEx6k7mR6SNHJ3kqIrlFTIqWuhSPJ7EvuTKBHAPYM1oiOPpkJ3
AonY84HPFalMAiEYd+nwuNY6J5N1B04ZfTo7TTuU9q3VOhFI2vPiZrFuKtH7l3egoKJWx/gNDa1s
zJ6WJihb6T3wR+NopV6UHgo7Qjz45fICi2CYPTyaaMpuZaxviEbbpS6v0RH+ITXxg9KJdCV4Sqeq
ZumWCYYcgip8ZkgxeLQVY7Ul8Je7nRfvwnvLp4fpyXpSdtp+OE4P0qn4/Wj8xK0jwFEStNCBntz2
VbSr+B5z8ynMsJu0BRuEhNnNoAfsDXgD42maBrlbo43SndDN6Qw7OViuyOHyfPPeOOudR0EhGUiC
ELw4t6tpRgeRoqeYhA6SZWTaSartdhBUHaccfR3JfIsA6w/0r/pqK+K24d27EBrXYVd4if+VygAT
klbXM7aVGqHT59cQPlweHG/bmhBHBPOUKeMxxd65ZsMGxwZmVY3neXKiqiRRMCkRhXpZHtX+ZbT1
f2OP4y0ac+VKo7qd6wlotOsOBVptu1bzZ2twswScFPHbZTTu3GFoqAqUwSDCZptaAhmvfiw7uJwE
JWzt9SRTwQuKF+iHRjQoY1EB9RlBPbeNKC1nqIVWnVuWswMFKmeB7KndWH4WlsehKK7CERIVerIn
je4sbe+WCvRuG81VDePq8nBVnmNADSSo9+GCQDjIHL3qkEfa0DcduEQsv5o6V7fDYz7T3RROe4Wq
QVHQgIyPSmm6uaztaD8fQBTu1BZUAYz0GpJ9bgw9yB4MTX34PS1+ZEhqGX0FVlx6mhNrBKkDRYKV
CK5p3B0G9grcjzVDxwnC7LBMV2MpkvHlSv2NjNeK7ajdWwUpzPjOqJypOJqyUGB79ResLW4x19nc
HJNmaDSy3AIzajMnQXa60CQ3Gv1ckwK5vJ3sk0KpY/eoqAn6L4QP1S04s+1iGqpTOgO8H6Xnrk2v
TOupVTo/RVvkFNaOPr9fNg7urWCLyG69wjLaqVuHC1UvC7GguHjLELg0dc+MTGesPQ0aJqD31MCf
1XYOlXeQcCnor3E+EvuX4GtWU7w0+cx7CPkTGskTvgZKoJ49XX9WlhqeOvlLmPkkvKuLb7KUg6zp
taa/JOtRgM8pEVMJgnwmHLqOpC2zVYxMaepY7TH/6lOD25Aev+CVrqoHA0rZJLAz1MeIcri8J9cW
k7mW6omiVJM+dG5LH+MhsJKrWYKkixZAN9IpI4Fn4rha2yJ4SiNBpyC7xmwpg8hxQWSUo+UtdTrJ
fqwbC9qe0EVNvg+VKOG5rheznmdozGZqQqUxo2QtuSsiGM0pB9l6SLzSfMjG1snak64JTmU+ImLc
EDJbq1CZ8aFUSy+y/yHtu5bjhpVtv4hVJJjAV6aZkWY0ysEvLFm2wZzz159F171bFMQzqO1TfrOq
ptlAo9HosFaD2NKMUrB5ISWnvcQYue8y9WHo/mB0EEBtov6FLXdv4cmGZzz6WtDmx9lNrMV9a+jo
CQItZaPfEACvE5LbWu3Jw4GknjSnjiahb/Nd7wpQQBwqdX/ZdDcutS9fwFlROA2qxCystGoWr3lT
lgerJbXgKtk0npWa3OJq0SCxYmnhinp2YCxyDP2uNiIHlSS/1f6hqRcqoeyHMWNcXBrvDOLWzMYZ
W2lFsmeS2aHRixJFj21B/SmG1SqlwHiW7/9mrp8SdQ5oD2GbEvfd0j2G3sKSpPugYU4i5APZ3iv0
72C+GU+jvz55dcVIhkaHIkZjoYQnmV1K8w9ZxJW24VSwdp8iOLceELUcyNIHJ8f5HolRYA37S9tB
ztwR2GxEer1sfpuWYREw/FiAmYLr/HprqmOEBrKFaU7K7V5S/SY419GOpo6aT+5lUduHbSWLM/U+
t0ACNUCWORfy7dSWJysy7rrZ2pU9OjVVIj0QLQKeFjLK9tik0y0o0lWv0sOrLs3ic0uz7EnwTYt+
3yxn9U3cybD6cuitCN8UZPEzWEB/ZHJ5k6bJRzA8ZygAJoBiHqRgpyexPWuAdgvYBzFAR335OzZC
PYuuPoPzt0WhdzFdWlZB8NZb+pUCYrlgfDZF3OnbcnS05oCZx6T8WNLc5AXqVJATMYfKO5MlhwJz
V8Lu8K3wBAp9CuL2WtP7MVI7rGtPP+Sw2xlTi5RoYD6xMN+r6ZthgaoRaCrq1LpZ89KQ/rbTrRdw
TtlKntzEE0ZMLRF4xObhWn0Ut9kFCvijHOKjZN0m5lFDnNjQXWZi7gCTKuMk2NRNr7QSx22qJEmd
VBMsdjch9926Y+8W6Kf5F8vBbi7cYKAA5SLPQQb95xij3a8qHbAg+cAMt3U0XyWK4A7ZXrxPQZxn
KmIj6KcY3HlJ/kvT51szugMArJ673fShBoPAo28b6qc07g6ph7CJ0GqKA6GqeLnastXsJKW+sWSB
V1p+6LsD+I8g/uooMkDw6RlaaMPorUHWPJXdrM2Aef1Sha5Jk2uA0l3esa3hfFyNiFcpQg8QjnFb
lgToXPzbiDxn434E0ZeCdoYcmMypVtwkAIqUjNKn+q+u+6PnvwnGZ/ESBLmr5RpdJviYLRtdfwu3
q7NOqiTPcN80Q5zbNfoH3KFSQ1eLwmR/We+tLV2L4ra01IuUxhpEJQM7pL0CuLfuAFJ3AISJwPsF
WvETrVNXjmTEaJGjK9KpqJDxV8neMAX1rc0LbaURP8YKq0kLM4CYQEp3XaS9SAU6vvXWkxigv1ri
JAo62QZjt5AVTX3smRHqhppmR4OIw27rdMKrg6sPCBtIlXKJPSoPnVTpMOOGDU4KYkejNZ3G0o9D
+zNSxocBtJMCz7OYKX9yAKyIzgqKTNo3YpUBUUodLlSr6qQ+WTUoBJoiTiE0r9xKJZPLmIjIa3tf
P0WSr9FKUAaYrVrod01amQ6TZurV0QAu1F4XFbiWBfumnWKgvmXioMr8TZkpgxSZKhYU2FCniP2y
gPlL5G4ng2MqTv6YeowoEJSIpDsUci/wfsvt+E040r6GgabnJfn8VU+qxKo6VBBeTrEfxfp90s+C
BP/mUq5EcAefxGMsFzMcbGckPtr693KaukUompbfSgUBT/RTFe7Uqzl2KV0ceZwe1fBpCEM0Bd81
xE2qKyMEqoL8KmEq7h9cjYqcPQEH2/IM+bp+eWVlVtPgUjQ6vHWywM/jbmeCZ06ioaDBaNOrrURx
JtnpBsZkNYgKqeGNiCHiaUDV2TqDsvv2slabZxw1GRX3PFrU+RHNBLyxqLtiKaXUQbSKmfUc2AeI
qersp07ZP63hpzQueqlZ0mjpElgEysmgKGHGByuM7ESU5tx0IyutOFsHJaJsphO0mli2G0Pgp5R/
LLm5GsOXHpS4l5dwe7c+leKsvgiLiqTLdJbUAqHVOiXmzzYYzo3I7LeiCmulFGf1JI/ahICmxumn
yHIrFiQoRrd3rTm8MjLcdNMQOQzzJ9epEWuindsUjt4OlM4sbZkG/Wr9PVqRZCWDcB1QDlLpjuOH
1BysLLKL5iEt/wiRYjdX9VMgz3xfMhUDdxUEFspuqN671rWSl0wWzSpuwVFb1koOd6xRha0CuQEo
W+viCDAv2gduh1ZcW7P13bt0mtzmPHuZyx6ko+FdtpxNf7mSzZ3z3urjySwW2WB819PYN4l1yFTR
pbodHK7kcA/yWQchZd5BTvKuecYV8TTq6felN/n5fQVoUVx2O4CbCqLgrWrcl6Xl3mtswGOOlovY
58JLQ1faB552Gp6139ku308p+KKc+g+ouHSBU9tc179MmRragL81WmHYLCqCAIIpOVkKBjIrdzJr
kXrL7ny7UFdSuN2TSBupymI5cb3Tm7MO5p4MTeJz44K3oGSFx6ZdhbcZLiSrf7xsOZunYyWb29E8
M/uolCCbtdr1lEKIXB0BgLKrI2N/WdSmL12J4nYRkBLAJ2cQlUvDTgJmDJlikKehYcFI0XGoP10W
J9q75e+rfNhYBmWX5hCnWG+lclcsfdMiZyZaveXvKxl6iqQRkqRYvTrC1XCXtXtmXtF/GK9BgxoK
f7KKfi6UvL6KaVq1DWki4xbKr1PJrcuPUAjKtlGkwKCJjnoYGhrxj5NRtX2ZUYKoTm9fFNpdDUNZ
u8P8NkvNCYPoXj+Xr7nymOTFw+V92gwcVoK5Wy9qcvzmEjhESPBZlVPMcCSAHBnQF2XEIBo29H+o
VqxV5a6gTKfRZNAlVJEx+DoS0wcm4xj0d0q19IrJAry7xa6/He9PBfkLKMzlMOyXWCVuMaLQsfd+
wiDW5UUUyeAunxxMBhbgjAF4il3DyyCw5UkWpYw2rX2lCOenprTVta6BkK4rAWYl605AqDebCsKv
QhQMbTXYwCCXqWt08aHZlTu/VVMpE5mwbFW8L+ZdVNzGwRt6vDX22KpIQE4vRD908W0ZHhpRMX8L
cOSLcO5gD0Nb5NEyCqulXqJfa+TEjBcdsAqjnaKgVh0V3aa94LbZDI2AR61oRCaILDmN56o0myKC
0FzKXsYQ0w1x5A6EeKWu2U1jgCQxduRM8i/bzrayK7mcsmMT0tFY4s4ZLT5ThDKtweyATt5YPAOb
w1Gm5xwkYQV91hNRhksonPM7XZOqJjCBELokPXoXTkV+Y+of4JNyI/OqM3dV4LJ6H4jSI5u2vNKZ
8zoSm5kFaGr4AOI1Mb2rOsPWg8pXzOfLq7t5Da0Ecc5G1uWhbkMICs3wMOExSaXcX8BdLosR6PP3
pbu6ieJWj8dSX8SMVmBXw/gSqrMtobqvdJ3gnSLas79/XwkLEw11/QrCYvJHKb1RdQJ2CFDOrxbg
psGXO39sgH4sYh7ZDgQx0a1jbtgAUCvn5oosAxgUQyzf1oPNgJiUjAyTBNKOqpmt1sWepBP+vz5o
cuxpWGhpNh9SDMCl1vOk/i6z7nB52f+Xpfj8Is4nljXGJaca0999eQf0iaE/9ynm/cIrHVD7prqT
UCsxWs9igmBqq8kbVB6fgrnArQGHjJ5TLMVcvdVM3bUGscfROBuThgkc0yslZivxXZtNVz0dUbGT
D3qYHVT5QU3DK0sPHivj50Df8oY4ckdgJuFVb6KQNJBw1xbK7yatPcYSuyoU2e4b1D4WxJChEhF3
bYaFK0W4sJAYVqJPOhRJ+9u+PbD4o0KbkCa7bJwEu7XtYD/XjHOwdVD2VrC8PSsCLs6HJhh3cnmn
tGcNbwrJRNnl8bJ5bB/+T4GcZ2W1nBraAOsotQDwQ9a+kRWMaI7eZTFCK+SdaI4J2b5fzkV2BntH
RQFmk9lMRvPXIUmcrOtcgEIPirBasFjZ19hGBz+xDlAujLEht8utaGmhm4/ICIDL6NgE0S7QrgxY
PJ4vXfwzQVprjJ0+P46ZW3e9jbKlQPHvCwz5yjKqiHZJ2eQLTJLRqw2K0gjAK8DmNMhv+Yl8rUXE
DSrqZvrkmMVtLYNyMXfm5l4H0ncanuXpv0dU/Pod3HVCMObfhRW+I2zn0kdyZQD+CNBotbw+B0Uc
2UCkmvzLym/qDrJt5OpkHUED5wGGmSQs0VWEY9ZNqu1Z9ZiIIKuXz/62vWiDpbqGF7bM06L1c4My
6IRBnMAoUSMAvYMOChOqYSgnJK4VHBvMtQhusi210H6qLiziSN/zvUQSMWFQGtQapxsDkLDZ5LPx
9+Wl+x4u4wZZyeDO5WhYDH3zGh5UoUMlmI2w/0qkBXcio6lKg3HZnCx0euTop5sqfb2sxPKR/Oas
leBsrkNmwJIkiDDzs2R2AJPyDHZsm/86h/x1rbgAZsB+KMsxc8bqpI6/Cgw0ZHdUFZQ0tncETQbI
sgAawOCkZJMxsCnFjnRksFvmJ61gy7dX6z8CeIiKIJroJCcQUE4Pdb3U1cPggfSBwHq/XzFYLdC1
AyCNAt2L79liJmiFrGW1gp4BsBLt7nC8cxnov4y4y1+YLiW/QJbYPs5BDDL3Jk0CwStiU9G/00+K
rGLqilvJPNYGudCgKGEhxsQPmWw3ZmJnIqDSTQvXIQDkWEgZmFwsNppVNjWA18QA3Q/aY7gnAKCP
cXfZxr8HB1jOlRAuvDJCU6raRYiW7mh0Ow8Paf+MS8fuukawc5sWuBLFudOCBUo6axBFg6OBsc28
y5zLymzaxkrC8gWrsBlduEYp9ZAwaK9ZtB/BQjjdKOVTY+y1+LUYBEW0LeetYKIY/hsn6htCQjs2
NYj6LARWxWOuArEEI991+CssPzTzR5QfLiu3uXwrabxyGDgcEP6jqjXtq/SnVAqSNpuLh2m+BUUV
Yvj8VKImbGC9BHPrX1p2VOWbpERobb2Z2msMlPTh47I+m+a90DQj4wa4PP4xnvfylNGZtU7cayBS
VOymjNGuLQocRGK4m6g2MysbSohJ9YNmYRJQhVMQXalkc3NWynC30RwbhE6LMrVf3AC54sB+6Mxu
dAz9eemz7uSOcXM9/1IfTHd4pRgHjJ36CMTYy0u60ZKA02xpdEEBRcjIzyGqlTqjey7CrEDqkqvR
jX4Ybxhx3wd2dkxA4OhZj1IpELqt+qdMzoNQqdfCysLgLSJUo38k/303x1edOLdRt1KsxAF+P1SP
dbk3rCdLBCe/bSOfKnBHK4usQdIoRBj0RtIPjCa2EEdx89awKC5zQ11ywNyt0dNoBnkMZGTVAorz
jozTgtvS/Pdz0DoG5uCWAP9lLPfkVx8oJ92Ii2+Z3OsNuPQ56R/SgIaYAaEd+TkmYfHfD6x/lcgZ
wFypTGIZBqry4aUvr2Tr6bJVb63cWiPOAOZEKbOe4PeVZl/2fwYVPO7Trs9EKd6tq5DgmQNZwGX5
1h05KUqMqSo4QHl0lSG0dbLv5QMdGgR++8sqbRncWhRncFKYg/CpgrsoVaRx5sRVw5eKRu7/Tcry
FavrUOqNlsUtpABRJ1N6B2VZA1ha/yIE2CrGAuKDfpmvQuaOWEZrLaqA6AVUGhrA0ULRoPOmCWBU
7/8L4SLxmqEZh4UQEmFiaVYj18BAapIooBt/vKzOpiQT41aY85IN4J1+VYeUyOrFCo6PqS28mOd4
3Aey14uIqzYaYxC6In5dgH5BfPo3Ob/amzGZIhIhL+v0puZUuvkcg5JWU+faxoS7DcY2Z8ow2xww
32hEXd+LdfHvmrVszvro1KrFgFK6Q/LZ6fT6drYUwWtjK5gA8gPFlYhcoskDHLFwDnPYy9LWwXDf
dnnvag1wauPOQudUAXzStg4Sl9AaCG9DJygIbR0vXIEwGIC+aHC4XzexN0lgzhFCJRMEOZQBcruk
x4C2//AQUPGSWubzgIHAQ+N2qWRpCDkRkQUewXQZ6wu3BSqXVfmXjXJTn09BPDxuNRVDWBoQpMoN
CH+VOmgf8qwcZDzmwIIpONHbtrkSx10hSEUWU1YgjDai0QbTqJ3G8p6OiHBTE2QuUe60Frpjx3NX
zqJHwlZMjYQLxkeQcAH4Nrd1aq4EyhhRPO+Qb9Ks+7IMge1YHcOEuJryqwVMz+W13fL66D3ABJCM
55zMz46ZVjdqbb54fX2obbkNGcgFo3xPKsDO9qgSVa//N4H86aNGorY1BFppgaTwH2bIdlwgSDR7
W9fGl8vSts46JjDBxAreNcDJcGEHmvOqQe3wWNVG4KVSA3UDEX/45goCBwQ9aSZiT/6sm7Mcq9li
nQoZ3dzwJj2xa4zlA2K/fbiszd8oiXddmAFG6Q5xOnAFOdOU8UZI06ZFMHiw9u0rOalAv7PH1+Em
cYAhRj7oYfDnG8N+yk/Gebqdzm/ovd1bexMQIBjr9S5/z9bqrj+HC32qYZbnsMTnLJs4BgWKws+X
JWzAT+hoP/3UmDsQUZGpBGzKraP6+k1wAuTEbeuae/Mmu+reJLe/Kk+GDaYcaJkdc68VhSpbF+Ja
PmeuLWkqNJRBvgZMzjQ90ugmKCS3QKnisqYbwO2LphScLyhHL/v71WvHKVo5mwETlTimrxJuwGTK
XWMEUpYR7NIMb/iuBY0fpsowRIqeEFcuOlHr6KbvM9GUD9RcIPOh4PL1I9JAmSutwQsqTrqrQI8O
mUHtuO78jgAJIWV2P93GIaAKw1+X1d/y8WvBXIiDYnyF9xwEjyy3u2ifY4K1HQ+XhWxtpgnnqhhI
/6KswC2xXFp1YhgIpSVzNwdAL9lR46c+CzzcRmfBcucDagIZOlBA89AdSTdoWgdEHEdhtwaIaDFV
70RJuu+V5tAn7T7SpwejfMPYrjOzHGPiyhXJQ8HEyqauFqJSdMsCw4tPeEoSIRKaj4Hf0aYOunPj
gtlZ7YF68PKabt1Y5qccPu855nJD0WEDi8njezWKvUopf8yB7PaE2WX1a4pE7XpbwRXFIZA1jJGg
wZnz6dqcYX5iBEpBEKlgTFHnbF8XSA7GY3CrqsVpHPrQIYUUOEQhIoKmLW+PhviFFGNJHPIXNOgw
mrieAMOg6j/j4bbPfs+DMzb++N/PkS6jBSootEx0Aat8mhVjCxJLCByPQV/K5hDHb030kZRvnfwh
gs3YKO9BlgasGx3NwXiicE42HvJuwvWPFUVKuev9CTWtwVfCs6L7VPEpAXMSeSGifOVmvmYtl3Ou
YwImJhlYbI6s+b9G507aN7VPf9xLz7T2osarnwVeZnP3dOBbLPOe+Me5N2NOUY1ZJuVpisFc/ajJ
tqq8y/FTKEJd3Dp+dCWJ82epPhQ0WiTh/WODyK6U34fE0USY45u+Zi2HOwxsNNWRLnLyFp2yyr63
Uzu/Uu9apN/c6rYKHP3x8oEXaPb3Clk93YIh/n9rGC2z+JiYLV6KBERT2f1lORtTlLBKpCLA5gOM
OcJn8+bGLIDMPOLq3RmOslce/cLRVJuelR/sYXbiXXULMI/Bnt8uC966itZyuaimXUjnCzrAKpuf
rD8AQo5Z/mURZPkNPpBby+BOXC+napFIkNH7KbHJMzjE3fFAD40bPBSPyuDmjgqoPN1l76lzjfkD
51/SPesv4M5eGpuSKqVY3ZmQ22SWfQBeOQYaOmZ621f1QaCwaFG5q3fSzXYyRihsPhi7wlM+JNBV
g3aU3WCsYhpcxU3daId8U2fPk629st18heHZj/CZ+qLE0P+y+kvADohNTOpzq99GJjPmEE5c3ul+
sQt2h8wxFNv0lZvKaQDq5mluc1R/KwfMOue7eGc8Gf/wRgcQ1X8+gVv+cQ5APKnj2uziK3S/EuNA
RaDdmwcVPEpw67IGGkbO2WWNplRysWhZ/urqP5bWgy7nwej/XN7aTZ+6EsN5umSsSvR0Qwyau5v+
J6AjguJUkBHs58LwdFsWUEEtzG8DFYizomROxjkMIIuBbiDtUOk00Gjz3jLdMQY0DRiDg0QF3pXJ
79aIXHPqT5beuHOtnaSY+lJ6O7JE4A83Y2ZY0n8+atmHlUPUmiwIernCpQJS5w68CFLmWNNhAtm2
8TpXeyrfqKI83WIe3/wHoKBU9HJiMfjmVbm2pkIluDkzKt8lmfGA8/wPgR1GdP8jglNLDRNpnCoE
BSRXvTp2BmUnJ5ioYYdJugpzkT/adBArcZy1Np3VSuGCYKQi4zL0mOdOkQgEudo/WOtKDGetg1Eq
Yxdg4YxE2bPGL2LZRXbEkUa3FA0ybqqEJA68DCJN6y+e58owGOLQuC9hGEoDKNTKsLXW+xeCOLAc
IDMPUDCNIC7mFs7I67RFVIram/InVN0GmThV86PAkYCbm8VOaADVZX95FbfMz1KWcg7m8ZRvfZLm
PBoV1bFZZQYMxlq9SYda4CC3vNdaBHcLSxXAdasIakkRUqbhOY3tHNBOavl0WZUtl7KWw90FUQW8
LjDMIYBCEwNtznnjzWNuh4XXipg6RaI4n1+RQkkaDaISkrtABS5rgjFep26PafRxWavNiuxaLc5T
1nliABEYzwdp3012S2x6ag+aZznkXF6DHtFN7cRRvHl3Rc/h/VPsPDFX9FBbzhLvpNbfwHmQrO6G
Tm4Xy+xyL8u9YS78obNsXbmWGBoif13Weeu4rcVxB6EC6MZUUIgD2vqjtCDvADkUyBCDyFVtmiaA
QZEXUnAI+CSJMlSzKnWIubXKn9VjqZ0oe59F1rK5eispnKeyrCjNSId8UJTtBtrvJQkEucH12GRe
SW+ZEHN8eSl8262VPO4lkVcYDwh6aAXsP/rHRLbgVXXlO/UFTKSst0vmSM+TK+/JTeW3fnBiD/+w
fUh7mUtbETCGOIvtVbCahxP0lVC1SADTFGmOIaLz23RcKyGcSbLJCKW/ixoUkSuTlwg4xZfV2Mzj
geDGMDF9urSucQ5lTsBPMgbLi0w6V8VtztA+jT7Vj0j7VfdnA+h45YlJu0R+vCx40/xXcjnvEhBl
TsLlxDczA5UICrgmIiLRq2zTSlZSuF2S6j7rZyRknSq/0Yrf2nQkXWaDD4mVOaDRUq8wflzWa/O0
rSRyWzYWZWXl5WIXzZUVv0X9iTVvuuiu3pAC1FD0JaDVFYj3fB2kl0t5bgmklIHkxKbqp0NhJ/Tc
K5HgKbQx5AoRK1HcRrEEpEtmjqfQCPTwB6W35310mnfSSbutazs7MGe6tt4UQbVuw50shCuY80Nt
f8Em+xqllo3UqWxAUhLIUxRlJDBkz11oa8rCyOuBoffyrm1Y4xdxnJKtOqTmkEBcSY6ZdK/Ee0W6
vyxCEanE2SK63QZaLXnWWr8fMGlTu1l/6lIXSKXIDXpK/6fV/Jpey/Su7q/1/LaJzg1zOzi2ULC6
W09K6ItxMpRDMdzIp5aVRtaleUDhvHTZjXoGvdRD8a4599GxP7b78L7zMxBk75NjjurMVfjUiJi1
NoKLLx/AHZM8AJmXnuADxsAPRr8M3dB6662bMhRVKoS6chdtXclRGukQpTIXw3PAk2K29iv0fyfH
j9iPXwrFjQ7sFtTtx86OHsvduyg5KlKWuxspLdAeamHnu8wdNFdjjV1nXsR+qPHzZSMTSeJuxdQs
pjY3oKs2OX1wXaVXU3rfTA9BJLo4lhPB3b/rDeTHONFIoGpxDUk1Acn9jzYRBNRbWV4FbM4ango6
RezOqdJoJQm0hSUBBCl6cMY0w5j6lerP+fU0ulAOPSbOrOmCC1HbOKbAUMehAJKvgnZermgZsqYp
U1SZgTitujX8G+i5UXqJWwDjDl5KAztOHGYZ+6y8Zv1JCq+BCjXp14Z6M+ivxnAX5ZFNJiBUs10S
uHHRe6i7D/J1MvtD4ZozXj6qPWmHmAbXXQDkYjp6PZoPUdd2mvG5B65L276TbqmiOSbYg8rkeqrP
Ziv7Y4g6NFoXwCQs8oAblkOAna4A2Q6hAOFvFCRkikKadcQB8IAM7DsA3EgcC+U7XTThv7XCa1Gc
sy0GcLmmZBEVHUF904SOOsR2BE4A5hqlwLNvCsP0qKFghpRgROzrRcLmAXiEKoSlvWUDfNKXAfza
Kq/ScCy6m7hs/csncONmXgT9Rx7n2LpmyiO8QfFqkp5lE8i+5JE1hj933mU5Ir04rwYuTbVsjEUv
Hf2iAAWk5KPQd+oc7kqTHqgQQmpDoKpg7B4QS3i2fEOflEhIA8Bxd44CwFVWHqL5xwRqgbw6R4on
YiHfWEV0p1GKopUOpE7++s9ys5otZgHUXg+cqXyaghmZAX/IBdaxce9/kcOZYqmoodbIZufk1nlM
TqnyGIkoAzYc5RcRnAGqs2pFaoV1awPNIergGP8weqAiBgT8FDKnKBZzpkBm1WB5iMXSwu6lzWe3
L8P7PBbEDJt6rKQs9rFKD/UKlYxIhpQE/k1tQRojGq/a3IyVBM7jx1JokXKGhCr7XVaeClxJBWnS
y+dGIIQn39H0QmU4IJ0zovGl1Q8D1eB5Bd35grXiGaloVvWmVkATudPPYU9ccAC4l/XYqjetd10l
X/ejrjFyjIpeBxSM+RQZR31KnAGAku2kumWUH5dWszwc8BiXbcyMoNCdO5iid8MeoJODvAuGhzYR
1QmWLeKigi8fxYXteR/nrSVhdbPuiRYP1XTD2HXaXKMqpSRe391dXoRNN/FpMX/pFFc2GQdyn8dk
sclo2PURyI2iF9CKBolg6Eu0n9wZ7nqLNqW1nOEkvu3q6jrLHy9rIpLAXRtFxSw6ypCAYZgg35FW
Edj9Vt7/y9ZwXsKI0hlcZVirVJcfaRzHNp0HanfWdDv2kmcl1B+jwm6bewtjzpe1EwrnnEfIZkWn
Q4ADIT9mQY1OYKfqztl8C2a2MbacQbrOJSKQummMyHrh6kfN4VvVoampwTQp7J0MHivIvUjDODea
nkcMB74b9/I/zNSp4O0E8DsaTMk3dkQ6ak0J/t4eE6j9n6wuHkfkwjold2U0YwoWlGwctLUsbkGH
lpKsSqLeUY4NpomZnRzLd/MUPDyR+/qjEMxObSANoMVrpRrnmmkAeDklh7j+Q76Jns2H5Gb6XVl2
eW1Ojuq5+uFZv2MiFydfVlJf/r463qVJUvCjQCpep97wp89s/aQdwtQOAbEiELblSlYafgPlVMpC
zkfIQqHTzePKmdHSFt9TbXd557bun7WcZWNXOoV6nCZtDDmZah2MVLsOAS83TKIEkUgM54g7JazV
rF3E6LJDh6sY2TVR1n6rm2NtFfri1Fa6YITUnLpFiLRHMWJXv8aP+VFx8+viVXuIDTsSuOHNO2+9
eJwfxiSV3CfLJjX5M3sH3e+P1m1syYvQUdnqtvS7vCaPPbry79Ln/9u2cf4ZfjOtoxqSVfVjoM9E
bexKfrosQ6ge56L7KVEkebEN46Siu+mHYrfX0dUC2zxApeJ1vhpvExesLGRHRc9tgUPROYeCW9sI
xwqyURevMls5ayjE28bCjuG9yWgrMAUx0kY71dKXBgo+DBSCAJWfbA8mTHKVrYJm5zLC2/6cpVdJ
DO4wl2SNG8UPU3XKg33X7arJlaqbOBGcxI0Mw/IBgF3E1AEK03xfxTwC9CbN0W1toZc86VM3K8Gd
jR4rUC4HYEw9TKEBThQvEyFOKuayml/jpK+iuZNTUIZ2KxNz0YlxzUzUJDPA5O6T4QDubMk6Z8Wx
rl4LdVebz5Zu95ifkQpPlX8ryruBN4puy2Nyh/ZQ22KypwIfczjRKtjPfeKY5SOyJCAfyIratdBA
2ZS93dY/gL/gtO2ZzaDMKPcqCVGgPPRa44OCZWqOzZygUPODzpIntRrQBnyF7OPZK7ODXl0VUu5V
wyGXdkF8MPLZbrPDTIEUv6v7h2Q8BSpw+nKbxczN8l8sumZAsDQQVWSFa823aXzOCcaAfLC/l+V+
zM8x+BUnX24Rr+bPAL2Tg31s7qn1XJR3gHcDpcF1Ot0BvsZUEpfWe7N6oK2fJapd9kfduIrZnVEc
pf4pNF8sFPznY1JfFyC9q5KDWdxnyS5v3oPhEXWT3How+31h2Oa0A2d1jvMj9wBTiz4aDQAV52H2
MYPiRYAkyV7l5q0wI8BcB6BY8BLjFILCTnnK4wepeFcnEOYEwLIABZnBsFwTamraVSO5VvRBCt3R
2Js83YD+QCojp0MhhfTxPqM+zM+Ji6eg2gPfdm7/tJUTW0c5OCON1TdPNPk5AMEHOFp9tSzINTiv
c2t0kt5nmtfIzUHCUEUL3EOdnFN1sOWC7mjyim4hP4s84OeK7vvvodMykrpQu2gyykL8uG+ms6DW
w25pxnGUg3mo/dbtvMhOj43dyrZ8q54AZevBwh5khgFZgSPcEG8gF6VZlgJaXTChf71YqlQvunpp
E4yPGI11Bidx8nMt24H98mCAsDO/+kDh6KXxKoHiGxSaqDqsJHMH0ygmw6xxqf1tD8Kg0FVlzy+g
Ls0Qujr3pmeeSq85TvvwYLqlG+9AWwtoHld0E2z4hy+fwV10Yd8ULRvwGcQB0hhEB66xgzMe/OL1
CdjvtuWax8R+tX5dXvnvUdBX9blrDuREgIUwUS8DkFSY/SiBBlaWdqeK9Fu+n/N/X/Tjbjo5yYCc
pKN+ldnZjeao16GfQM/K7XetF1w3+84RpZQ2CllfdeNuuCxUidVSrGn2DAauQ+5XoDj2kH9039vT
TbrTHRHkgEhLLmpOVeDs/O3fNa0rVd8F440q7S9v2NYtulpJS+Zi5HAqMaJUL0fFYD9lfT/L+aEE
9mszvKPi5Frp+N4OxDaTELDGFOM1GEkbov5umce8/CkbHHjrBf6G5G1ZKSmtpSSPYPDOAkmMnx9i
N7kJ3J/JbnTne9xqNsosduNTu3cGH93+7pUe2w+XP+SbEVsqusPRjKtimgDN79zhGaRwSmUSIIya
ap/QyqngXBvzRKb7y4K+7S8EYTAUrRUGIO0wAPfVTVnpnJYGCJuQeANcuZGDZshTiX9ZyPcd5qRw
Z5L06pyODaQAVBXY3jPiM7uIgfSL3tuD6uTgl0XxKhN4QpFu3AnNyyEzWRUPmP+8a+PHUvcHEabl
8hNfnACnGHcgkbGUGrmDYlIsy4c0qbIXIqlGDKDFqTiZXZz+kbr4f5j7st26kSzbXynk82U2GZyC
F10FNHkmHY22JMv2CyHbMhmcggwyxq+/i0pXl3Tstm69NZBwQtDRCTKGHXtYey3zRh7zV7sDrUsp
2u1Bt01PA722AUxGuU6jHLj3ZzSBkQ9anJPw4xvL9tY4q8P9IjhyEQGVsMUEZvDrNoHZJfvqSD6B
ErC6oLfD+/E8vmzP4mJ+Cwn5c1i2ziuBRhqqOPFKefJ65Cp1mc5YC22JM5y6s9TPH0SutuEefRnb
tV+peONV1+v4p4V8MeDJQspqkkxIDJhcLhcMmeF9VsTv0s96Z/b1kV69mY74KTFw8oYnhtWL7aDT
GgNO8c5seKFyEkCuvoh2A0Q13rBrPxfuX4/2nNx6sZJy6LgCWRIaZzbBNd2rr7zLZ7slxRqfuX1y
PcMxqovlEbvJHt66t355EBELgPIVwMmfusBswPlAXK8BrAKkVR30msWKk7de8pfbNYQKaLS2hkan
RYRkoemYYVrhbMnvkM4okq13MR3HL+VNuhVIh1z1N9VueUtj99ebFYpIKF2srt6p/IOkTlYJxbgo
LH2N3gFYvys33Rdy54q4mK7llzf26nrsftqrL8Zbf/9iMWOPdEtdc12kBEiWBWKbeViwPfoTN9rP
JaK/N2b2Z/zBun1ejHjizKay7JLewxvSz5XNJ+Spd2DiVHmzSzaBzedru0n33hkaRA7fTZF+Ho/e
RfNGh//qtv701uDKDkA4g5k+xQCKbpwpD1dj1F1EwXcqn34/rb9+yRcDnJgAIMs0yEhhyxeTAOXN
8ylqisan7wcJeKocM+BdUMoX6HuzEVLQNSTTUOTW9aEamwLkAzlJyjxz07Ue9VlLwzzQ4pbGCqk+
j70VYPzs5q9r8uJxTwyIamk7+WS93ZKz5LN+hN5Zsqtvx8P7MZ8P9Gu/c3rTHMOjKYJkYwq7uf23
ETCvHyE7cdxCLzKiizFjvTub/M+efEdZkdGHAR02v1+cXy4+EiwQlcS5/kmLuVHxxJoZ9suh1jW4
8coYf//7IX5OEK9vA+YI0LyhETemJ5vcDCnC09Uig8s7Rjv5lbzaxeegobWflry6i48LKPQLthO7
3w/8S7P1YtyTeK0pRRtCvwMbm5GzaHQXqFKD7dNu6/rr70f69Sz+6w1PnD1ISsRuqTASzR4Y+xCx
7e+/fz0hp0cUKBdAXgAegNN6gjtJ57EGpdeELVnF+xlJj/ImM+/1sA+G7qp/C+7xq7d5OdqJGeyT
0dVzh9Fs9iCrHV/ewjy9NcDJhkhSFptgHSChtysVhDr8frp+5TyuzFmo7sQA6pzSeQTEgu1PCQ1K
li9zvOHLfmY7dLNkVfH7gX7pf78YiZ4cVG7QVpu2GImFviqGukbGuW0u++obpGJ2FQkBLu2WzaCy
B80G9MENywdfoZshpvyq7OY3dvzPiF0cNZCcRlAXBs70J74UKBhNoRrwPO33IA+yzQJQ0ZzziyuA
lJAQWfw3IoFfHbGMAgAEZagMCJoTdzJiIdi2plkXVSmh93Exhj26a7Z83jxP9H98Nf+3euI3f+31
+R//iZ+/8hFllAo8369//Mf1+DT87aZ7/Po0/+f6h//9wZPP7Z/41WP/84de/Q2+/MfgiOAfX/2w
HRa22HfySdj3T7Pslufvx2Oun/z//eXfnp6/5c6OT3//4yuXw7J+W8X48MePX519+/sfq6TPf7z8
+h+/W5//738AvCLkfPr5p8d5+fsfYfQnkuNxmIGadfXkY6yMfnr+DfkTLfJk3QDQbM8A5PzjbwMH
cTr+KP4ToE5c8sClp3GWJvijGdQK66/wfVCd9PFXgPFAmzr645/P9Wp1/rVafwOr4w1nwzL//Y8T
rguQXIIKkEKGGXSKwDshVffak+Lo0AtAcuwKQKyBBO4yPQW537RcQki0k7ciVuqd14rgIgPf8xdd
96LOeRSILwb6lF6eipkc0j4a75vAoC67eHR55HEyfpzLFHxhkwzSZTs1yygKyLLUkNAirYveOE6v
ze76FlAey0BkEYC3GQ36J3ZKjKnmvoB4VRzYHiG2SHJvbuKiQTPXhqfVdkZTUtXITy9W+cdsvpy9
Xw0LTgBgdkBdheN8MnkZ2OmHsMsCUC7ZXEflBq+WE7+/RlXiOCp1qQWYpX4/5utI4q9XfTnmic03
RnvhuKxj+uYsKCH2UeoSLPUTeQMDf+IN/jUSZhPEecBuYt+emExfsJR5Y0MgHx3GqEFy0qsNg3Aw
CIkG5d0tNovO+xrlw5zLqZG5h+ZL46QVW8Oq5NwD6dQB8ZBWuWpJzHIQfWUceSvZngWcoAc+7tFf
YkInZV52Gb8BNRvp8jFQbfeXWXpllV6u1PMxe3EzP78N+iJCKCciWxDHz3mvFyFDIIeIDLxBD3fj
Q2O8HgFbL0DJJTeQ4AzMNopBnwWAgUzNtgan+lR0ZQ+R5MyNKdtrHXfnTqvgsiwHp3cikKYHp++k
nurI4si0Nmn01ku9ctx0MuIyDzpoEOXB8zuS9XWjlrRnSzuCs8ZJOI05HbkBgfg6TXqdsKzSTmxL
zGI0hAz4hue5nddpZuuET61FErt7Xgft6Wkb+bQMNoDeVYh4RnDgb1TdR0+24a0pHGwHP8Yh5arg
RpppQyVYZALnzPfIQLQI7I5MBttaRxp0vksWfm9H5rxc98FC0b7lgW1fAb47FWOoSrMxMaJWsGML
YGkhpIo+4n4WptuEU5NY8CiFCNqXypFgmwYReICNDZdy05KgQhkwk8epaswWAASijnpoSvjkzsTb
AV0LY95PvXkY4pQzNKqBYGuXVfJ9zfvozrah+jTFo+9f1EE6zTd+lelgs5Rd/77vFn5WG2XVLnaz
dt9i1/duq03D0OmWZsZcmbafKkClPDZtqZrte065qwBDtBk29ryU1T7pWkQu3QqELuwS9WlOgcny
oAgjAgU469ydybgfwABfsXbOW5+43cyMJbt5WMg2rhMN/O+sOEAUwJUAwOXF+o6g2Rr6lazv9/gr
7JAklRUpwixzKrcunm+TxKtMMZcV+V6XJkN1OFLhE2fgkgHEnYQgo2mVfIyAufkwBgDcFpJhobsK
+lL53HAfBVdwvKJTMQgzaB2jg/68x6qZIuz7zm7LetTlHiESK2IqEqgQST59nFcDrdhkJug0wmwn
qwHXz7Z8WM06nwksPF2Nfbma/Xm9AABaXG7/T2/jqV0mdBC6zMu2YzVCgLHyGd4tqz30dfjGo5tk
9te0cdJmd6zpXfSG/TupAOAgJysjL+i0KaqvONInnoxGhKTrFFPpSHo9hP032li16Smg3VyyCyMF
biVCvo+y3JTZsnZiJxdRLDIIeqj31q1UvsMbbv8aaf7L7f/rmShaeEAsQteOjBNT+a+JYXOKNybP
L09b0GPFz3MSP89Ph27jIJ/WabPrBP77ntcl+yr4zL8vv/W7Vv/sdhFPT8vl43j6yf+FzheI/l7c
katz98r7uoHPBIWp7qX/9fwnfzlgXvJnQIFpzlZt14iutGz/9MC8MPhzbSeOoLWHTubnJOsPDywi
f4JHEbsrXv0iiJThbv+nB+b/CSYgONEgd/vht/0bHtjrrYMRAjwdxEXhk4egNDot/QDsCYZuv4G4
7tymV3Xj2Ds1Q7SHqoodgXlDmnKMoLQxDS279GVS376Yq1/4MGTdm//au3iAKMCGfZYVXmWpnnN7
Ly5GEDWzoQb+rsCTevfevHj5IkmEUQdzpkQ/5SO36BiD5Cq7wm0GDJLxRLZ1FAS7OQfh07mBv/cB
dPefSjbOYz6ZEPavahQazNAgpHZiSLcDWBvfylf8/OjIdIJWE/OGzAhyFq+d1ymxHDg+2N0kAUnS
wcIUJTDNY6Rza0n60U5EdrvMeAHeqXSEnfHQBGjEMGR+K8N7gvtZ5xGhuJ+BpT4jSNyfknlP1s59
VYe6wOWr3RY1NDrnkZUtOj6CuvnS4FbZ4WZs6KZse7QlD7NS5UFk/eLvzdiz+shj5KiB+ohLW3QA
EXXbDsmEbB+xmc3nkJDQ0xt+0WsPFg8NoDkqX7CnoHRIn+OMl4lUrwXv/ERwoZs49tBzO8ggOSS8
S2gx8jZCO+JQEaT2KvA1b9DqOfLi99vvJDBfnwAVWxxLVPtg2X9qElCuaZNgQRJviuuyh7C0G6qi
NxloMMNOwQWZeNbUR7+MlHfTR3CGulxJbqA6JXlSvm9Jp+ftEnVesg2DDjzSXjOx5cO//5hYYch9
A+oEvqpkzZS8OCU0Y8DNl27FvmatyYeZyltf8HY3St+vCp9MS4AuKslXvA3aLK5GZ+pmb6pxLBES
uMlsZ4eeoU0yTHSBuxBq8kaIfyKftE4lmK7RB4h47lljbl3sF8+IbU6s4IQXGY8rcd1NIYIu8F/z
LIf+beIAOrN816sMaa8UTPDwAGindpGHkOowyFHJHN2a9Oh4Kb/MtZ520WhafT7F3ZdmasBjnJhW
vOfxAjEeMMEqbzNMnhdthAdHemtFBqCLTJpeXQsdl/FeEOSD742c9X1axh0ATzKd500iezQJvbFA
a9zzyoyBDga0d9BtCPG4xD9ZoNR1ZLAy7QpVNUhG47BWMu99H4w/2u+rJufl1AGFAh92qy3xH2qq
wG6+iKrcKJ4MZTGRhqRvPBaSSCfPlcKyhuA1RmY1Roj63Kn2YlGmbNEQl4FQZyR4lyLw0dOZXqxp
Npnm0/ClIT2UDdOSDfK865czSPTxZtvosMztQm+ywS9ZHiijz1J0tBVKeTuwwYkP0pf6zobZx2yI
w7OuZJrlcQ/IKPSSxnQ7C2EusgVUVQy1ZZqSAR0+UDrMGVmGo6D9sg990Wwpp/4dV8O3YSjB/5R2
913lkisrBKtz39pm65W8KxDF9eCH1VsASyA6DJbRMQ0RBnX2u5qSCbWB4bPxhQW/cM/Hc+2JeYXc
RWjdFzXQP6nozwUFSI16vr8boH/RFtgu9bdWeM7lasLzYqumFEApA8VyuOvxZWaRd4PDVhUklfJo
jXnv/CzeV6EfHdxoxtsgqW5nNwZ5hR1x6EzjLiPTTROEO4Z211fTuB9NQh+9qQuKpgrry7JnwYaI
MvkMW36cQxFtQNyWHSz3q0M8kOFoJg6C8Cptq9wsoJJGnaNS4K6oSPwwJfDY29S7dQ1w03OzDGdd
YKt9sPg9QFyQ0Z1sJ4t00fr9yMl9Vk7tNRlB4RswEeTWm2wherH30NphKy/9KHrjfRYqqmrs1Qa4
MbQWO/8Y60THxyxp5ZOR0/StX/oiNvOWhnO7nzvT3cCLN9DEKvvbsV4+M5IZKNQNT6EhE9Knk6no
xrQz4hrrJ+6dF4jmiy+C0RXGLSouEBk03+dlTr9NURjfZJFMHoQp6dMoHAI7P0HQniy1dxU1CduP
8yX8DhJBai5J3XAAob2GZzuc+/GcnY0BGVSRYh22SIuHG+dD32nTmDrN+6Ri7/Sy6LPKifIshNgd
3+uGiyulGprDyRcRsBBqnygNGMRMk41nR3ROqKT+ENpyXw0uPG+qUm+zTEfHqq09igC1i/ZS1cPZ
oqru4OyoYPVjxe/HSX1VbSXW/ohBPCKrIb4QHRJsUPQr7gDXHG7jBWIGC+lQfdXwbNrCcV4/ZgOA
eXKNYtjC0FUxj8uDB8rSAtci82HBA9w7lHg+6tSI9G9oBpqRAiTHFCmubgQdQRvJBiepHeZda4A/
O6tnw/ayiaJc9uxj5cUh0I+i3HrKTl9gWFtUgcn0uda8u5mURk3CR1NFYBu1waRPLO9ZUrQwsHdT
g2ZRY9Ok3dYUum6+I42A9klL7mOmgDkUFWx5YnBkszYoz/pJthe2ndxlJYI6l7HfFqRml13soUm8
jrLDgHTPeajSoWDGj/aTll9ARiDvA4Idm1czMUfNErFTFE3jfR91x67UN71WnxYZqR2aXMRZZmkd
F1BQi7cI+vUn7lr2LlNlCShuG7yjOqrfV7PyzojSw8YmdtiLPoVenK7FnZlif970aRsd4FXd4Cf2
ofGH5tCma9Yd6Y70rGJhddelqfmivKT5uNiuJMWAVB602EZ+ZVXgDuCNxz+mRk1SIOL+FvAWhfy0
aYZPS2vVwaJUnGOSUNIXBlBbMO2BOCIEgdF968y7sGv6a+Ml9ku2SolMdvnSR/FTNk26zccQfcEh
9O5uezG1V5I06rthkw/fN2yAW42qDEharz7M1CUHdPBh+cJWU70pjQYdAO65+3523wRj8mMEgr/3
fdDrPOpCemSeMEXt1kkwmMevfaMB8uihrNWi8gtg4BD0W9NY0I7F5bzeHpHdV0FdbQFhCg8B8UAU
7hRDFmiegL4lqLZet3HtQMHRm4uQQ4An8Ov2SMrxMVggBDwspjnGaG7Zz2Ob7hKoNl0Jk/jbUQtb
yEHMH8phLC9Aq0TOLILqD5APXm6mbm6v5wWjaXy62ipoQbQ9KrpCGbtNy67bV3PQFfDA9AMDKetV
K3oV75OKi3iHyknidrZl0zU1CGWY0Av4JuKqevLZuIDixYfdb3t2Bc59d66ha7D14EPh/9nOuO4J
LTrqsqcDGn/6RNzIRvVFrSgt5gTNT9VkP4zDMmxiDnVlPpvkY4QMyy4qcZ7zdirnXELrnBczCLM9
JOliMIsin1EJ0l6iLF2/DzQRZw0vIdUS9F0CtsdMsbMUiZUPEwKzCxAvJxd8wq1XlzUQ3Bia7DvW
y62IWXoIuPG+ilQ9sYyTs5IReoTvbEF1ofBPWsKi5SWK4JtsYM1htvCoxTTybTsvYmcEJXejCTyX
DzL65s1hdkHrfmXIWKS6ZhJQazbmjTfK+7kfgn2s/ORu5DHZLWaUZ67l5HOa9bsZsA9My+KCp3jM
sP0tGW7KqBJ7OKHmkwFp/NVYBvKKxUhUdxWbz5JRjy6fxtYvhm405yFz9hqlkemglikCp3hAkKlN
wnPWq+pemfFBuSw7ehAeAYA1tfxiLCNf5nXXIl/G2nPWIepy2Cd7AW7XIzKY6tCjJw0k4R0XcDvI
E2B2+tZTuttFq22hCkl5Ohl6Fwdofi2E6pK9NiTY9TTitzjZSLmCDG4u0CZZFRQeOOQhQqAvPBdt
LY+9D0ts0cnE2/STCfsUcoFlwLZhWUKxtTRRgLwzIrEpUPTOL7n4MFV+iJ5xAyufAkfxFCAwvQEQ
ngJf30swMJqFVwVO8yNR0W1P2aqsVu5NumS3ZWvEZ6m66lYREn0Hr1T7VGVj/Y4xFBCTxUsOdC47
mpfIkObtSBWgRY6ZsyRZ0LUz1t8W8D9CuTIWeEIfrfJonNhwUbeXy7pmJKo8m6sBd1XLRnZoIJme
g8xE5WihnW454zMiiwjehYGqzr4xLihCZYIxDxWr3hEi+IKD1bJvyPuSc0LmAZH74MVfRx8UjGWo
lmi76NJ+0Gr03tUjHPyNB0gSlK4zG390GvWS3vbtLViRpoeJM7uqNtFvNQFl6oaGESxAVM8yB/2y
vYn5OCPU7sfwaMOOXnsgm0bSeKhNVeBgdZssw6nfSWPri161/L30Wj/YZL79JnmMVj7TW0F2MZvS
T6TSLM39gONfuH/0PgrK1M9ZmDUQSmYYMoxFg5yw1xtzrHXTQLWZD8Mu6GSGGxPMKDjtOkJFDUZb
9JHeIbBFBr+cLH4hDJ+ydyuOz4bYoclYH6ZK4TovJzImhzLp7A12R1tdZMxWetdMQIoCR2RVDNXL
BAanIpQf5Lxk90Et+28kXMaDQrD3vZoSOKtS98ulka666V0A2KySYHgSjbMSdieTZVGnCXSH5DBc
1qnkQ1EH2bfBXyjgQ6GCy1Ol0yfcvPXFiILfwWcN6t+NYZHaSz8qQYA1L7g3CGg29qXHRtxi4Vhf
NNmq7S4aGRXtAv9mg5uHf0K6GxWMIB1KpHbpLHc+dQ6ctaTjGoKpQYq97yUT2VWZ6r4tOqT33TR7
V0YLfDEyxInCd3LvscS1hU4MWoKEvqFpddeaqHz0HU3RahJ6/V6UneFFRyd6rwFUHPbQvU4/oT21
ha6iFy7LPshsJjYMbrkofFanj6BPAWFOdwePMPmcME8h858ufl34fG6vPFmH6EPw4iHOBwOqgl2i
BX9v4GzDJ0F1v899r/aHjZ4o9sfISH0BVJ93pXhcd6hSePjXaqb1sS0Heh9MoYn3rs1W8jfou3tF
K9us+TyEsr7AUR68o+97ctnDPZBuD2wIJ1tE2WgTWGqoz5/r2i1NMWlNoTooSv8DnVsa5NIQSmBG
PexXMqSAOfX+FPMCxUlPoHYzJsh/w29h56EPTUawjy3NxjNY0S0dZax36UThHA+6r0UBZtEMXrnf
pe+iMWBXVutum2QNVqvr/AbdmZASzmMyDZeeNPQTyi/gjSwlDbdDMiTvuTPHKqmTm8kvyXEkjfdI
6qBHh0fkMGFN18wexFgSL+e1rveqas1tXEIt0vVJADllEWUPo2wg/c6Tqd9yY8W5lFX4aGC8r3gH
+acMuUig7I0HLeo6WmDyahFBYLTvEXOixUOP+zZZABm3tWu83FEwe+/w6CGkLyI1DmDR8gZvM9Zx
P7+ReH9uwn8Z9oPnciUPB98ljZG7jNb06svwukWXhSqDOU+nMfMK4GG2GavEAtOZjfusbwzNO+dl
Ia7YJnlUjQPx5qI7YXFFo5WgSDvINV3z0nnRNqBxBc3twMXLVsekxoXGFvlJEtMlhdfq/ty34B3A
7lCQqOLY/lDr88hCCnCxdkfddZG3h2nJLCI1CeUCv3bZkk/LMpWrv9DGwH92IPt9I/ex5jZeTQJq
IdAJBhqaojwCBbKTSRhYyn3E0LnjTfUV3XL9AOKgmUOyIa2gayo1BB7G4F1VSzj8uNDbvE1cAF6u
uA0uu8Q210HHIuxaFpm3ehJPk7Qo1ID5B9IySJxlcXT6cP4EWmsQkgpcJlNzD0VKBH7Cd1mDHTj1
6kJXFLy6kfHZdnFNzPdpNykwa0UTYrPfT9SaD341T6jRgMITRL54HKSNUVZ4uVmqkRCwo6IDObB2
3EwK9TJo0WyrJFx2rm3iNzZn/IvhQsgMQ/kB9QOI3bweLhqyWTPm93lpo8fFM+OHJZkhzbAk2ePv
X+yXI2XZSlgDkA/C0tcj9RX3oLUA2WKPZXXBbOYfpx4CdEumfvCU/MDY3Pw1XSeInpMf/3HHe/x3
Wjl6hfT5HytR/wvrS7AZ/zO257+GindYjr9gQisWCB//q7JEoj8hHw39lFVK+lVhKQj+RC4WQhFY
fHhHz2JcPwpLXvTnCrKEhARKPiheBDEW60dlyQsoSksoxgDHkuDIoIzw74B7ktfbAtrWiHUylCXx
jKhYgffn9bbgoGZE2j3dpQ1BjUF0Luu7vB8lk5ApDDv/pi9VfGtn1sTI17jlzHhZ7BVkyuy3ykPB
GkA52j9OQOmluZxb81G4Wl9bZH4/LywifINSrH4QTTpFxYwk/lW0JDU97+TaC4tICqF20AvvqwKD
A9rdvCYzSIYMAy5VD7gnOEm2G4uuldltE6Nyi8It9U0B99+qrVqrdmA4oVX24DNvSHMXyOiOx60v
dlFbl9+r1q/6TVv1iEThC+qs8ME08AFZy4lvmccwQsrG5i6N0WlQZF4c8w3vcK1COEjKZqOEjzws
OGQAqUWBkE8FHSfAA9kQLB8iYDLMcdTt0G/nOWUtKrc8hjlPjdbVJTBR3T71B8XNRls6uj7XHmnQ
yDmGzfD9xZb7ceZewldeG3gsZLzadejRR1kCEBkwX68Mlx5HR2ySnDF/SK9bP4VeNRAD4xvm8XS7
ZBTMUM8CcsCpocJ5cpeijRphJwmutWrDcOPxaFpVTuRcH1TlGLv5/Tsl0eubgcIdwt7ErlwV65C5
PyXYGXrXliWTX+Bui24zhW33ccjS/pFl2cwPjnm8Pmbom5i26ZyQoSBJnU3Igzmht7Vh4zmvTDjA
pa/1p0asibEaizbNT90iacA/VpXNhv3YQRLHtBKQHNz01N/TxZb0PLQB4LLJPCNOR5UCe68ymQhz
CLqiYZkB5HIMhVkhQX0HccWhr8bLLKi95SZcAv6AlD6DLoQC6eTGgTh+61wVIVfsTSbbSKdXAlvN
AnpX6nBM805EYb91qQsFHPJRbCLJZpdDUQb6qp0ItT1CZVuN4Drvw2AXN1x+8/saJUzsrbaIBW2Q
JLCRQrKJ+clBOmHHw8Rij+5jVFaeFuTijjoedb3R8HId+O08pjJA72bjjN2QCflyhTZUYpsBmfYg
vhap9VguHDEznEzXf0HCEOCFalrQ/YNUigcBwXA06T7z+/jGDMOcQReKhToPHaYgh+Rp+2WpVDXs
EpUwugIyWn+DijpEKeOIo3Jc+iF5RNLKojOk7W1QJJ5gUT7XXtnvOtsO5L1zSGhBG6VONaYDbG5z
2M/xRbL0cAJ8pcvjHJdVhkQDfPdzQTq6wk8i+QAwWd/mVqRwMDnFcx6jEUKSRYzTf+F03aE5XXjy
bsXnV7lXodNq5wD1eXCKzAjThfRsQRqaLNu6h+5H0UZ9vb4VbUVu5kkvR4AZMRVoQDO3Y1USVtTV
iPSXLxc/Qgw0ULM3QYRGfq2ackasNOkeW8dW6TEc2vSCL10P1u0wNN5ZDdahelO5kY17RJj1CIn7
GtCcRk/+sJUQQgWIj7PgQ1up6QnC8S2QZVSiNoIIpcZpdAkaeSpwGQriybhokaJONjB96H/x4/QC
FUpkgh2ylSDjja9QyxqG48hEg4xX2LRHVCAjv5iBPHoIqTP32qPjsff1sh3Nop9MSuQDwyySTRqJ
Zixi9ETyTaXDFqGO6yEcPsZQYN92RImbhLaWFhpkRGDYHmxD8kBSVSOtHtPrJXDR1wRz/NABQhaf
0xG80gURQUsLa63y9q4StZfHk1xikKZWWI2OMJpufMbFmAsy6FvrIyOzG0PaIxvWWiYLVg3DBng9
LRBzWtaijQkUeUiqTN87GJgBin4DgGHTEot7Rz0TbIeQiLugbs1TLFEEyHWYzGcAtHvVHgz6AjQR
uA+fsIptuikR+c/InnsgbqRW8QiVnKR8x7s6bJB3GZHwzHoHCUFuO+PyKmGIZBXh9AuUcLpLz1oT
nEs30u8mjJNrDXK9p9rxUWy9KQT5hy+6zsPZWstqne6gAoqqYXtfOykuU9SKv0sQAEBWz+vLj9De
nZoc24PRTRWMMFMOacrbDMxE7+1o8TEcIkTKRCJhsUGKML2u/JZUqFFpke66JfWGHbVj9XWoovEB
qgq2zpfULai5IR2ebRwN0QMWqxL7z1HIts+hU8GO+zx7X9IBHuuQMh8TpgySkZ2N/GkzlP50X+J6
RKmljcqnxMVJk8P1JUnOs84Hi0Kn6MVCQk7l18EMYBX1pqmB94vtis9oJJMuapLwd/5sQBZSA4Im
DlnX+zLMq8pFfB/yoSXuvCRuoUUtF+gmO8TU6ggUcczzziOTt0GVNSY5zAPyY1GfpedtZ4FadJEY
3xE7IvEewgwAuDcQdu3SWI9Fwr3qEqDAKt2OQPV8biu/pwfPdsMTS6ow3iVVbe/F5JVJDoa8gRQ1
FeywDDOUG4Fka4YNrxoCtZRhDserzCqZAuc2MB9VB2uDfddWSMDqiYP5sg7hC2zKuuXVRgNZXeWy
pv4HPS/Bkygn+i3uY8zqYqv6Gnqu3kejGvB4RMjsfG8qG7ocGalJHnXbZyivzFOEjCedexwh+v/Y
O5PeyI1sbf+Vxt3T4DxsmcxUaijNUknaEKWJU3CIIBkcfv33UPZFl8vdbfTyA64XBaNsKZlkMOKc
dzqjRyhbm4+fDUIeNwGBGNtDWLsmsAP0KM8qtWe5F64ENAuLAkKR5OyV5NJZziWSVN+1Y536BJbq
KGL3L5a1uc+7DBC7jNznaCVcZPWJ42iVMt+aNE0lhBFkGIDpGoId22FTJIKRqJBfCoNE0mWmJLyd
+87sV5WW3xnyY5CiHjHSM3E1vB4jVMl4i+229iTxXa7zmvu1bYNpLBMl3ALiKZEOX6Vsv80uEwM1
lpuXrnnu1a33mJlDcTew3sFKFq+6UZXNvt8JgjfmIRJTEg3jujHG6B+SvBLTc5dpT+xGg3E7yTKl
a564dVefeTNvVxzCf2UJh2B1PZU9mTzzglyCWXn5cE2aOfUkaiPxVjtNB7RImfQp9dg8VTpL38PK
ZECIX2bhEyAfD99qDNNP0K2gRrGD1n8XuddTRc7dAskE/W7vBWTg/aqEz8SYMXuuB1465CMD9LKJ
LnQ4eGZpMkYzW/N5VxiG6ZAlG1HLaN3op7pJ/Sdg+dU7RHkVBVAFWKxncV5NWOxaQOSspTzQZvtZ
WwtkdeX29uXMW/bSdoHz5gXTsMY5562OA/DnLClrR1ZgcPBsF10YCMWZDiF33YdR+aRpAjDAFxWB
J9a6iMSd5ChPA7jWajdLDR8fpGMltqA5vaJdrYJmn6dh1e1ST4oxtlEQWxeeM6/BSTAIYziPVsIn
vi+ZQ3DmbAD53c55E+ldNk1wsYaT2peT0c/yiBBgYEUi054V3Ua7pi5yB88dGKPd+cqzXhvmd+sS
r3e2eA2ptp5JYeaD8XojMtfSXqB5bealEq3Umdn6vSooKc/QDtdLyokewh4TlzMBwDEcmXYhriu1
Fq+Fl+fuccmEM+/aNk29C9Fh2SHjoLaDctM067S+hiOcumW3zR9GxSs85OLM5qwqlEs1Vavh7HxR
2Mb1so5rdRGOkZFmwHr9mr/byhPGAQVxGVxXKvf8d0wofB9ECkXh7gXCsfDUDLUZNbGVz5U57tap
QZ9sR2FbHLrUVjAFcuZbeEUIpkNSol6Ckz4YZfHQR2vuiaSUYTk+rotc24dizGv7AHFnpvdjWTMR
GzHVWmCOJAZBHbOoLyUOvxr+CSxv04htILryb4uV5iPbFTlYXx5PZcApajRcLWICkv67mB2y7R8W
BJnA633um+yPmUEwpWVmbk+Ocps3F41UevrWBzIYWoyfYRWUcT7T+J6mrpLm1ShdVNI1ow6nm67T
qX1n913of6tVhkJncRb9GBkre5pVpa4Pa1dT3oTTWu+stHSd71M+L5+9pfp6Z1ZKhzR50hbHJnOm
p95C97v35kifS39BBt5X6UR54ihOwybsjXuQkhEBFy4An7igukS97A12dgHh0jMFiPbCJDe5mk5q
HD3Orgsn+ylf7U4mqh9d6yhzV6zoZlavO4080k7PrEkSyyTzQrX7AE19zvpKffaoISAXYHWXtYgR
zLfjlRyEkzMwttQVcilK8qSoDbc7Y5pvVuxBLLPP1qKjj/OwiZAsNb26xSVRrMel92p776Ympf1i
ieF6Dh2urD2HEM1cju4g5YsYuqBNQOpAg53mtZOgFRO3k+WNbzZ47Ps2JCJ7MkxZPIlOZTdZ26CP
ylAtDLHv9FDSK0qjd9vUdgkn4rJhA4MiX2GJjwin83bcAxtzejcs7Q/Fkshjy5iLY6hWdO2VCj2a
CXMhfwwrvEJACuPxMLvO8OhxCpYo3yXkj9CFH8Rt0U83YdsCiLoQ0fZJ3jsi3Bl0uwWirca7ssqg
ChMzyrJ7U/n180q5xGhDTggjmUscDweJZINXiGzK1zUoQ8Z/zrmQUMEpOII2IVFOba8M32QKEpoy
XZsw726tQH9VhdJfRI7JoVTWQcorYs1/BEn/V2jZv4XC/gSY/f8mynbBIP49apZ81O2b+jEUb/+4
/ejGV4YJ/aP9/MeQf/xj14Ko/Yynbb/pD6+c9RtpV0yv3WZXhZHpA4397pWzkGNjWiT5GzCLKdSb
T+0PQM37jVQF4AMMy9swX8TMP+Fpzm9ACybCaubi4qUDa/svpNokjm4QyD8RZFSyPkQnn779A+/5
pWb9iW7QIcIUg3hQCqd5SpOINo1eeSyWrv1szZ66rl860cStU7MKF5wqKaW/bT9DwKDiYFhcxpAb
AQ8Wk0lDsnyq/PxUD1HTxzXdiErSel2LE2aJBtduVsgfPmTMHXPRDCLiqsII9lMK1ch8ZMEQQzgp
y4m105mnnlchIi9CHxqgtPLWR9cEQJhk/lRcuFk5SEq+kci0EfXzd8NtwDpQJIqHPshIB2wds6Nq
SzNXbbTyahwWY1X56ch0aJS2nCcrE7dX/y3Hq/LMTR/C87byKwM6uBXvqQqq4aBRUn1jCjH9NqnE
YjNPBeqMyIKVrm5hEupOQVEu+2bpTY2eRKYPhVM0b8QKruNReyHKq6VoIyuG8RT3fTvhMDTcYqTX
hEJ6Gd11wcjfW/aJOdgUNjNisYOahwBw0RsQF1RUXvEwRGxZTTBBYzuR6vbNUEoz3uZl8OfgNBlb
sDUtu0h6y3LS1itNs71JKmI5RdPT1ABk0HWWuLPCtRAv4JG1Rben+JxAaPeTIJH1qrYBMEBO3Ox2
FkgSjgOM/mdghIZJZVHo+VR2q9EcDSq+9RAtkrnLqzmi/mVgQjvHcKEoOYrewKvT2CV6Yph1Yu18
w7zvysp7KQItkH9UA3S3znt9Yrel89imff9W4UMZYjOYzXNqy/KD400/agcpEStjK/g30/FN3rru
ezBq3EcUiqg15sgtUe542iIJrnNQd666VUz4HkeEKpZGYn+TDylqTGhM10BJNoVeV23JzMXwjVE7
pkXPlQVRUqOJCfc6Dc2DX5udc6Jrz3iRw7xcmpykTLq2uiZvjr7qNslJOpRnymHgQlxokyGNTK8y
yCnuIc1JMhRjGsSlnRH6qYOpQMuVNtRrNyk1BE2NWzXKvMAhNnxVobWXXqrBhlLTpsufYSSX4rFR
oHcHob1qOvXtonIhiFOEDS+L7fI9I1chDWkrFuP5WkaRvjDzIl1PUxW1zCGlsRy5YnRze2DQNthJ
WTHHuQsNUKhSwwGQGm0EaJdTUZkE5i+e/eQ0rstUWKcpgDH80SUGSBHHnIxpLswHLYS/7hB05OmL
sKOifhwlVeWlmS9+dz5WRuk9NW0RifNmorpiXO8Ihfm6bvLlWxE0Oj/MxHO5t2ZNT7fLpy6VJyb+
z+my68ZAn3fAZ5LCbAwiblhkGOwEYzg5+6lfJvNuM5izrMmIpiQgYuGq5CHyMRaZTCQpD473LIxp
ZQ5PLa0+afrCR/tWM8TFdNbGf85EQSBWWU7iEWCbKZdGpOYiRsfICHFVL+HF4vfEKAYD4bT1JKzh
1KKv+XB1VYffpoBR8nFWwz/sKoVK6ioysDSDCHbucFBp7ow/ltxFmFIWAQl5flgWySyirvhmydpN
976WdX9rMgeFCKQ2dG+w+IbVIY+QsvmzbQuee86mBIfC3Il08KaLIvUnOkrQgwPBYbzNhSg3AbTD
I6VomECAU6Jj7jifyvrOK4vitqiUjaK3WbPjtJhho3ZKZxrN5OCt6cG0Le+m6pf+bS1CJHyUO29F
UJrjYfLm6bXKoHLKeJhU3cXEASO1krbTE5XBwLTy6FSAYOhgHILLRr/gSrJBBMZeTYXobxCEgXWN
DeV+LHClp7thoTneGaOJ8B6alHB+t5HLFWugd0+KcdMIV9Ktv+V2xJxPkl7XYIc7I2gScm3bqyH0
IoZbxx3szafd5aRnlmMY0lRm6Rxubu5aHPq2CLsTzSzgs6rb9MbcTze9RLZXPfi2aLDu+jabbpSa
/rWofOaaNmJ2GGkXGRDnWV4UT4PUzrNAY8Z/oxZ8dv0SCei0NF1GAIvo5a008+7CW32mwFtW7c88
QLtxd+uy5lEieJ0fLUk9ubd0jllvtIvpucnK4M4YcCOCl5bW8s3qsuqy6Or0s+0LD7VEmK33bTb0
04m0WHhH39G1Ig0vxxPpWWN9n2ZBM6I2GWcVK86cKKYhnoOda+mOZs7RAEySkZ+oQ7dLrQRc0S4v
h2I5uF4WsDiaiKXkeTZcQ552Qu+r1BFir+twucmxVD7Lno16n0MVI3AaWqDwwjXM7Cx00tyPVd13
cpchOul3eT4GD7OTj93OXjC+xw6KmHzHynWOrdFHHM8z+1mcQs7X+xyhJ38arXlRd+YAsFVGTYRo
p+j93WCvyj9W00wLUnSE5Sf1OuF1d3VPNiD5M8EJckXg06Hswnu7rXh+47REt8I1UUWKsihfBSdz
s5vAxfpdna7tdW9bCHWX0nIedLeiYq4m0V+xJsyXUnqYNMIObCjuuRuvVDSecZiCYX4WiFZeLcaL
5JzI9sQtdmS0LWPHuM97N39aKxm9Cxs50FYCVMQIORkX4cltfj1aRZNjMw9PS19xPRVAlXdhKnR5
8WiNFRiF6QP4RjR7rPu5nuOeNAsGORaW4d2FvDNTYjYWKlcj61SegBv09UUgmgzXf20ZH1XW++0B
yLR0D9lgdKdrRpe0BRZkPgnaVvSkkdZcjXPl1bsQqTC7e9SqKzsToNM4d5pib8/leJ0GqRywZTk4
kueB4iou06yJ9jYTEs0dMFF/qwYsJXuHnsiJK8OqZTLqBhWD2zn87yB/IUEj7VhWcSE76pQKgC49
AEKIi4kJj92xr1DxJJPPjQYSX9PmEs5redaEfmu0nnr9dBSGk9jtt+lCnpzS+qKfQ3/e1t564Sun
e/fmwvhepXZ2nyFN8bEuT9Fr1+Dditkjl4+axnBMwGDkcwq7Wx+m1cD2ko49ecILquKYvyyOeu7X
H44aQyKchMHcJJU6BmuUlo2kx8XsHkcr4Pksdh9cCj124PEzmwkcwOShAlWqPHdmiR1aFjI9Mz0t
nT0wwHDTUM6+T1ndWYhp+vquV0K+RHou37NhjqrE1EGt4xlZ8Yucsgl+ulDNw5g3ywf5I911ORUp
Y44xftyrIKrOUGONPyhfU56fNak3TmV103b+rHa6tQIkdaorHwuvsD5tcLO7qJXrcTJqAi0Kadgv
2jRqxIhWA7zQCrDVJad5cfsB+aTbZ9GrFDr7vgTC+4FhG+JiHvvmtVvRg8FhLdHF4PjUVyly4Ao3
twqfa1bKtzkYiQduc/RWiPom/BrNIFaIJNMGFiNEILxANVvTvOOCl0nUGhhqUId1rz5acxI9K+A6
Ep7H7j4z5ulY5/NcgVbN4bXCVTHG6JRRFbrrGt0tDZTWZrhYTi22/Ax5XjV9Z08zYRjmTdrUsHFn
O2Ml8mY3O1jT96UrEJ5222qxKx3msWSWRLUPaoWqtg8VoBiM4vDR2b16cY2yb5hu3aZ4pXKJdtG1
B+N7OtfTm9/65j0qqpBpycMG2BUU+Q9LWaG56tcSPDqCkzmuawpTlokWOMnJeiPdpcPsL3vPGzS6
1i5H2JymOOiOnbe621SuJQN4slTV7BujGqLjUCqHglmWTh6vwTYlQWEVZK9vXfxdSGrCOqY+Nu7T
PoXNsL5wFOWkj+RkGQLHRr4wjKpplm00d5g5+2yQi/ttFmkDrR2tvgfsLCbKS9jL777l9hY6Uw22
EX4RIxoflc04xobDHaVy+4Egzo/26US9m8AFuJSsS8TJYvhO+WNgldQ4BmYOH3Tt5stsTHSAzAHr
QbAMKE08SQG0RmfyoUR9z84Tz7m7tqrCe1YhwurdOKrp0jAi8ZQO9kjcK+KxEGtjmD/meJnCQ7Aa
+UpAdt3WCR2Yu+4a0K2PFXzd5ZIss9x1QMrZgddlPKbMrvH2qS2mJV4JzG4BmU2bqXW0em0Szi4N
ZJeSwrirhRWCZkrh5wd3nuqFyWySxrInxJ1lxJyv7hiaJL/s8P6ZQEVVExixO7LXHHpPlDK20Urw
aPLMyBPhWXV3Aq+O48myhvBQlpATsecPM10HnDwSWZdZy5AJwDmXhjf08kREff0tmEttH4DXGRAp
Z4xnCJrZypJhXBCdCtTOKIob0lx3gbZET7J3ir63E37BMHKnFIzoMTJa0mBai+zYOi3H1Jxu+uup
9XV5sgkOUB63rdUl2ql9DEShCOEcmooWodQLB7q5emS3dWsajYnHyeLEoNlNc0Ix098bftVWZynT
7ggcFB2omVtZ0LACl+eY6MzzLqO1dsIEmNm4nXGEkWilxpJISR/6+tu4tAthdBmiWg7cKHqHoe70
ToI86tgy7S49dHQbxJN4fr+gYrVkcRTuoB8kIhnjpPPJ5oVu6237zM7BxR7MSA5YONDfythfhKCA
ZTqFihdhFX3C+5JH8dovoUyCWbnMgkP/yakq8SucSMHSOihfFwY3NywpOx3B+nWdnBFDvbCEkdAS
SgySXgo6oEatrR3i7jEEHO1FCtfVYwHqYRNQMcigzE/tIM8Q4nMwE5uFzLI8riHc2De7ToviyPlf
ZLzfqIQwdNnLcNqZAtKnTzE3xQNRFbTm89zkh9AqeMy2hx/9mjJ7AtP3I2m/p07QdYcO4LlmKpHL
fA/TyIS8nIG2QbFFvRKg5aGsPXZ4yKw9F1i1h0plytmvXk2jP4zeoDBg9CS1ZDSIn6U5rdZJsB3v
xHAhFT0D1KX2GdYWNnukVxeXRlAMazKvEqfXsBCLBfS7uGOCAQVVr7EudnFwp20IKAKaurvpNdEf
SSWq1Dt0YRlYiRFhQThxzTQNiJxpKAbxREgVHrQz9tPpNLcByqpuMfUlqSZjfW6xR4ibCAq5uE8D
iU5qKFI9PWsvYz3GBUEuwa1eaTYvIvgIBAlT1c8HvbDF44hTJQziUordZHeed2B+WQoZ0Gk0KdTS
I7D3OspmOUhaXEWbDnKyZ0Fha5xLvj9WALjpC+I+kInW0lnbPfMUs3AbmsjYFlnjDjzaJZLlPVmc
XRmTo5xLxgAWVr/3fdDr16prjacQTxO6hbZfwwTMD7HUwi1m0B15VcOFcvpl4EQtFuMEQtRZ9qsc
kRP7Tk2XGYJjg0Z1urF2NuFxeMGxllh7t7RCFC2Y4PI9HkZS+n05+wyzq+qxP+WAH1lpnoLPkA5E
4u0YNJZkb1+7+iSoHIm+hhAi4GGrYKCBtaJu3rUOt/LEiWbnwgjncUmIHsMN1GFghCu1HXVb+qL8
MTWZZ8QdwyUZ2TUqSl/Vr7CK7QjmkPid6C9DH1OJOWc1sYmwTC/hYG0+nF6HJzZvFJEpalVtQh4C
PqC28SgJ85a1PjXucldYZoo2ZS1nN1lsAUHur2F378PMYxebLGL7gR+bZV8CCBZ7Bf8W7orWCtu9
W6ziGnhgIO5GzP4p0BsBqUtbYq1Z+rJ+Due5TWNjiobLYm3r5WDQ6D4VKoweI90sXbyiiCakfmyD
F6twq9fF2oh1WYb4d1IDzo1dotBnlouZNa5s7jO7JRgix3lNLzvnm+TZxRPc4QKOohfoP+wQK1GT
BX1gKzhKSr/HGhG0/TsvP8Nzo0DJ5Uzr3lq+kzcV1adLlM2P41jrYmP9FF1jFmLQY4zCNLagYVk1
lkzXMBvVcH+RrlyK3wWNaEd6CqnWpHN28LPlmZ/4mDfFHBudT992ko7WrI4Dq2S6BN0qM6ZYQVRW
18ryW+eyN6yIwAFm9bpVd6iimrGSpj96YLWGl/XdnVlFDGT0AJT8vZeW1fRG8K1tDRxnXpupJFem
QeHOmFbaSCJTzebe+iK9Q2f2x0RiES0SfAxN0R3aRZmw8L074hhGEGV3rnFw0aEhfNA56bJaFcbI
CRAJ/ygCJ2XE8Je8gF5Qr3u3ooFDrz2Cip+4DXO5FMNNg9X6ocUS6VvxpXBw89Rzedh+Ftw2lbnM
H712UypUhUIToQW2G/TWAAObBAPjiMfJQ4Ocs11UzDke3/IIpfs3s1N0dsoJTG3FQWuZKMWp2glN
jKfJtiusLbJe5GtaqiV9GWxsy/dVyug6fE8mMnRMAq0PMBY3LSLRJQ4adLNPFNR5f+9luK9Qjtkh
PGlhTORGsXnP/l3wpRpi9EjRCfxwJIOCYbq6vMpYGu0tBxKMc1wjVeoSjslh765CQqRlCDlyay5P
dOi0A07eMbg0N1WUXQY26KXhrkdaf+kn8ktHxYOrT9MvddX4pbQa8lmv8IC5+DCXVH50myhr+NJn
4bZEq+VIF91M8aXhmmgWu5PsS9sVWc1qnLpVgU5JGUNwEaDus85EF82knnUhCrHpSy2GaBHlWOhg
yEf4sinKLPpwdjGjW+7IZ0JzNn3pzxxywlSM8hhdmiWrkKpI4gtNwihCldUvVm/v8I6JHnjIlE+R
hcvMKIXHZJOlMnCGt+StlVYHc7iAMK073MEQYs3c5tfa5jft0skYvgETZcwTkGSKUSgNxR5Ac/au
G7u1SQAbBlg1BX9PIkc+ifc2bObHnnRyIylE2DEEwMgZxmZMPYZCRZDBpwUKylcIcqPiAXlbljAa
QzuBvcjwpbShfpPO4LKd2w6eozAdLGtfLpN6ahsiK2JCKezbchpmnVjDYpHU7WaHIhDVbdXMOeHW
IeoxjFzyIWzLst6NqxfoZBiwvAGkb9yKpcmxSMwuzA7obohhYjXTjc+OJaE4uzV4aWfEkjExUupD
B6M/JOh+q5slMIdsH8IkXmXaXLsj9pLpNsXj08PXZvqWhKyqTWjy8o+BEvEWOIS7owc13Q3RMgIG
GgpGVRu9d20UzKfn4uaUXbfkTd5RPZTw+QqDTOw3BcMchNFO32vPZCqI7tz1WwSVXWO1WSkwjS6l
El01IVrxlAP9JbVbmNUepx1wR4Xi9Qdy/wnRgtnVny3CmQ/tZEWSAhIl6ACIvTJSj+O7UHVKjw4Q
zVFWLI0R13VYPbtUw0si2wy0fzKW6T6FeslPI2FkOJjrYg4T29qGB7hGMH2bmS3FYMHSLT/oowqP
u9uGFzX6B2OPNgwBuQ59e6eazphP7cIlXUREovj0GtNH5Tg00DUeeYngI05JnVxOlrnCxZoBe4qo
3DIpXF+6ewOUxNoTP2HkZ2rMWkrkYfP2VpGgwUTmRuvK3mjGqzSs+ywT2mSQQmFiD6wxYMYR2xLh
RUZGpQ8X1lQbQgMd5KPo6nAHGgAfNL3+HcJcDF1DGq2HenXyG4zeklVUrviKBUjTe8XmDhwyhQP2
uVbTjgNjuOaZ6jr5Fs1yfrB4k1z0VFZ/2Y21zVRClGY3Ys2KAly8XchT6QdYr1HY6b3C1YigPnMs
cuIQpqJ6iiBBLikJw5sOdYCb4JDmJ9OhR+acgfsGRyxcvpmMQuZPW6iDQUyn4x+RxkzdISQOE4ms
LSVQjo9zczfocmSkkzmiqEDSepZmlMj73kVbn5hpB9+tZni5mIFGFkGIOF9JfZKOKp/7tR0+S6lR
Vpm10O+Bu9bVrT/0Q5TY5gYAA8NABDEFfbwdmO9qnPtB41wOkTcHsXSH8smvhXkz0X8NJ27nquKi
5/ouUKVEQTyN6froQjt1iEZwy4D3NN2n27VboM5kU2X0hkk6iBNY+a2u+/YH8TLIlHC+9o8yQucd
m51o374o6f8j5//Hw+nx78n53Y/u4x+PH+r942cafvuZPxLTbPs3UuyI0yEU2fJRm+EU+J2HN2zo
dh8fQrj5zGx7G0vxBw9vBVD00NKkX7kW5PVG0f/ha7Hc3wh4sjepP+B5YHrWf0PDu/yin0h4j58P
A6RPXEAQBR72vz+7IbIaGs0DqwNcM7xTZNv8awqk/gzG4Z7panVe8Ppm9g5hvb3vcskWGGFpODQZ
bpbWKs/ydPTlnoBS2ORS9DaUvCmu/G5wf7hha5+PoB0dAsqJOClywySprs0SPqWRZVyVzMigtVva
+jtjxMYLA0kJLy5vAa2fc1RWZHwfJTGTu7JdTnJowdfSdI0fbr2Q6dNZE7GdFbyVvzoIyPTCaA8S
I+CKioefHuq/MI38EuDKfQqJ9g3Z7vAZgV85v7hGWro/WTXOp0dI2oNjQp4S9jVPJx5e1p2bCegT
agDC+72GtJHcH9+8hZgVojAD5P1Gls13RlFaJnuZrR9NHwX/lvpAYIORf2tF2wnaEJP9d1CkKCEB
HykdKnf9mxmD//J7BPjaUHJsCWtbGPLPtj1H9xky3vZTdgQ21Gn6kTvVciI6ImeFb3hgGu276mYX
RX3m4L/M/dsISxBFUG/AAW1o4ZBZr6lI9VnqDS5KbvNCl5N9Gma5Oq8a7V47TV6eZljQ/2Y2+S+W
w+0ZYG8JIxt7sul6X2NJfhKMgLUJp4+yz6YGvG/M0L0IM4JGlkHbF1bltMl/fuZfY0z+KVDZnnm0
hamjX9+eamD94uFZJ4H7zw4+Rkc8GZX3kIvV2ntdORwHkgbP02mCaiEsGktwy9qf68N/voBfDblf
FxD4JoStS0qaHf7ysOqyn9Uwtx90o4gFILlxro/oDd/btLE/V5FKWsxen/rG4BV7iRoA1tnGDrEW
3vJjsmSu97VCKi5m+8prAjDtkcr+Rada7BFuBah5zQFkdq2N4lyHtt/swf2Nx7Yw9to3Kw8Ua8gh
YZVzyzlljEdkNdn3pmmyWyNFBBqPlK1/k71m/xKkR8oXu1LoeR7ioMijYPvzGnWdqc3yfHhztNIy
bm1/OVsom57ULIGYV5wNh9YpzM/cnG2yFEmn2PaCtL8UofDvcmIE8himgVtWoZC5HIdms8ku3fgd
Ochwmfsg/4fZC2/8sPceSfWYLvkrBc/IADS2ofa06XL1DZl8cT+H4Q3R88Hpf360f1nKRJizgoMt
QN7yyQv/81fk5WhRaHivnQzc2EsRQQrsErGVWahgQKDj//xxzr/6PD4SlSXnCct5OwZ+enVkaZL1
Rls5DtH8hAfI25MoUSXE9NflKXYJ+4eDIvqoyY1Bs4I2t0r7W5vCQlHgsB/ZQaYvgM+Mmoivxj/2
VlNlCWyKcSLwDZyiR5DOjpT1YYTZgekBxetvilDqe12PiHgkSQKAdJ55tQhzjw1slbHZBg4qFYJ/
8VI4GnQ4UmcRos9PXn/ryvO1A8qhELr857vx1/UFq+riofNxdJLo/IuVk8rfned6fZvQP+B4VFT4
3DKwOpWfd8xu7Dle/uYj/2wHZCthDghvMmc5aYImE9L+fP+h+pF2dPObKVR4GpGzlNgiyBKPTubv
dq2/nOi8NOySPOctVpU09z9/FGd1bdiqfwO6ePIVc9ThUHrxbJHKB4+Pwt0nGvtYoQzkgSBaf8HX
VH1bXH+a/+ZSfhkqs33rrxVnekQIcnr6v1wKsE8QorB4bXGkP1fLWqN+Qzx0bZcKBcfMcEW9Q38c
PJTphFafECjjKW/66ckufQZcikleGXXpm7vFiNI7/E8/6GOJRCdWiK1nQEHSwD3iIFob2ewpWwZo
MhTRfFaNvOw/rxr3r++QY+EzRsgYOeR7fh2tP71DCM9CCeb4Q6BmYloquOC72at1p3jJr/QyINBu
wob6htQia9/x3nyQSkS0HVKUMKE9RkiMcYsUChiGy7Wdh71VbL4kj2/xA4fs8rn4mv3ANlbEQeik
79weELTKFvdpnR39KNvUvmIX1miJrGOVyuIGq0ULSbMQABQXLcKfmK6bNlClbXO0l3F5rsSowHkX
8WB2g3fuk2t1TrcwXlgCPJn2vpwjFH8lHWlGouoN0U20l2NYGKcYIgz5N7fR/uv6xL8fBGQHEzj7
13BJsnP6qc/sHwrS5dlFg9zsLLymPQEPNQafvsGGmFjRXJ9Dj86nAfr5XbWW4qxE014mrWmXt7Cw
MnFT1OUz+fJ3WW6DrmScip/g30yuUnVV76IZk0hsDH1787US/q/X+Z9NJPzve52kLF4ZnFH83Ols
P/F7p+OiD0YyDGL5uxN/K5F/b3Rc67eAZOitfKN4YygSS+J/Gx37N2J4HAeQ0rdNKms2xv9tdMzf
GHZL1cVIQmxC7Gn/VaPDrvfPWi5w6L0iixgBj99EDf+V3PzTy4tGIBsBde1YWlN2JANkSMqgjk5+
uh//ok3gK/71UxiLwInOqR7+uvfKsgDLW/iUsHKXiyzr80dhqb8bX0Wp8MvnuHyfLfKA+4M5DcX2
n/d4ofPCsScmBVTjgAuNhJ3FSuBNw+sQ9Wl/slQBpssqJKRvZgLWLusGXHyRSwZdF/mQ84Mem/uG
fB9/X9Nitt800fnOmSQwj5Cs/8feme3GjWVd+lUSdc8EycMR6O6LGBUaQrOd9g1hyzLneebT93dk
VaWCilS0f6DvCoUqlFMpcz7D3mt9y68Ge4PpVtBcR1Yp64GUdhYVdXgQe6be7mgbeSHChAGlJ5R2
GFV+o40tOgR6b5xKVxf4NFvPvAvRb5YX0L2EtxQKSG6J4MY+QLcmO1Pbzm5Wdoj2bW15g3gysDg5
Z7DDZBMRDc2CljIaDKWNo2s8FOisc+apix6I/p1ph054reaD+mnUdSqFjhXFjyBJXHVNWy/fG3rf
JBuCJVri5aJ0qLdl46Xpum9V/BU056ExVa6cB2PYDc4qmliRLPkHakHRLNCMciGJjtbZgELlU9Y3
nYNE0jOdLanAebEOE9eLti0sPUxcQGe7CwUuDU1NjFPZErWEj7+4n5pLHOwGu2GIB+nKQh2TobA1
iguwVgZerdyGmQXaBBFN1YuOgtnIPGbrFAapFWfltwjx7bea0vdj5lTFzy4Fq8RPmuSr3+nM32pr
PtFMEj8NYnCyL4rtTeRMJEOnrTUiIZwziPmVuTAj2czT8L/268bpi+is0JUqunNp6g9cWIIfzMcd
WV6oERPXItWGIl4RG9DqX5sKmdAq1wdKhqjFDfhuGpuKLS3zApAt66xoMfktvU4g/dGwqyyPvgsr
YGB/AsE8TtfY1/q/HCTb2iIw4wzHfWFF1+bEwvK/w3MzSlqKZjI8/vP4fPUN4V/z/HZ4fvmN1/HZ
/JOly388H6x+/zM+m3+qgPMh/YJ7ht0vVzav4zOY6z+hdOEDBrFCoUqY/Ox1gJY/Y3BmHa2yHuen
hKL/hiPkcHklD2zZAuwOy1cVXMs8i0IBLaiLGMRULtwA3YEmLiH0xxszFk9e46Rnb27NyaFaHs4B
/8HEgJkF4MwL7+XNhGAMIVjttnAXTQ0JlcgZxi4zrJYfH2VWQ3g9jCm3esx98OxnI3WAmQFlFHka
qHSttd2VPn1I7FSqEobnSev3Z1gQMKxoo9D22oijPWfEPrEQfznK37Pfr7MgYIFqBkArJkBJD3lz
sWyc1XYokJimRZV/jxLVv53i7RQBLs7z3PxRtx3ixTypz6kHQgHRgm4TKVlVrbMqLm6ybpo+A1qg
xzXhXdxmmhb/jG29uKPKbd41XUzbMW/iy7BW2G+oeaJdaIpKDoKNUcdBF+1AL6yMnd91g2Czl7MU
DsCJryMVvBbdTfWHQ6/HWFkhdO1Fb9Wb3Nfbr0GW9V/Bc9wYbuHtkQRokm6BLM5J+wdbQVusMYKt
0s5JJ3afPaqq/44lr2OJywf4z2PJtg2z528K8Pz6W3swosjfe61ta0IODsJyKSMTLE6x5t9DiqJZ
LOxs3WJNR9fJtm1Grr/XfJYDwEyV9TVc37L+82bNR1GblQ07R/J9fmc8kZvLv9950xZk51Ip1Nlj
OFTgX9ZQb975ofSAGns0H1XsxkumXaC14DDUrccvod5Uqkd246RZvLlNR8aV2Rf/67gkrQPTZYAh
Xnb2xadQjEqUj9fghQ25sMLEGaSo06v+0grTZyPR14TEJQtXxH/9/qElsV/mUKiytjs79CilTX1Z
XXehAMcWFWWHDzbDLxWFtC6NEj3ZFSasfMNUTS1QtfB4EOJY6f7mxJnwdOc331DBEMHQE/ig5dN/
O+D0Wu1bxhhchxl7swUlMD1BBGdgzsclo8FTqCetWiVWpn3v0Zog/0xLSDeai/oN1b8TXABfxCxn
WaitTzyhIy+GAdGB91WYptzLH55bBpjEGiaXfJhW6zFMscIErlClj+OA5QpP4FSwYNXLvDgxDMu/
ePZGGozBVNowP9J+k3WpN2+kOTqSiuNfq7wD33Ozzb8PuWutwEwwFWip9pnB1L5R3DKnQRCdiu2U
D//d0W22QVyxZDzO5oBUNWrLrN19BDDmU2gNzXfmyABlv+7/1i7o5QugouE4tK8sWS+RD+DNdVpO
QOnUV/ZlbiafPaqxt7gbThCvjl2NKcvDlMbph5lyh/TmGFBKcVp6Yu97BiFxhj88kp6lrhv4kI8f
v8uHe61fV0N3FXMGOGr1XYcM/YTZAD+4blkIP5S1VV7bblSeqAcfuxx6g4xWwAEsy57dsjY2Yx0L
zXUG5pVmthmkO/x4xl2UN+OJ8vqx66F1yA6JUQJK2ezTzPveY+8WXxvV1K67JoAFkvotEr7fv22u
TQoNaUK8bdbsK2vkPriJQ25WPD1EaeFf1oh5TnzK2ryYxCBvMngIwccMq33eIYkap+qmNLzWWipJ
i1BBALso7bLLNkjagwcizZp7euKmikaw0Rl5Iyd1llWBBFI6t+rkxAkdubmE8/F56SrTz0s81tvX
coJ6bqaJs6+brNrF/qRSUo+H9ce39nCl/PJGSsIbvhbdBjn40tN98+4XaSKA32h7Xe8Q8bXoUQAh
f4Ye/h3q2ome25ELApZHr4LqNe1hdTZmUbVGfWgO+96L/R3J7QCUhW+emi7k3zIbmwDT8Z6AXabj
9pIH9eaKIuhdrprokgakn6e1lSErwTzJ24VMy1DBgXm6sSadCkiJ7mH2pOOL+c+IxOXUYq3FSeQ9
lGUT3esRPUuYqOAXqDZEd2YLtu7j2y+/xfnJ2jAEXdbVtBBeCpxvTtZo9aLUdX1v6ZVyPeUdthPf
lKZsrBfp6AOd7lXz7uNjHpk6mDf+PqZ+ONw1tLooXxn7SOeclkWjELjYBe5a9Mi3AlEQFU8vx+6W
mpmMl1ZtKb9qnv8Y+nnsPSDdipo+TRwoJvKdfHPRbVG7IaPK3sZ6su6IpLkiWuZUg5eS3vtb62Bd
JcRaBflpyZ+/OUqda6WWNeoex6iRr9IG1xF4sMa6BcMM7l+f6GkAPg6+FHFifklFihANzzDw78py
MsTMCNhXqaCTvWiVFMncx0/h6Pnx5SHYsPAl0NM5PL9J06PCLY09LzPJY1VO5kETJt+xKun0U6vw
UymI59DqWuQLJvPhryEzSQUNu5D/57o3oTdoP0km6k8Mti+Lyvk7SbPHpenNWhuhwuGJdZPp9rWr
7ls0Bud2kNNrSOKuO6+72jjLMbbdt1Wdf7EQWV1UmGY/Y621fcx0CB8XCQv5tUWOw24osvg8S5Xi
4eMbd+y5ug5lXl4ch/rw7PSsgm4se4U9ZahsW2eA5qPYaa8+PsiRYZFqqMp6wCAJEMnN4T3wR5LV
AP7tscd1Mew6I3gkBwiX/OQ1xiajP39i0j42+yAM0Lki3leHaN/DIxZThwgVwdoAxfBCa2J9WceR
8bWyev2mrzL6KqTVxRa5Qb12ZYTacIbfprv3JjokJ17NI3eY71Ln26GWQX9ltrqL8ygXgNb2kNSt
9UQLVQW0fWLlIIvx85EPPAhbG1cIE4HS7HpBcAkvDup9WukmylEMEUFVV1uPdNRVUk72DithvKpy
BJd40DBJpb4nFcsjjBk6wk1AOaFSTzyFI3MHJ8V2zwSzqtLfPnwIVVPZCByrPbLOAnGs9qWY2ufe
Ub/j2Vpa07StbXFqvjp2txntBPOhS+nr5cV4M06RSGHVZl7sBQloaEsr6JwRyAJDwxGNP5b7gJet
HfXLIZk+K3LYFO2tOTbrRsu/IpxyTnz/R89HDkm8/CaLj/m4JGi0Q0jDMOWTwDIAysSMY5+46vcH
oQdjMA29LAgMducHg7OS+RURAuU+pQj8GKphDQ8SNMrHH/GRg4DQQt7GOIHiShY8384AuTYmaWn2
+7Q1qifRW8A2TRwEHx9EnunhaEkd1CGMix4KTZS5ACBTaAeZVr9v0EveFw2wZm+SUYlRZ9IR/fhY
L2uX+cEcYbuUOwzEdnPpxWipEVkf1d5Owmxc0Cf3b4PBDD+JehhkvjJUAb2IxKPqEQmGLWj4Nmp6
cI6w7VLDOlWuFLtzvWVRFMMOYKtIFj2K9Hhdi7roVydOVg4Tb0+Wey4zgUn+gwvEWc+HEZO4TImR
y6PBw0Lbt9oEMqoLLxDrIHRCLxOmS0jZqVhYYGT4XxxcWNTY6f3miyDPhM2DjCGkjoMi6PBFiMWQ
OEE57q3YnpYsTWOy0FAqf3y98xdB7lLpWJoa2bP09NXZJmV0QKeAEtz3lDmXVR/1V5Y6gH/MolPk
fjnDzW4syH72wqxqLPYGsyO1VYqRmbcA8Ep1OxHBZWLJUu3zsHcF3BpgPepo2duqD24rcCU3mdkr
z41buueFXU4PH1/2u4H85br/Pht39phD2/ctPW/2oVHXV8wp2U2p9+2NqvZXpYIjp/TH4BEr6DJp
xwlSbt5tRmfQzmzL1xO4x0o8nnjc8vo/uD9S8Pr2u4cUFwLbqfbQGFQssJr2g7ir5LanFLyAjIgZ
QDPMdYxrYqEhmjoxIMxHHXk/dDoKtKdRrFC3ODx6m4EkCc16b6ca0XFY74kzN0/J+awjlyjHG/SL
MO5RHh0exOuUskpiXoG41W71trY3QBmgVpjWGs9R/OXEM55vjeU10fVmvLZlVcGZPeNEyZD7NOW+
RjveLAbMRZcpyGLID2jPuMMN+RW6mvusFJzwjo4fYY6Aag1zITTAeSe+tBdF2/wBm1JMKZMVUAPM
Vmdw3BsTnzE7GN+9mLqU4l7YGRawy0gBJCGJe2w9dm4GWXlwrXTVhpKHpFnZTZ4W5bcTd2e+iZN3
hyUMwgMWTEgNZ8NLA4ckt0Szb7pRUVZ6HtRfMPnagLdZYEZY3tz+Ki/HulwP1IZw5udNpq0MsgXv
ZZcmhqyH7Xc5GU5nLhT8UZcEUcFwUFBqdudGWsbPJ8742PNkaGZQZDhktTMbQZg8aHXn6Z6gQX+C
X2ZYASmHk8NT69F2wzIFsb2s0ByUS7dWm5sWEMuzmHr2wzzP1DoxVxz7ZqhxcBtdVG0M1YevM7a3
wbe6Yq8p5YS/ENTOFthr2/1PXhzE7o7GxMTqY65YTvD4RXoor1tkbAEZz6NljEuXtVWMYZP8Z/Sa
ZQ7rt7NaGt9TEGPrKkDP70PPL+lZZX37u8VUXh+6aGwFdYP137uTcoi61SfHvaodKBZ+ZiS3+D+D
r+FU9PcfP/cjtxm5ikT5MXbw39lnbAeeEXuJcpWP9rAz0hTPKzmWJ2ThR4Ymio+C/iTjH5W02arL
Zm3utbpzVVStcUYcQrvKKCLfxjFgmAWG1uTs44t61yRBxY2xjvYP6zCdNevsgNnkARzqu6s61Ou/
1AqzwHLK+gy4gNMaUFKCaVA3GOM0zNAR9C/GpH78kXVeE56YeBh95uMySzO6UHSy2TjDqJzdYbZT
eO7a4kqA0CIysqdHuxZ0H/7CXOz+ZYL3fiSchB4FQORmeDKMrleXCtWm+magoCWB20ZgXkWo6SV4
0CYrbvICt92lrk+zVNfySfmsKrU9nY9lop4rrUBL77YN97atTACEMOH9Dm5XM+y1qYjvy8gsn+gS
wI6Bm5hi9JmcClzelBnpyiByr1ubqa18b7M2JoytistFwKz41NSqv8/Brj6BPMCtlBM4qRE9mNhn
w2iOYuen8VBfNRZg0k3ZmunT2IhEIcNJn1DWibS9q3HlETqKbYFI2Vb3yDyz/XaUrtL4hw0kjXC4
TlPuSmB30qBfZx2AwTDaxaRsfSkyQWwx6N4pJ7o9TiAldEJ81YSvY8pDHZOg1Zyc6zAUBIRwcD3G
cadm7fkQuS1sl0G0oMLpYSESIcIYJhJdZyo/g8aQtnULbJnr3hnzPFw1FfKfpyZWs2FZ+8wleIYN
ZhV2nmOG6dYhkiCHKZNu0w7H24KwoiBGUSM1rz5KTdiAS1DDrXNWoU0zrzwHChiYySEcNl6ruAN5
0fjMhVfzr6NabVrQ7p72M8Mg168a0Q+YFSdwZ4vG8yFGqHJ4lvDuFAcNCNe9hEMzxTYWiWtNjmF/
VSEa5QHGSW6SZMn66JGcl6RdkWsbP+idWUEz6GDHka+NwWDl9ew/FyV0FdBIjT9GC7zdlbeaXL+6
VVABwcOyEv3W6hNd2xv1YDMGeh1t+tQkRnQ91W1bnYG7n77EUQ1voNED+LBKAAl7GekNTUklaQPy
vtxQe64VKrxEdw1f81ZPpvNMzSEJ+IZXPeVWXE/7Ersj2ODJBkUW+01+3yR+Xq+Ax0QGKXqRRiRF
qJk3Y6PHd/5U8gYBrwWh2ZYFSBTPHWx3mcMI9Fc0SHmrXa+o1aWo4VguelNEA07uTIPpWQkUrkFB
gXVJMGpCBaHXRnftu15arQMov+JST9qoXRVkdH0jRa1RMSpk9n1ujcODGHUrJRYzQsRAGwzoIYqk
+EGFgsj8qMYhEXlh3d10Xt/dajntukXLAiBdh4Or/7CAN2ibqnP1dTqF3QWhacVWJDlfad/VZznB
12LnkQIsOW4w7nuEVI+WPWrA+dsqeIATr13awlBgJvtwre1ag6ieOkVr7XIlax7APYfQ1j1w+Kh/
y36BNqP51ADME0t9CNxk3U490rPJL2t/VRjkBvyaUv+rX/0X9a83E9HqW/PtNWtq/y19/t//un8e
n4LnJHmu3yoaXn7pl6LBtNBIkUFF50a3cAg4zMavGlZ+gu2Oco9svBxqpITUsFrMIiAMX/xJzDD/
0Uip/B4eLwSuMqqK3/4dTcPhftVBE8F4r1Efp8bD7lCbbSEyMBm65+oethsQB2PukLSD93bVjIN7
Yl48XHe8Hgo+MJsh2cd9KYW/KXFlRk9Ute54WMrHYGUrLoZfG2fem/t/82v9/0EYkxR5CBXZF3U0
3UYYPJt7S5bYXYiqHuyWQBtZ1QZEG9/Z/vZRMBRpKp0qU7ayZkvnVuUaPIxLuNiIeEk9oS1hnYSb
j4/yUv3/e4sjb5nc3bM+N2llsZucXYyh6mY/JRnLcnv8UbaXJVy0ISOyPGoZbuETTPZ5weyQj8ml
2XrAMdQVbWwk7dUCvzSJgzd6oV7ZU3D/8ZkdbnbkiVHloniHa4a6ji012283103AZpZdBQWuVPOW
ZZPe577ZgAYktpY3aVx5NV7pj48565X8Oij1Dnr0gux5jKyHByXmoAfODrjfxX61G3Il3zUgs5bj
YNdb00kLaH1lv3Zwve86t1OXkEP2WWANEGuyYBdYoLB803fWH5/XS6fq8Clh6BM2+1DkH3yvs6dU
9TrlaPJGlmSWjuMqd8eNUWm6QrAFKQ1LEjHGlRhqce0WRXhTR2IHaJLwFLZ7n52IRQUyyv7SgQK7
nRDUMNfb/nNuM7/CPcAYD4HKs77AUVAuHEOf7jq9G7IVoRH0ahUiCrxa0SEsilA/VWp8/8lyZTaV
DLknEeirDu94b9lNXw8kwI72RPtThMm29I1TNcLD5fLLc2UPqtOuQcAn2wCHR5liMQKhEcFSMVVs
a3g0VhM2YuZiUS4BmNgnBqL3Y55UXOvoCBCN8dRmL69hhGVhDyZfVZDYy77sEC6loKtHMiROvLPH
biDqfSlpk/WBl7LZmzEP2k6sFqUWwB6YQCmzk+fbBZl54g2Ud2j2BloGW3J0WiqPap6zqrVFE0Qq
dxBYX7YPe3W4xjgHRyt0jG1T2OpG1UKxaVuIg0ni2NdepJG3RbTIokeovw4AO+/YJlBPLBYBtNOb
IAVphPjSPCv16Ksj3JCQHaXdgEmY1rT36wuTkIF1QkTyovNL1o2JY+0c10tOjIGHzZiXl8Oy5NSE
7I8XROLo3440cD9yYo6GYEk4Q7wMYX0s9SlOMA2SRtGi31gpRnsVAws98ZYceXQ0XaXmDTeJjkf7
8MB6RR6Vj8BtGYwiOHPLHqwprLjVx4/uyEDK1CsDBA2MJOg8Do/SD3ZSZYRLQwBm1RgRTr/FmOWt
sg4IrdOPwQakYXnioMfuKR0uFdugSbF6Lo4owAR2TJHBMg2MFNRtFF8qrhPfo0zCPRBq4edWjMnG
sbNw9/HlHrmpzM0sM+ha8DmY8szefA8x38jUj2EInov8bXKHod3ZZXviezjygWNGRxAqJwoWUrMP
3GkMkiNsMEAJZkbGX304s0t1XBWRclKXOB+8WMOByKK/ASsb7ZA9f03GgEVIUxiLuNK+FmGyCtoB
spUSbXu0oQsCWe59u6k3BLqFN2NFnlOa9AtiefUtNeJkS1mJJo2esJFxsug3b/evk6N9bQJ8QGMx
e7ugR5dUdDm5qTWD236a0isPXuyJL2VmHmLkfrkHfx9m9lRzxLLW1KjGIgsIV8a1o4HJKkwQp+P0
nZibYEdKYH2p5t34UCaQsnMqBSuiWNrbkDICG2/vaUBlKBlSYle5WrtRRpBoNMrXttP7t2CBSVi3
oxR5Crn1KeHWa611nz9+Od9N5KyrWQvrcqzm00eEfPh2MjCPSVWSstg4DgDzsPwxWIn7iQ83VFeh
3X5vyARizaPHar7IbToufa2NWPZH1lpFHSRf0NH4kv2M/Qzvo+3TX0htEsJyod0nGRiVxZibWik5
XuQnAe7v26VmYD5d+F2YgAk1gOSYLbGNy5LM4xOz0axLIx8UbSkMEXLFxpg9b7iWk5f2dj3CVm01
uMshBRYuK1kPYeCes+rIV+xluiWthmrNJqe/g9QLQjaz1l4K3aY2jRMj0fuvBzE1QaMuKi2sdK44
vOM11R8XY5vNmicfPiWm+KmUIPzgI/lry0jGE4eb6StebgAlOUGllVaGxax8eLy0IYEr42Nmkz0s
sTNdxpaFv3yIFfiuabWNWVRC5PSsZeWUMYkEqUwKG058li/ewLfzNSVDZIY6/2HKx7I/e9EIDa3k
rsJZCD2l/KTGPpt4i9A2Xv1L6MrALIk5v9KTOr8geAtMpFtWyybNHWTmNeGlRaR9K/SU4aNI4/Ow
KhtgVYb70MVduWpM45nq5ImK7nxQZStKeRpXDkZEPnh39pEjwCU6z2uUhVWN1sbNlKcE/9UilgjY
j7/Do0cy8QbZKpkfCKoPH1JTlkXVlT3hIkr2M4VQuYVM1S/dQFVOHEne54PnIFsAbBcpgqPqN3R5
Jm+mo7EwRs2sZKZWqZlnX3e0icxNnvb9agjhJnx8We/edUwLLyIErJZMvXOLJUWbtnT7nJVMPelb
A5CgrIpusf05Cfa8jw/2/srAAtgaDh3aF5h0Zh+WW5QD2GkGK8+C9Qw0Oa/WGkT0hQpp+jZ2kukC
IVF0YiaYVeH5vhhhKE6wJ4ZNxLp39pIMxqSCnZZBIBmQerWF1TBc5ViBgC5cEHFxjo10GwX9Jeu6
Ex/Vu7eGzwnZrsXelKIG4tLDZ5mMJqqgnnq7CDqxFhAIl1FNOq9tQbv/zZvLoWi6m7iwuGAcJ4eH
iryiKW2dVUzigyjtKpjJwVDY66yolRXxAwNAQbIDPz7orN8p762NmAt1kKqzuCFr+vConV6RrdIS
ExqyKduWbRKtIi3zz2Gu+9scqdhEKIEdieK68Bvjsqy85lrDQbmr/PjxxLkctg5fzwXZDh4dvDio
OA/PxQm7kn5Kx3NuBpqddk1KsVu26sICELtMPLvYFl6nXhcWyXosNCmpLxr1lD7v/XzmCCT7bA/o
/vKaz+Vjam8g5U0o/Cqsrm8YSoorSy/yTcV2ayVc/0dsVt42QJ640qNBu7aoD28bSr8woRTzaUjF
9uXG/LcQ+i+ETW/ekXeF0Ie2ius/vmU//lh+C5/y+o9dnfCn+qAsKv+KV6OXrf2JcxCn52vxU276
XyFmtv4nclPmGB1dIJOg/BBejV669icdS9YwlFMtvAayZf1aF+VHMoKdF5KCFD4pRrzfsI7Kcerv
iYEqDmsjKXFgHc5MzTbi8P0elVHxgmbyN3ofN5/GFBym1uf5yiIfZVE34U8IzsUnZA3f3ty0I9XL
w0Hs9bisPFmnWUAF5h6HabSzviCzZMOdY2SpJdkYWveSaPmTfXDjyDViJ2OxKyd0tkuH18itbLuu
G/1NAnZpSdCwv6ktfToxxfJE3t1JNEqsuCz5QOeikbo2bDIJOQp7p3Td1GlPSKkWn9WRmZ33wZBe
Krm31o1tVfen5LSHk+DL3aRkYFJU5k1CxTx7iiZdelCdHHswTbG2A+OSGNOrXG3Djc42d10VRn5i
BjzyAKlTSCwEdSVZXD+8qQLycJOrCWRTWCoIBVRSr0iHX5o4cK4/fleO3FnQE+y6WNLbFqXiw0O5
blBUvaIoawXI9o3uDerKndixe0jbLpR6/GrG6oUzdclZ0linivmzYuyveys9gVwlcgXqI4dHtwjM
49imsi66HCpyYU9bdSwBFXeBc5b2ePGEPtkLhw7DJiSRYqE3nbLSQCOIKf4LKSy/pIbmiXty7PYL
jeUODnKWc/PS3qSZQZ3nQlkblAA2VgnekwmkWPhhW56aj498P0BnsAqZqLXp9c++HwlfZcsWBpvO
d/OLvPPM7wFC5a9ZV5qPoNPAY5DLVZDRsmspsJQk04iWzI6QaO3N1DXTbax52nRibTLbxL48mF86
CHpOhJnPdW8meW/kMMHk1Wl9E0IIkwcU4+jkxBO5kANLQhUeErTte6Dq5JQXFJlIHfLGvUtk0nmv
9xASrYHfIsmUEB+DnDTC3YvyUm/1zZgJ21s1qb+qK3B5oa98RwEgIJ0FNs3fIUzOIqs37z3Sn7UT
lzYXvjIqow6iI/JLL857f/jOxXYe4PXh6VaBjY2/m9oLnHNpvahzdQBclwfqz8HLydkZAdWuhNF4
w1I6gBbtkBWSrxqMV+lApsWy6Ar3c4oxCMauDxturYkxX3/8gb74Pg9nESYvDH58n7LDNrc6YRg2
x3wwvfVE+50qR9SW5G9mcJfNKr2Igly7q5OAOA0nzdqrKTKcm0hve1JyRg+rCdkO6cI2REM7edAh
xxMhgOm2T/gHje4q5XLQFQCPCIDvgbX2NyHRXreVJ+G6Sj7YF6jKzBt60MldmJhkd2cbP1SdZsUq
0tiWQa2fUx8HqGJ5SIa1ehiRdY0uhtpseoyFbTxSU3afGqNpN1pbndosvP9+ZAg0E7WkR8pR+vBp
is4kLEEQJkcWTfeYFKO6zZzSPDH/HD8KeyGEeTKJdPaVFlMQeTLdYe36Tr2iVfNMHNEptfz75QKX
Ii3rNGtR7sy1f0pehhMac2+t9WCAzGiy/6p0wT7dR3QRdvhi2kLGCFHq3X38jh05spRX0ShG4E5J
dbYpiEAAjyie3HWH3IFtyBgTRCBTiCvUAL792EtvruJkp3ooLyv8w3dbaq14vVlBQL2Y74GqwIIB
HQkMY7mKN0kMjvcJvGL9Ta8j4q3cylRWqaYqG4pcwI/VUZ3O8iGlKkgDpKgXg2MXlwHY+x9R7V2W
fVqvdHRiDQWFpHrwMGtfkE4sHiayxFJ43Flwp8RZ+mRR57gWhRvdDG3s/Vq+/6Mn7f2UKi8KypJ0
f8qX8/CVJFCsHItCddcBSS5EhjjufWGWd3XcMMDbQ7uhLbrHNBNsXWWITywdjt9SPjhcFyqpuebs
WcYT8ENDrVzKTkW7bcD6Lz2QGctMKextFJfddUJS1qIYybYlJ5sZVjPjDSRPcZPq3rguM+dTbBNe
Q5LZtKJTOCxs1c7O4O5aa7fuyyUKOX1VqMWzL/AXUvD6loRgMBodksHH7+Ws0ianIXyMQEaFkHZq
JC+Ht9IfBvIDO9tG+a3bd/T4qPEZbngBuUBrSEOpCFBH5LALG9KRErN0d0Na5TdeVfuf/genIg3y
VF/QCFKZODyVIUvoXMY530gVV0zIbfWtI9p0YZHtsnMmqMF2MAGUNPx0UdYVQdmjfamJqrk7cSJy
RJt9M3IJDCrXJKn43evl8jSTvsZk2ZXVZdbquwkf8Y7CfXjJCo0SngGZMBH+5VgrxpkoanerRXmy
KkLcUR+fy5E3HYszj4k6BuslGcv8tvIVCJ2KLgu7dVnn4tEPYufK4ku9AMNZSve7vbV97ZsbYhYn
WLU84fs6Mii/YHIg/KBcx1t3ePS89Bo7Kjn64HoeLQnX2YjUeOUr/v/YjHfPqO2q5z+uvhX1H6RU
/SAcO8/+lzzUE0F2VegHzf85/GP968904uVm+OAP64z8mfG2fa7Gu+e6TfjVX0OQ/Df/X3/4qjN6
GAt0Rk95mzXyb/M5rYM9tVTs/DN05T5P+YTZhD6/nJJEPoHG+Pcu3NQA7KFZYFqk0Ul1l7fgVZwE
Kg83KnsmangS4s2r/G/YCntw6ROXtWBwJMJi3/EfbRJkcmrbyHDZAqHNZ0/y70t/3fxy1/5xND58
SwAp0bxj26jRu6IviIDq8C2xchyo1PqIWgvG6nvYC7KzW5UEyjd35MieWw6rf3+Vr4eRhUMaPoiq
1Nlh9JAJyJuA3hEhVJMvVANZ6xsSpVW/WAf2aN9/fDya1wdHpCBrk5bO4hziHo4xGFmHF+ZBa+29
Cjov8PxIZT2Gi4KANlKzSBsJ0lGhym6rZeuXxK0UJB44NZz089CyPQqaxK3kZbDMCHm6rYwsdc4N
bTDcDTJi9FvbGDqSri8bN4shEHeN4indMgxJ7DBXoeP6Dem0RiBUuOj26CERjP2kAuRE3aHtqm0T
aqQRLsapNTRC/URr26DjCjO0+4uqi8f+SdOKrvPYUwi3J32KcrDbLTtVDJ2+SlxU5dOSiTO1xJcq
S0cyQctQZUBZDiqZRHS36sS1Sta1tl2RHOWGTuqeMUb7Q4QeOhPeX+bYN9Mnu9QgxC/JExfqGdJc
/r1lJfXIWzgWhPotmm4ikmiRwelmwdv12cgO2LSVgfBD1SNYiVyK3I4Hki3MISHhTyX2eJdMVKVW
Kt39TF8HQ2JTHcYMQKTKgnMBN+cgBvXIVAxQrq/iuMTLgscuUapbpDhqcJ62neLijeDCPeIwc1by
KT6UzwaZ8tbOj9w4XEfFpAF7Ab6i+V9r0n7qHXubUY8WdpXq+c8xaqoHDYaPviN0CaVUOUx6RSyI
CLQFBu+edNkydfQHvMDFsPAzP2vXkW2F0Y/cj6xqaamKrW6554qGktlwqk3hFW7w1MfUQp6zHLN7
uOA107ACRjArLppSaMpqoi0k6GhlRud8j9F2xRuCZBtyBdEoxZXM/LMCZcm+UEuxcvU26mY79ryL
wRi69I7AdCU/J1pCAQOZql2RaYvSh0Z2SQhf294XfqVaVyQ+ZeXdGI0cMFYI5N4nvdqLi5wlLJB7
M2SXiJdcJ559mpRCrEkGIbVzMep9Z1BAMCWOO6yRwl5YoBat68EPClrKdZoVtMOi3NWTRWiaDZHW
yGsqc9klaW6sh761imptoNxOwTyyyoTtQGyinW/AT9bTF7cTugJWITZa9S6Na4jADZvY+KpMeWw3
CMh1dw8FsaDzRJp1Cl8fdPTehM2kPRhVbbGO1Z1M2SnelJ5hw3QWplW4ywCjNrl5nQHdFhOjlyDB
gR8WXhHnQszVJEaz2JXsqP3yijSzvkWEU8E5rJbEqavJFk1EMe7K1BTWeWQ107gfAWA6i9YuLG3V
g1JriwVRTBNQzKkkvkrbhlUd2meFVljVF7es6/7W71QvESi5MfvdV/FgJMFCVUgHJVumTeKvuRml
zYXSxbHzSIajZTP6TJrXIBoUakmK02jR126XRCKk5XTXd+QkT0QM48nJu3sjNZSquEfnJkKAP2qT
o+lnMekn7S3bq2xoL9BUjZXzfQKYY047GaxePbQsPZXxvoRAh1o/FAJpRF4VFsHkbIqidWlNKk5v
RPVlvbYjiy5/bUcdMqwe6Lq1JJKkZxuVM5S61+g9QrbyIy+fi+YcX0SNO14lfSRVROFvpqpEQWeD
IVCvXTtSovMJgYmyBkzgeKvKMT3lbGiII1xVyOZG7o7aFjuLgUN7VGL6ztssIccIULHtGedxU1QX
ma/S3SQ0gUwtW9Eib5kYhj46q9GbGtoa01RkLjgEASPEXYiqHnwb0aVvENriK4Cl3YsOarafECju
VL135XepFyjs5BM7aE8s6Q6nS2YV3LX09hG2YEFjfTkrPVp62DbCAYgl8GlV6zRt8xFy9BR+/nj+
OnoctDtUqFWdRtRsk8S8rzaJ8X/ZO4/lyLEsTb9K2+yRBi2WDbiiU5PBICM2MIaCxoW8Aq/Tq1nM
U9SLzeeRVV2Z2T2VVos26xmb3ESaRVC4+8U95/znF+SbMaYg3hjaQT4zjfyZvu/3ZfmvRTKCVENv
AoD8R/AkqvF6BykuU2u0EgLzOn092uPVPAXTjV/6RJH+45f1+0n68vZBP2RkCRN8jKBl/7Eoi6jQ
W4gbqYcHLeTMfu3SLQDz7yNn3hVdQZKRb+z3Jh/+zGzj96jlzx9NT8AtAtGMj+6Pq0thGxniVXjJ
tc9J7VANHrOjgLRnT3/GtfzPfhQuAwC2cNLB0f4wC/m1FSYTRhapbPD0DosuulFOU96QrfFnirb/
+IZeXg0DD2R1OMx/BEVWY1qMEpAq+GqbsaDSA68o74I3318QfgsUOb2py5P02r8KY/8rOv/he/+8
TN+/L7T+v2/w/3v2+xej/3/Q7//l38S/fBDdX/7nz13cw/SX/9V/rYbvvxsALt/i1zVc9AtdNd0o
Rw72KPWXQezXASDkb+jtL0iyBzcCfsTfB4BfMFZibZeE6A8uLo381d8GABvfVyYKvowZIYLTCI3l
nxkBfnJ/f9ucc0ZxiAiwQqHRvyz+ft8qt76rTT+ucJX8jHZzuLL7bdaZ8r2T3VbTLeHqFvFXBIOR
F9eu+VXUMXHyDJfeWZaWbHddE3UvJH6OD0HOTJshe9o+Q9iyyJeNxQc/xK/uTyaKnw4hv/utLzyy
C/GQPxlg/gOS40PIn6JPMhhIAsyl4zyUmPHX2dLM9WPhQewqY9k/0mhCDe5AbO9hz44/2Lt7t17r
+WdvdvVHQrfqe0IBoiXDRdm51g3JydQhScxsN/QfLiZm/r6zN7Nf7CrE3CHGfDKuWuvrlAfqu13J
4Un1Wh+C1ZNfanhmtySvRXuAGT9Mp6mvb4xwDyTGN7j8b5PVZ9GGMCuNi23+QZQEgdiVCG5Q9AHb
QW74s23ZZUX19/fpAgv9ZINSQ0BN2aD8oZQAYsdtdHmf8OzGi+UOhkyVNRPNnBstJnX+3en8/98M
/4Pu8B/dDGk1/csHMh/a314FP7/m16vA83/hDiBKhD2sCyRwWa3/ehV43i/UJGQo4AMYOP4WCyCK
DCYTNq0gpiDfvzVeZR9/YfZBMY4vNZVP+p+6By6I0N9PCvDhJTDpIrSBssx3/KMVE2QxJpvNEMqF
npG0KP4NAQ9bk0w/8sEr0QSSizxFRebUzUKQXVD4uigu+YwwPbOZvrc4EPfAtuPnm/hPnaf7/8tq
CJ5WKBEuMXHc/LQ8SKX+0cn51y/me/XbU/Offv2vp+iykvv11LjRLwDhICpQC1AlIOj/ewGxfz1Q
FyT04tp76Qz+WkCSX5CKx1jCoUsPIe9H7j91an7fQwLtsJklmP3C5mAv4//RfEYXARGqw/LZ9HoI
975sQ4aueSpsb0t1A2Eg80XYD1clCFA6eWY6kz/tt9xB3TDF4P5B0eb09bIdps9iFhMRzapqiBNh
rWobZKd26Udf/98/Uj8jtf7Pbcm/9sv79HWpvv4Oifz5Rb+eG5rvvx0c6+f//80tPrR/gfPm/3ti
x0Vr/7dmI8ZlHv3C5VqAb4HkL/ynDgus49/XIwo1GwcwdswwSInGkOEP3QYryAbnpDjpmZnpXie3
OzeNA0TldOcCi0zX0fFMfilKxk4uP4Zorhb7Ices3XoMrbFuiDIV5KNNKstHuMMuq5wCbT5OAMVA
5l0bJ2s9niNDTkN+Z1fAKguTfV4GUzpjxe8dp1Zuvn6e/YBWfb9Z46rluQes6sq7IubI4S9MfgXp
Y/4KCAgBZPHvxaIdfTsg6oHpn9ilc6rJ75i+2TOuJHvYS4lhiytjco2KxXT7Wm7TsF+7YnKPA4Zi
nTj301LUhNijJSP3Ih+YHk4m8ElsSI2fJzBFyVZQ6Hx06S32TprOaQ5rEmw3bSHH5m5Y1rk6z1V7
EWZbYTWKr7PGK/WVVKL8iQ8v2QmE6eTD1cjHSzB/0N3XZg7QC5C5t/NLlbQoiUwygrlaw/CY0D29
8BP694RIiDs8CtCmTrVXdlno5qE40c6ZM1poOAw9rLHymE+L/IbyY1yuTVeGD/OWBwIawyzy+sbf
rOrYoOCQb0vSjlcQlhz07KH/3mC9QYCqCfGVNl4VZlZHoPuRPFcbnr7jfIQlNZl9hZepibKpUYU5
8WYtWaMXj/BZu1WYPMjJIulN+vMZEZV4JSbb7JbVWM0OsCi61smqL4KIaJsJPe7y3dCI/pCLObf3
DteUOdUBabRHbbF3d5+nkvNDjvNm1T9mAqBLncG2walLF1V0b7Wlvtw9VjSC0HJdX4EMrjWftIcV
zhS7Y/PFBsc5Eo3h7uyqA61qg+Jauv6YFTpMnuVqtxgYlNBC0rKvoh3x59b9qoJqN7sArbOJ4O4Q
kpWWiWoeNvZ1KrWbsvuML1x50NhB+plTlAT9+qIAb0W6hyq+gQmK1JEArTa38kMT4RChSYt6decR
c4ctNNOSkjGIj2I8qwdKAPFSwbBVH7ZJSwRBw7ToH70zDMs+8ARq+h4yE1YRQs33o/H4OPeWa0it
2nu9ynH/K2dzmkkoi/FP0F3WOt7i3DhTZ+3LrZuA4LoW94KQLsC+7hu+xXU1RVO4B+YsEB/l5Zy0
cQpMSY7wvquwvc2mSoqPocB2/b1zWu9gl6yuc2WC8rxaJdG8vaty9ztPcLcvep2fOz4666YkTWY+
+WaTPmdizuNUk0r2sYP+Vj7ostE7GLnenpF4PswEYg37cfDldwWv/jXZqu7kBgu+RStb7czNYYyk
Uor2liT49jkhfRp6y4phUJ6s5UFsNj4H6+pOBUK4bb5vSma466lEZJ25a47hSYEmUIOdREG9U4qV
5D5Z1Yp9Ro7ZT7YVtZBpX83efl23+LRhOrCXugp59lecLm79wSnsR9teVQUqQbLcVza902vr1e1w
HYsx1icArrk5kKNoNfuV+KByV27ldlJuL5xM55ab32i/am9ljBuUo7R4HWUhXhZw3lfTmGTXdBIb
ZS6JIsMxvgmJXxYlXjxGYLW870UAZR310HmT2j9uYVM8yJaU+GOxziEqnLgQlxhuhXSjtmKyBHV9
C+yBjELWyXQ7IwF+xQiC/9htLA2pQCUunpHXeRsHwkR3kV/k+LzmITYRq4xu53KOCQHr4l4cSQ5h
6lxNlGfsirFjjNcpzvq8Le5iu+naXSN89wBU3LufJ3+TyT4wozXAsefuyORsDfdSbpjQzH207a0O
aIm8GsikLCPscJdUso5u1SiDjyhf+KDcfpPzrjbGBdAf3fm2t5xEplrnOvjkTqJ+2IYiWXd5A5ky
C4R2cNVqF5mTIq5RX4dmvsHuTD8L7LEP7WxpbwfV33kqx9K/RwFP3FDejdYPIvPiZkeYUcgWHuCb
gE52XNu+dE2b74KcgTpDthwsLZWs0muBFFFs+ceZ3dSY+Saxx4cR9RqATo0B7EEpd1GPiNfr8OT2
Sh4RfgefNxERGsrPwNjGxiMGLl5Xj6cemvwOzjofn9c75S4OJClAWeNbXpJWrpygIPHEV08Y11jX
m4d57Kec++ls4dMhsPeAhMECPxePYTAYAtmgeLGnM/ajgBoTYy4X+I9JZHGTx4MpPkXoRl7GnDiB
Ku3Hdvs+z07wVnIvjSkTts3H3LZH+/IwFQ0RIIeZx5MMETIGwfYXDklaL3N9PwTtYO9zXZe3Bb7g
kgonFWt8plRE58HWewhEW2GfZoFimhF8Ij2er1zElzGcLz9i6ai+aJmLk9tMg3OapU0in/AwRiHw
lgUAaax9AOg/uk5NeUdqNbdOWhe66pIPUOv91CmRhTG1R36La9XCFqifYwJL+NWmvDsqzxbbOYoC
dR+T29fv8Hjqh4MOg5nfaOWOp9NdyjU1vU3qa156ZblzysU7QKbcDuvCFcGK1DlEnT92axbZtXAO
fuPIczzPJDNJ1wqLq2K1S5Lm3aWzCVpw7Gbc9R0FOstbEuwP1HjnQXe2xUKBYGB1T89kuP7q9khu
Fe9W0Vb0PDW5QO+AGH58LMVqBgJiugTple6JIfT6CWdImTS8Nw2FsM+qXlvtS0IwqN6PwPZztqi8
znx2PMkBbX5zZylM0udswN2HF9V3UzZhSd9fOWUNcEv7OCsytoS6skZP4Dlj+USvj4KPKWkLNoX5
EuAMTn79PJ3HME+WqyHYHMLdAu2TCblNxamIkmkgN5p04Ke16VR7Cz22eegTrj2EXP2gT9B9MeKB
BOriLz3AdQpIpyRHpvfrV5fnnCUWu8vmJW+M/cEeNn61tfaTF3vaOL1R2/ZPeGDHn5VsrU81q5bh
NpcymO5Lrip2D4tS6dDVhM8u28aeEc2IfECZ3FGMG+VF+EQ0UfXaFGXxpatyPyRbeYVBZJq88G9W
y117GMEWBBw5TQF1arRDPJIKy/vGd0rAu3XVP8UiGPVRRwVdycWq+E2oybahxdjLWEMfUn27Bxfc
9C5ePHO1WHbQ76t5u3DPCO/AHzlRA2rpZKu91KPKfR7WqCaSdS60dVC2pbsnif1Qm4ZdrNUzq0/1
basq82YIgV3SXmoYh42DCBBMj2kxnYYkfJTWqILjjC+VfmGBmg/7OdjwukSWVieH3CvC9lCrKYFq
6y1rqqwmPAFpBZhjDu67Dkmz27NAcuysWcUEkTJu4Ct7JMG1u0D1MWEuqw/+BGeKK5yITRnu4xJI
hD63jobzFGKDu2867A6vJ3v0rPHobdsWTumaqFwQee2qeccWS30wq998m6N5xhBKt9ZunmdpYQ9R
xhsmne5AC66W+Fm6i+Wce+03RJZjWiUOsq+HJoM3YHssAXNakxb3vSpN5ngi1LuIKNqJzHHcwr38
HU1GSA/Cy8ehwXGLL7JhffkQ9GWZn5dgsI+mXfKnidMTHIkRiIb3cemqDUfzFXNzVgH2+KQvHneP
rMU3LskNJaSTSTcekxCXTA8i80a2ZuYGJNnO2P/FmQxb0x0RRcJYyKeuwikMje6XvLcC54zfkddn
w9gbLJaETF6WMkmsg3R69yag5fLSrYZMnGK2L2rYkrKcobKN4QiEq4o4DSlJzaEoAr/Zs86vTka2
iT631aqOOZy1yE+jvMMEa9Rye1r0DGmgt7b4Co8kfFZp6vF2CkJ8XQ+jz43PxyGDm7ytnYBjgZjj
MMpq+FGRjYwGFNuJD+JSUdMkGYq7el296lNobQ5sdb939T4OhtJ9aIYt8g9FrMbyjGFZ/IV4KTGm
EHvzc9R2tZ+O0zIUe6oyBqe+VZefPWKmrGvKrjdQ9qdofogr2/s+MSL25E/X6+2omROuonGJ1msb
kuO7FkOJjeUUPna1ZVWHXiARTONYVbeMncTv8d3xghazy2MBrbio4DJUiX/jqrh3rg2JGN5unYX1
bXDL1TvHa2E3X3zsBeQ3u8AKOK2HyZsQLsOkeU1U2H0xtTLHcpTttcQ95By2JLgTZll8iZpgHMkx
64JXiJ2LT6qWBY002kK4yYPoHkNZRR95zfjMhAP3QQq3fDTcTbMcUx/IHWJALpYXaS9uftsGSxLt
uZWqNSssjGtvncQKzCGqdDt+VBgtVB8aIOpyF4JcNU/Q1bvp3NlhJTABKZj5sn6Lm/ZKF8q2b5Xm
POwRwhZr2uUj/V1IMXvzajEXRzyYzAe/34huGRxLEfgzxbW8c3WYf15d3uQ9rm3uUqfdupniuEGt
0zsLMbf+ruxlCF50SHDKsdu0s6uXQB4rMxZP6xbZH2EpuS+dDPHhI7p3+OiP1oYDm7t88qhP8SMZ
xNuayjhQnGmMLndrTbYZvmzxWGfxIqrpKJRTxFdF5I0WhnEDOw3X7+51WDSnaOrjYxVYcp/7Jb69
S5PfOjqv4LI0DruADodkd84D9hw9LMV0XSWgp6SFg/TSJetFehc8hFvo9Pup2rwlZRHibcexqppt
34TabtOxgT+zD+souaXXXT/RhuI3s4atONmjMTfLQheU9n0XoIkNVjc60D1XTjbGUxhl0MYvTqBc
xtahTwLRvpachf52CBxGCnTJpTkl3UZzgT6r/tDl3WwO7UD43LKqUGagdfUx72d91Vlx81XQ8+/y
vOietd3n9l2tQ0gAVQLhQznjre8sPQOE7iIGckOYcxjZXf4eOy2Ti9sX8z3BnRgNkCvcnwMCoe+U
g1XIJ+GZ4hzU8Xh2W/Lor+N4ltdrO2/fNo9lw37BWA1Te18edYKOOmtrWc9Z3IP77Lao2Z56thJS
pmWVEPKV6OW50WQ0pG491C7Z4puAXFWW87ctKKeX3ItkeJ4JbvCzobFHxfgYJS9h7hbPa+lhbd0w
vUB08W2MfaxpLY7YUZr3wDLOs6V852NlrCIrps26WN+Uy1HErqxw1y0VrS2MFIp8vd3NuucT3eLF
ZLPbYBJQLyFbkrAt6IKnUK2pO+paHq2+VPeGZdoxkVOVkIS6WAd+4BxfLaX29skGdnCzumuQZxXs
MYKzAreBaKw7J8MwmYD01anazB7m2cY1Ex3CGzGffHB2DCS6ayp6/0dnpIt9YKiO8++9rIu3QgXM
nJpTek5CXzzV+DxeLA1HQlvpA5f+XjiFKdJat9jguYttn7fOs6cjvcDwleRbP3pbLBmGu3olH/LG
KtrhMqq6tw1Tq36iogWfR6+2r2IjIcn5S9W99YmIzXlycEhyqyB5ZIE49YTFT81zvLljuG+MFgFe
4paKsq1S63Vg8pI3W4nQv8qjXrxtaJnHdJiq/KHYVh2lVYtFHsEaPsWtpOKfCAiJX9CFr2o/KzKv
r5syWuRVbyIr2tXoL96hjrG1C6386IjRu/MrJb9C5R7aowBT2hdLUhyjShavxZDbHc6AyriZ5xT6
ppCozpdJiC1r8cF47hQkMKy0L2LatRrmO1ri6EC9T5yjCIst5WItukOVd3lBZ+rr6dEeKjXutnWy
que27jk5zmKpQDHblYraPIbBCrzdL/flCpqwho1XPldOMmQOR8x7h/c6XZMmAssyqPGCOju9iZ89
m96Hp6U+ukHRXMHeyx8DK44f4K0XiOMFEbUny24avAac5EzWN0ar+L2KgzaiebG2sjvBPxlKPAcZ
eg8r8bqGuhyNn7s8bp2PSxgp93qYgYG5LC5ktcJTy9XKVdVlVXuBI7KhJhJFQyzJj9TK5LmsNwtb
s7oVuA6s7faYY3r02coD7tsL3HA75S3Df+KLdjlYS1Lzj0NLnqymrXm7VGx9oqXquys2Qv03BGvh
ru3XAc9Nd2Jat6zpXLJutkxqQCHpHBKRn8eeJWYGnOjcIiSRwX4MxKDalLDafnrBuHJY7xssLjdi
L5V+iKlK5q7eDGhY2APPqc7r77Ycg9XXurYHkw2l8ncmgpq1n4K2aurd1oUKE8qJO+oO+fbS7kZw
1NuBoKT+xSsrf4SprnEUR0w3kNActbO5LGbJnLsd3HD6PvSd/ZntV1wehsnu9KH0Z2cm9rdp3ORx
m8ksTK2c9ciDGPxl2XUmXw4FPFE3xZ82+Ggglt55+D946RRIe0iRdvQwNMzc34TdEJeZo1aylkEp
v9WgLM2O1b9UB7VuhPSKOkluaPKHU+gWvTlgsm3ueZTNC6Iy9YSVKUjAVKnSZyaPJI7gJd5CeJX6
R9PHpQ8U11RYXVqy2ENV9N90FDY3TbVebsEQ/lnmGA7IXiWQ1E/DgKgz1eBQmowmHrVdVar2DZFB
1+AHGy8PnmuWlxLKYZMlG+y+q9gzkPRGP68+dCUKlVSbVSa7aXOM3k1TF8qbquyXdJC2/bmdGxzV
lr6v15OZjVQvxonXz3KIuzclbPiupTcXZPxB/gvZGJ0tWwfgSaNaXzDO4s5cbayG9t4Yx6cq9Bsy
juG3myPXaS8e88ZK5hQv/Kh59NsE+M0qEi5vnYzxe41rMF5+MHQLboF2uHebQR27cOg/b2Nf3Fgh
RnJ1aa37ZBng7YZlAr4kQ+WlYCDBqSodXWQGLJwU6iFqvq1j5x4A08pjW4/WMfYWC9nBok+yX4Or
cHKCeykS+3MzKXnD6xru0QVYJ1luwXUtejc69qVjrcfQWMH3PhZtn7ZyMafVhMORVIfiezXH/ksz
bn15SxCQlumsTP5ad23/WPRWfcqxhGW4Tqb57OB122SFa+HNaiebD61vVtFE+14BKHitu8wXgV78
1Ws3/8vYWPOVBzx7NYYRzXZlqhoLXlN/rEZ/613IIHKpD064ic8uYDyPUSQcxG8BGVJAmsI/VzDb
a+REa6T3SV85MfFP9XxaYumMO9i4jZ25ZbJ5h8Ud3PbY+lKQDLC4s7fDG8un+Ath6O0dv0yuCbEI
X/swt/wMkwsF9IdC6WatvTH6DtDYzVRQHIMyy7VzecCQH+h54jZLS6GSo8Jp4Naz9HBXjC30FODY
Ar9kEy7gCZa3sTrww5FVizXyyK0hjkf1Sowid4hUe1iGIWxeeCrA7bHbPgizrm+5cQu8YdFhcW2V
LCKCSeGGFjjGXR/8cq13saTp09k2+B3oWltW1YN0VPQYlNSLO3/oOui9s0E0yb2Xv23BGl7YvXV8
KxFnPICw8xF4nXWaCuGPOxe+EKS/3Ec2WA318Ckq2/h9DaL2Nm9FtA8gS79hcdjM2ZbEdKgbLvYn
x+tUvcM8wO4OUl1gS3tWqj9x0Vg3poHUmzptDtljXsrmPkSv/dgi0+zP1hhjvlOFQ/zu8Xg7e9yB
cqrMYGuUrDn6T3TfOxZNGwUcvUyUyap34AQsY6jTBp4rtaX3EScLowgNnvnn+pmMqubYuXFwxjl7
ft9wqMp4Sr01LdzQincEm3unILESuYtDq7pu0ZN2O3YY8+dyiXcCf0lpUJTL2Z0cmKFLfRUnm0E8
oCZzGGLP+o53GnCK7LlIt2oClGHMXse07/DvSen3zZeYJuemsucLedsa9L0jW/9r4a7itI3W+sS9
onfKb7v8QMRDfhO4Vt3uofSN5XGuR9j5Ww9QsA+GFeP61gz106b6Gl6Pp2b3ME42MMHW6jrTsd2+
TGs+77rZS37Y9WI/FSIQr22xlYe6lsnwWi0OgQOis7pmb+sueJxjC3dKQEr7Bz7W5hbo3BNnT7r0
3WFvFs1t2PriNCZF02UMOhvGywbk7RFoRE/0EWXxEA1lM1+3Jpn1dTnLsryil1nuvcRy4w+kPnnQ
sZxhyan7iRU+XNzxj8AdXnw0FfEkT4sI1PUCv0ymRQxv6xgXss9qn1ymVK9BH+wm1i4rYxXsqeMS
87BwCeesu8ImCA62XGPvU5noMdq3budUab25EqaxY8F/b1qndnYgnsvqZUAV4TXMfvKeQfjQ46YA
mfjx+GYI/FtFj/w13+KxumsnqcSVPyAe3DEPI6jGH2/IufKa8jXxx5kFjCXXZ2+oJdTG1gp3DJRM
XZVvwcSlmPhZSLD1c0nmiLMbrcah561juQthGOyZCReCFQIwuW0XdyIAk7a8OnDhYLe5X+10aOok
DaxEVTIzLehuFpajOiqe/ucNTeGSQngDnDaSUKwswoqMk9y4XxIPTUc6lWP0xteuT2XjDVeatKQj
u6X1fXMX99VOZvMhri9rKj8fXWSYXrGsmTt4G94XUuseajpy+o+tSpR1E0d9OT4GfsHWE96xG7Ko
C8UHqxnCx3ASsj8TW0Zo1LbN0Y2Ro8/gjzJxeOyT2IK4nruzdcy7AR2JqoZo/ZSTmS4++8W8dd8h
+G2Giyhi/Pedqu4PY0M83yN6k1iRxpA4FVW/WdS3qU8G8vry1Y/JPVrrMNNs8NhmBqw6MpMn+Vdw
KuAyGhb1PixYop0Eb2eKclHd5kGzlHdGYduuKDWgUjjSUeG9uXf2sWOC9lM4j+G7uxiGs0TjWiGs
fPoiDDuU1K9hxA34sDdbfTUBkxdXzOHeGXnrWmUBcqOCTSFZ4rpZoluCifGw7MwaED2JG9M9+wbb
OXoDqMgHCk00gfKEUZvxS1a0KKAa6wvMg3w721J0x8BIHd4Vy5Cwpqzh3XZwHJdB3rpuFSZXDgjj
fIib+YKtg3u8VI3LKd0Kuf7Qg7u551n2ojzzofrXLBvwIR27yVp3SFs3f5e0Qed80KEU+qzEOF6q
shGfcjbz4KQ/AffLb7pBAnDX5aCVWtVzLzp3D6XUvOFBxmBkKm8uz4SGePJKj5VyrvCRK6/C0TIh
2zpwCo+Q9eYL4Lq1X5PB1btEDDh/hKtobrfAqzTDEQlUzbpEl0+BWX4CtL222sR5Mgh/s7gpeaox
dpUntx39/Wrb+qqi6xTpjNH5c06Qz/whiHIT79e2r6zbyXJUe+WEls4C/N72qnXsazayw6tZmoin
V0PQNzunGZ1bR03OEykojtwJxgf6YGMC/EVLPe/syVeomNEpvSwa5cAGzT8Pdi3boYZiExRvWjTj
Na04izMN/9+0tLth++LGZnu313Lj+YGx8JG6l5OAwYaiq2608O3NOdHc2ArvJB8s+q1ouxKLw9ZD
+bIxXTHZR7MwByj2a/XMpBq56RDR+p3yAkwHbXTSye3zPG9egK9R1Q3VTbHqbt3TR9RJSDZ4yRR3
061urOq9Pw3Smg+b009hcqxFmOSfoggRxC6wsBfwv+hJWF5KwwIGg0Aplo92SZ3YdsU6d8WVbkRV
RqCVy7CdsTn2Z27/wg/W61K2Syz2osAwpL8qeTLVWxNUhfsghIyqt7DKTQsJYGYE7TKejLDPxOba
FrGzTNa7ORzlcsQfsTDoqurGPm7OxcS6Z0+TfHLnNRELeQBMUdiHuvag9taazDBYqplYh4mYgvag
/HWAgkP20Pw8soBp2O827IA+OF5TwPFC9QNmfxblQIhuJoLAX8xODkoUNqqnFkn7zkV3nYzHBFC6
/OnWqE6Bsejw7vrai8SXnlNzsXzUm9hXtAgLTXHkgiVxXPxA3bQ53QILJpZljAhg2ONDh9mwfpBN
SSZ5No5tXuxKBS0n2mnc1OSaeiRCIPPTAzDbyWJ2FSm+ku3aHIuKLE1KHuC8g02EITOiBLLW2erL
prpuXKSA99wcC/00q13WgXgc1s4Ag20WKsh4G+cgLSxnFG7qKtXOA959ixLNOW/1ICykgYuMvgs/
mqIXJ65QHzPIjt1e9WFZ4GZGOGhWAWFv12O+thdVUY7hKc8f+PJHYaEq2qPfavs9y34utz6AOnKF
MMRp7gDSPH1Ilkmpq62Ml/wo2jxJvk+QdtD7w2BCX3GCaC68nW8CkwQZQXYXOpAoSsb6PcsrFZ1D
3aCwg11jgQmyJi4SGolSE8fBKNfWtXcqo6qcr3HLWdwLII25VJHCH6m+TTW7sUuz3s8zxo5x3rnB
scXROlCw+4bC2Z4Te/KCI1QadvF0SotvH0vQGI9uHIoJdvjJ6AWkLmywXTIR9bXMlhhLjGttjWW9
L7HbKKMrtheLOEVJoc1xCbFE2E9Niz/aiPkacJRYWhMf7akK8SPjblD2fJpsHqLdbI2sg9vGWOo7
Kxg85Q9evOJTy+sLpqtyg0vyqFSl7R91nFtg2zwVw5exsFis/AiqES1F6/cEBu0CmuUtIezerUSN
c8hgF1QiO6CCWpkG37C+Txq99y5WXt8cW/gl08Eqja2AhIGCWcqB66VDYdr1zmsDfuPSnUp9lrEJ
rbt6No3I9OY0yUPiJT1ltBwaKyBMZlC1eB4jpHk/rDmszKmcBlvctFVHhxrkC04Ei1uV7nsdduRc
7ELQLOe6aDAuZ5UaTNGPGZvUJuUe7Lu9C7g8I7vaXHdNx//N0Xktx41cYfiJUIUcbgeTmZNE6gal
pSQ0QiN0QHp6f+MbV3ktr8gZoPucP7ZLYx+mPuzeXZ9lOVe9l7X/1QsetONqVoTBegfu3oIlEXzQ
lF5/2RaUCO82MLIwh0Y4Uf3YANb7x2mEKDjYRFbuyen7ITugDbPlZ98yBF1C4SzOrxtHEJNuBnzz
xfE4GGKY26H5UTj42x41NjdH7qT26NdJ26Hc7jK56JuJtPP74WgrzjpuC1sv5P8IJ/WP6VZWQ38o
/FRsxww3KHkHql0drspNLL9TYqb9LwMYGt0DRDE87zJMzsB5Yey0p47lwVlOnjfoLaJ9VNdby4mV
QCTDCmYZLKqL3qe1YGLuEAPmS9kqxAQEvXTHZPMwvB0sY292BcvpzWVjPt4+h5C99jo69NK4aKnU
mO2HaaUQEp2Oj03R0jz5j/9cWbTccKbZL01goeQFaITlbOm9ej5In5yaldWnSOvLXJP0d6zAwooj
4sSmfXV7t8yl7dgSOBOdmC4b7uGJrSJo55QlpuCjeeygr7KfcdePa5bbeFr1dU7KQF410oXi5Huc
1c9LzH85J64bUI9au3qt9S4c+5QZKxMoCJ7NyIWZb6HC6rlXq6+KSzyXvTy2s9fKt6GjSOiV8wNR
xQmefZOvdSPxU1IWYTjOCRGU633ppJPL7D1Vcs09mXT2R9gap/87SeGWf+NhtPTQVG0PEzWQ1LtX
nDU+oWJmDI8AlUTFsYKl5XkrQZh+J4ok/+hI/rRsnnjI5/FjW4asPZbrHKrl1QpBTmPrzYYaV1Z/
gEfcel6zi71klZ9r1cOirn29ltt1s0MVHUOKcLx/YbIMU7dzTfoSwQTEOPDCp6SkOgmJSR3xQz7V
qyxCnTOzjkt3kclkl2NsjKu6A3DgOP2eBs8gMWOGsQXPk/UGLCDRSh36HTCImMgWKmiMe1q3lO+J
SNyU9/e7Sattmp4m2y/tt18kLIXAUFVv4rydmPuDey9tooXpBdSKUNXRKgL8qSvdeTaJnUMzlRYu
yvcazyE7XobmNRTtNvin+UbPv/lNnw5nYblJ0eIsbYsdj27nrv6Kp60YSEqtZtSaO3Qa07YcGxee
B4ezhMh/KCPPhtTijviw0cog3Hju0fV5yD6QbjVn5Ce4XCV3ePlZ+P46N4fB0K4OpT/pmGF1mpJ0
OWra2JnPENS91JMV8S6pfBeOJUZZt4yj/CA3kIZrtengj5iF+poqHb5IR2BqDYRj7u04YDAn9UJ3
eafcOnt0KPhBsCtRvltUEWaTp4Jmgu2gUhmwaksQQHOIXeVSYWWbSbwWfqC8Y1aYRv41E7DfE1ou
f/4iHMrHbG8oYSBTSCfsebtsK2J5QjJpeWi3xvMqVlo3XO+9RYWPi+yroyrGFcutcRB1Vg2COdcr
cNJqp3JAhr1QPXe6yM5FOsKhKzOKMwlQ6nFBF4a/3jMmBz4kwGpusFS09by9hnUZPgkNbQUVM9Zf
qqnjUzVhYI5IMwnBM1Vw8SLH+YpjOseIYALhIYm2/DHYLNlXsXB/M26GJyT23h2ttHPukhi+5gs3
0dH2kH5xF4VX5Ubt3tnqDV5HV8FzN8npSQjH8ak4s262cxqymgOGh8dyUd3eD7bgIVux7e4HMOhL
n07yzV0WP4+XLnn1fcrtpy3rW0J4XX9k6V4R+HFC/OjYjLEgb/YzQUac91XVnRI50Jc0phjMillf
ncwjOcwtMUKzNHWAZ44nIGWzrriXHi7VfPCHJAdwbD/ruoNWTrrlH21n8foEtUO6zKba8CyaQvzR
mhivPOIZv52Wwv9uw02tOaWF5WmMV6OO/HnEnaVIeCui6jG1Qf1LlhZli6d09IFgFl1GuMZMB5Ml
NT2muhBzcXHv07ER7pwSYYo/V5JvWIVezvk6ILYkef2kC1MqRJNK78VAprqNWp/Utps2F1g9A/hf
Wp+QAOU+Euqw0EjVFMmz8GmFpINtVu+uidDt8gOLh6ChB3SXVTyIpWolRQzgMhcPNUmeBrd0iYG2
3WHn945PD6pS2z6jI+UxNhNKiSSSJ790CV/ryCfYcan4PBrjEuxE0dU5Qp80PNPdFp+aNS1h2xLk
3AQZsVPLBKi7buHlcxE0FZv6ghw+wtiG7hbQ5KRiEX4BZTXHQNfLKUi39AhLBlhIsAU4wVxXlwVN
xhORm911zQTTej3FG/gkKlZz72+8pix38q11IO1BDNIt2idj1N6ZtWLbJW1pJwQrYz5D7gJUConG
K26sZatpIGeF2haEBKnTbcfCBzfClOTrA0xh1D2CSAZ3s08nc96sY7p3/CElSNenQAA1YXCpgkaf
J7dRAubCLy4FZ8/FGjWcceiZixhBJdtO2jtM3+oT8Wz3VlmW03QLg/1kQIXZGVJxrmgJfhoJzb8v
yAV5cLdiRvaVZc2jN81g0G4cJ6+UfSApCyJCh/qpd65FsoT/uSA8REJkcTKEl9UnqOQYIHD46Aun
fXdJxPogLj+7+ovyD5QCQox661aemVphNYpJROLe2PRH0s4MmRuBGqXxtvsB6OTezrXuoW88736u
xPBQIWf5TEcylQ9KNsGBaJMUaw4Gh/QcmoywCdFGzRX7AG+hZ6V8Uq1BUJRyyQjihaKdXDxxr5Cz
VEfTYtdeptTaa4jiJWfwq7pdqhbz2MDofXYBYv4lifozi3F3VOvWQ6Bm/ujnk+m+eJ6bu6rQ5ZqT
fhcelJM1DwOJxs4O+iB+JKedQbWG5+SWgJM6UzvO6xZ3pngHit7uLRv6p6Fr8QqrrQ49YtJyF/Sg
g6WPmlgU7fScDem2pzslyjUw7TEK6uQxZES9z9rN7MOt3eqc4rvCPOvZjAoLwVi/9Uk6Pyd8Dzm3
tl8ePc6cvyta1uHgb+xWI1K538xf2Xru/M7d02TnvHYYO85YdVludzLWdb6NS/Wz5p79qlpqZ7lv
nIG5yYVtw8w1s1S38VLtp9lMUPlx9D2oongTgyLtZGFwAWnRY+afA1iPNl8HPS23eMOw2ydwW88s
TjP7QCQ/NFrhu2AIsneb+ia6aLCsk022uX/akLnQIpmFy0dJROpjic0FgmLIXmip0Rd3UfOlh0gY
yAkjAei4Fm54KsGb/yLAjKLnZdHmDQRSOwQajjbbW2bXmXe0BL7c1josidRpp70aZfc38raJ7qfI
uXL/1+pd1TLI9lPljv2l1gh1D0MypO8JOkwqEdqFiEzqEAR/6xT5JEe6Y/zY0ssQoNvy9H9TmHkf
N0VEijFmE5e+uPX8lUTTndwxE+up9At3+5RmSGowyYX//5kPnmgO8LPQ/ikXQfOHaCt4QJh91D7u
QrqXU9NXcjErWukDQf6tnuE7+pBhUGS67p4ovppmAMqsbl4KF+7htuF7RZzsIruyRhZumRGxkk4z
2XtVIhEaFKul5MB30KtoxN1ttXfDARPljhbC0vpUWSJ/Z2JcDJgZGSXVfcoPhxQBnnCGMOZP/0RI
LplWGjvaOyawrNgNNg6eo6Ww/YtDfL17dJJUpRdCdUXIAslZeOUWpFwhsihACgJwXBI204zpyZkX
9Mu2BNl2yki1P4TjFQJhHfL5o+HQ2YissWSWEtOk0SJmmf4Kq4RFMSUB5OjU1WD+TCyFeZt1o7ly
djm/XUaNcb/icL6ju4HhRyP85OUaOUR2ZOY1FhFnuSbHsA4TcS6WebsC9lcvpbwZRjayTEJqO8Zx
/JmKCkUDfeGZzIVyfMBRJ4WQ5Z5iBE4Aaas7iz6z3hV1eFMeLn4xjndVOevkXRDCk54if8vGf3Ka
GgfpAJ8/s+rIsX/OjB6TX2C18xEwA9GrTJJMcJUMbfNDU2q5nLIZlnZvyi46lmh8x288NYPhtl5j
73VQgIT3kC+2A2VYdOLt5dIn/YX0HkxNB9ca/LR5tGJxvYBCqneWUl9g+mi6K9GRjUCb7nr6WSzd
LZl1KOYeSdXI/f/D1DIJ9sOKU+E78hRwJZZ5vpANBn0FQStDQ2qOX2VnZhCHdJxJc0Lt3bmvQIoT
vyDcxUnAIzv8FQV+t+FAJOxcPMGOOsfIqOZbBWWLXN115e9yIw8FZgwMhbynqFD4qLrXZKJ0dTV1
G+dz0+nsLDxSgKx1m+UeHzyHD29qWx0wm+n5mwjOpaXnu5B3wxLWyUuB/OYvAuS5vsRGjguMHRf0
zR6H+aIvy2+pQ80vh7v9kd6q+Iwjvf5bO3q+Qq7F8dlk7nqP+vevq5OUg6pOqqD72haFhw74KyK2
mvo47psy3BJ+5gTWi4NvdIT7iMSKVgfBB1h+j1sY6ZN1Eh3Y/VzDzKIiXKU+B6so4jYf+8hBf85K
l7lnG7LK5jHeBvdIN2LhIIPx6SfNcixUSLOaNGur526Gbz7JbDPy0zHDCgs3qmxrjtOSVOuvitKs
ZNcwtg+5lP6EW8sfyWUhLdf83RLSgXa+7MIF19+MIAfsfEOwI1YKgycCgvcxQT+abY84gO/Bpbn4
Dl10gr+DqLDI+cDrkfmSYWaesj8D5OP2MDQGuY+aKzQsKxKw5kF0our27lQ2NZDlZnRPSBcozAG3
OY2mTknmFzw0yvvlXCmZZSZfddT9N24GMO86L2gyi/0c+1JfI5J9ii3Xtdsn1OyQFh3K6I3AYgJF
7uLEUaAojF128/fk406o60E1u+VRaNxafQ5BGI4JEh4Thhh4wME7m1O5g82kImxpH1fb+jPWetBv
gS3b+kD4hMdjzPQSVwO8x6TaS9OY8Hvjk2r5q1wihg7RmDrqq1PIDnbRBkWvkPwHiJpUkq4Il4gq
HdRRz0NnaFNzJBFGjgzX7snrw5m/1vpR7T0YOyzOi9uLOg4/AKvq+OCmSmSnKgRcZ0MKjUIdvUa9
Gmmnw1B2X6JSJqSpxUEq/5lGeP63lwl4zEM3Ivh1ydDdB+jZX8ZWlsGVxdeLSNYE2Hnx9YAetfcD
d75bKj6eNwUYvhxClK92V5A4c4kaJFA7t7/hU+NMQzaJC0jFceFJCMt26C9EaCR3nEllnk5wU1d0
+qgIh3L6bmAV9w1apGDvMzDhaZrrK+3is3tUWRcegzHx7m9dzNNvNRjOoIMO6Dg8RsLOXnZcwlBz
ieJKi27AxyrmyzCIyMl9fr4GX4QT/9nqHjvOFqn6V+IYc5rmba1OJOsm5FHEABk8pCvceqsIhr7J
J2gMLtd02lX1bI9Da9QC2sMXcIhCax5Ui+2RQ6HvXpDAFld/iPq3FWlswTaplkeigcZPQ23xsu/9
PtxNtsTJC1E7zE+Bo1DJrir2kD+hgLUX9BbbXRMEmErQ4rZUuFmuSSBiEAJK8WTW16fRVYp/1Gzm
olpRPzWUTu8Ds/jVM+h+3N+FfTHx5Ltz9UKkqiDnC1/5gz+iSWGJhjYNoESnHPBPu0+dhUi9UZ8o
1hu24NfBm1LMrrecvA1Nnr8rCZvveLHJxboEoqc/S2KMGY9dDD+fJwVhWwPNJT8Dr76VCtmUVmzR
wKS1iM2dx3hr9am1qNgOYVX0BMovKOCRwGRtXqVgLTud6nI4dqEnCKzWJIrkWN30hlyhgYrCSLTw
6zK7ZV+LcIb3RMi0zC3uHM7BsdDbRQbR5J24TObfa4/XAA8OKp2hncSHn61un7v0x6Aqw4Ok7iYU
XBhBt2w/NlM17Yd2CS+AvQG1eHrt8sAR0G01NPiPmCi1FHOxXf+KCMfu3Ugs4asUc6QvSbRN70Qz
J4Asjq1P0VCI/ki2PdFwMjHhmbpxf2F99mT4pEFSnrumGq9jOI/R45gYda1bnIKRYKo2Ui0Xd2uz
y2x0fIniNvomW2cGnxDA4/RuD89sx3xdeVWQsHuIcXZ8J7aszxI35plXRRzYVmYGMA3odq1WdruL
hy0Eo2ajtuxhUIgEz6ODIuboEkuOIU848KQOylbkMsUMsS4zEZ2SUagDKS+Rz6U5jX9NubDassPH
IH/bvO29sRruanB53maqyb4yAW3z5km0Tvti0gAeIZY2/BsC2ph72mdp6MxpMAmxjZRTQ/WacmBq
mhq/PvgREgLQAoroe0v0MGVhtfOmshpUJxgL8C+Z0D0vBzkyuftu9tTPumC8xmi5I/0tflm9Ghvf
QqTPoSVbjbxx69jnwqnr49Y48rpOhTrM4YTuyBKwKjE/5g5xDZg8JmUe17bB18JrN7Jxkty496Za
7aORwQO+OBmPa+TLp5FnLg8AOPep71bNVbV+sffQ9Tro/B20mzGguYAwNsGH5WDSIKm0EonUQd5U
VVN8o99LCwIcUFqfA/T07kWlpnb2sTNmyApsMZw26K+rgzTnFqeOAfiIGgaB85bUvL6kDfe5xJKI
dan2EQUK18An+zaO1nOFQBy/9WxTpgw/zPYeDMLZuLN3bIIGnEx4hfMHozgp020sfkUKTe5uK9zg
4luNIKbTSZ/sfNBEMJag+BXiK/oRNtI6uUI1dcVh1h9FZMeDG3ZZ/WUIu36L/KjaUAjAUvwYHW+5
6DH0gmMHW8RmWPnED/N0EAsQVaL941gbP490t7dniQXYzbuARkN/aOZvOeIbDDE9vnTr0OwlauYu
F3pB1zA4VPGMMLSXETL3uW5W9WxM0BavFazo02DhX5AzxOxSDYIjgPwuEDt/0mV06Fj/+l3lIZ/V
bs8COJOG+h2T6ln87rq+oD3Q5S3r6B8IWELKGDM2ENfZ1KjW5M4gO32ysjc1pnekEM66QBlyGtTv
YnS7+mwLN6YzMDAMP9bfQyYvwGWIo2s3Kd7CyGMBNlizEILJpfo3K23cnSPA+nckMnOoYl5x9qnF
ZCjGYHWPlP6ubys10PUOQM2lv0SlJcdmTx+zwmjxnTobdjB3SvPRG/WTW3tVfCh7jo18rJ0OFISR
4wGH8UCSN0TL48Ls8mMeydrZxSYSfEAFhcdpC8LlU/xMIDUp/nPcTK8svSJ9SIwpL7JXwX3qq6W+
ZngpsiNhizhF4mnAneSG0h9/QpPUDKiwdOqyBGrpjhiHJDJe6NW03iNbRayAI8B9IF62G88oD+xv
dATtnU7W6OYHmSzebvL1934x9RO9GlUCTlCHj2g92nInwhE0rVx6fSaJq/vdB7Khr5FS3Qv/c/AY
9B2aWb5Fx78mANDew4Bd7XHOPHF1Ai3PjkmGT3bXztyvY7asl3mYIhDugVsUN0lCEuluTsYSlJx8
h6u5LauyH/F69dqd6oteZgPy7Db/Kt2xXQxLpP6RFlSEO5QyI6ZXIga5nxwaTq90btT9+5wYl0Eh
zMo+PsihIP6OF7i7Sprnupt0sj63qWqenbAPy5OUN7fl7M3YqDycdeOHFutWUedoZIy6TK5eNPzB
NDXekfCh1xwbJpJJrV2CTVskq+0BDTfTiOtPZjzhYKOOgsiBhmFQWn2Gv8vw1BAWsufWnp8YXpX6
xDOC8xyBWtBfUman9LyFU3ndVmf5FWvg4nVwJSqhrPhsVxw/LzcQef4ck3jFjQbL2+e28JuvegW/
oLCy2j48FDU80XC8qBcL9rFHX0jP3TfYGRDJxUF1VjLx02PYm+mOX5H0BTYE9Y+E5uLD3zwNnjyi
+Kvbyg8hejwyCRBhNlseNr4hNhxOpGiJFhjKW5gxIDU2RPRFU3GTq4l5++JwrOBw2MqDEmoC9yyE
O4znuVxwTJ8yMnvEPiBO9WFON5e0Cd2GgQ73o8UIcdr8Sv3nx3Z4MWgSSI0lrPyc8ijA/LeITOm2
8+LXrtVFjlHQ7k23egdnmIYD50u9X/0Ura5BSba8RxNyjGirzQktXTa+pp1bijuRCDGcAi6AGtS1
WbfLHBHhcShXPL976CX/XktYKgdvzKUPhIvhLelXQF8C9m0G/BtofjHSJexTgdTuWgKMfztEyHwq
QRABl9ZUYFROUdlIvEZHd3Jvx6Ygy4GFI+xhfCrnGOtIx+elDqcDbilOndnxlaSjesNOQgQM/hjt
Vhbdr+Wz67FLrLdU5niK+KV76IW9LW0qW5o1l1sDDBdN6uCdZ2I6oddYfyeFns9qnAgVYJwl3ya8
+aB6RA9/eRHpnIejN4+slfQS2zRsXzN0kX9mb4l4ngBad6prp9PWT+YBRQvkrp6phsYRMDxtYDCX
aPWnE7nGVGzDFwLwlT7k5YHPxXkzRMSKndhQq9YpjD/QjukPk4n5XFs2gYOLO+HTLXk3/63uoN1f
zopk0jcbQm9vrZjK8SXL/ZRM4xOmo/SiPRcQqZmow9jFpRtBdJWZRh27LWA2tEcatNxvip3mrEcx
sc2Irj5VIMKI+aMVUeiglOOc28Rjrhgj/PpHBxucIXEXTBx7dcw3G+k0YnxqqO5J+ce4W/TMx9dm
8lFNnX4o+MLv0Q1hMGsLL+K5UxiKxSoxp40lVhNaueWVdZPSdvJs/mhLgcOodBhQ6jep4jBrF5aU
wI0MF6CeEXDiNHiPZBQMP+pBhFBKaTLvGpCV9hwlA0bcRuiWcyHFKA9Z3MWKkOmALq/BCwkQYK2Z
m10CAdC+e8pEKYQq3x5UPCzDeQoSnR68pPPa3JpAZGcJlNwfWuJZkL4ksOp4Yac4Gz3k3LPAH0Sp
mwvZHLXlaXBG13vGZ2qnB4uf5EmKhr03nQH5n91Eo+BHJBmiaoBXO3lOSVcSmAJq9xT76kj+h1ny
uq63p3KZNf+KGCMPhuqfC2TZO3MmYsYwFLG8Q9Zc0Rlp1waB3mz9+iQHk6bHPo0cfV95FBvdq41K
KNhKH9F9YfrxHAHe/ESsWv9asmai7sJPEcdyFw0fis7wvcvdXaHjQ5enTzMthSQfeNEJjyzgYwRD
ivd1WBAm+vVdY4vmqyK190+QhvFLW1Jg9bB5cq7u2AcQMnK7L3IvwBIAXsGeHzuyZr7ToK2eNF/n
CxJ2gtebpK1TODF/Wac8tpSpX4h+8YOXBC0ypZW+UeQzgIkbUmYwMeTxjOYF8qKFFnLZyMbdxOjt
JzvohgmFYclouqjCYVjPlmPBv/BvK8mvgTV3svKQ0HvFLqA8rIy1MNQsrBUTH64XJCY/kgW5+ikt
ELwcCBXOLqut01MQiuGpJ4iRENyacJE9P43BUoQ476K7eVX5TDj8T0pmhn9xOi79vl1jrMxdzIS2
Sxq7PpU9ooJ8cTfiEnoUUPdJDOz0uJTbzKcTkE6+T3oFo5yKBCCb7qmhfthSYpKdZGiTB2cLULJE
PLTJyZmFvvqbsx761YuvbZAW36R5TrdTONbJXdQjWXsg80pu+9V1x2SPfLftr6I17lNbdWoPZVm8
9P2i3xskxXoXFUi+7nrmi5TEpC2EomuQ+sWbwi+VZ9KxBJM3EtysBNOef1nLB9TejJwFEvdodOUZ
Fn5+KuuisDiBZH9Yy2Y4R7arH/rFJ60eQtv/hKxP0VU3TA6iRpfMUEc29qvDRh/mbP1pelnraDvD
aq244MYpfFtDW2RPiCPY6IYem+9Dhv9iA+p3gr2c8CPohY633KePLLjOjhsea8dHVJU7BZWKX623
BPW76nS3wIt2BBBhx8p85uOe3xe23CNyNA9G4b3j5uFgQOLg+3eezdLHppiWva40sccKbIUfl2y8
NyT+mX1BnZ+wpHuCYyAFxYOpIP9sfMnCaBvv8Is2VLwKF3MA34pq/rmMduFHIAcnQ48XR9QLmMlN
7+a5JN+nFz2KCiz5RnPSpgUrYkUAwx8vnPQxSVs3enBGg0oFL5SO8AhYuUFj7cCIqBOhTBt6C9Y9
cMnNT+z6wIsyHqJIk1HULtm+9TPk75Vr7WlzQBR3cgxJEeqCrCmOqDWia70yj9OqF99LjB2YKtag
fMG3O6Av8BgSYvbOh7bw499zWo9dyLyAT+XZdzCVnAmMwjFA9AFG4H5nkfW3mCll304PTZJRKpDg
g1L7CZydyAdvnat7ywYhTjIwQN71BPxFdDadV6egd/AD12ZM7gk9dedf2GSi4GPEf/V7jPhBhZJd
fRwshyAmaE3C2jh7twsniQ+o3W1yBMd1t0sIXkRdm2nN1Ytd3I4zmXT3NiiRVxK0E8JzdMsa/bLL
HHvn0iQs3GidYDiEjrk36Kiz6x9qqYc3BcG1Eh81a8SEedfSDpGvXdMk/1rT9fVPCAi3PKNsqOX/
iW+0ImO8hAj1o1od0yFg222iIQz3urUyhV5PxkvIRAEjTe+T3I4KQRevfoizhUoGmd2xBG8Tv2u6
/Y5ZZe97W6mfNMTo6jmZo+QRcGhr9mpSqSKPB/ZryPFjOH/lrJSHPidRV0hMTjK4Qee+TbblgMSz
xTCaoHD2anNWuon3hAn1ZH8gYK9Rkfah/+FYifZrCmXym4CC2+I213VZf+nMWyAlaQEFQF4YqGNe
jbLo4XHIl+EI8X18zD/Q1KL8IqaLo/lI7hMq0RH4Njlk7rzZ8xL55Ei1AMs/g6YDVgFYpL0DjXCB
xElu9w3ID7FeIyqqPb98jw+3yMBlbA35rRQvH5aLV8Luq5OeSjkQwDYDSwze7PSXSfN77qKxnDJy
cLCkPtlu9c2L4yUFIsk4rlCNav5IXHk34YvRL7zKywtZTN61nmT7HM1zsu16t4i+QfjTB7TiZt8u
pKziQmGyJLoNefctykvHn/5ob4hIdeNBxYZl7QouXH0FQ0ZHBJb64HGI4MuBThbZRP9B8COSKuDW
dnUfNk+B7BNMK364/CKFJHsoG/SThw27iYtL011PS8jUcFqkU4SEtAxjdGjX2v2h0dMDKNLmOF5K
dMDmzIuWEA43iEqiTUI0Ia9bNOv7sW6nd5UiH8ZRUs7tiQycuaGLTUq1I7mpe93Yl/NoFu2jgvhe
dhn1nTlBshtxEWjTEkSDJ4NY5+Cw6v/l9ccV5Wif6cvDDUpglU2Ly7DYJT3bZoRlx/i1fQzbNC+n
mH6E8LVRNdxdiXi1zeOMDJcdaq4YOD4lRuELe/nGC6vLOHvRNShWzmI+/Ez5wRfCLlxOOMlIcY1j
UeCNFQ4AaLhoWlimVG9fiOrNb5aEZueOZiUdrlhIkEoiIMQSudpxYwF8o9ObyssbseAeDQaz+iCh
UW/JRsjJi2PguYjjaI3OXIgVgWacizM6Gg6o4WUokwrlmRvXxy7txofF4/p7wcI0+Q+Z14bXUIaS
tsEEruyC1F0Fd44Xk7d0yw3+VZNSkXr4tbsBS4ITyeEokjEVjy066fozC/r4MkYIP0mwsjohgaHy
5tfJePIj7Zn52qy0B3idZrijUn6r90lMjs1KuFTo/pxFv/xXyJ4CB9379C7M6/pKKHViIJt1/y+6
yW7zuVXKf8ZYELRHhlIHTSA1C80uFJVYD2XhDPcts8wDyQlwBlkQ6hGcEInkJZW2OCQFgBXJ+xrj
1M6ksxxOyrBMIsjfQtBaWgRfWm+7uXPXoB3QUc1LePawel4lKvs9+WVDxfKxbJepoL74WKBIRCYl
edbR6Ga2v5Tdkp2DPqueowjtEbFcXvfeI8n+zgLCtn20T/fVoNXfJWoCD63tRMZG6boPXKQT9OWY
/XSxWi47MSJH4ukK54cJ4fq1B7HMiRzRGDh7EOdnuBocgt4MJ3fNBPjk+xp2Feomn9wT+WvdHPdY
LDgiGdELl7/aJVLpIPwBeoN9CEEnQ3s/3C+lS25pNePvGcE4/EMaZ9vPtrHyD11AztXtXAiOcQwj
FGbk5O4ypySlGTV79lZBTtwP/dB8VJNFQMyHT8pZxAtB3YGr9pIspuS91g4k6DDHAX7FCCnjzX+B
cMCY5NLBRo8vI2p5dLKJav+QjYBdQoQLYGjgJreDcoUdI61u+I/qk/5lq9btP3rnwg8nc5zknqzG
znkANql4WWADA2CPLpgPkYvG5mOuwpTLCWzlFos2LXcQ98mAoYdL8SKrZLqUIIDxca3Hzdm3ODJO
XKyi5ISv7RNX8QiTXWbymLbSW3fN4NWnxLa2PtZj7d5HU8P94DAHEenIE+UQsZh1/wERkziaYbxA
CKFvGJgw+rxtGVCiO5Eegd+yvfBiGnRjwUh/e0juUZuthX8oOgRJRFcprkLyzbDKlK3p470maUPA
ywT1t+vO4oDkPrkL0AEwR4dUEsHfl/8j6byWG8e1KPpFrGIOrxIVLUe5nV5YtnuaBJgABjB8/V2q
+zo1NSNLJHDC3mujh+uGMG1rjTmOhwH8cZ4lmLpjQKlnkkwicDbAjhoMt5hqKNzYpbEmIt4m2uMW
mbeNHzO9nGZhrrLRBS42hTvnuSoGSvNsWeTeHnG5h6M9uo9gGFb34HR1X5xWB3MGHK2weFVMo0Hj
OJ0u7qk18ntTYGoBR0oRwXFPEJ+vkqR5YmW8do/wFVFeQcTr48vcRez3mqXW3rllq86zC3oRCZeV
62XnD6bVd+uy1AI9jtXgbfMSDPMZu65lm4ceTupBA77FT4WyMEU7PHhbkBkoJBM7d5t/eo2bB0J+
gi9P9vHLbPnm6FsT51JZIGR2bHduWP62rOl9hP0PRPNptUcsEz8OgdO8rYEsp50yeroyT4yKF5j3
nKnbuhG2+cxXJ2mBi8UJu4fQ0Uw2hhHLuvGZO/yLRV77Xz6txr+pWrCldnKOPqPWFbD/gzzGkt5F
rJeq0Xv2mqAL+KuneX2lTvZuNxYTmyrNw36NjhUNlvoTmqzt/lYmzsUPHYbA3tCveXmO1w7TOYsh
bt6Ifd+KULaK/VsIeAMuJKrjf2oKkrcgLwBosOnm2kdtwXPBlrU3rwwDeTN3Ay6Ih8AyTvaI5BAh
InlQC0vjRcTBexhX/jPRVGV7NLpaTp7fIIBwl/bqC4OwyvbJ7fL6CXqUTjI1bGzRLWepgvhLaQBU
vw1OjJ+m4xhlmRk23e8U1Il6yNBZeCdYhkGDsiymFyBM0WHK0aAxV1+0dXr5i4WKzB5sye5/2nGD
+im6UT5sdgEeesgmG5pDh1oIi3hMQ7khzjg+S07e+2Ba+hAOSOR+G9eERy/xEJlEqol3XhbylPej
arZ2FE0Oyg2v2wEYoAFr5wTTDBCM9SRRRc0fevRD/Qlvw5XUOUtuvnpXTxO3sgjf0RpM/QtPitO9
ARHUsCPmZBji7cwUEAN3Wz5xRgCA6aYC6UfPyF6HXb7riZS709ThAwA0ByAWdrfRP5K9XBenQrr5
PyTtUZNyUrtPFK7jOWnX6Db3ToafUtfqQ8kZ04XMc33E4TG89IACDiru1LcB+vSg0U3019jOBeoV
y03uw8GdyZ8rhM2yGT0ksCqqHvnDLH5ysv0oEapgpPXihv+MWIId21GijpsWyR+/mlcH099sFR7Q
4haZ4JgmErz2Jyc3/8uVgilj9pP5D7qgc1qonNxzR7ZSgvhptdm6TLYjyHODN/1WwvgoGb5J0BWY
TaJoy9fofFLsRZBYikpLWGJYinmiZ2ss0gik8LSXOTqVD0wMEhGgZXzzbNcdT//GxVmjLiMmQJU2
/QKTJhiK/pDIyDAwa9EMpdgPhYDW1WPE8onqcJ4CYSoK8oGJYNsFtA2rqGILjy2BRIBbe+W2J7Dy
TYD2Vc1/h4Zy/CKLmAGw6WR+mfFBfIuEXXu+y1ndoVGzXXaoHjjTGfhEBjitr9bimT4dJVTflWzD
+nl+zjzg2dMWX5N9ZIDKBqXBCvDdxl2+XkXj13Bf0XUcPM3qiR0eBw8kt8xOJ1cv+lhw6SJc5omu
h6+mbMJ7iRWlYWnYiuA/o2Vtc6FmJW0bolKemRsUUmfPmLDa6k8toDjuOqo0uV9cUs4qFz7xPs/U
IndNJ5MGBEWZ1b825j3nnRg3BwmDD6Hwz4hvoXyP0SCwFkUzmxVnmJXulaWfZNoi4DeWdpSoDYnY
1c73M/YSjiraQ+Nx2Cp6+voSTTMWa4HS9bl2evK+oskKnph+Z2JXOjBsfwe3GHlAIImGw4HSBr8J
xEWaXuOeMgobN2XthGIvnrvCSr1kxKaA2gjjJYmGGxuXJ6lfJABQVVrrcXVjy3ptBjDeh3gscnHb
2Tv5ZfUsEHtePfv6rp+Y798PPD36UPZ9Qh3oM55N81wMF57f9Q3QVl9xBynEyHpAcdKGtsNKxBH6
p5i7sdxor5GEz+Ef5LWIfc8cyJZGLLyMznQLQlswV3h06pCLmuXUzrac4ZS51S5B+M3wDFPH6RbD
UzFQHtml1C4Wyk3lZO2u89r8wlJEXutAoQiRnl+/JRUQEzqctvhmm5X/QPW0oZBMBmk2Gk5+W1gk
W1SRHpApK8gJRj+Ma1D1X6VaQnOUM91+SWCDv4vA7exzdhZ4YMlAoOALwPu93TBnktqZt3nXUeuQ
huaxC+WZat1uhyzUpHi+oJDhs4C7xIDptoyHGAnkq23WjWPCuHlkEI/BX1QN4+gY5Re6oMAmLNAh
nvDSMCsIMH7C1tx45arxOPSGiUoWLna/W13mljxX3eJkaSzXKf5UHEhgWxWzjCtEQUu8hILhxZVF
IhVB4oBnP1J1LMWflXMw37l5gTGKpulUs0+EPpOZQ1C07NJLfzkjxQf8BmX0uOD5VcQFS5YalWMi
jDO3N9m2odUfuAxFYG9y9AeawXsHkwXhyDz9xHyHy4Uh7AqyzXFwtKG2b3q2rANPw3XlsS1PA3oE
XHADbln0smH8J67E9A0fxVPvFoYKzAwNHyNnqHNuwii6SCY0/+gsM1SKXV+xjx8a701mbuYdmW7L
S0GrTH9ael3+hDjFRSmxTCyn8ym/Z17EvkzmLHYDfGAbxteE8MbG958HMh759ZwZt5HPXHzHiRV8
oJixXtrSRRnq9z6kXbAj9/MI+aQA58qOfFLtdwui665vun5P24Vbybdr92jQN7wWBWj8+xh/cwo6
wiJyOfTJdULjUj0WunNXPNj4h7elM7H6Z/dFNmSrl3bHH2iuC83tK0L40D6EWB75mqZSMRafS9D/
QVSe+0BH1r5VWfQYmiFiqbnkaBCRF7jDW5HU7e/kMIHGY9y1yPPsMLsT0QJOhfWD+8djkd6c5nqd
uhvFpxdHiAck9vVcfrjhbvOzzZDgIrq9bb3z0UaQDb+pQv3kkYDBtbvO+VhGdzG8yvU1TjrRf3Yg
Q/eNSoDSJk5b+qm7Ulc9rkx809jplg/Xxdt5W379g3GIMMnWgGmbEIlVNnbqy68X6gzVjH2wFUqW
FyjJ4fjszR4Tk5biBuRVYKOptIPuiLE2d09dR6kxxgF7c93yL24qa+m+lLXOH5aF8RyklcaNNJgD
UJEg5GnQzclYbsM4L+AjsoVbYv0QxQa9zaoree/EUGheIGG4GUqw0D1yZ6x1juAVDcuOgUP4aYO0
eMavWQI7aRNGSWvv0i8isU5r6gW4OZYYD+AK6OvBPZf/FYk1s1ImledhGpp6/tYyRmQ3h+ESQboZ
+4PvjJXZmwok8HZElO9tqXfrTx26MFZVi2N8qoLY2zCr8x+5IaJrRfeK8MQr8Hw0cfkDoFbfA/Se
e9zbvfcExVimteCc3lFJrFc/Ssp06SKrOXi4+XeNn2EqzcgUxWMCiYWDyT7YFNt/igm7+iYPjf85
LPi/aYT5mWb6+tSx6PfoHS3xZpNMcMXZoJ5ww3yjSZ1+oNkXxxnaDMP7sjpXSGWOHjBBRvC+kgyP
p+AURRGgH3GzMBNRO9hk9rJKvnN6kXi7wSLQHS1hbj/7fhx+95rDGuVP0R2ruomAX4zuu8swgSHR
qF2OhyELj6EbsNj2bxgfZAp8SkbFxb9V+OUrLtXlB8ykBd0iyDx2fJhXXBs5NZpJkTzOk91cez72
J+za7okKlVLMBxeEK80Wz5WZgm8pXYVBIDLJfWKbcLnLvSKMDhhtsa3M1hweiKEacBZ4cLIiXDkP
vtPQfFEp7PwCLf3W1uB3Ya6iHDXLeu8iuafShPjMKh2JmUmKmrWVnZNib3smTNEUife20MVbRdfP
Id+TFaaq/qqUAJtFPVO+j9HwIboq4OsqETT0vdfcO1nmf7aAXP4U3owDMhqkOIYzO/3VX/6qIp4O
Ml+DZ+J9ZHmMefF2HrfesOkCN3rUTYfsJsR0dxltGvHdNIQjzq1Qn0jq5VuN1PBB/bHsOpwxe7fN
k/kn6Go73FswV/YtzAC5ybVgPYrsG5WshUiu59ciyCQx2dGam8RNrcG+xok/Pdi3JgvdCM9vMYGh
RGCc3Lm1zF5sJgkbLqkq9dl6sdsgweTcK0+cmNLvFr+c9nURUWdhMe8kqz4Vn43RI0gT/9nMBQA4
f2nP1ijyt8WEV6xW1t6Fz3dvo3o+No0TP0WYyQ9r1S7m5BB1lHIWKfoFpNJNeguuPAt+HwhGbA+c
je9NPpuY0aHM8KvmbeEYJp/a57dl01Sw4+lE/N6yx1yPPjKNZ5/L6iiLzH5H/kB0BaJnlqoR2I+w
W8cynTw/9ukeh2+kmf1rIlukQFUo3xFiuqcmgEFcja7xUOGDhkTiXfyyKSp2gtj0jQCTuQl7Plcz
w7KSo4NumqYqbUmcBZEVTSEA3olxMIll5SPGhjE1RZy8FCybaOmNyJGFWSEbe7KvC3J6oHchqKjt
I5qs6a+Z1fztSaemnB2+0BvOO7eaZrSqdZa8WXGGWi23ntfbX4oIsl2IwuAduRFgsF3UUchiAQQ3
oF46WCJ2sXeaY0nEzhZcnXuHnIJGNI7m8bbzlPammltxjjDa8FFXaLm1QMZhu5Q6YE+3vWGi7QOm
3jgkaDyxoAIWzdxHzhRMnVt6HId5RyJCr06gD3pyXsahf0ry9ch3neyUXpEDRhbrPyy13y7SgLRz
jHWexXTGUs20UoWD/Bc7Rb+xBpfLr+dbXaErl9d1IfgxHcOJ3BOIBz1WJr2l/ay40AByfeT0u7eC
bey620qI8hCV1BM5GvGn1Qf3RaDNHbiA3D0nucOh6oCwfrBHZPwD1Kct7ngIpqhq7imWqvtgvpnP
Q6QWP5ly+L4D4rhUUsbhnqSQzoG+wRNtOdZ/UoMHc8UCaBGfwZ65i2HliBSs0l7UbAGIchHHUX0t
iQSHc1lW7ilm2vwZR7q9m6MRCzrl8A+Ve/Nb1+1jdXNY8upmBJcPhB1tbMdyviZVPba9zj9iOOab
gY3oYxaH9R4yOkm1Uw7WdSuDxNgYbFoudeH/NJZTPXNhzeeASotkY7A8m7Ej2+eoPepniltIcl4E
LoTYndsVWnFjvXm5DUCXWS7fYDIcmVLYDCD5mKtmdqEXsZxR9qC2LiTuBUQhOi2qiOkBte2Gkj55
13OOlWBsoyMyIAAcssJiKyv92lc9zSaBQD3io+CGTF0nsWvDQHDI/P+NqE31l+VU0uz8JXcetFlz
F0MDM6MhH6DNaw821ySaH4grg7fh8bsJXvVQ/CEt3H0gx0W++KzN06qfY8jj1P/zVqMOiYhjXguZ
VvVY0LLmivUszIYNG/7uVlkUv3PmDld6/U+Vedmhl2CPcdRTIbAiJYKg1l8s4idB4af0nell7G8L
ttiwARjQfS1QdoptGKjG3Nk9Lb8eu79Mh7O0jz3i6v15VC+C6G6oU4m4Cc9rFECRvKFFR5DvuMPd
18CbCNkJOlV9aekUhxX1/VZ2PoNt2GbtYYFk9pR3Rr3QpXCWhEaZvyR6mI0aV6QEpqkZtaggKLac
CxFxOwB+dv0aFsP+JlfY0lVOW2MBC2oXnaVWbaHvmHOsiKSi36T2dsM2I7TPbsZst8OslSIm7net
ERpDQ41V1ZaGGPh5JBFCtrEedmJVlLIt6ioSuVQ6AqzkOFnegM2hf/Qma9j2U4K1dXpXRR6wx7+B
OlA7wb7JP8yErxSKXoLJF6VyMc8Gnjl79pDjDE+FY726C2sbzzPlxY4894MZTfFpIludkiEJzcGp
ygOEyJv8qOT3wR7uFk9ZwzBsH7nwFzuNc2dL2hjSmKwjh2fCgC2FPoF1s06CxWN7sAbGg76JwmuF
K/saeUGRJvjfyOVKYKBFvfte6d7+sMC1WYdK2PJnND6SG26t+rcM+uleoMZKgLsT07V1mfff/OIU
+yRw1Jwco3hohrC686e422oTM+qH+4ChA/hONoS0yy12IYE23r/p2CGVilEdhYwxCghWXXWU+yj9
5v/yGWEUbsmztDGWt1THKKrkB4MX/mdj8lwPbE6Tsj5jEkg2Kp76dwmNHo/KvDBaX8u8/2PK5TXP
bjWC5E07TGi5EQL7QbrAFNqFQ1ydMJ7lT5qVw6fMvFvqRh0x1r7tGty54PjE40TJBXT9wJKBqUZs
1+Tr2OqhiyF/yqXUrxN8im1ZGq/bIkxwbjrF4vWm9XvD8rDU54yhB9VUXrQEAoF4vaxg1HcEofQ/
GLATwzIrbzjgEoESLIi8hd7NtbydGub5t9WS3eXIX/EbTIInS9TZ1lIOoH8Hr86XMuV0VzOd8Q6U
QDF4bjbheNF4wBHcitpioouuBC73L/SJ+Z35iX2IqyTQBF313vMYt11xKh3W2ft+9X2MPBjhzMbB
pvXPdXyuohkxaToW9vCXx9dpDjUb+z+uFFPzZRvTPK7dqp4imA9PE7ITejudODj746m8YfpB2JxQ
s/mkSiU2sF4Ji3NKe2jsWHlCtwvrFxpHv2PaobjBEblK9xh5zY2il9XTnZmnOfka6fMihFI97g1U
S9Z1RXa7/NWCV2CNIkizTJuQiYxrAdiQUNLmTiwxNy8/oJT1czSNBgjHqsqzcKMCZl4rfha3cLhV
0VYHe4A0QfWEB8CddhM4sXfS6Ki1DAa4fRE2zZHuEI20HJvo0ZlA78WDL2lsqzW+FnkZAJQziP2u
NqNfwbEBz4ZqYvTMuEP20OyywbGSCwoYN9wOVR3shAzs3aTpu9ELwi8sBZF/expXVkuDV764vHyI
zNbqZPe1vqEzHXrHJfaJTIrwbJs7Zc998ey0EHWPFrEDezgl/a9AoPnI3Ib0njrxfRTCmYcaE4YD
K8cYK5FJTWeY+djQCRjkYOzfjj5j9H0QR+snKpvAbCJ/Df+YvlqaNLebUD9OA3ZRYuk69LfDphoC
AIFBJ+SNBefS2xUp5lZNPiEfcLj3QOE1r6yurAU9zs3v+2XTtrYfhY+eAFGBYn2Ck4JOn39duRhN
g9mqKbLIbOq3bs8cSqPdzfvlRHfAx8QOJa/wS5hAbdluOHw6NqD4ugq/DCFHAVfd4vBpsmcvL4tc
psipillTzDJyFkcOAysnjZ2rwXtJUFFgEkYRWfyBnCizt6weTfI5YYsfzmZCwI9jpbUM0mwDf66d
uH9IJnQP6AGG6VjwdsqarU5hLHAcbWaLezfLPBscNSQn+G0xqQ/lqcxFNJNhta72QKqS7uaakKxB
VBRt/COJzjx0MLBTYOQZxi8aDyP+sX+0w/+mCvLJBFpBSF+h4KjCSb8UVaYzFBV0xGUAAA/aS7dn
mAz4m6tmfUEIktwcK2RfviTStvqjzoAFEZvCBbKh7XIw2Sk7SetQk4OUo2zYYI1lElbMOSNjZNH9
Z5nPt01U5Zp7etoMiDqsC2ouPCX+ZugCXR7HelqHvUn8+pP4DLs+WSXZBA4OoDF1pV3KI/0zaYnh
Mq3yAbKdjA6Ljrz4NENWyxBxNlSZIGTcs/FGuhK4PKyaAvrVKzAeWI8by1fDcFcPGTMb1PhtA1Ur
FvMLTia0wo0JaZpd7vLxoRzmKDjWXZNM+9gSq8ZS15pP1x0h8m4okWb/Qr8yHXv8kAjwiQ3vrt2N
z9E6t3BGVK4OrfJN+0vUYiawxaNj6Lc4O/Jh70Dv+mrFiBzEB2jN7VIH7lNUBMuNkjUgaOpDslJO
yMHi5dQpAM57x52q+sL/MtSEiGokuBwAISGm1vDWWUv0jOTJTK+kEvWPYWR8/iiCZ0CTeJ4+NH3t
gbFLmME4rqbFDxCUUcJW9sRpXrR/KA+a8XeE8vNLJB3+J5d1eIyBDMv+PaKE7l1VhQJmy3j9ubHG
4V/i4wg54nJFxFohIn1gcujJR1+7lDpePO947Ipv/BRRf7KYp25ClctHyXFQHcxUFeW+IezuJwxJ
xkkFrkOCLRhW5scSkluB8VPwOSEO13cgwkLCqSxX+OlaKnf5xwR+fOly3Y6HZOniHxhxNi5qMhMZ
LHoDVXMITsNOizxsT60v2789OBEmSTZR6Em/TvadzV7tCwfp/LLMynrjtSXvCX0QmWbxKMfo1AeZ
8zDRp/j7xjHlXTFA+6UeUxzu/PLS3/u6ZCfcMSLApIHRn5WFlsl9BXuNkHqMGDSHnEDO3VSt7Rue
nJAxP60ROmrHFXhY5sihU3NDj7aITLbugewDGRHapJCKVKGrvzNiNy5BEGbnMcA8zhU9lZBunBYD
YdizqUyjxgpf1xwjB/8NfB+Eg+YtQKXRiS4kKOCOCi1YgTdPTmEY2lVhnaJnC8q3GhL6dKzHsf6x
qhk52sg0lmdWzA6GIZBEP77ElYpz3smiV6jl5ZVftGEL0FX9maCP6MMJ6NqOjP1cVEe9QW4smnjc
d40KrH1M19seVo+xeooXhX7Ts31/3neI3gzOVhtLX4/L+1OsU6buqgAe8BnZa5H/7bqiljtrmIZ8
Z01aV6cMHKOADUvsGuaK2bmCNoe2HbLduyV4UpqN2P6eo27UjECczCm3VUURuJn4MoGDKsDi55JO
4lmi2LqzYWyKgxPQnxCaSJfMxjZ8oQ4BYWqq2yceRpsJRWM1BOAEssIHP40J+4rYplbwKjmjJq4d
zm2zKjc64GyB1cxJiZ+45+R9xjtQfzhtQMotTy8WgtxARUrJBoO9xpVIIITmIDqZXIj8tVsYNu9G
gFnjloGB9yRAhbWp5m94zQ08rnT2/HwLLNa5twZh40bJ1/LSDg3FVs+Ytf7sAqvr/jBAbS7WsE45
jq1JiTONnr/TeDOGA7M0nj0WYM0M9BMypI8A/8IMzj47OaeGU2Tm26njCutMtTLtdHDNsf9ZIF7e
nrm8OWk2hOhlCDRzEE3i55VpM7ndHxBh4fLXzWoiQDa1w9DuW3oGYQLFphceKQFNuOk720ElDX25
eBnKhm+jXJyJvCM/nBP4Owmzo3luk363THj4Nw6c02lbWbVZDvZkZfJgRBx7h8FiAOZqnp2NmvTw
EztstPdhpaaLgwxHfSsmyCUShrwbTszDrfyiiBAND56RYUjNVIGNmRgnvFSzF6Nn6iiyMZNKOHwh
PiGiTNizQTdhCuvwVYcmn+wji4BBfLHTHfW9H+IwP7qu3wYvkvGyvbG7Ua3Hqu1JFfPaqQmOi93J
+MRtMTECFzeM6ZDTAUOfcdmQejYQ9a2tVPTaYIQkYQoMVP49mLFR55zb/x/RLGxm+LG7q9Wh10x7
uCDrg5839j+0yPPjmE9gpJWA5YLVwbGfFg2/IJ0nODHnrnWjfygX2MuFvi2ibYTQMT6TL7JGXxpe
aDrGiJ4GuIVUD3UlHqLON/bOcBNbdELY3xyEvNulKqLzGiekH1NaMXOTXQHGD8p7WhMoyWFAKLKz
lzYbzqsHYu1UAcGhfJia3zlCBr0x3YBqxAQQnHdO3jAMGPwRJGJT6eGxgxRCRVkbimChRfDK35Rd
58AGBMedndiA5TLim2Qct+OzQBx4kit7/Rs2zX7A8F5cWu182JrlbjpAbHxcpxnSCul3ehOAbdnp
1l4x4FveOQYrmHNQh2jbmzhz3nGgDvJ5Ge0AJBWT763Lucviw3IfI3hCNl7nOmT01VpPDqrzi2SC
Wm5rRnt7ZUkiCG9JD12DTGtXMRg/IZAoYIvMdXJAKMYm30tk/bHWBkdr7RESdZjMbJWXbvGQJhkH
RtigE74Lk2Wrs4OPphWbrWytSrSwKwakVrr/lRoXVFHP3Eht29yqqfjzRod54DPoB6BsbE89dqsK
cVNVuhsxtdDLmnr5Cr26A7W74k2xsaOcfdd7zRlu77I6vnGqjHNGKwWnoa2TD4gxf6Eb+YBXzfSE
wpD3X44rLwGT2uBxpm16ARQ8c+AxQ90jc8zfBmvwD2XMY1hOS0GyRS0cqPkFbUCgvOoebgHqpiUZ
/lPBUJ4bZYcsWkvEmbtElPUlcbPy2FcyfGvjijuQ1TVOow428GbSeMTRB8aF3HAnRDsRIEQGNZQl
Gz0kLpg0LEOHYiSDGu03Trlh7Qj+Lqc2uhcOrmYgGsjVDPYYdidwSTx/3QWZz00KvuBBlEX4WCB1
u8QO4ULMo+EVRQxJUVcq/TNSbYwpddvyalYP8BGVeOJ/twxUPUpe/rDt7LkMo1ouC0Zj6lDxCNh7
tOpZy7enuTuWXsPcaVQ5d7vBHcV8YoFrZ6mp6gHULJUFzhfejSuvNQGLDJNLtTdRMdpp5GtVfpeL
YXMQWDNHrgS1BUKgJpTwVaCFQmGjDDQy1NBhAa6DiDegA+jFTmB5A8bSsw2KYe84vH4pzUe9fPS2
Kpqts/Zx9zhb+TBdmK5g5Qjx6Pk8+wlahk2eYUI95NaNbMlJAKdKMTrxtpU7oQFgzJMgnLT95OAr
U92oteT6cL3kwQM8itvibCj+S3I8ZNAC1HKL/OEEIfcQmTygDzcjf2TPwpxoWxQSNWiyhOQzuuyR
I9lrbEM+HmMy8uv6GlWMWcKIP96h+7xNjhEobUVR64XbqHZGBlYwztCUI5FOGzePrvCz2J3xv5fv
umk5zpY4UV9exmJvC+ko4QbBtateepy1/LwzYZy7GbUuDi8MyBhRccgCC4mjftwjsPSv8McSlnFo
NXKUfVKJQ1FS8uw4s1lKyqFIYhi5GVr6iPuI15wEZjiehZmgLxbAglK/cf3liBtoMtuumQfvgCvV
TQ4eUKNTm4B0QcpRGMOwRGt5wQ+h9WEo2arsnF6RP5GEvQKMElv9oz/eEjFi8ubfakuh3Rswirxo
v4QmC0QQIbA0sVg4SZRtHwiOYXbIk0TKrCCD2LvrSFN0MW81XfELnAPwchMv2ZcNuAyByaCFTmVS
VeybvKx7tYkh/F2XHmQ2SU7c90h0Wxr8yHdun83E0duaD7h9qDorPHQd3NuzXnpBbiCRe96+XVYS
gmhFfDoml8qN15UEuj1oyWFN0cDSIiJIpgwkz9esKaRuFyKfJ6f5qEBZ/HP5Yb8aBr3xfbNIa77j
0MQQTQ6cj8WOBuuZ1xsHazR3MVuqhIAXKoJEWETThDciAFqF5wR1M7y5jE0Oz5NdniYNAGtr+iX5
tDLXcreRvLmE0K42ATTTpXNZLvTqE0EpaDYqBHs/0lIQfeOiPyDMukuGvY+qCYmnFy8tmouxj5kw
0c/shtaH0ORWwKE2Y1xBzTDaLcq7nuFIwKi7DcSRHZtlnwI3RLNnMlWDMTQmjnezGniEIJCE45al
Vuuxqan7l0Aiir/5RScbPB6HH2eKh4y4kQ3trUONH6cssDhxKschNifH2RhCnCYBd8f30JawaDLl
n5CrePnVjxHTPbJc74nUCNpg/gwcr9V78J7ueCir2E22yEXCgE0sAizituL+u+AiIYumnKLbkJVo
vW2B0vg6i4ooSFx7Q3DIQ2sKdhThnfdHAOS3Xx1aLgsmdCQS7Ao8nynSk6q8jAj/ACBRCJ/L0Op+
Z2+4wcvruTlQCObXMcIislOtg5McFs0cX+zQEXENhdpUkBkC0yy7cG4hzEYoAFnHDzddKhVp+A/K
MOs7KocgPi+1m/2bg1GSQlV54ncpHHWpiatmlALXhd999auMxFAElIiAEtQ/HXtU1iqQxT4R3rU9
g1sXyhHmVgRqRW5ZsDEi8c3MwBhmswplUqbDc50jxsJCoZYr/yx6TpDaqt3qoZ3bF4ye3S02+v6H
1etspZQqOkhHq+jHRwa1ZcHufGjArjpTQDfZo0O6d/O4Dj6sDNvOaSklAx6/M0S6w38cy+2cyfFi
Jjz96YLQpNkxYlJ6m+Pte0EFQfcrO5h8VhH4b9USLHcdqvwecKyKnmAzE0ZD2oYeTgu1KQdtx3oF
eBZCQjiTY3Ekn6D/Z4+t/LF6QS089QgnTy6WYucYcFu/LsAq/wEmyvRT42KN3Si3Xh9GipjHrpfB
Q5MrFhAZhyn4mqm1nvNFtdal7nX1XZAF/58/5ER+aYUclsGAIoiBxE8/hdgfIsIzPRGSSWfBUTO2
93OTC/K6WkI+hKwQ/0Iycn5RpTdPcb4gR5PY+w7om+DU2rlHZhgrKthvHekiuP3EDaWVROHI4swr
qdd8x6GYxffpvRPVMsgtpbP/XGmQ5ruyCdGoKctnmdkpoF5XaJmuSjvkhT/Kpi8nesJWbw4xY9GW
OAzR77u4Z30jO6ZAN5VZ8oLzmnyuwJE55nAcqnBHBGo67MHGjtJoKQoWqfgPBlUn35kWHTMUSEqr
t1DSaT6hZjmzFyoMH0Kr9/9AxXwp2+UV9OJTJeT8ZM0LcQ3d7FxQk0H36Yr8EYfs8tDxSAlg1nN5
qpDenkLXILJAn1ycetOHe26Z8oj8Wl/J9Fle2N+vOzo8ginnyPpCsmjfEcvL+QzvZqd6UrokqKm9
E/fLex4Or1PjTygVpNx6hRfdzZiF7sOmR+lcxta5iWc7tfvgc+VB2WXBcNUgatIG1B5qBLLs0O40
rGOZPLKB1dhmkqgwH1gT3lnRx78V5qZna4BNQH0vjgXaSZKeq+RLhcCRcsewKlMMbzdZW1WcqmO/
XxI//ArAKL1bRXPjVY1u/dQ4kX3vTUW2RcD1lcXE0QCIjBQiVQXzgVGIvmBwel258TcDfgB4WlaX
Ys+Q5BjO4re14ckty2idyyQHES5hMthVtzwhFyQPo7PIEIrj7g7ldX1XlqP8USoH9yFrefwfR+e1
3LqxBdEvQhUGYQZ4ZQCTKEpU1gtK0pGQMzAIX+9Fv/i66paPZYrA7OndvbqlBfBi6GF5kzyUG66x
ikyQu3xyZZ8PnJ+EGWJAo29TQlYRJd/9VbXZn6Ao3fCWbfiTMslvIm9pT37jNXcW+SMi8l25x7Y1
vA6Ywljlds3FbxS36xY+pGGq/rmlHA5wBhkTYDoz/13ldxorf923hfViYpNce660DlC37b2je/s1
TCP5O5Bq27UWfUCYDsSDJbrsxXXT5t12Pe73VkXe2GJtXbdG/kQzWLNbGpMIA7norQEERdZNuhNF
/VuRo9gCjkDEy5EkTlpDAg8rvNCuth3UXkxbuxBSAoEXp6OQh0Kj3Zxjh2VUwQ1mYzzb6CwT57zR
ySsUoBx7NIMjLpIhGITs964sxzMQVyi+g0QAoH0IIdFHXSTPh18N2eQA72DG6pKOHkudyVsxLvsP
nCyygGQ9q/vR8Z4GsiTnLCb9ylu5Gw+WaeRfOHCvJEbqD3sgeePHA8bYajrQyBS+VpkfGIhoHy7X
odPcFdauwgJBpBS1lsRct+cL9EA++D3pOJxFbgx/BP9IqXJnzJ2pe+Ad96HKJXnLXGfcgKNFirKg
PpWUKsJl7lDX0bhepwRWfVyS92H6d3eW0/BegClIPtXulL0O6Uu65oCjNOiMYisqP98DC24eaBsj
+1mM6rCQBgpy0R+I15n4RGo/3dDzzaWt79yXGRfIB7+KkY4F46kmjPdhZFwZsEuUd1TB0Uvj4KIB
2zcQHyopd97XVuzsXeBrFHrDJmStXCLbROPyU4h4xuzf62ARDcGpcXgTholPnP5Yyf41goUQjgM6
JRcBjrcxmZ8kZeCU3hrRm2ybcD1T0vec6ZgK0MVt1Dfck/GS2ewdV2W7EEogBYcijzPU+o66zt1I
CE5i5dZ9Ct8/suvPpS4e49oFJNDJuwa8KOaagk4M/oyMlFhjrqlk7d/SuNRP/E7kivNa7QQ5dwRm
V/8zHdN/VyPWx3iCb980buFslwj7fgQ3DNIvNplNuUTi2Z4bYhuuRazTKik6pfr6KtIK33UKNW7B
uqnSF+4g9c6zimmTLzk0PKzl9UFGIMrzGn+CU6HASnwLDTjMS+6aLEC7avkwJ5o/phALPutB68RC
tt86Iz2EwsJioeCrH5rQfx9dMP49t6drEnnJH6Injok64f5vZlUaqESqDZkC0h3MhCGaa91/WwrR
momXRhuUeTp7GgXcr7IxF3UMqsQBBNFQGoWwPdQLxN6mOXoxTptM+tz9UL7Xbeg3+2gs/r+QksLg
TvSWDKZ+J9jH7M7CqjryNo4/80hap7bVv6bGjwAR7TNxhH1qLMqwR6oAghDM3Fr0lobpUUb3rLAI
f9psyTf4s0jy5+YcmH1f3pNOATiRtSxSupiEaJXKsiEczWoOoF7z1aepc049HV6EO6WYAo14bQ7u
K/DX6BUBhqUzHreLYeTJx4i08DiJluxgARW+gT55pmjgQk+B/ZBrJXbtPCUPtiH0m5Vjv+0z0d9A
pDe4q1F7p8ZL253vg+llELRJeAGRuCdKQtZXDnqNxlM9V46J/zUbm23lh9YakpMO0NvkQ8IzwbQc
U3yISZu83KK6vywE+4WxZ7SvbGdCouNa7BuEwY2V9+F1yT3gDBF9eDgTw7NWFApznaYPCWuX/UXq
iyDNNHWMic7A24o85gmuCpwbfBnTK/C0KtpInxvnyjVZtfWR7dzNc1KfySuyvReRtVkQ3e+NqBZ3
cCW70zR5zZH0RPOmWi6QUqhmixI8f7ZR/AgWEu9s5D0AxP00HbfGeYpYtyosQjkyLq1rCOgi6N25
O9lWzenDMRhIOdgHMefXWxx4S3UVTPrMMtid9ONu9vlARpUPzboeI25mntv5K43n65IQoDxqHA1P
yu3FS9+3Ek68CdRwG5Lv7Fel5AJ8kqkr915XmgdGd7Gf5rahGYPr/YE7k8nYUVkfcrHDQ0a2/9gs
XH181gybNpR6O2DhEBiT2/Zxrop+XybT9EZGv9x7fQnGjQ9WwRRkIfo0NfVy9luW6OZkxKfWr+zn
1PL4ab0u9ZGV+AXfEBrDxWgzY50Z8fOUQDekKAAUqISQ5KxHk0oIraHKTkS0MLp6EWt8BykSGKsT
fzVdWG3EGIbv2uzvAYa5j1ZyI5cVKgxPdifjS14NxQs5NYyvOfhSf6BxlpXtUH2WKSIN20bzJ7Oo
Uyn7ati0qslhQFc0WxhDeKXEg40inONviradLxguu5GLK7kdCBt3QhTzroRMwkURU3SJ9jjYm26m
uO2YduypbpD9TRImdrxhf0RZI+ZMLItGNWO8Di0nYQtdLFsz76NdOCGE8s1J12Uq7BmnJadK2DAX
2IusfuJY9zt36tVrP+nkB0MwjgogXhuX6PjfXApsALwz2lVPQfAuUfZbPxJnXfmzO44b8uX5FZkk
gxDumsaTRfbkYyi1xhPhGmEgKze8T0YZ4+zmmrClzvg17puekgzpPOBogjXGGzxj4ptKegEc0hcp
pRoEcdjQvIdUJzxzJcX9ZvfRBj+iF7SFa+yiQog/Px0Be9wQ67D/Y2bz0H12KHQn9mM1TxiWW3iC
4QzCgg7upJh6+n9p5WFtmA9MrmN7JR6zPIJPM7jdzwplL8/1IYE1xEQ3K9obam9Dl2CIZzMavly7
MIPKrstrlUg/4QQx400kBIvfyKPgoAorxoM2ieEw+/JAsbV/36R9+9VzFN2NuVIvhK6GzRz1LAW4
eLt0Otl8EZp2yfwVYnK1DlGvv7KavnhWUdOdQEzeJyRKrmlMK+LGts3yI2Wt+kOOMg6ovGTNlpn9
Q1cDXrCyOPmpLRvfkzHc6rJC54RBL71f/ImaytlwXkvcrpuqL4Yg8oW6Gf5q7w1DR/vCajI82HYR
vs7NcF9VS3/sU7D9JTU33xEX5y3ZDl4bc2etYjAZNzSKAK7j0fssMqM/YobsflWnh4B/Lnw2PJPr
cONSNDdA0z9CVXYDi7s+eS4138lQTIcy4tweC9Y2SJBWf58wF9XUxd74W7r4N87lcF/C7Du7Lnkx
7J1w1M2JUGFepD9s/Hm7J7FxI+fq5muYqI1F0DtO4LFWQJ6jX5Ss7MI1oP6YJ00XTaNF+bJo65X4
HOpFR9vguu4Ztv1aDRcfvnF2y4KXiEOO+6YNnHXE8NVIuYIrj+2CtqlDztlyKKKrVevmPm16DZJ+
aooVjWvjI9BEHfCImlQtGN4RZd3vdwqlCTPD/wm2xlq66+RF+tgDGemOtDQOexplinML+XMlR65Z
K1C4PdyxvDR47ybRR+YOVCATPZOrPJryIBkjbphIwq9u15ZEZlP2tHBZrxmwzh0lYx4sKJPGUWIg
E3ZTSEeagAUpkZUFbO7/tgmyG7am+RYzKwkyJgcu5fiHijgM9/gK/elKw8kg77AQZRt6JMInuBqC
SR9GUgV4/9ZE1q5zMNJBK+2WIgjvVsHipTRAC6v7B3YzudCM5Safevb4uk3cE3j+Xzor4Udq7f6d
dUi2yfmw8rWzeHKbuhyLETLzmwfKlErQKapWoyEZdXuM3MhKo1OjKQh7P8my3k2+6L5jDvX/dyfe
J65Ah8p0cJG8QobtQqylOCxG0yaotT5LK/YzFD4y39TZtmXf+BiSLfoJW+inWRNKKHiF8xe5Q4sg
gyR+x1vHN1YuTw4Zla45KFL1Mmgn9QmoFLZ8NdvUCwGR2dsU6vGNihnb2DUQh6tn01iAqcKWlOCP
f8Gl1OKc1sQl1iB/2tNCO87T2AOCIGEWn/xkan7jtu2uoV9mhHCb9iPhrXQkP6s3EdWsTxR+pAef
GO8dK9R+Z0jmoaRwsV7OjlFuPatP9rnZtsXWd+r2Kgy5vBpFJE9zZrgeVjy8gpgbCvx4SCmSX0ln
BpDh400/ucnRtgp7a0xTf8UHah58lOj3rEmtLfG5DGW77Nz7PDV6rJxMZvKhto3mPWFRyUsLCaUO
nZkAyVIn+wmz5UcXRfO3tPLlofH67DLXi8s7gSYLrzHFRXSSZmhdlG8OBaqbPnT+QbTqaKIAYtoV
nfFljNTdTLZO9gp62M2mX350k4V+f2ulCItYIl258XeG8YNNQGmdJBWOq1HbCel7MmYQOiIFxAxg
xUMY45haAYqUh0hLG4BPmT7ekFsrHVMkJUe+2amoAWoQrOqYNa3ceyAx3T8TUG7PJXc8GjyzoB4x
7g72HhCMvVvwOiAaOfOZzkn9tXSpAS1iQe1PfU3IAodpWXaMUoiMEdHyySsPJocZCX8/jO3zUGOJ
MhH/MW7m8lVza/JXANTeiEGQnzbIl3yEYa3vSSiPj0sc9YeSo60k/0pNiCPJkdvQM/D0AnJg6TJ6
WxoZlmAoZL5L/HB8AZvSn6i5Lq7i1jgCfMPB5Mpyl00i6Cg0tU74V8PF3QGpGV5XSi7g6hbkkymV
4eZNwFqnfUDJqfvJIDVOQTn0tAPiQBYnicNbBJbBuh2iAaN0yyJvN9RwkTmznXek2pTIc6JHIKDe
TM2EY3l38zgp0BlT4qK+d8nwAzJDWFjDZMznjhdv21YJLh5/klRe3FIjgYNL6q288e0fEZyF3AKE
s474zdgBIUMXLkV/rmv624QR6ZldI8pTXyi2f0lKPds3McXxEQU8EkFcjU29HnGfTCc77nDxUlIX
pQ84byw6k7jf/NhSmPa6yFmknHH5dxWo4Tj9QInE80T9aLysCPhgYRbZ5BbroubDQHCT+YNOWkIW
c1rYxNSyEQIiwjime55jnMiUCuFM9rkc9stknHV+A8rgi8Vg1nKy0byksqfMd26N2CIp2M1kOo1p
4YnxMRR+Gz2OuJGuUJMwSMSZQfgZIssWViBDv7Ltcl9j7WBCyUuvw58nWtZ7PmCkQ2GIGzFT+csv
UQWSQt7Sj8dWL2I5Qq+sn0Evg4BrWVaDS6huk1iqROg9gHVl80tuitPSiaELgSXLDH7b7khi0ud2
hfZVkl48WURbeRiSvqC0yIv6fK/BgAG8n8CAkfmsAb3BZDd3o+yIpKRl9j5iUmUsJCYnV7iQaYHT
Ve2flqTlt5KY1gKWD9LvGvaehXTG9h7PLFdgVfjsPLUTw/ZoDGgW22n2zN+sMyg/IR1lnhIgANw1
qxocJf+RZGu6ZBYQ8QrXPY7joNQ92Zya574WVCebhjJOs9BFuLWkKItNCwylPhXCV3tK2MzmMGY5
3Ds1JeLrxjNl+tVt9We7owoKSfnFKmW/8MzqtVson4GTEDSUpo2nRJjOn6kHri557NVnsA/OhVYW
9RbxMucKiw763IVckrYCszFFvuDJdm5Rga/xOV1hdRof4E3NA0RajdBqFZUXYLoU3lYVLFQ3yF44
Mmg22o1NPj5Z6K0/Rp+9UAwMsCXy0VJJr5NhcGCl6PkLmPAR0y0u7DCzZmy1zfQEW8U7caVh8Ii4
mr9hl6eygUJUVDXA8mGmtz74zVVu2W/cHBEYdGHsmLT916Sd/mY7TQLaUrjsyQFt3Sn8fYOxnlGC
YAPqdx8/4rugbBUHQvxrD/g6eBhAVcvvmdf1Gxino0twdDVRrl3Z4wMdDuvSJRMODu6BWOTVuwUU
fYZIkrZvsnPxLk5jS4s5JNxtgc9qIwZJUA/KIQWLkRXgoCLWKut0b3VdjiXEG3YWNYiAKGVzT4pF
PdQ9Evw6pIcLWME8BiRL3jE4jmd0a/OURrU6mK4n3p2+D4+Q8ei08gy/+ljqxj9n+uaVCp3nfMDK
Pph+8m/mYr8zSVWTpAUuUmGwyX0W0o5eWZl3503WdBYwBtd5ZUpYoWTW8DTEzw0LM3fl9PhDoR5e
kZfFK4Kgd0avq36iUOgHr7oNKeEZ0BDIShwc3knlor4wAXjtbZRa9v3Nm58xlU6W8B5jeK+AoSAl
FEJhXWnrgiD94sCnyMFbgYV+K7z2z2evHoCyCT9nwEm/Ie3b3Iy18+CCMQyysJ5Wtmfs2YYhexce
B7ZJHOdukIKQmew4eJKyeokM93FgxDwIaCpBSzPkPRiHjHUqryj2XPsoI0fS+aERlFZcr1IE63Yz
gZE/l9otTlxm0eC8KzvCBG9FI09wgUPir7EZMxeOT2LJZ2fltRCL85Hq0pI3zhZFmZ0DTr0dBhOu
i+yu0DsGHImz+9GSg1j1g/3qsVvastYpVgTWL6r2w3tjss4pMbnVQMo6AI3ER9Xl/WZelA7mya83
KMHldjEghw5uV38D7esD7Kx90DnOWzwTgKSGfc0cD0oSYDETLIsF31TeHd5SeXQ19uNWUJrVhvjt
dEvO2dL+cx5BiaM4GAaM/F4IPIJx1KV9UhipD2UcyzdW4id3wSgu2iShE9lFUx3Exzzrf1aTnTuo
B12jLRsJ1WxOdlikO1vJA25VZyM9t0LTCeM91uR8G7UxKmLlzkHVt9YDkr93cpP5BEYPrTkcn0Ho
OMxCy1bHznzCZ/kZi0ERtGnBYeNWDvA8fYF9ZMEW0SCJjRNABLVeN3thRBR0saLxYTDRUnJK3nlL
mEf6N3D1TLXatJMjSNXZs9OsVFw2HwLPcTA2FTzgZsQ1fKKYU8m1VpwNPBlgWIVYTR4WXhY87g4K
kvXY3LwNjK+Ms3PubDsNamK8kfF4PeGibit53+D9xI8u4o1JAy6yGs3kTKsbQe4ZN7zV74mHYU0b
hV7FOv8tbL4+vbcY15Yp8OiZbbcH3zKuWy+p7kK7f/HZPT5FrY3UlGJx1DSNdqG9q5U9fQvT5Trh
eHcKBYw7GJAgoBZtAGUNjBbxvD2co+y+gxOzq3vjW4MrXlGk1WMSJmvhSdnRjcGraK+SVn1TKIhL
JMvHivJ5gq6mZv+U+0LfYyA7E1GmWdw12eJ4c1ltbWcOD7kyuO0yOSfHuByQN0AC7EZlClYYhBgK
sP+wItOGxlq6CRyStZRlp4KCQ0N+kOPu6SUdcheChhIDl3HsmCtoXj2RUZHcNzCGAlBSzabx6+Ql
FsY3ePZhPHqJASyTPPQfdmMTgAyk6h2e/wrfdEKtt1FObrC01NUinI7Tgbmac7CyhxP8GmOfqqF+
oH0l/eBCjz8KiD+fJXpbUs/VA+UP6s6ydeDPP06VOGhELYnYG1IM9MRC2rAimCilJQ/aR7dIzSF7
8HLbXfmeZVw5bjCujF8Nxpt0NyEQfjh2L//pwcM7I6J5Xus06qwD61+u9cnH0DnhRXIqndAVA8wE
3pmUw51rK9pV09KJhg07g7dSY8TnhAVI1XNNSGj5KaYcG3Y1EBrlu8+S7F/SKRzlfpNt+Bv/aMZL
PZ/EUkZviUFTtRdaao1A59EEJL9me/5tRq0fm5jicgf8CJJB/m16Ib6PeLnz6Cy4NDVeLzMq7pqi
admKWhnm5czcFhT0rBecH/nKdb06mMfBe2EtTJojH7hSDnSW7FKr5VRqlH/n3ZbsQ4L6SJ8SGI4o
MsWpnloOwNotntmv0DLLYz05ZgWpI85euF7xQmLjRniN179TIQekLjsmQKOyUBd2+JfoNjYChMvP
2TI0R7vsrQBTfvVEGXdItTVFTBvLpK5dRkQqC8a1T/xU9JMP/UtrYIorSk/S5ldBSKoVs5TJlrnx
b3wRts/XSeijOUxvXhMFfo/FqiRcs0z2BGm9rNlCW8W/yJ7rmjYPA8aKYiRExT73Sapes4WqlmlO
L6YrObKa1j2WYxjkbfbdGTlQG7j+PvBAOfPLJFdGsCn61xnLcCLRA2lp5H0NyUXfO75vI9Mn7W6O
+9vP0EUXacW3w0/a7p3hRd0uEkn3zFE6b82xAv3hFH3+rqSUP+Yk0h/8ZTBU4qTa0kpX/YUqfEgS
wjDbYejfO3u5aJkiLkxssdY9VQDxIrurtOrd0EMqUe13hBd5zaoqJTA1mfvRLfUdy7FbZfQN4ZKx
rhljvXWxMq45Qr6Z4I5ASKdDtfCicQhiH6x2JjMy9VGy6lpq1wZdF1sk2HLnDqa3Nbrhtu+oX9gC
Pck2C0mERN0pM8vspVvYwwxKU9mJSqrZHFbZS2XzXlVGRLgV1u9+8PwdAPZftO4FeHW3zaGMnZIM
f2UCzvvAY+KcKyPeTTPpr9Euw3TTIYJv2tKCYZ0Mo8EamL2GW7+0eHFW7M0BqQiG3skswHK6NPVk
zq09PV/cezJ1o8m1GQ502H34td4D3ijYrhQVcBn/IUuJY6kQBwZhHpq41Jwc6MpLT4xf0W7CNHGn
y3esPNiwh2eDcjIJT6QmdYRFARV9gWayi1TlMXiXnaabDaaoAWNvN4zYDcsx25tdI4JGOcWjJiG4
rZKbVpgWdD51OcNwIS+Rk+6FJu1DjqT7wr/f7GzHmAP6/Ri+LQWdbxjqs17iqwePhpEEhnMBwbm+
yeCWcKtvUsnJT5d1TzxAgp7OfHouHQzvbFndH67pdDLYBKmvWZ23Z4v0Ib2iSMeWN3y2rkvYZaVF
co1HCxe19KObuskQlYHYhKeNUCOT+s7v9QUP4WMtMD3P9BSuoJR8+7qsToBnqm0/x0yL+tYznrE4
PrVG3Rx6mfibKaKQWJXMbUn0PRcth6MzOQFGjedYlJe6bjlKkUYnsBuR2o+MQ9eBbSY5oQkXMnuo
fEy8XaeV8RQTzUG8ZU9tYdC9Pfvi1b4B6VKfMQeLZr433PhxYb2DEyerNhHe6Ucj7B/yDK4uQ4W5
Rasxt7XXpP9MfAS8Znhwe9fPdhMC1pY3SAujCYvSlmJLl855Y3hMhkFT7ENqY4XpN41wEt1q+hKZ
vNcumRVKu2413s0pmlllEvwPND9nXTsqIFDCTS8CvMsFGNz2pk2cct+mMcymEKqM9P7CLr5z8FLD
OmU/k3lfXAfkYYE3srNG2z0rXu07IyXzO/G9KEMOR5glYotnlystYmk/BnXojc+eG1WbxPXSZ9oO
jg3bnLOtGvuXXA2ruiEN323CuTe4HtS3evC27NReI88cyNVyKfLI3swTbp1qQVH3x3lk/YUbeGPe
ho6NETK1EsWnPDvyoyPQ4XvfcEZUdugvmU05wnEhCX3OIeYf1QIskW9urT79QnXX1rDva/gFrLiQ
5g84/vEnxn6fnGIPBr/FwLHC055eloy9yTDQI5DydLyEbZGsp1p07wsrOuQPKrfh0CTHZIgieShc
XKoVegizPJoYwGjQfNB6uG5aeWzvSFblG561agfaoCXRAsnPoVwOILPCrMzcSUcS2FE+lGkyLlDr
+GTc3HhnCgV/T3RsjU3y/saJZBNrFccaTyTpkpmj8WSpqXhypqh/0Y3b3FdZZAZdvIzPAv4/+h1y
0bGT6BRuMZ9yTYVOZRXMhjQC/4Gt9hknx1umSlHltMEWCPKqiJIhD2hWqu+burODoRNfmV8eXa8f
fzR3uBMBQMG7l/DLxLbL7v5iPuh8lxWOxFfYNJAAknQJ+x19DiPb1TB8wL49nCIdyfSaI9Y4weii
Bh2k6Hjt11yZCXiiQqziuusEq5lKvTakJ7YOBdEPKkGQNpYepzeGx9LhDMi6R6W8HzEkMVpVa+9y
CFrbSc54kjPLdyExy2nrcPUKFgaJXeXx3BSDgpk0ESKKaPvBv97c9nXmBP6G1C2GdSdb/uk+ab7m
Qv2by07uct1mW/bfcYaPsOBZRm3bL8BiHlO3MD69ugopjbol1rEPEzH1LBp44Rs3XEzzYQVO9h+0
XvKVFqfNjae2zujc3HFx6tdNT30MPzz8i/h2r+cuXx27KqpJ0xMldyJa2bBQ99Z68dODWyaY5ZpW
Y4mdmztemdAHcItjxTaH+a0brAqkECkqXpYUW+bPg82q8qjGMcW20ZZ8TeFZYVbsY3aCCAw0wiR8
IgGGHal2sAK6Q15iEVpLDGQ7nGsta82kaF/pgSHaC0XGcY8FrINqvFfYs9j5GoOOb/MYxglN5LVK
MOKZw92CfRnUilTudinCD6bt5eqQozZXxNKtPRKVPgwAFZ4JLStwIpgCXxulIfNjRSyuph7HXRb7
WC57/nHT7KI/iJPD1qf88kgI/pPkRrlfMLDfzHR0wBa3JnZjhh8awExpyq2tKufK9N6fsgnWGOYr
BDxfi+gSylZuE5/vJVZ3DBr1iFZrpe80w3THWLPA54LbAipVrMOI1Q9HE8Ioy3R0SBb/rBfYlMfY
ECngox+DFfY3GTKysnbsWSvgUhRk0dbokWJBXEMxWaE5ZDsWD3a6zQXGDcz8sXixMv2aziUy5DxD
tSHob2Pac5u/Li4Ae4IlRXW3tqOaLxnNuqshxmbE87OZysG7x2sjzy1OXbDFYBkbh8Xv7NKixHnw
L7EHEYTFHLMBG18jywbeClkOdgx3uEOzLAMWkDoLUeW0Go+00S+rZNH5je8jxGkwY3XuGIT3RENs
2nhgkQKopzynAfmFeW08TiIhp8UyaJtTxb7Y1YKKsDcbtgClH8f73mtIWycwvZ288zctOgw2U968
n0xXmNnD3nkJY+uNT/WmgOPNXUVGereEankrHYiFVTdiaWstCjSXpHwQmam3np7xU6fNleZRlvYh
IOdbx4X4i9A/oP/d1jnoe4JgPOwJ/iW3BQOiOScVGE8oLIq3L9+eud14LRae2qyYlFIayuh48+nj
a8oTvSMDNZShx2Kpy7bpbRIN4RNShjF5KC3Y7DckY1eVnTJF+iM9UbDBL3Wq/ubF++0J8hOogUXS
G7Rc4VDKcVv2DibQhUL2be8qi7uTi/cTIiH0zSStAssrb86ZpeQPXNwXMmgUt0slkw8OkkdCnjQq
CELs4MkZ+KnxWthj0DcdXmcoICQW5n665/xtHieSmfOByLlNlIr/mfEYzLw10AB7SmKch9QSxx7n
6x5RtdinaU8piEUtHxs8f8N+oGLNKbDqWlF6mrBnXD1/2sSQhHfKtFl/5+b3Ehk73bT0VuZwFZsx
R9+KLf9xHmlSUBM1I/lcH7ya9ilMYMZ7lFY2kMfWDHma5AIrsBGfZTfEdUCfKKCQETZoKd1+xxDa
HosFqxdlmPXFa2dr3ybjjeJAPZxvaWIEts+OJ01PbKf8h9Q3rqNtVRsH7i3+WAMNNx+ticqfBpt7
O3YAY3o6NL0bYHX+rGlaA7JPZf2pL+Cr3CIR3mdla3feTum8FCcTyvmTQqqtjpgF0Ct02x10UY3g
S1svvNc9j+2FhW6Vb6cqg/QQz8UwBq5ciMVu2PuVHbGbwjpN7e3l3ejmacqma2qZ7sZq9Dehoqle
zxq3JfoQk1+90PwI5pxQbBtB2cEjFWFkc0EPbCZuhvsi8fkFTqb7b+r9+hii02FrRPprvfzFMEge
RjM6uokdLAaWvmoJvEdEcic22tMUoU3mmHsyM8NuYebQiELiwKg1rchP3kKjqzvn413m5HDehIqa
dV57BadtOprWGrMC9dvzaL3yWq9+mQKWt5rL5bRtFzU9obXqJ2eBN54Sw94LFMljbpivNyb2lkKJ
bhuZlv+M/bkn6hOPmMPtvmNFadZHaTbegWEC5EU2qS12cwQ7i1qWB4gKc04muUnJQ0fhncuplF0M
W4vxxA54PsJSkVi3vLrfY7MYfVYdGJhS7ql7pcfwLMQCR7pX2ftc5PKrpj7o6iy5/UqXK1uBptDe
ygIGzVOkKQtas6yKyIiENF8XSAI+gAPwkrXTvqT8wW9NXtXBoJ0tagX9iAtB3YAf0WIs0y4haN7i
4XKUKkyuCfi18+iBLUMTg50FFDKdgmSeCKwUo5utZ6W7f17FVr5TDfITb6rAk1yyK767RpHM8Rbc
BKj3hjzaHmhdw3eQKx5NtTiaKZJNkw24KKzQiTdvTGIi+6Tw1X21ZB/wxKPtQpyYaJxqjrFs74tu
ea6AU1malREYJgppjKX97SPUQ19VeLHlCN9bOor9YpEbKymLBiRE7A63f9dzWCb5T4EVZOs3Q4MP
K/EXQqxGFgxt6OxNiM54NvPqbZHpzkmKBxknf5nkJUAAnzR2nxJOYA3B+VWPza0Iw1WUgidGuo5i
KEnpAGg3ggC6LTsENAJ+XfGqe5mxKwO4jQ7LC7bFyxQYXPsPpraz86JJ23eozyg3LIrq0N93WMj2
GbcERcJtfhrod3+gKLniSzOjAg+NDhK/d0/IN1ydVTHsKtLMdxFIod8EpgD4YDBPyMk+14/cqi5q
nv09W2kLBxYh9GVqVNAp71dR8X2i9oeRA6b6jlcOTFY35UPgMQ7UxIyAo3UhBSar95pNgkfx6ELh
TK/dtdsOYl951ovwp7wi05I3HxP2HPK7sKPiIE+U9Yiz/JHaBvvY3XAJoeXde7Xh3uMRZJvJYplm
WpGBqY/Dx5gt5YYqS0ttcNL3dH8Mtr+F/ji/NEMvviOJCdjyyEcNaSUu9SCYbxo4zua+9Fu5cduq
uBR+Om1skk1XEIauH8z83+Wqs20NGRuT04klZ/1qu6ppA63j8SnTuXW/pCFfVztJ9yQj8yOzIBsS
aREQB1d526sz3LI6otF5NPAkyCbv9XVUbv3Vt5HzwRzTH7NoNna1FunJj/teoncYzg6slvhBxI9/
zVlgeEckz+euPKspP4+OvlQskojS+0TGxzzJr0s5ZAENHrd2FUJPa3+UNvRdg7pq6qkOBTde/uKU
gKbpjmarQBVH1fwmCTggq+W1jhDLgUdcni1hiZyzWsoSLOworm0z8YfwzNLXnr+LtGuCkdtKujZN
2u1dR4XBOP1H2XntSI5kW/ZXGv08xNCMZhSDufPg2j20h8x4IVJSk0Ytvn6W932pjCpE4gKNqkKX
oDudNLNzzt5rlwSHkdkBmyMgy5DJ5zGuoX/SvaqWGZYRA+lDOYkoxNLROdbRYjXHA1bV47mVtTXR
gxHhdV2Xsj+kHb/F4wK4CBBn5lIZKxDTRPQQkznA2tiQNopCJfSYuCtoMnsNLnIv2hDZ7qJZF+oR
Ypkmhoyu+IAzlJxgV3yPmVreAUgg3ttwK37F3pIf+3z0LGY7LHelTSLIdsQJd+ejIruCTxXseALz
+7nQPwZcf9tQQD+ONeBCXAXNauRtS0fM07M7kKEOfiL/GWjMZHhGGMN39JB+pSaiId6JfNy32jpI
XeTY98oHh9oCJTyWBho6RDREJkbzAhyMkYBgCCJcS+4dU3NTcE49AlfHs0tKEN1RMwGfYrC5Q7IH
SGMqUXi7gzvdLPh16QXVOqSBS8sPUSIdU8cPYGOVbnWIKsYH6KadYHnSXRu726bx2vfB2EVOOkMx
J5twQgS7xhHHS4c4oh9egCkhtlFVb1975GafgjSzgkfy19ytJ2oArCX4lC0J0fKXwAz84KooHFYT
0qXNgLDgLW6h7K2yWDk3dTh3ZK0h+t6lQbKEexTuZUMPqBguKYNM6bOpo38yybZLHikAJ2cLCJN2
dln7xaa1pvRNxzLbOVQR7jv1+NgfrcGM6U7ZLeGj8LRQqLms2ldyTuqHqgFPBYIr9N4h3nvFfUwD
Uz22WjFXAvJQxQ8Dm0G1DcLAlHfgtTVlH8nRvTkNmD+n3aBTS1+aaPF1mxDeaMYkdR6Za2JtcezI
b1eQUEgdXFOHRLskxLBMm4boaBpjkkhos+TX+EQd4qtLy+eMP+l5GGlmEOnLpIoGxrFQXkbHA1Uk
8t5qgKKVkMLsGzVgyc6pwVaeWabmanalyB8n0C3Wvku80Q5XYqgr+iGotEjGWr42BXl0Vwp40Vcs
qnKXlzpa7tBdps22CdtofuaohoGfPntSfvdVqx849BXePld+iLWxp4HUFrq9tXI7E2S7Z6P7hq+5
MneOEXrZMw5A3bJaBL3B9RzDWjErmk09rMMM2GdohZjBEqnY8Spyv8zamlQ+8fp1tKopt2zOXgh2
A/LMK+eIVVF/VSolyBwZm96wRZD0Gqaiv00YJObXEYBalDQIw45L2hTqVlQAeG9IRyjPFH+ZPlAA
jSy72YRvOBSARVdxzGdfZT7cKsgxPbTHke1ipp3AbhkERc7bqiTBAr1XGbFh1UneOB46hCjapnie
m6yvX0HaeSm/IPJ4sATDvglTBu81cbPhidQwWxyLuIumawbtsybhl3JrDU4/fq2KpvI2Y9hjYRm4
8ddFotV4QnNWtrDjHP+ABKyVL9h7STFVhIXuXc7G31MyOV4YhtT6ezKp5HrUHSdUzQx1C7wlO8Gw
6e7yUZQH+2ImqWzyp1aWocVOQ8O9SPuB5LzQUcuIniy9KHyvOLGODy7qY9Yw8qSdwlKEt1RteSl3
ix4Pk9uGyfhrwvBcbUode/UOAc7UfcutIYi+peSajydbjjK7zjuvPw4uHVOyg5r84kUfGzTJVhSe
DIoj+4w0ezpjSAT/17QDidhusYCxJ/ompvq5Rbwkkb8lLBeTkyD/WrTqk+sSD1x6axeSxMZolunJ
QTJuoNPEiikZtfKQ00AkteFQ2ilCX1FHGSoZJzpHQ0AWgc4b/PZ9kZML2aXztYWIu2PgrJNXaynp
tKuSPOS72gktBLAOEC2XfG/vJp0W/7Xv0Q6vrImY+JAW/EttjN6UU2if/cqUR5243ddIBq4H30Rq
gbgSX9hVsMCVTRKItlDv5qHsyXCl40G/OK2SPU0xAvnGIbLjvXQwOLCwYzdgxSHLpWtCNNvomat3
x416h5NCOmD6m5jVH01kj9+JhOrfloyOZozlLe+nLaxw+qFNBPfmIrsQoTmGbS2RdOXtgiLcru3q
lILlAKmaRT3NNqJdiomxCxRpkEFY5Z1FLt9Er7vxhbyJqN2lU5VeZB5xQmpHPSV+um9GW900lOLL
2RHI4DIIR165wnej8f2TxEOY0WDq+3gmfQEdGTF9K9FbZP2UJU2g7cCslh4svf3uqrW6XtHQjDz/
1obDHwKWSOSXimIGtiI8O7GPydI61fS0JzSm0noGqgaLgHiO3ofweiEox+tGMK6mjGsl2NiTnyHS
r2khpURo52mErMAOq0uctSjh4DlQgpEpsHVPXVM/ZTV8BX0R+L6YvnGCXwPm4P4Ov2kFQV4PmF0s
hptIYW7F3Nq0Myvby/XJJ711V4WoJtdND73qOhl7OZCi4JTx0ficEA49c/4tisXu2WkSwGgmqihe
L0Kbo6cgNqDYBfBDdJX3neN/uyXtDVFRBE7zPpCMLq+MQLp37tyLwrCbKwmJtGG0ibaP7J/bXuQ+
nusEBzj5WIRLkRowFdKpcN8NAerlvKyPg7gIA+2LkmaXmiD+RSaG8G9pV7rFLXJLhQo0EH6NGVjQ
eacVmWoPM1c6svV4sd2JncPM07tzgihmssK4YuMs0FU3HFKz+Xrq2GDv7aqh64XQqL7yirF6wd8x
cVQqrfY1t2W9zZLCiDfObcUx4XTC5FlHLtAXxNrts8FaHjN4cdyN3TCR3MsohMLlxv4xLZrwhwec
nx56b64AY4cnYprHay8RBaQcPoEiw7h1GuSdHbaPlPkebFCNnKClEGPYxZ+A4jlxDi/AG5DHUzrG
O8T07bRRsQYMiIZKIR9zFANY3IrxNhIYha/KIogvGRddv/hXrpIwuMYe70rHs4D5rdJ9vm+hDzAk
Kj372S8vqGYgWLQW5ZIU24wpZbEO6hlAPo5L6ricVWWdDrWXk0/XOOuYs/NL0nvBHV+TuR7K3f4i
M53jO4/hllzJ3uniPQfvFhExMRv6rkGne7R8BrMYzSc0h0BO0bpFtbYZWTjziyOU+yLjQTxkfcbY
fLxkENz4jdN0NzbpJuVNRwsm/F4w4WPlkB7rKTw6oqwOlJh0HOk1kcsUeUluJZsAG2WUs03w/B6s
MXHYchClPEVT4V17Xjda6Yq4Giu/mW1qHuhUMSj4iXXfrNrC8t44mQrrwbYZk77ZEEX3SJ3ylx5D
3fgdUS7kM/ZzJ37zOo4ne3TsZjyX6RwT+DJ5aHnc2cybxhD/Qc6tp/DoeNWDA5p2xllN7bpxyczh
Z6uwV1wtRTqg/7pQWl97q0m3FMXmzDMRDtc49eQTaSNkjtsUDceE6arHTFtHb9imunmDQi7g1eIn
D69COJI4OU29BQPSE4U0Wt7aaadSMWWSOnZv9UCBdALDWOhlBU5lRg9VR8kFIOHg/X+msREh13bo
x89hgAHWjosfrvD5z0pEkFvmWaOD5osj9CGcZXAEdt8x4uc12dpzX0dXzkQ9vc7Q2Rd3ae3CfqCV
xdk3H2sX3GEnGeNJO4PzUXlua6Hw0trDU+dLPLheiyYX+mXgbklucKf3ADzprSX49eSGzvH40ped
5ZQbsq7aN+jYpITXhoOIg6eivYq62jvRIIjTNUqIS7PAVTxwKlUNjkQBc9JfCV/J5KiVK4JjmSZe
tpYWO8aKHixyxNhzxy32ruWaFvDyFrXCbvb9XLu0XpqZ+J9+IbwKb9q4RrynrkuAeXD+dFymm4yk
0AUDb9haL6g9w6PvNR6LIdgq51zJsp4eEvyeVbrOoRPhE8vqyNc70QnTPBTxPDK6gISKiUAjQeUh
qAcwJM5wpB87XCPIkoQkz7BFLK2vPfgvwQapsoZQkVateK+BybubvuHUvE5hk8zIVUQS5CCovHI8
ieAyo6piqU29qaCLBJTR3qjnfpOOPJNMv0iazsnd5nWg/tphCow20dTrbymu+xufp/RAFLfXEeW3
VNNZWTb94HoMQZ93OFBACOepwl7f0JB3nWBqNnqGK5c3NZpaVNXjN4ZEcfzdNyQM3+CSzjGeSvIA
d5JGZogKM22z7iFWPcN0p/PLfA/7R+gzPXJ49aPnlPu4Di16AnVYYI0jtM4MmOUPro27dJtWaXWF
gCDfDrXtHaIJ2emmqOg/9ZOGOeWVsXdhTkbc5qW5IXqYs3Skx7bdIqxzdrTSRzRXTAJruDhpXzx1
k59l15ntjxUC98X+EcS1+EGjBqJvZTmB4F8HPvhe88LozdIAsommDkD4KnELRstdrp5xcqoNloke
nFhpXdkYnjnU0RusrI3JfVHChMtzSCAhyAV0PLIMvy5TO24HKB29AkcWLZA7u9KSpzpS9sWnyHy7
x4727OaWcb/abdzcIAhfgC6Zao88gbwTxkipg+5n7ndQxiaG/VVP3wZaoIq5H6nstyAGG6oa03Y7
XSNRp2vpj2dOcGn1DLsN1QG77ODhHew41Rg9swvUg+/661Kh3ZyrCV05jP9oXZGXiYbZWHP2QFT0
4u+HnqPase1UqA9+FQnzlF+cRbTeQch8nYZ5gglYQppKL8ppY04LiDLs4J4te2qCJUoeUIU36gGA
1ogfTA0+xXgQW7BqiLA243iCqxg35PGVHHueYMdRR22kewFhVoGlt9pNematC7tjS1lj0vje74gd
XPUDWsIMiXVW4ZuzGUERDkIIZbs13tj9VPllDp7Snjk1ng/nhpKUoCvZ1c9VEgX7RAun3kVSxD5C
Lq2eiqkNHrs+655EE8Q/J6AK9rsGznCBu/viB7LDEZV5pod7Du0xSJJ4QpCQ6XpkI4/B+zT8V9qg
onFqdVH8ZPWz9YUm0XwOolSFREv48G3B9kH+ug7hyT2EFOs/azugWcRa4D6Bwyb/KM/Gfr7LQaHf
mKDjywNNcMhYVUMRbZWplST9tIba3btx1WwLgTF0rUQ+X1kp40VyR8XwNMVN/DVAgSV2aNzj4t43
NoaSMMCVtaV3zKpmT5wjItTHT+ApLX2ald9PnHtywNxwrXRVgvrOiERh8sGszu6D4AavizFEudbE
BBUurbKrAgluTpgqwZq4TmIltj1JHVfSMIAG4EaqNrM89r0tcsBwuscUFLzhBMmfGUmPw7Zhen30
CheqP0Cg8yIZvZwoSd3iFDH5/BbbzfDi24N/g6PBmmlh+DPp1xJIaBCJsXsnx7IezdVS0xOqEFGx
V90mA5M/8oEtM3wh1gaBCiKehZEZmMEQy2VgIx4Dc7vQIGNZh3DuI4hRlVVfTeTlVmsG84yC4r4d
mQsSTUWAr/bdBtow+rzpdhDBcDfUnXcrk6p4dGEZhnfWlJFIK8NhIifZeF0gNqUwLee+0ATVVkK9
jIHr18kh6Y1+iRXpdEeG9F771HJ6wXSey1hsAlJjPEppAz13hQ9yBDFjAecXhAkewkYl33Qs6met
GgA36WB/z9M8OCGDqX91id1dp4mvrkweRfleBgORSAHmCNp1Y5H8KOb2gm11lmggYsdyb72Q4dZt
G4dxQG3Ikfhq1nYjr9E8t/XBGfjGKLYgGwVxiUmrmvykhoYsXeddDZ11xGTfji940gKbtjsFKRD3
Btfxz8pn878rVEGvl6nEUgU/tGpVepOPfUqHSYL3IjqALQWhXehM7C+CvX9TEhgsVgHgscMwLMlw
Q9mBmhp/PCXClKYgDIkuNQtRwQsnzaPrpmhix9kEJJvPQ3RuMJr1234WGSjxJXacO8QuVo8klSP/
aSIkg2vMKWaZ0PHH24Ht4UF6y3xHYLBr7kkYyr+UZURLdQwiF+JDYhIMaJffDkAtSqUSJ/Omxf5i
nZUEeFEeRERUCGj3uQnMg6UCMMhWqgHnrQbWHFldgoBT8PM6DkB6eKGuUKV6I1XCisHpaEHvMHqC
7cXnPYWQTgls0KYvhleLiWDsrHVnsIfRjkqm6ECvGVy0dJbL5FcRa3pt16w+SBhpyNFGmuOXCKic
wV1eLc2GuToecFopk/esCEGDCI50JL1WQet1CbxAoDNmxZYVNNeakdOrG4L/f+9gROR0SqqIIr+Y
CUZNYTqAjZhUhccZADyVpdYZ+SAddkzxWhRNB7ZlHuLIvqGM7JDu5bg1GaI7lcrwSGAcQSrnq8Wi
G48zlrkVvaEj592Jm9dW7qEQJU6NqJksIvB8fXRcL2vBh3AqgQYL+MR9vNiOzU9QucU+GrXZOzUl
909PXx6SnkiOoxdIJpODSYrvU+rIlOJeLJuBcHNvQ3I3T+PY1zRa457AtW/LiIP1kFeUH7eJ5Znq
Tkqrr3cN0rBoLYZS5UernWwX+7Uq9U0WZQgmyd/DeEJKz2Hi+QeL6Yyu/VMhyc/3ONlYNlNK+yt3
jKDoJlle34GtZisPMzPdVEwM7GDVdFHtPuUYLtUj7oUij1aIn6wt0jZkhAaSFYK/YHxlEgiLIQls
ZPJ0jCK0HMaSNzlH72fBGaR4WNIyeXTp2FK70Tf+TjQHRztfRc2DaJu02pCt4F+VvNdfsDsuMJPx
724pyGgWMcsUU7bSlB4TJPWqcK+SKuJvQLmHLUjqgg+os7Uac8t4LYF9Gi9O7b64wpsPoAkUbtmS
WEKaec6q91IIv2VWH1vHZNZdSw2EhEM4erqrWE+ZiDJSKJbN1HqRi+olcJ4SUIAoopKgzE8Js/N1
gDC5N5uxSGVzg5o2Kb6UMerZd+W6Q09sIaL3tRu23bjOEtsK72MLgxCTdcUJAT9sJd23CqSHZ60i
+GPyFRMQQzJEXUF2RHxkbuSkgNowa9BfAzLhQixJZB0T68Nq5O6theZFQZVD8/7GEmEW/gwq+law
yliUweq+G35R98Br1XQkFxS2qG+cluzjl0HTAN+lvTQCE6bteVvGUTjnom5ctrgQSBv2mEOBe+nU
4l37M+QD8BSLd1OSquIxBpppfQTbnH4O8xvAlk/0u2L0a8xBOYT4WPJxQjkUURUmCC/rT6mPZOjI
gra4ZwK86wg4ihW2nJkNc8ScoD7nLl+ccm1CgaSRA2Nc+s8tXSoqdVN40w/a58hYqTxnVAu0G01G
G5IQrGn46QR8w7VQCT2KYOrbpyyPS7Uu6Aa9zazFjEMtNy44gc3TU8vh+j5fBos3K65f4eioQ21E
v1zXeqAsTcC97lywC9GzEvZEM2MRmfuDGkNhXmO8JR/zuPZfFyIiomgn5QLEY2L1B/vhiQwulgrT
p7KqovCux6O/IzIDYHqbLY+9gL53SWUeov5ZTbmIt8Eww04lpKwuuwe2nRTBc1GU1ausI15PXDDx
F5YY/62dR4+GS74QPkvyuLoXlg5szAj1MNBRyxcEE4VSDzP1gX3siMZ4r/zeT14RGEEwm3STkRnt
h855qEKJT6jOKIniUb1JoulP+JDx1HJe1dFTB6/LfyCOlGqLNyf4Og/TsA8cgUl5MsVVIy6Se5qk
+SsH2PlA+xcXpe+43ZZ4ZlCJgP07SGDIBuabQs/NK0aJZHrM/Hycm1U1SP7JS4eUpiNH2+8ds+yL
ct8l5wpGDeSk3mCsK4vG2y5UzBheImrB9dIFTvIzBDh5Pc1kM55EGlTM6rLONXvZLxxAofKZfZz0
KUOZpobvIjm0YqNl6kVy7+SqdTm2/i2B0By5cYAw2c2qwv/CyNk89EoOEDZ0MbTDlttv2ddl4I3N
FwHfx3oeMYlb6wXH19qwSKuj8EQD/6vyrIE8BmeIf3icT/NjM8CLkORheNc0s4fm4GBQHjZA5gq0
UUGbmTs/8EfccFRalv5F/0lj7LYgLZhzjma62grPw48IFhNCNvbikfGqtvLo3rGgu9nJRNbD1lra
2j9HaYOllDNMuGbECfgDdBfYqgTPnLXl83nmxox2hf7YZ2UmTwE6YRVS1m/CRfvfF0ZKhDPzFjxH
YDfQWWRwl/FTWERlciqU+bpdijHYUBNJ51tQYuBdw05mSgz3x545DKPNZ9YEwQC4EE5A2gWMyB6d
ziKmomYKCvfRZUw5ymKrwXT1zJQ86gBgXGhOZHxh1Hp2hxWFzm60Gx1M2gMAU2ftMI17QiNvZ7uU
08llQm7P/tcS4CxYq1jW5Y6hdIiBlfDX0zRW5XPRNQ0Dj7SfI5SVF2wn1S2Kvl3MARWHbw9UBaRe
lL/3rGDTnZ8FMrsSaZ907c6ejWe9GrBb3hfTB3AZu4h95wR1C3VeLfhrmni0T58gHOQcjDk838mp
t7NlpRxkXD9t2025bywsAUBiuGwLyZd15wNi4Sd+MwCwl1fcAm4ESSct4v6xIifwkdntFBGh4Ee/
AGz32UNd+wq8N0qFfW5xDzkVe+idiO/UwTsJT4IMAieZv84dicZxHjFlxRbqrPw5QoPt2RElBAOK
CzcpitIb00fVzzz0AxoAQvNH7AbuzvUHek2X8fd8Qt6tm9cmmcKfjPD86uvIRkFMJLpujkdW2DRP
JWgGyPH0AM+hrmkNZACC2D+kv3zNrNhgiuNgh7GPFHIyawyLju6Rpd64kz0e8sU2V008ht0TYp/J
OV8gAc2+kx3Igo3p65k0kT5kHVExjvlH4oqK+JERk+Sadobn1LFIq9kTVuH+JJmIQjT1u5jRUtrv
6sD37mo1ZEfpZfW2Fqn9zcPWh5ceZT5yNHJt6mt3kSRT0RZDoLXwSu7wKdg2Iqpk2YuqpAjqeTf8
ybFo76iQlgoNJ4Aatl4eGguZ1UYVenwro2IK9hlRlTPspjAgM8FJ6UasQbKXhA+yeIBngOIfyml5
KxmCIRQV5ZLO2CDY29fMpNwL/JITxmqQ2jdPDOj85RhhAM0oemYf5BrrYn2I9dAwOprNDePIssGS
o0vnex+75tm3eqEA98yjXhDeWPyLXTkP927Z9NeIeLwDiTkW3p1MIrgoR1AEc+AFl5Z/CeI1KIfl
1elMAsTKnsZXGz+0psOEPdQeCh7hhPuqDhyWImIIy+CRARP3uLD81GIhCzT2zpLwczy5RSqqxygw
BRF7LHFIJfuK83UIG+WEApXuYgQhO99y3FrQYQTKOOsMFW65r3qmoBEaZAUfHX3hoXAnnfHeD43+
grqySju6DWlNX2BZEE46B4XdgCuksx37Dyhgk5ulLfIKsIE/WPfD4o9EmNWBa99NtejsE2sZJkKq
sOa9IfvmPrMtE754prf0BTkhm2McSrmrMWKcCNWdb5WamclaiXszU1q1b4PLDHZNJ07+oMtSJc+k
MSzPteVxaqMW9NaVz219IA8xeW6Z4qzRwRr9g9nDYk6kZQZXRU+uzhrmacAcKiWICCsxyQZXIPez
e/YFrEmUBI61Tbw6YHqdFvgad23hLVhYxoRXdDrVIPOAACs6v2TdkYJKdrRwCXcAhRqM6VrknB4k
QpcBB+Uh62zXSzcR7ydH3UL33mM6Ullu2n4Zqe6d2bo3/mzhMy4uDe3rBTl5tB9TnDrEKAV6eBdg
F7OnuZ2yCASd3dKW0GOATQajFd3kCNbUtLMG0jXttUOcQWGtemWYw9Q+WSDA7I0M5+GMGSBa6l+e
3fQDtsXBzNgosUV1E33LCt1aOW+GOi47+xFebkrid2gx2m+fEgdU3kvnV8N0g1DHMtGPgMN2Gu6Y
n/GCofmekMvv/R69MQlrBZbeW2q9hRgO5dlBlAOyAARxIE8E64OeqT5v6en7y6avZPWeNKIa9qmy
agZIonZUv0/ZyHrsehMGoXLtFUg4nQPjojj+Eg+KFeswkxY6m50o0cfp7te///W//9///T79n+hn
dV/lM1FG/wJ/dY8IpGv/699C/PtfLOuX//v447/+TRkCpVJ7EF04tQWaDhd///vXc0LGG//0/3Ky
qOhwX5mvodvV9YbKZ9zndi5eXUk9gdsPnzbGeWK4WzuYqV4an8n9lDHXSpAnff5pvN8/jPRocpMV
EeDpdIPLBPX3D8P0bnZH9v0vmUDusRHKBG8CT0u3lUMxF3uCVLAD11nMkeJ/eGVM+VpL23NcB2q/
o36/slTMgKzYGl85K2b7ppiJZXERx3meG11jjvwuQgBXn19TBL9/XQfgnOMLRc8cBpxHnPvvF0U2
RSvJQ+9NAMjY3vhO7wKO7JQuVsxjGT2tRl4blmbTanGvJb5TQPg6yNmdHY+2kGGauiHntbIPLm3a
lCZW03MoIFLzok+0CLjOptQMj6PoQ/8UFRQ2159/iQ8/mWMHDkhhXwdKKpRWgf/7d5DcoEVHg32e
PTEgTzLTO/S8YdtKG1SXw6HmbZYyOn5+1ct/9S9PrSOkLQhYoYvJg6KFujzVf3lqq6XNYh261SOo
R0IsTOkX10OGsxAb8dKtaQd7zJfJmD3GPukcf3hM9T9c3VGe4mmV/MmWv1+9RyvbtK1dPYbV2J2z
wtGPUXuR6cJH/MOlLk/8xy/q+Fo6CPPcQKnLI/SXL9pKx2IgoKrHtqOyLBF+rDETNbs+C6Zd49n+
8+c39uPPKaTigURv6GueS2l/+Dk1wJ56wv5wJnUS30IcXMYs9DEAyyXlgYY/cyOX4/HnV/37DeWq
mga+EpJDuLZ//5b0OPiiDN/OVcYRfbVY7re4pYPN1Mxavv+Pr8VjSmfM1wLu6cc1hmeztmmxhWdG
584zB0W4JdjRkks3Cjfd5xf7h9upHCU8XwrFoNX78KQoTOAuretLMNDFzg+97ut8ceOAApL41yjW
iZXMEzFvP7+u+Ptzo7iw7/Irso4GzuWD/eW50RbiURnk4Rn11clYTpPvGgcWb0SvhVDtFkR9Mi7N
18IVr+qS0bPO2o6cgRBiRcNq62J8GKnnAvgv9yBLnoJgUH94if/hM7oUnHShXZqOtv3hM9axicYW
eMV5ViSTrOLCpS2HX1pdlS25j0le1a+f35aPCy5PtydZp3jOuCUsIb/flZhqefFjS50l7zbCQPwD
HU0B9NEuBGcHitRBuRbTe+wn3S4hEnf9+Qf4hwed9VLwOehuCdf58KBng8Am0kfe2e0necxVSyfJ
5CFi3KH/w6U+7uyskeoiCWKdRdAGLsP5/ctG6RT2fmHcM0C7YGPw1e6Q31MTMs7fl6m5Mpz8Vvhf
nY0QIZSNqkIc0CzF4fPv/Pe1Wgci0HwYm29u6w+7XEeYCzr+SZ+tMZDwbidfHE2ev+Gm56RfgWId
cnve4JFN/nDlv//cbEs+F/V9tnRuw+93IFjGJtBGqTOSDyaglp68zUT/aecvmb5mKHWXozXahb17
EYf45urzL/73H1uzPbE1CsGRArXF75dnh/LxDLTiLFNOsiIdqwnoU7xsnKQdvn1+rb+/S67n2QTV
Kclrz6jt92sRMU3uRuuHZxs5485ug0tBF+s9EuluXdpTuv/8euLycv62MXloKx2PRQZHsg1K6vcL
FiguBt8umPJFljBXhBumzmFg4klrOAl1s3O70T4WxNwAkZojYu68xXWOM6F2y30LcvJbhdjeWSFs
9b50jrQMr34aQlQ3cXobxDq4+/wTf7hDrouenXfBc23+6Ijgw2M4tHMPMFaUV3IplwO8sOZQWYXY
MIzLz1Fs/+n9+/v1HFu6/CRgewM6th+uZyM5IgA9q5lOBiTUliPGdSCiIZx/BhbQxf3d51/wP6vX
X34SviF6Jdv3oHn5vP3Bh/V0QC9RIWCqr5gjd8+Bsoq9UrJcu7E9HRNncd6sUWXkwE3IQUzRZfuF
yfXGpn7ZaimnP2zqHxeg//48HicGHki4hsGH10/k8FR6CU4JvUxZxGR6Ns6PMTVh/Cs0jOCOTTxd
GD92nu5LBDNAhiGjPioCivyTQ9rp8x9u0Ida5z8fCAmS7zgsh0xVPryQjOoEcsmOnyQq8mENEBqR
giKniYdTp/Yd8ZGIiGnMAjMiqXF2drq37F+5kUm8GQrFpPHzT/QPz4jwgiDQvi39y+Py+0sU2NbI
oX/qEAO4+S5IxfwIW2re03dwftqChtHn1/uwFF9uAPuBCFwXpbO05YdnMuuJv+lpc1zVEKPBBkNx
Gm9k5jLcrh00+Qe/btzptqGz/US65tD84RGVl1XhwyPKOZZdn/svOIN9OLe3fU5iTBu3V/GUz8eO
iDrAoPb0EiTNLYd9BUYrvrvk1v4oLrMayl+HfammXe4SnHogKgm4OHOdaeWhgQIKLPxf0QBgKXLH
dBXGbvI4O553SJwcJUhBhxHJ7NfPb+LHH82nZOYHAwap2F5orf7+o7UKliFVe340fHTSblwNvMZL
7tj+vLUgruD8+fU+bCOu77sq0FijbckwPPjPSvyXo1wsm9iDBW4dfT8YbEyeNJ8n5ox1hNdtlRcz
m/cfnssPizuXpBply3b4nsIW7oc318WbQK/f706qs83Bo+NN5McMr6hT7drV9bSFtVj94eH4sFtz
Ud/T1AHClfpCcvzwcJKWNxfIPckj8D2fyWGBO03fuTnjkkNtm2beAfyyrOPUCtMxsEfXsE57Jj9/
+PLO3z9IYIMckeyl2ufU8OEHLm2kPQ2erxPJPvZ4zZwt7s4FcvKCndvt2zfVCxdbb0/Db+NEQHoK
OGvdND95Q6Lb646Bq/1CZ1fTIIEibCdfRueSloOYF+LmbYrILzvXEDnCjc1cLfjeKsCbW4Fkn4Un
7hv7bIC2xlSwNVI5gBZA7JFFdzEnNDMnBEUnoxH2sQUNRLBPoSZmpnNaWZcaNLGT09gX/UB+Y4K6
fo1PyoqenBEw83OKtj6/52gNjnAap6mXK/IjwHJ//sz+7R2hNg+044CqoZyT7uUW/+WZlcj1iENA
ouS2JcPRLBzdFdNFaDhyMT/oqfh/+NEuD8dfFxaefQZqthT8z+eXuyw8f7lg1mLdJoqsONnj1D3A
yjWPZKJGf7jK37a0/74MZbXkpWCn/fC9DPSWFL15cUKrQYwzTcNjoxyCWtTgkPZs5NEqYCyS/x1j
eyKuJDdFu/biOfvD2fLjSs4HoaTUyGME3ZdAfdjrp8yBd0k6wCkK1Pis6jzZlcRSn0qC+AYA8xcE
ZFKZE9Vu/Yeb8A+vh6Qr5dIp8KgrPt5qAZivMokgMgRn4doty+SuAGO0HS9P4YSn44jcxyMnkvzh
/8/ZeSy7bXRb+IlQhdzAlJk4QVmyNEHJkoycM57+fn3uRARZRPG3XeWB7Gp2o3vHtddKqca8v3+1
bnxp8hmDe0VEbxpvLuavLx1mjT5PGUDKINdAvAIHzX4rURY9foN1MG0qbhIIr2ovYoV+KDqBEDlf
emYyEWbT0X4xHH+yDkE8BN9A8kP+f39nNx4NX1RAk0jMBG/M4nLFTTiWYRaGXmOiiGP2zRPDgyDq
O4Bllo4cxv3lbl1m6Jc1FQA4/3CdL99MrSZTSzcs9AY7xY2OSY198zEe45gcYHlAJSUtodiY4vI5
8OkOTE6rvVPr6tf9H3IVFXCZqY5TchK2rAAvw5LeHAEP1EHmwaCqI60+itHxmNMZk39MtErnTYVk
lfFjbADtbUme9GhnFxSLN7NjKcHvRIxq+c7vdNhWYWqpZ1vZ0NmwjF2tuYFubApiydiLo3koX2cQ
Sf27ShNM+rsqHEfNNvM71zgVuVkDwAFRCzfn/Q1eeXCcqUGVndCTUNgwF1k/JJHoR+sUYhzA6n8k
Weyx7XvYXcENof13f7Fl6Qc/ymnyjwWEmKLKMvEA1JA7EU4C0rzUyA8htEK/GPGEJTtxJvuEURNk
o+hvzgcd2EAlhbn6zyVqPOkz/2v+SQcL42+F00QvCGZr5QENX/1XTAyrrVzBGzeenIySu+CF2VQA
FzdwKlRmepvIgwpzNsBpI1VrBqL5Ys26U7y0NDX+u386N+ymzalwLKSAhr6886Md65TalcQbJrff
IStkgYgVkRdjxg6loTfPjREgc1gG8Zf7K19dAvTADWhUMds4KJoul3ttUg1RpiriHtqozDLFowcZ
wM8uespAeb/cX+yGkSTAt0i+mPAzqKxeLmZYDANoZYWKnuGM55b5yq02Jf+DE8JO0TkSpm6TWC2i
+QGBhz5i4Nlr5oRqJgBnsKOqpqDhCacSRAodgkMTODg/zfb3N3jrOxKaqbaKvZTF6ssNzuBy3NYs
Yg8xoZTynV4cWyiHd6HD8lnD0CrjUeY20OfheH/l69iYloO001xY/IO2eMxg2I2hc5PEax2zEO9C
hfLPHlGU8JMe6DR1R5QakbYoRv/xqytjKenvyfKZ27nccl2axlQrfuyVyLvsk6FUNhNo9udxjO0/
IxJ0KGEEBTMt1FrLFZ9/dXlloZzivEqjkIKaIT/HX04X6HgQOd2sezZDdNuC/+rDrPtQAcZqtpJe
XZ0vGQ7dSI02IJvkiV4uZYHpyKkP6R5yzjoTeGg6CSDnm8Buxv0E9R4tXzV71BBxqHJVvBD4fuLW
y0XrFLj+pBrCS+HueCLNgsUKTaBNPrfRsaX3sXKe174Xl0CiYzvUz1Qb13C5oC4ytHOSzMLlMTrA
ZCTi4XH8X2UjQ4B6ybTJo4zdlznk7SGTHkw66odihLPmwdssXZMmqD3QJOBaLS6VaceJ6Qe+6TVt
5R6bFmQntBT5zqyFsQGpq37OmU9b2f3V45WL4qfk+2FJd3HakQ8l5qj6hpc2sR0C3u1mwDID8frG
JXT3IDiEjVpYmTjVQFcfjexYnVYlkYZO+IMtvjx6U9VqrHtswbhEI/5bLRAPgP2jKF7BZCVwZAQN
swaPHzP9HxsbSROP+tzlmrOChGMW9ARzqIYxkFLFe18p3HcOYifHQFK9AYjN4pVbfePVujKSpNNl
6hpfd7GqRoNjCFrTm9TMUGGjahqInQKfYqwWgqO9v0d5VS5SMHmu0EHyhHDmuJ/L1bJUdLGi5KZn
lliGNhT5lqa9dojC6acBmaF3f7lbmyMPIFwk8MChL25uxyRbBPmTAWHElG1bPUInTwXPksNOsJJy
3LqvsrZq6ITLRMqLwLzSqmE2abB4aYdKhGp07kmBrfuQi9w4t0Dev7SRpu0oXxbqysXRbm7TwTqR
c5FwLnsYNdQH8MeGrmdAvJ45oJvnstjCjDPWm4qxEn/vRsDQ9khtqGjrot1rohIRuJNL/as1bDj6
fSb2N/y/MRyZ0OxN6mHO4Zz4ArrC11fgALcugYBHAetGjRUzfnkJ/Nb3gzpiGHh2ACH2gD9hyhDZ
KY9JaaYwUVbO5yrQ4dJJ5AQXjrTJFYscZgaEX1ZTALl41ra/0XOsjwykZq+P3zXHVjXHBqbITVhc
bbN1xkpVa9Nri6r9hMBS9tS2sDtFzWyu2Mbr7031QjMoUhLCE+AsNoQygaXASiEIUHt164etvu8q
E67nqDdWDKG8tpcPVhZKVKaOHc2+xrwkgdXUTAMKoPsOcKsAGmShR+1XAOL9wScC34Ok93eTUTIf
o0LKcv9Qrx09ywt648COQCW/3fy/YgoDsiU4J3LXm0Jnfk5L8yUpIbqlxOajRA/sUA9hELi/5vVL
Zk2QRYI7SmTsLMJGyBjRA5wkXwWluo/qPEJjJgYDfUaRv1oFMsvN0DOAXSi/7i98fU9l7MTNkc1I
iTO6fBeNM5RVBRrIs+PMNl9Ks4EgHbrkKvl6f6Fb90dm8zKpooywhFL0itVXk4G9COGH8JDuLp8j
O/xSqxzt/ZVuXR+O0ZRVWz7gMs9MwlaNJj1wvDKsFRBsdosaZVTHT9owQBmX5FX/IUlF9n3o1PiP
hW/8cP8H3DpTGURQoLF1koCFByB3LRUlm2wP5qj5nQ89IEJG5PuP2xjyNcJDh5dCt2YJNupjYSoC
zgTPCuO4h9m0rZxjQnnxYSvDOvhP4HgUnWmSXN4RyrezM5cCYUtgpj+EOedPjBLV5HDq7/snd+MZ
EOw6tg7wT/4lL9FfT0+YoQl+2rW8sZyUva9q2YEa97jt+wpxbbBnxNioLlu0Sle+2a2VCf0wObYw
+Hjyz/9amT6PhIdjcxgZz75DmRTv3LxlygN/CmVtLLIjtH7dDkzZWvPpxsugNkn7i4Yk4Ivlyyii
nnnSsBNe6OaMYSl0t6Y2TXbd4ETH++d77QUJt1yGPDE2KgWVhb8IY6V/m7v0mB2mjeVP0XDKTIoq
1InhWlFQCry/4A1byrYcGkT4Xf5eHqtSDqIsY8yLFsCl3FvnznLhNokMFBSHot4JaD/uL3lrjwIj
o3FVuUWWcfklyRuGCl42w3N7OLYDALRPps7sgioKE46ZxF0xN7c+HxAHypQ2OSjwmcv1YMSe1cmo
DM8wddAF/CJIyGYESQbncVtNV5Zk16AidV3WiNpprEq1N7y5sNxvWh/2O8cai5XXfuslQPVhURTC
pIhlj01vNEgAYV/xygr25MrNlK9oAeS7oC8At1uN3mxhYvwRCf9ByCaGhTqEIRwHnJ8J0m8Ro0Ff
nyDQR6CugfvNN4zB2l+bwv2ma2CszZG5iFqmZQ9fF51wELpMmSQYtjTmfz/8ohVh2SfUQClYHdsg
CXamW/ifO0hJdhWzmdFKZHjjfuqwIVK5d/mQ4I4uF4SdgAHugSSzbxsTfeuoP+u57p8RJqLVbjVf
7u/vCn0hTxWiVxJKiIBB+y3egxrXkxW5neFB6tNurSCG4gao4S4aBsYSRmKDTR8ZEG70piBV6OuX
Qg75DPR+oXYIm2HlwG+4Z50CA00inBfPc/GVR4QWp8IeDA9J24auuYO2+wZMCiOqNrqQp3pwy0PD
HMOpAon10bHj9HD/SG68WHJOiUSBNwdAnfxCf31y058dP+pqHSmcwT9GdNO9saqbfVgVwcpmb9g/
QwO4SsvRAfiiL1wn9IEGBKWd7sWZoz4xZAIjatfZX4t4jv5MIp5eWqNXV6z8jRMGNA4AgIxAWt2F
0W1dS/RitEwvVyHyhVHc7WZ0IeBw2aQVirKbHkrB16CF9mYLN7t4EuYQdis7l+9mEcTjT8HxWPTD
eMuLzwz1ZAxpHwnQhNri96gZ/A9zH+rz468J3IxFuVW26SGZufyWRTrAwFdohqf5gr5LB59pUTY6
k/lM5Bk5nd7H746L9QWpwtfEVF2uh0LxgHgs3a9a0bLfo2LaHvrxymvB6MGK77xxTWWjX5fZPaHk
EhQKe1+g1GZqeiqV2y1kryPClS38yYEewl1+f183rBLBBxAcmYIAnpef86834Sbx3BslXjMDqP7Z
7cnqNsz/obJkoOGAzKvr+CtL3tgfl5Mci0eIT1teUyZiYtyZo3vMbqnPdWGVFPsa2Pts6E3v7+7G
i6CUaVGd/v/Ww+KWNBGibn7sI/OkSYyOBfPGsAlQBd8xOceIt9GP3xVjsA8DnAakmJP18f4PuGEH
mJFzaLbxGkBfLozwFKUij/yS0cpwmBXG4w0JfYP0BtoNfdTgJwK5k2wZzHKqlRdyo6SLtWXECdA1
SREZ7eWnZYa5aqoiTAmDLDExJuhDNKfaqC/NaGcj3qU48PNFYfI66Fq87R2kvJ05dP6YrbD398/h
hlWglUqKC8qZi/02efLXNUtGRSWrVpOnWUm0P9yMbFumsfV4MP/3KstKag8TUQc7fvJkqbG/093R
RPYDVujWyYqvwnI/zlFZe12Ur+G4b31mHIvgJdHhYgzk8qjNHCCny9D608BImPk01dA4fHYDS/tE
0zL90Y4qNIBCS8W4ErTdeEuy+UO5hEQerq2Fn4lbRbchpoyfoICoT07e6Mc41tCsCKI1//3WSFpY
dsd5i3QdwXjQMoBpB/7MQOniSdSpiZgKqFZUe6IsQ9+iK7u2PKPe1/mHAJlIdH3HHJj3qaoYOJ6R
jmaiaMWdX5sucJN0f2TNXsdMLtw5QU8y+1OWPcXE/RUSofUUbVVivg9TaQ3vujZfm/K5Pm2J2sZY
MqghoewLc8JUVGCpSowkbThmxzxVo31lZc1O6OZarHJ9owzLpTwj57CAULuLD4tEa4vKEGNtsV01
P0MtymHy5InC6JO3zJyHerZTJxfWxPsP9cYWJZAQDw6eh8mZhdHo7bKL0ZH1vRFCuhpPWmcvXRTm
xbZMElr291e7zjmo1NAO5u5qDNYuVzOYWUV2BHQtxLbOawoV2t4vO7RiEPmGPXfqunarlxKnTrnb
/3V/8ev7QztPDiOwX0F1YWGbCyY7xID+pGdFGRW+tJs2tVX2zNjb7iYNomolhLi2gTK7odNPiRFv
cDXZaGTQ1yHK47V+RRHVSvXjAIplf39X1x8Q12pTGJZxIMNLi1cxCB0KXzTMvYmg+n3ROPOrwgy5
l7a5u5bS3FoLt6ZStqHUTWR/afZEJNISvNPkwTEkgR0ZNNSwfzOnnKwVZ28sReIkIfM8JrBei/gr
Rsm+HeAT96ZORD/R2krf57GS7pR5jlcu5e2lYNOjEwjudGnnUOQoVciuekYwivE9jCL5SS/MfA+t
+Br++cYVZERCQk4IYmXT8/IAnaZHq8/NBq+H7evo1LBnZ9EA5qOAIHAe2m5la29TEJc23KJtLgE5
gqY9rI+XCzJJrIaD7fceeoIZYpuOFZ2ncPQ/FWZlfUd+Qj3WhQNXX51ROrED/NiuzPThpKeIzWDK
S6RoEd29f2evjZ2FwSFzAYxEDW5ZCctqtOH0GMUruA5g1dCnYC86P/FCuGQg4hiPcIM+OOxF0YHZ
QdDLFIqlOV8G9F1mDnkKMadnQOD7jwKi+etYhTBnwgZx0BrE6u7v8catkqEBAALGvGzMzuLk3RFq
nSzqvAaeaC+HD/lMjX8+CdFox/9hKWZhAC6Qa9Olu1wq0rqxD1Ot9eDpSkm3A/9sKIF5CEnMVtpr
t3aFmTFlGUXWFhf3CQXuDuKruPXGPmreO4rmHgl4tc8UOpyVA7xxSQSFaAon5ETCWjY9I0g2SrUS
radWI4zzSu2eBoGiqgjj4aWuJriq5uLxlJqCG1+LGBqUCxnn5VEGblM7IlNrrxhm4CY76E58oGgp
so0Z8tQhZMsIoI3hkdY9XFiFa6T+b4hZymal5XvDUhB74Zc1QIlUJhbxQNelyBzXBRhwCH6nDy1y
B+E5ryvI6EhyFDhQO9NPtw9fJMfAMElQE+su3bNoJgoNs9l4wsjG44Ts1iGCBOZkKhAn3V/q1v7k
EZOGukSX7sJtoco1JuhGEZ1Lwh1fdX/nc+Tvwd1NUBgo/eH+cteBh0XXC+9IU4oO+hJNq3c9aWNo
1Z7Ly4eNnwn3Cb2MU5kXH9AXik6NlOqC3qdZeZs390kYQAJMEeEKeAFZYT4piPN6Y2NFn2H2SP8Z
bCvYwb4gaRXLen9/ozeyQCrU8tUQ+QIJWLqYmDCjrNqy9yymsACgxQlC5SlqYttpaKGZaWoUSoIp
cqCWzOaRhCkL/k1qJfkxaklzvv9rrs0Fb4nRIllvBam2NBfhBKE5dDQzdbdqCHaIsM2vbp9U01Ft
tGLtTl1/ZPlyIXCQk7Xybl0+3j6s48lMK9XTqgIpsziBB36HUp3xZYJD/LNrQ7mN6lSc7OouKVcQ
j9fmirbAWzcbu4i/XTxYoEbaBLWS6tEjqbaiicsf2lBHf4pcgVXGlVLBVhs7Px8+YKDoBNSUVpin
WuIsY7haTWtAlTfQIJUz49Z5l2d6s3OCJlu5yTe+JQVOgEuUqogAlxAip7Gq0LQoTg1FYvzIxTid
IU2BfFCFfO/+ruRZXUYtjKrLGS2T+rnKx7z8kAE+UnLqT14AYvpAW9WCujm3TinovxOatwADGgUM
TFyOsEyU+coburFTAfydz4kvIFtYOAEHOt5MDpV6hEzFsSEV2QzokmxglVsL0G4sBXqIbggAKcbw
lk2lRlUMYs+k8krA8HvNndJPGfJIKKDW0YoJvHFBKQrRF6Q4Rcqw7JfVlH9Qhh7ZFcyowPtHpfHA
vGeo18MS/S0rechPNc+leNiV0W+FVUEjv2Su3ZFn8FctCHxsNIUh4o8G8iDAlwIxCYJrMc+7Fq68
X6VbD+mDw7ZgncHL2IZJSC8HqRZrtmgSqihi517mDmV2nCvVzQ5VmMDqmNkdIigFVd8VY3frgMFn
yaarpHZYYjipC5Y989yZNyfIpfqV9TOCLnrjdMwD6nb5O1dQuLv/UK69C9uESAL4g/Sky06aNkr1
IdfPvLoymhd7bspDO+oZQ1hVdhyUZo0+YLkecGNZ1ZNTVRT1nGVUonXQ6dqjY54nLS0C2OkNVCzR
tw2D7jVu1bTLN7JFpa7coKU9kMvSWpBtc8kVtMxx1aLIQ+aljTM6V01/KieIareZUduQYXfQxuaB
xiBcZjm7kAb+fnDGYX//oK/cKpcfnkcKUGBNMAlLVHBdocI7Z4F+RjuopZhbjfnwubbALx3cOarU
9yOKnfbBV1zfP5TQhiCdlZZJ8DKU1Nj3IeT00UosflWg4zdRsDEkfJZZKMYlLx9WGNgBINZyOqdl
ZW2KIKifRjqrW4uxGaAUIUI3TLhuHSSlqOElwbFEYu3RlFb+CFytDOGYVAKjcvkjNDy8EjFNch6A
6eyFw4KIiY+eEO0vFTHjlRB16ePlchTWST3kPD1h6uVyoTmhb5Tp/Tm0h7F+n2RuynRSOKEEfmi4
JrHYQF6bINyM6ls00fJEFWHlOsot/e2e+A3AxihN8MhVkH8L9wRjfYSIhtmfkcjT/7PnKf2a1mH6
Wjdhv7Jd+QkXS1GA5OaBcqDAuZxJnVH6U5vB6iDJywViE1Wzt0nAVlzD9bOm1EL/UMYRGLBlzOhm
Vk4nfujPfV9OL3XKWC9UFajSpKO6cWC329x/TTc+oqRdwcnKVJy65+VHdGPmM3Nt7s4GX2/43CcF
8XiXGdOYoXaY2anHiJvuo5CIcPEmSFtTXekcLG01LXmiJUIZBpsBw6mLa2SXiYB1PGjOXLIYjYLY
zKf0wHgdwyRJJWC+ypWoQ4IyM9DwXiNVuho4k8uzdVwU5RkCHXlAf7nELnd7gSj7fEaIK9DdU1+T
2CcbB/2n9ACddu08OfT+1C+5CVUe5XSnLd1hW89q73zvUFrRXofZcYxjauuR8l2BYK88GD3053tF
hb7g2DBgFtTbYKRc8Cv06zh9r3WxQJujkINQPxwXJeaPDdLl8GhGISycj35hUCW4CY3+DM9kGUKZ
kRuB9w3ofUXV5zzskIJuEbVplJRpir7PnzqhtwdDi5SVKPX6wRjgcSUcDwshs/jLk00MRKtHe/LP
qgqSNCb32ob2lH19eHusQmfYJKnj9iy+X41qcKGbnX9Gs06PN0HTSa4osx+oGnZW6RwdG3D4XoyJ
boIlzYJPj64PoIT5DcIMcLPIn1zuMhRFPjJi5Z5n4TMbiqWqN11Pz2kOE/8n8oDBLgnSzoWry27X
5tOvrQWMNqQzlO4YJSScvFwcRr4SZpvZPY+9hj6QamXPceVk73sNwsfKYdX7m72xHoUY+Pjk3A/T
C/LP/3osLiS3fRiP4twkFZrGhWH0iJ3WDJc1pUIC0ATVSvR4w7PCl0PAQRoiMQ1Lp2bbPgF4lYtz
MLdyFAS187kg/VAneuSi8g3YK6uwoJEBmCaKCJ6niGnVQQuzl6Rx03zlOd06ArDlFKh5nZJW6fII
6hQ+AJr0HAESFJ4SjJ9hC6/2fq8mL1mpRCvRzo3l6JDYDI4BbJUjB5fLDXksWtSfrHMwxtkmbBkM
KYLJ3muBNm4mle7C/S98Hd8BdKNoQfquy+riwh+MJmeJKk3gdQVSBpu51JEjhUFE+2kXfv5c9ZaN
xtdk9l9ggEeVyEWuJD/d/w3XHgFvwPoMLMJycWU4MptGsm804LNGrTh1DWrtSRSmiDRQJMkDGA5T
zN2D7VxqqLRzIX7k3zLdlNbsr6ud0eSiSDAEHmx67i6jZ3p0C5EfGOxfY7e4DlpYSqYnMj+hB7b4
poZK3RnNmMBDTFzRD5BQBsXeUpnT3Pdp4z4KdmVn1C1lAg/jiOzjXO5MK5MSLSMdbWahNGe0LpVN
ntnJd2SN1woTt14roCDKS9S7uLHW4nWUvoF+qNYh2WZZ88FIEPDMbaTKSg368HoYzG08wowKnRx6
5kwiocDrhof71+fG8eJxSKtJECQMdrFfP1UCtexd99x2XXEYBuuDM83xsw8C5XFbQMRA8ILh53SX
JZ8oda3Zgsbm3HMeRyfL1XJTG2gjbPM+rbdpkEUP8k1ideDtwalS/SWJJ9u8/JjRbMLNPyjQpo2a
/gLiwWIyX6tOTJS1K7wSNz6mLOBRZqIHLh/j4p7qwZBpAToK57lsqBNUVaP+8ctK+8fuE6RRKuam
PXNqRzSep059mU0l/oYSoLlikq5N4NsIGZcYaBbpjTRZf73Msphbg7Hl6jyWikOhtoU3q06SF6eo
67NGhn+8f3/eCF4vI31G1ghZSKRoFZNlXy5YtIgcImFSnl2Ua6AssdNMKTw4yYX9eUaOgg0bfgZB
ueSmObauWSkfRwRRqmdrUJPqP79SJsuzo0mxPw6Io6JdUzeZ8VPEnR2gzDMYYbQ1/S7KzqM+ld3B
1YYcguaoRsdoE+s6Op4IDyLsuxlp56rRZgoC1/gWugLxnqNWV014sMykB6/PLIX+XUUx7hccW0gs
OtCEi306xEHy3smLrNtEfp0r+/tHdG2hYTDmVuAqGLggvLw8odwodA6C3x81pX90x/kjHdPxRGMk
OzQTeF519MeV2OP6WROqS/o+ap6yC7VYU1FMhK7tBBpXhBx3UY18s5pbNvJWFCEf3R5wKcIqBi/I
9Gh+L7YXT1keKll6HqtJ/2qiXhHs2sRpxq0v9G48lv0IRnmusacrK1+nY/T0GdihU8nbBr96uXLm
BllNF7g72zAAjcysByroEyVAwIViSHJwzAjdyKpHu3XGxq1YzuvPSgbIqAKFHQpnVEEvV2fqq6px
W+PZ6jMDZm5mCakkjPueys5Lnjrzh1wOYt8/7Bvf1aUlQWeN4isTowuX0QGVpueODrXQx7A69Tlj
gydVL0LIsZvHfSEUa8KAeFN2vel3Xe4wClB/mLSmP6uVau3tBr1wAhx3M8fGWp3q6jDfQGE63ACC
tIBm1+VSAtLmaSzC9lyCtURJM6326PwNr2Ogal4epwlqqskapvTqMCX2hNoP3S1QYrT1F4uSV5pD
ETXn1g+gvaccZr2KanJL+NPK4Mv9Lyevw4WdhGGJiBy0EoBSPt9ih9EUI7mJMMu5awZ3P9Lfes2G
0t0EUJTtJyYXd1NC9Oh0uRTprswV73vtn2TiJZEUsmSPcMDCPyURsCjkjqpzYTCwDiO+ezTzIYVw
eq7DdxAap9uJvpPJL0BQfIcWcaUjK/IwuJ3gHPwf1Xz6B9zkJWdN4hYoKDtafc5mAxaKtrNQPkAI
fJPCZvv5/plfOUO5lmQPMegMU3NbWMHO0qHXhIT3bE0GSNYc0cx4k7eQmB6wKNbBDCtfW3mht9YE
U06kQ1MN3umlWTBh2KhtvzpXjVWGpzLTwvGLXSsIWheUhT4KxuYfbfzIMzVpVWKJZKt4SZjqi3RU
ks6qKOx1xR+bGaqtPQf2l6mD4+P+kV4XlFmL4IKLTGxF5L040zKOfNvKuvqs8IXjju5smafBNq3b
hpKt4k/aiYDAzfZOWbpfCNRLax8mkd58VBAw9eNNY1RFu2KLbxw6gSWQK1Dvssq6+FGwirQtqtbZ
OUbX7RuQxP4H+X2obIDt9UfqUkHz+GemiE2iKXmJ5Lu+tB1lPltCKYzs3KVZ1dCdHrVoFyLONv/w
zcT8arSoRq7EmLp8o5c2hGkXyo8MTRhc6WVyoiaDEVmUyc4zwI5MbGYeTlRuLQQLJ0hMZJlMD9Ny
Cj3DQKrog23n8XCoEGizXqdKh8ymtaah+KUhsmNsS0trgzehxRhxn86mCuJGgep2+yF0XTjnkAAb
rE1Yolj2WRXjWJ+q2S7b4/0bdePbSS5cYgjHBnS07FCEhdGIfKxSULlFdMoVSz8lSj3u9dL6Ujph
vNJ9kKnp4gwpF5OySppvEsqFHSyzrNDKKG7OKv09Lxnb5ikX01od8Y0SdbEM432AJ3BpeOplrb0O
XRi25mo4o7rSizMZbg4Vi4q6yKFyBE1uXwHLb+9GBZGEzxV8qZoXEKvBJG2kefI9mVEaeY9I9OB/
pTzjhu9iE/m3aWe5uaHv0RIMkPpLiJSlZOtYosmGbqZ9toYRm848qAMp/FSlxt6KEr89grKPlBMj
o1Tc8jqvmAQEcqCfotLsNXSgS2FtkjmdxAdobVUYcvzUnX+0BSK1iGCi6vVvrmhquM983SxfQ1eL
on0KYcewjRpEgXapU83j19Q0oXyJdL3/D/mJbHqdc63tntIpVAxoao1w1ojPwzxXvNqtoBvaaDq0
GskGXIflvkJ56DvUIydUiO5fsmtXT+ODWFHSLjMwvQR0gGXhN5AEnFvIdMdTU+ojIt1BGKVbRmaa
P/dXuwpMAQkDOSAWhh2Oa7AILJggDyaXpvV5tFNRhTvoxM3qPVL1QhzzaYySP20VxJ22c9AsE/to
RFvl4/2fcGPDwLIZ+GRSmcrC0j4pQ50CR54qagtj/s1gpOJbjeYMqqcoq/wPS8mXRMeHSY6lx3Pz
TEx2lNfnFlpo7dvMwMTwXUmIUP8b4ekyP9xf7jpU5GiZTaSk+MYvuKhhD10VlwAB7DNqcM1LViMG
x4TrOdXq7gXN1XQDetBasbw31pSFY9J67C7DXAujYcZgVBGlQhW2nvJup3etXm9txcy+9EGjbCGn
6T6FLqo397d69RHl6BjYBzmSg2rMMpknrLFpHAsbIFtuvgj0rr2IbjV6lu2aX7+ywm9LwSPIYK2c
zVtc2ToO/QYCDfvUhEr102zcud4js5m81yFDOWfG3K+8yJsLYvQlxzvF+CVM0ijChjq9Yp9sc/7X
h+36ZUCta6c58+9MV6Mv90/yOvyFQhCDz0QI3xAogHQLf9VFEKaZkZcU5qlQleSD1lnqd7MjmNjH
SW6H0CfnBTrJ8dD6Z10RrbZRfUijdkjP6vv7P+UqETBo71BqAx7KEA6u/PKXqI7fBE4j9NPQI7T7
R5nCqRH7zHGGuH0uRysOJB9Zqr7OMSCXrV0B+jvEiZEN3+7/kOvb5ZI0w6ohe12CuZ/LH+J2DQ3M
CLnVYW6CTWCE6lG3mvzYg6U5P7wU6aMU7eE6q6BjL5dC+hYZ+xIlUARvnYKyTZga9ie9DuzxG2Ga
436+v96VAYZFSVL/gNCk/8Idu1wvpmc8jarSHe3YHvZNZof/Ti1iUpR+6mNoloxrO23wZJpltLu/
8nWLlCeElABQC5hEtKuWR5rPTg3FTXsMRYNuG6QiHyPUfp8Uwy/3HFG5Y8YVhh9NtACdNQFlYjE/
N40ane2uQEjOhD8UYEK2g58OMq+sLM4pzM4kZm6F2mnfWR+scgjO6oDIYerX+qupxWLF4F29TrkL
lK0YAGfanVbo5QFGwFUCE73DI+dkP4VVVZ3TQo23MQoQBxTN1lhjrwD/BEBgQiBVJRcHmrA0dQQD
dj6UMaAu0wzLA2zuIS10w+9S6CbnudKDTyNMo51XCz8J3nUg7VMiBeA8zw4KHepndwwd5YiuJqW2
jQKZkrmW2b1FohcxHb8R8wGVAmkWUOOFjVTgCLbasauPDfIMntZM+qauw3rTVFGxDQcl+tfOdGOv
zoPxMhY+SSY8D7u2ipG2LeP4qHWqs9PMADGqMIw/oMBtHhrLqnbNXCRn2PyTZ+QHUQGFK/mL25b6
wa0ja5tiHM9l2NgbC13VA5AR5YRe8LRyc6/sktwd7tsBswTh2pKGDKI/CIQKpT5mgch3jFelz2+C
4UVZ6zs/6dqXEc6ondp27TPNsPBREyGXp9wE+Y5swC8dUFJr0BKPYXPMignIaRU5x7Cu5m1vG2t5
1LV1AFxKV8AgZCEVWA6casz4jaVtxOcqU92632lJLPzDYNVjfDDmwi9eHd2OjR9+EObzz7mm/Keu
HPZVQMEUEq/LoPdDIANGa/G+rGRQ0zrnJyTp+BQGRbNFOLR5sYas8hqbh66083y6b5tuLsqGGeqS
Bn9JLj5A4Fo7dpCc3Vpv+2hbtzCNwyxuF+KkIi8y/0p0PYuTbZ6YdbPGNH7lbiAC4nbJ9gioX2LF
yy1PQ13qhab6J2WAC6yzBPjuXiR76kzJyuleL0UlkR4eRRwbg7KkCAlJZuwom9xT0djpiRKi/gEG
DbGdUeJd8eZXhhInQ+GbRE/W96lFX+4qmBBAVoXvnsYkCg5qBkmc0+v2E/MAX+tETx5t77ActWZ6
aARHsh96uVwyFugsIcF7ShmU36uwqW9TyNROSohKllJCUHz/yhiLo6SHDqKAiPetfUF+soi2qWOq
vmkMyrMJTCQDHVpUw3MW1VFyCLveqSgfZgJCXsppQb2phVrm/yD3O6jHBIFI+8kZTBV2WfRJIJpl
YlE9EEd38/eSpPQ/UkpUWuPZArM8k77Ge9NO7OloAQ2Ymx2aU8nzOCSqfdDGMgk3Lsz/1dZvx3FC
8Gr2R+XVZXr5PawkZneKJ+YVtxBx0/EwfZANJxGX1riby8oPjlHri4wUPNNmYw3psTAoTNiC75CS
BxK5I9P9y6/SW6jOU/kJntXU8I91XX/tW8v+bPij2Aqzs3dxL8DzTP1a3WvxolmYBJP4jbFUIg3T
XCyskcW+1ZWhKgsg0lC1n8zYKPsqafWzFprDSZJ5HO5fiRtrQsiJjTbkxYe85XKzaCVHpTU71fMY
OPYpiOAryLvSeapjc4JkPEh2wO/WxozfouK/fC8U4BCtsqQEbEJeuUzggx73btXW/EQBx1T3fe/M
OrI8bVrQQ9Om8HdR+8M/VaIY6CkXTWpuHfjIPwaoG0PgEDNnv60qu2k2E3yhr2ZV5fXBz0IhXoIy
cL5ac60H34o4U9IWSwyYD3rvNDRQKM/CqULJjaMoN26AsvIrPFltvOunVjif1Upz8l2lFm35wXDK
WftaD0WfPQsUwxJKKv6UFNs8BUOdQYrrdtxESRgfQA9Yo1qBsMMA6vQjlT34OrZqZZdAdETpjtVO
C5q83nXoDT01DbNrB/xI8q0voanb0DcfztDQz+o+wm2+Gxml+52ga/fHZUDR2TSoYT9m6fgC9Gbe
aNxouWHqFi6rcMPBnaG0fspcrYZnTPs5TX70ajKdc5qi2FiJQK+uGcsRFBIMwERESrpYrgYH549A
GiGMtOKnxu9NmrNIgvuUrQ5zZ/3O3eDBWUu5ReAY/0fZeS3HjSXr+lU6+h6z4c2JPfsCKF8siqK8
bhDqlgTvPZ7+fIvqs0eFYhCHMzHqUajFBLBcrszfsJTAvAMaWCrzOfSDmhGu7bns6unRKOfic6t2
9dnU6Nc6Qqzv5aV0s7miASiMEsCJ49/Cbex6KRkIj0YBqeF9FRrTHmG1+G6ew2IP6HnevzIU5z0b
Bb6GmOIINsx1qDnxqxxysH9Xcd9+J9fj5GJf1H5Jx3GNsPGkT/T7WgXOwqihJvIk8APY7jpWktmV
wtWyObNXFtzBNL3NToY6SF81KdbxK0vs+kdT19034FVD50lo8Tj7OrOGD3aqBgnkPWxQDq1NIRsC
FJof1dQpn9qpVdZg2YvjW2wrQmSJvVvAIclNrh91Dgrq2lWvnatCn77kMHP+Jq/QHic1/ybFdblS
KhNv/vuXoXwEk4Q814DjRml4sXfmSWNmQ67PZ9A4/XnAofgytGb12h0ahA1dRoAglFYgAoml9Vut
o+hKHCqTcjgrcVF9jJMB698yzQ5KabQPQRdFO30YrZWgt1+SoOQm9ImpH3EkXQeNpx6AyKz2Z32Y
J0RESsXxGGhjj2ZusMvrwlyT+L3dIfia8Oa4i7FLgHa5jjhO+VxIOemzFVay7JUaYueRr0WZN2bt
9EYO8B3qJydZedGbRYvJscih2ZdEp3q5MUkKavWw1JRzY8z9RkpM0+VW9bOdnTVh6Gci0RERq5Uu
PDy5xTpqYV4medq1Z8NH/cideng4hs410VXMsF7ZIJ7QEou5KTZAOpYMIl3xxeeU4ViZbRq0Zz+W
/E2ncsR7Ug1A7XOnWW3tqjhctq49TOGXvtX7wm2dTnfQZVV9zRXJgvI+oBfWH6qu7auN3hkJvh2q
9Imj0Cm2WWt0p9lpcS4zlShAU62uFf3OwjidrhU9gXhrZX33l56bcuKhwlO8RQNVTXayPk0lYshd
TdPEasa1NXn7lSHycy3BlRFMPySf62kEjW80FAQFzgb2bfsMLVG3t/z+nvbFsJJN364RNjSK5Ej4
INuAJsx1qLrpFWOiAXAurP5nXnHf9wcOMcGvj12jlIu/X7npc58HJIKMkZCeYXu7jueD7BvMcEBW
MlX1nyP2Q9u+VatxN1nBtKb2uqgfiLnDGSZMQ8FgstEtdh1r0vyoLhz9bCD2vClzHeEAlv3ZKAIL
Gf5+inc4e9bAjdV03mtluKZbcvt1qVrQdH4S3uCcEwP927aX0ZguJix7z3pgj6e66/TScxJ1/m6b
tfFGz+vIXxnP26nD2UFvBbwo4oVQIq4jOkkWp5i7m2e/6uZtiB/OMegGexuM0byy69xudlhWoXCr
knpbMuK916ECo7f1QOFCpfmJspWRDT10+sjJWKJ8IeOH89WWMKR9ef4szUrJ99B/EWwB8j2ZDEJ8
8t8+aVwXfmA7fnkmaU5jQIzWkHk9Us/zttakubxD9M36DEnMlwEA+9W8L+VA1T3UvrNiE016mbj1
XNjafRwO1q6UIeS7VPQsdRdXeSTvU1+t++3LT72cB+KhYZfhWAocQiBArx9azRAhMCdIZREpYvw2
7xJb2TQwyP4qw7AsH4ZgMF7ZPhGGrtQEofhxLxcQ9MUmMtuj0ffmVJ2jpE//Iu2xs41Ut+XFieOu
2Tl+P3197VtyBgkMBuV0CB1LPJEFDTadRr85131VXNRmlg/UwetPcSB3aDhqawoayzsubwjygz0L
tVzA/EvRaMazV4sMy80AqHvAJVyJ2k1ga5l/LGrMsFwTkdAP5lxK3qB286dXvy0YQ4QIEGqk6rHU
g7GNnALVoFTndBhNfdvrpWF7Tlc64WUcCnkbpwYP8uqYguQE8o1uDeWUxYYmLK8z3zJwE5vS4mM0
qhWy3K0tu4bSZG8jW2oeXw643E44I0UbRlRhyYlvbtaNbnIsqtJ0FqzYQ0oDflc7oCm7tFm7Dtyu
Ee4CIKLYSSgb3ED7St9RG+RCxvNQKtq20vXCKyZH3gd58PdMYXLlMvfcm5HCEA2cnWD+Xi9JAfEY
NOjp5xzdy9CrYcV3myHU269GGb1WcxNPdJFuCCy2aLJhxnkdrXemSLfBXu/TcR62lpp9GiCXbXpU
9e6SvtNXOplPS+33zIl40JpIcGidCubNInOySRcGUKfVvlCGECZxrDnZfdvZTusCwEphUqlRuR9L
TCXdIM81+l8Sij6HDC7QOxw1nRDFxzJP3KrMbIgqjTq8tZXE/lRJdaO6Puqn7+TGkXIvz6SRxjP0
RtvDMjrdBjE6nwCmpW4b5BDHqTTVeehNAeJ6XmiV2YeXp+jykH96VVEyFygKaICLfY7EDvPWvqr3
QyfV90ETh+CY5WpHJyynOYT/zmhS4lVyPd1bjj+tHLjX4ZGVEQKRSGdTY6MTw/Z+PbK5kraqTSNq
N41mcvDVTD1N0hBvNYou7WaQMMOWpigHZGGUX4JEXpMLX6Dffj0A6BFYG2z48CAXE9kyKidIAP7t
tAZf1VyFtRwrs/wYAv3d4Ic8X0bVNt60atYfa6UJthVwz01sSuXK0Xy9Hf96EFx4KIgJLh1Pc/0l
sirsJGe2ZezCfcAAVK7QkAxQ0O2qpjv5MKYfqs4KdtA79P3Lc0D86P9MdzYMUeUkCRGEWyGmtvgG
MzbcIC5CdZ9YZvA+8Wf/riGLXxnq6y3jKQodQY44CvhUgZZlxjQqZrnTZ21v61zPcaxUHpVJrTdO
7K8VLK43w39C0YknNadhzIXr+lv6IKoKK9S1fWR16ptIajnCamX84gejvZtnfy2tunk1SvdcN5C9
osuG2NbiA9pS3zo1lah9lPcwYWR4LxiRSruB4oH38lg9iUteDRZynxyZJAmMFlT7xYoxAs5ynALV
fW207cPcdf5GkWzbhWqq7OU2/p5kYXnkljx+wABxdgMjtC+yHSXvzRzHJXK8Zs88BCGhFfZmIuk6
TSa+56oVR/dRmEmPs5kAYRqQc66hGe77wM6gQQuTSfQMtrnZVW9ffqdFr5jxEu8kJDLYiMTVePFO
itFMFJs7dV8hmPqOMzpGK8CaD1qi1ZShQVHLet4f1L6WvDCdrUOamzXNWKne2tqEqIGNuurLz3Qz
hXgkgWKktSVuAsvPLJehovX0mfa2lhhvUGB+207NdKhzpF2LYv75crTl4hcfgCyBo43SKB9hsfgL
cx5poWraHlqO8z5xEDJjDlCxlht5X8664lawx77EJVvjqyPTgCINRJGOYvDyspyEZGkQS7R9ydI8
hQqgmVgLfdeyyumdrEXSOWxm9ehLzVon6vadIT1QDoHryH5H2+N6kWqGX1MsnYJDSr14o7Rdv9Ni
rPwKPeV6adfFNk0zfHs7bU2c+XZsybB5XSGnbXC1WHztvjTyGoRbcpgd+E1lYRXbwtDCS2KTpSHO
tcYXWsSjpSb8E0T2wmWC3W8RLx11VGeCEoaQVsKf3w2JRGaWcb2zHYSPxxm5U0qs/eHlob0NS1kL
BhvnOpMKNuD1B66tCHVls1YOma9JuEDi2IV5+ne9GsZdNAdr+K/FUc5bipK3zaAaEFepGV6Hg+zQ
BTrS0gfsyOpN41jdNil67ZOWR+FXQ3LaQzLa5oYvLbsZo72S3C+m01N4NOPsX4bl/J/r8CYmUd2E
WMMh5Tw/daAV3TaShn1Vxm+irJW3aZR8gcao7V7+ytf3eGo+lAoAuZCfcgKwky3iBrkcOU2gK4e0
8qNPNvaQnp4MwQPaZ+p+1sjuaP9mKxnqs0EpkAK+EnY/y91JjVDEs51MPYy1oe2kzLSRZGDD1JsQ
Fj7XuU3VKmtOo88MMNIzLBduqbAhbsSwwPyac6arhxB42R57Qt+NFaXaazG6FCaXK8/xu+bgF4Wx
gaGj/nz5Q99OZ0rsisYFGW4YUlWLQ2JA81WNZss4IAI9btPOyDzVGuK9HRqxO8vh6zwDxcDykPAH
Sf+pId7A2KdI1ZKhSsxDbI+2Zxa2fR8C5oDuWSE8uXKsP/dyqBhxqmMaKK7j17MX/YtcmvvOPCTM
4QO+zvW9Ogj05KAPHzMWzkrKt2Ae/Ho7KH6QLNh5KXsvVmtVzCOaKJF1mGEXuFWszXflMGTv1MIX
lWFF29ehme/VVMfhDdDkfuIMdGNurvs+a+e72Ff7xybGXZ07QvGglXn20FpwRUpFCT0wQRlwFJmU
aPCDIXtdKimGhvsZFzP+CUhjCXSkxNprhR9j4awM2YPRZYanKQjzVnW3pntzu62wbQsXExnRA7J0
9Xpg5t5X8sbqzUNV2PHBUWHGKMBRHobGBIIANdYr0sjeRRWqjS/P90VS+fSSkNk4orgwCqva68hm
wwkZ2iB5cFAxPs8OD+BWWoX4Tq4o71+O9cz003+PtVhbJaqt2I631sEKFCzDLejqk9WZJxMugVfr
vXV4Od7CI4bpJyjqYMKAiLG+KFhcv1w0l53p04I/cDR1j1LZP+RKl2zUJmzfD7UTfq+c+Kx2pXHs
UQ9xkWgbdyQqgogqVZuXH+bmQwM8BwxO3s5piTTBYu1ZPc7QMuTqw2hJpofCs3GCr3kJnUZ799pI
JLlCQhY8NsZ0SyleIGi6JZHdkp6jcyDFs7QdSks9RolqvnJDoX1GCDgWfFwaQMuX6ux2LqrcUY6q
WWXnvA2/SXb5PUrH7FHJ5Gn7uhcTzTpSWMFGpGZ6I7KA0U9lBammQz4yda9unPjOyXFtTPtszVFs
efQRiksCR55Ag9ErXJy3fT3VvTUyMSK5mdxyak0xJ2Yva31lG07aX3WmWysXlOXyeIrJTUi4CMIM
kxczxJhi+pJ6YxxDhPh3alMoG8xFcy8y62jbztTaXv6cy01HxBOUJmoiIIHYLK9XR5Oi9Z9zKzmC
K682nVJqnjwCItxMFEv/7iVk6eUxc2ZIej1L9eXg4of/dsFE9EAEJzagZ46AZbNZ9nOr60fDAExZ
yV+0spQ3nV9jj/VymOfGkaoDlw5YfvxnseUUWWl0jj0YRxzbpJ05TR80CQpPbKFPjbhKcKkCq1o5
9Z4bR7ofFHuQg7rl0JhI4JZtEpnHWLODMyry/dvYdBK28Knw1GyQ/3r5HZc7i/iUv8Vb1iH0vFTN
hErSsRiLD3I99HfIFU4/+siy13APz4XimsHLiR2MaXM9ZagpwbirBwgtFZWqtC2ye4uDaiNYGSu7
2HNfEc46gDFgi0LK5TpULA+5bwMEONp+n8Subwa2V0VpQt6AypXbm3m+ku4+93Kc9bDuKFQJlbTr
iFnQ6Foqh+YRV4h6z0YjXTrVN44JANVXh0LYSXRfbDZphVvxdahp0jojrkPrqETZ9zTVpns5xkOr
9Mtx5TPevhSdAZFX0I7juvREcPmtFdf1g90UVmcd6SGEb+DLa3iWDEKhsXodsII7LgxaOjyAC0Wl
kxv39UslXVxMfqBZR03tTmYqbJPtoQWpZoNas+Dna6E5f3h57t/OEro7cCXhwwg0x9J4Z+pm3Ant
2T+2Qa26JrzWk1wrQgWg0fegOF+nt/b0jkKNhgIcLAeczxbnQub349iQIZw4S83NlNfBg6Un2kpZ
6Ek+53p3dEQHidSZHiolm0UYTQlSY9LHAMtAJ9tbadp4zZz2j5E0Te4QZ/19WdE4sGI/fKz0KPZI
UYfQQ8Y82sb84jZNrx5g5HR0MNXeWtlVn0B7N89H7kjXUoCGlnhivR+R6EoV6RibfeA2wAS+4wPV
39Xd8DEtUECSUlPbwa7WNlpbWp6R5c7eMPJmM/mheuqHsT3kY6If1LjRhL7MQzXOQEOrNEBl39Y8
OpT1ZwPbQg83PTbuFDU9STKDrWnE5vckHswLqlnJttT14SLpg3XMx2w89GXjbIwaNPUQW8HKefnM
UqJlDyJZVJRYtotFW5hZQ6LeSUcgo+MpDVFNnOLcOLXcElc+8POhBNydpgANsMXRXCR1oxvFJB0N
Duh7iOjoToPoOQV9Xq+EujkhTYF9oFVJRwCEuLOYaimKbwliKNHJ6ptwE8WSenTCRnatsJGOmg2f
T9cRknp52d68H0GBJtFyI6DwHLreKiAIso1oY3xCgqzZR53R7DU76ve5Hq+dxs+FouQpRINp7VHS
vg5lSRBfQtOPT1Jb4EgzmuNlUMfWG5ssX+GI32xGvNXvoRanY5f2xmSMdoy8md25dajk2ynUwg3f
/68goI358kdcACbZjEQ8W+CuOEbIFxcT0pngzVoVwoB9VxheLhXFJkjCcquOM14/Vh7cDQZYDyO3
rN0kaR3of2kGQIyOghor+RsH0Z33U9CXCMJwMSnKNHhtSssTWnjgAT5hdjEI1x/ft/JSiTVkWNj+
szdxZ3waVSX4khJz5+hp8Tohw19fhG4FQElaq0ww7ToeTi/BgCZ+gtNKn+/ifK7v47xDrCS3JBch
g0pyBzWsvJnULXdHvYnPJpZwKwnggjX69BiwdIBqwVkB9bfE+ql2Jed5IycnR5tRcJRkhHLHcpz1
+1lNItyX0tr5ZjZ91FLxyea/G9WnweJAwq9eu2cJsOGTIjjVb7gmiykJrh7B19JOTp0M6nAO0LmC
xZ/tDFb3Sqhl4Y7ZiO8BaQTcDm6fS6xF3RZ9XODHdyqTVL0PstRyDfDn21CxhsvoV6ZnY4vwEJqh
fPYDDL9eXg3PLL4nVpYBGO/J6/p66EeUBYsWLbFTrvTjzm7k8FTEcrMtp2J6Z9DUXIn37CBTIOJI
AHIu5OwXAYfZn8usT0+9OWpM8GQAwTK3lTs4Zpjya2h4M2SAwJvTTvWKEf0cFuWaD+Jznx1AtOhx
kAIZy5TcL2unR5QwPVmjNb4bgYLtAuzTTnrafeRPhk+a5KSeOTWRZ7Y49KwcH89sryKrBMHAhZn7
jhiW3/LLdq6CyS/n9KR3qU/RqLHvG7OMTkAo1hz6bkeYKczNn0opWFrqKNehyh4Gfz862Umqwskt
BmugPOxI3xDtfK92UbIm23xTPhJAdODWoBNJxiBvLnYvWGdgZxWnOY2FZXtyjNpig5ow3KWwcKU8
R0klgw4od0667TWt2zdaZb+l/Wh8snp9rSd7M+FIPahHMuVYZJxky09d5a2ZTtI4HhIrbR23Aihy
SGmqe0y1EpGQObuP+A7Hqez1L7T5q30USX+/bpVRChV1SsQh+BwQl9TrMcA6yyiGAuZYpznjvYID
gGtYRXhGk2M8j1a1Vh5fZieUxjk8qBBweHAtWyYKOBqTbOWGcnL03Njo4OA3mlp3LgZFKqIcauol
QW6u7N8i5fktuwWiIrQfgYKSfXGQLHWR9Mpvi8lIpDt7KrRTPlrhg9TKPVr/HW3ZtjcOY4FbR5bn
awX6ZyMLQQxBGEbyb7Fdj2NAeWiCNqckhnwqAsfeYxXYHPsCDekavUS3lZWQiw0Wfi8P7KIewzuj
zEQBjyqe2EGXxe4YYZGwp5tzaUBHbZJe8XfxUL+yRymisKhAA3Id5Zq41Hc3GqtpnXzOLuOodIdQ
bjU3aMfwUjfy7CXKLB1ffqvF7vQUj3qFxvVQwGCXyW0G3mcIjCm7pLYVb0yjDg712OIHPqtr7d5n
QiFLRk0EUh9wvCXGCCJ61GepnV245TJOZeFblpsNCJc6VWyvXRBF1no9RZ2raIt1CEx6lpoM80oa
IZrlRTVk2G4wU9r4xTsSee2BE7p6X+q1c0FZTHOxdFZW8s/Ffiw+rqgrcLiwMYFrWmyPA84tSRpa
2aWo9SzYZChXeRA2tXe1pp91KUMX8+XRXG7IvyIKIAe1WVHOWNxVppZXtia+sRHM0zkxpguGU87P
vJOqU4eRHvA3stwydj61juXLXmBQ6UARN+fhyjUS5QLlzM4k3p8rOvdBhE84Iq73wi5smgbv4/yS
zIZE57dOTa+vGh0idgKgrY0ZjUwN9upgZZ7kp23gKnBNLwCLm60R6qhMa1QJg9I2P3YFapMWKgHa
xs8mZbvy4Z6bLgp1JlYdi4FBu37UdlBom0tyful7nCwTGLVYAASmZ/m6fBdJZCot+Livld3oH5oi
1raB3dv9yvAt9vKn7yWumMizi5KXvEiYUpEt27GZX2TZmEFEDEZP89ws90bVJ64ft5Jrqckr+8m/
okLntoSmFlelxSz1pczq7YxRChLNuge++jkf1QKQyzRve/CkXqGHP4pKtj/MdT+vrNPnNgWOyv8N
vsiOBr8akZlo8ktJI+++RclvA0fPPEVq+eXlIX5uMZJ+qSwOqGJol1yPsF1KfliUU36ZKj//Ciw5
2VpJN1AD4qB2M25Cu5cD3h5VqAGAtKOnhdbHTbeiNuOyo/CTX+qoKt/UIX5nfmR2+2FqHxAsj1A1
tcf3PSO9sqc/N43AutDTk7lc0aG5flNZG6ZGjp38IuExs4/kKtoYA2xZJbPCs2whmT8HoEJefttn
gwJDtlBopJe9ZLEihUwPZAqKSxh187vYtMo7LcCQ0KozY+frQf02Ks01keQlbPRp7nK/EHqJgMM4
N69ftUhlP0jGkukTpvq3CUH+AyfXtG2quHlsFOMn9qrmvd1Inyq47BccPGqKyKa2RqN+7u0R+ICm
QGIkenDXz+GPSoyeS5VfstRRdvpkdt/l0KEzPaTR19Ex/Lup64aVcX4ayMUZJ0pSQDkpEiFJvBho
QAl2Mk2U+dUaHXeM1aV3VWdA8Lfj8YM2yXLrBZU8f8v01NgBPAr3VuRMDElRHH2/KHc0e8M7Bm6t
zvPM50C0mvIvBz03kWUiXpo0VjszCy/0clBa6uxpYxm1trVq5BEnxfb305QO+1fOQHHIkI6y3ECK
3DQ/fakMsgQrnkvThwGOV0CqXbkrcGsgGcju+6FDR8aozZVRuHlXwpJ28wvII3L+xSCUgS4ZMMPD
S9oqys8UK+kjcJXklObD50hsato4reWii5jAEGABUz1hstFaQbPierqVY5NoQ1rlb0o8XqJ97duD
nbqgaguj8GjnWe2D7LddunPUdjJfV7IiuKjtIjUC7gnO7tJ2PZ7DjIKV1b0pqrk4c4/7SIULDtPY
KC4iJ+PKobjYt4FCcrmkCQTuQzDCtEV5sit70yh0o33kf/u6gyU5GAm67zjdHMAuag8vzyKHT/fb
miIcUHyAmIKNQ6LvLE7DurD03NEG/VHGN80bVW4wWYwagIlUG4niNG4HucZ6PUzzu6QYpHcvh18c
Gv+EZ0pxkxfH1GI2gSGA1K1F+mOjzfHW6cf+KGW1DBxycjbxqL43Btv0RqrOm5cDix98+97/Cbx4
b60JtDYMSv3RjpNi06CB9TZWVfv9y1GWE/fX14UZw0JBxXFZfgxwe9CrstEfYyeRPtc9hEaJm+Zu
sq3gUFSpc85qrV95tdsZxJAigESFAhUkULbXq6V2miSQg1l/nNti2OEbZ27MFkQzXmiGmzn+GuZj
eSo9DeKTwDeCGqzUZfMnjawoN2dTf6z6svNyxaw8bNDQo9eKaQNpKNiZcR3vUtQ93hdI23pqKNdv
KwRcVkpwi+xKPMiTRYNGRin8E8Sg/1Z7Shp7UpIoNh5DM8i3RldFJ7WBzT0XxZpUyzMfGQct+Ctw
n4COL1WuzCCtQIMNxuPYdw+V1SsnLTCMr2mfgJSyxmqN8vvMTKLxQxmVWyuI1yVuIVcbx5/rznic
4FYf8qxzfnIASJsBhY6tr08OfoD6GnfimdWpoUUDCVKYvbH3XX9P3Ou0OFE78xEfPQClTtwenbFD
ALto9cvsw6dIiuJRl8dpzdhxedaLoaRaTxopikoCbXcd2h/wAOtyxXgsJ4iwqVnRwtURV/dBTO4m
X8bBMgmirWHhO0SrvNsVYIDcEI3aN34bm9swL+VDE9RrwPXrcQA3wkFP6iUg69zwuJhcP5cSJ2FI
rcb8LogSzpliZ6qe/UiuK2fjaxqA3z5v4/5j1hWB8TrV/qfghIUbDe4JmskSvhYOGtVVbMy+j6UV
7RLsGE58xHCTmNYaCfr6XPgVij4FFFTMFS0wc9fvqcdkLLY22t8nYGr71FLq3aCm08ExOwQYJAt+
v5PI8gcbKzA3xsD0VacuJVGCA1cTxTawJTCkruMbqTJ2lLfjH8UIYeTgILMoPzRV2JufkipUBt+V
0A6YV7bORUFBhKW4iEQdVVtOfdSkr8OqUZVPrV6pP+Ymk2DIOaGZbFGkMqujldZl32wAEMndOw3S
of0ADFSO76cmCxtXV30g78hI+NvW5wa9knZd7zc8kTA4Rq6bcjcdPoSirh+MjAvInhnJP0BJQq/R
k0TZxX7e9hujyarPdl72a0T8692UOjYMeCikVPMF7voGLGlLyPj1lhH+pNzRYJk9Dh+wJRxdJcvC
7685J/8JJRIR4X1DMrvYuMO2Y8Fhaf8Tsl6k3cVOB9YNepOdvlfU2HqY+hAvQtaaZayM+PK7MtMB
0UOSoECHFMdSbYDaNqZTzhgHbtJb3Tmyc20/Ie+vuZFlSgeEB/I1yfeb7wqsF1Eg6h54QLKzLoay
97GFypwQ/1jJos0uBa3hlQG7eicXwf7lD3u9g/NhkaURWze1Drp+LKrraSOxh1lSW9WBGxumfyjy
jL5+WgzuVCrRm2G29DdopyVuaM3Z4eXQN18WiK0oyzFphR7GMnQ999QJEYjEcly3p/uCS6OHy1dJ
oQkpJLWiE/hywJvvKjD6DmwuKFTAcZbd7yaSOpAtuc+7dn78FfHD0nSBjHV32dw4zUqefhvNFDx9
2FHU/Ph1sUEmSkzlfE6GkK4xWEOgRknmNnHqOO7ASbUS7WYcuQLR4MGDiv0JvclFNHnWgzlQUzN0
5UCXB6KhHerWRujrNEFSIxGIXqgJjjEVF23S7c8vf9tFr4mJxJf9JeJAyZDG7mKFDpRvU63X/NCl
FaLKSAtr8bQph8xOT8Xo4PJVF0GMhbdc299DG8l/N2kd+XPbNu3rHMB4FuH6K5T+6TMKX+TFs4Sk
zLPlDFbodpYW7Ts1bc9tUfYMuZXjTzSvqTLcfH1ajJS0sHGDvcUmsVhFat8FI9VJGAv50DaPtFO7
HVpTkqunqX8Mk6J7G5jasDHIRFZW0TLfQO1Y2PSwhHltiqTinP4tpcXkxKrtrCf0qMXZlykrH7Fi
1j4UuUwL2VKnY4L4/Mqu8aQI9J/bEe0mEi9SPkRFqZEC3lscg70fcRIVmhy6Ool8806uhmbc1GM2
5R6/199rZjgWhzEd1S9mm0VvtUzt8m9mqvR3DeqMg2sUyfTBkPNIcUcrm8q7KM71zyD3jIuC+M5D
3YXw16PAGKR9A+ty/MqWONy1MrxjryWDqx8sJLy6XzeE//p7/D/Bj+Lh1zs0//Pf/P5vqpt1FITt
4rf/c4n+roum+Nn+t/hr//uvXf+l/3nT/6jbrv7xx+Vb2fyx6/Lv39qoyJd/5+pHEOmfJ9l8a79d
/Wabt1E7ve1+IPj2o+nS9ikczyz+zf/fP/zjx9NPeT+VP/79599Fl7fipwU81p///NHx+7//FH3w
//r9x//zZ/ffMv6aG3btt5t//8e3pv33n476L0A5YGyFOQiGyKKbO/wQf2Lb/6I8SzsLFBaGBLgB
/PlHXtRt+O8/VftfHC1QkZk1bBOA//78oym6pz8y/4X/vPgvKFBhN6X++f+e62qo/jN0f+Rd9lBE
edvwHgt8k8Qi4FJL+Wex4AM/9/WxxdDDMKXhBJVP30QakjxeJFXZIbSj+qRWsvUdyYLS9kgy7ITe
rGlObqRlSvuBWmDyUZKNT6GOLLobOSXt8rSlrLSzmtBGjtqwwrc4v/Sp59AeGFLXlJS3oI3VEjXM
1PkyKmX4dVBrrkISIGXLpQ7tyB7dJYwo9KK0381DYwxuq5Aa32V0xU80wIPHoLQUynIpknM4Knem
l8Rya6PeEOnWxkCN9GT0avCxslV/Omg4q3VuZ4pNPVax1lD0cno0a2OKHiQ1j1QPr7C0dqXackoo
1YANvcacWkMoeyS1F+l2/j7JlBhh72R+0PNiOOEwDTdOwxhRhhuOYz3tllAZ06+9GUwng5LMnTqo
0cEcu8FLwcR7Yd7UFM8js/gLXl2+m8qq96p6HvaJEhaXJszGM2CecNtCUy5JAd4GJImXysKQ3lVQ
LAhcTZs7mjgj2vRDhHZFUm4cyfhYI0wCSmH0PUTl7MNk0Ih1UzMyv6SRVBySINDvwKxU5wxLj7et
ZbwDmVweUGvsPB280t4xp9qrbadzA9245KY2/u33qtDFmKZ7PWl6cpt22qaJpL8vbSt/MxvVMLuD
QBJqpoTDqN1Xn9pUNk5VGtfonw2tdZyweqvdsrTyIx3M8X2R9cobOw/UD1TMrJ01d5zuRTK/RfDV
SFwzSZstRdBo3EwyZfdyLlW3V3rk1KrGKZoN6tPoUknAT0Yp1Zk/cnWu4vaQSUHgSVUpH0uq55sC
KWEUm2X9E1V2bdPr8idEFvozJQwdD4M++OT3Xb6R55acKekrDbmTavICAZ/twzo8oHBGGzcJbS/M
zE9xEZmuw7XkYJldFzMpEXp1q9Hq0YDuB3DXRiZZiSsZgxagv2v7XKFzXsbt5kL/3oa5GrlDMJVH
CS+zLUYqyt6pdcy3SxAIFx8r6bPWJXrqQv6vGzeZ6qzZRNUgq4cA9cfcDeKsexjQcHqMZiMvd0h7
+jyvnyo6vsyV9qabxqDeBmHqF8c2BUzsGkasRZsynVB0CTPlEljD/NEyJMu+L9IMHGIXBMpdWhvy
+8gxpRmlA3vYmm2Zq8BMKCo+1o5B9cWdKL61O6mKldaTgDpL/M0Kr9ckMRM3C43iNJTjuMsRFQg2
iIxIb9XAqjeAYK29gCuy7IZKvkyS0X4KnLi8RGpjS7xk0VWeoQz2nnptu9d8s8wO5ZzkW7oR8QXT
HViHMBPOaU/TYlNI2YwIA0Pk2jmuvrtsDmx3yKew3TZtKH3gEpJf0r6rW3doZWq8hcqmVHWBGyJK
P7ha7gxH0+iNIzL/yk9rcvy3geJn9QYKifq+1Zp2cAfUS5RNqFBFxItSGgtcdvz6TcV9I3ALXwkM
1wxLNdlzvxj/7iQrPZr2zMg1rZQ+hHE7nbpUKAHG0SAH7tg0VucimFu8mVVFeluYqrVDpL5KXCMM
mr08dOjGm5lpuF08SJlbxqklu5SDxoF9OFC+tnZctF7lDPlpmob5BBn9/zL3XcuR29rar3JeALvA
TF4ehk5UaOVww5rRSMwJYAKf/v8on70tcYvNcl/9ZXvKlmfQbBBYWFjrCyxDK3fATk16Uz1icYkL
uYZzNNLHsUpQsWCktilLLLfG6VLYGTyudwBARj70feRjkyVYc3oNPE8GRw3JDtpOvhBdSiV0ptPE
KyoYXWwtCIZAJKAPVJv3aXalBZJxQeGVkDtZLul7bgnVzUOt9CDrr4W2XLf5DaxWmsa2aEP2ErRS
LTspzNg34Yh4kZuEPdXN0AnsR9i0QwdS3JZcfgBpJ77TrXx4QXO+/m12fVjamHtg6oOhf/88kP9R
koIog7/n2ca3fGX7Xk5HOp//pv8PUxJUak7lJLh3hv/jT7/c/e/t11Tm88/9lZtAeOJfkDzFXzi+
UQKdhFz+yk3Q//oXOrGoTwKxBM+Bqf7879xE/tcEhJ6EeAGHRBHjS26CXAfXTwgRo8CIi5wp/ZPc
ZLoB/J0w/5WZICua83ZoGOV9xDrqhxp30vFgFZkjE/fLZPxfIvQ18VkafLqWfMn9OxSWilruqd/r
pa23/LGKwz3EO73Tw0/Z00/PPl09vg5vNMJIU059CzcpAKEDYIFPj/z93vT3rMyKdyatErmNWory
6Ohl8mB3A0jcY7kVw6WsQRSiez/9QUtfYZq5L1+hUKRaDkZ8EDMvJXZhqGtg2qWpnz7wy8AlZEvl
GBY0fisTe4CcjkwspzTX4CBLzz27X8WK2cG9YJqgwdWrB6P6dXo+PlWNfnqnWO9fnxsAiEDQqpJ8
SR03qhIeLMSpLocmkFHutLS7btGw1IbBUYZwR+T6aDA0a5ANW1p1gcb9NQ4bj2Smb9bNZQIRMpke
dCQ/9oBE7PQzfr/Z/r04ZsAU+DhC6Kyk1IdF0TMq+ThOIndMPyw1P0hat3KVXZrhWcFEyjqpCUrM
sFS8Kiyxh39WbfrP489JP2EBLbWMY8cb9FGg9q0P8LFZYQMu7Js5yTgc0B3TKR46bxWvAn5gLCEL
9mZE15TJULhY2fifTaofVsknkO3L6g5BfDHKbIRUrfKuD9yH4TayJiR9GerqWpBvM2IeoGXlSiWq
OzA4DaX2AZApT6SWA3Kw1wvqhqR3WRBsW6R6xBivaz1yYefg4pzd5CHxYrW4TJBkmmaKfLNn8GyC
krMMZHRFNlBfQ1mQbFloOUqXuRF7HMRT1cLLaND8oLosYN5CZLC9uuhK0OK6JaUNa8BNOSF82+Gq
H1I8iWYr2qEs5U1Wp54UNoA4wZeppW4s4/CnpcPT/oq0rx3Mf3T2p5Sp3cXCQ0vUDtBFGRPXCBJn
NHLbRI92VOxGYSuNjIUI8nmX/TLHRZ9AAWtMqC+Ku5q9qsmFVK5V6D/7xz+9wFncS6DOl7cZ9pCO
JC0fc6ScWQxwKaxJeLIbxB7ISC9Uj7EaOa0cbapC8xRhuj3yq2pAXqcI28zIvQL8q9m04Cchc8NZ
5pIwcQT4Mae3+vdm0t97ZRZFCx7WbcWwnruu8nr5OSWRzcSrFAunZM8jFJLhprJy5swcHv7+sFlM
xbYcRgmwbF8xgyeRSBtuHnXOnIAq9miRvcjeJ38rOGdeN6hZTcBpN9QNX4H+aBCGdtfAfbalT2GW
IRsvIzgqFx6TNL/SoTaCu22aVTsjgPyLpTpdPDqlDNG+BJSe2jbUF1TTUHoBUJvLjlZ9SBiEdb0j
6aadpLWdopRV5OUWVCyngW5OSO966bEsLwMYWurBvZm+lxKHQlH/V8XrW8Hra/KwEAA/O11f1l9A
zLZvc8y9jOtrQgcYmqyMPKsS/j3T8wgO0/shh4un34WaE0WZ0+I6RgcPPks2RIUHQhyJ4dwvHCq9
mmJnjClQUKort8KBoamtj0+DEeNHGo4X6SKJbwo9dFpJ9wq5iVbWw9L3nx0AOkCrNQrqwkdZbheq
OM3WqA8LB9gctmrFaC/gAoqjJbpA58wjqhMrf/J6J+XSP4KL/meG6Szzgy1bEls9DpmG4MR+7Ppf
Cnk/vScX5oXOsr4UDKWUC6wLNCqg/SW0lQN3aVZmOV8F4dGkkjCujjAStK0t8cGu2d5sUKlgd6cf
fiGozrvvUFKA9DnHh/TBsdSvkvpNT1Yog0vzMv38y34p9V4fy1BQP2JuoexQVDv9yJ/iWD/EajqL
S7UFn17aDdSvoFAET+9tETSeLjK3oJatJebeiF8Yr6B+9BAnew691aRU7/umcY0qRIWTu5KaOQSi
4z1Ld10XbyyuHWI1dzWZbcJA2XRjvSV579SpZEcA/MXtkcfDTQd0M/SUef6Lq4VHxH7qMzbVPg49
i26q8EkNk5Wcbmny5mknpFFyERhIihjZKDXkhsmZI89ijV4JzuI4ny4pt4m4UMq13s7Sep3FhyoK
shxogBFMJdRievgDdBFEEG6GwLSNbM2n7eeJAZnm+6qqYb5G5CBFqIy2IFIzdWUj/Pz0KLJ/H7fN
Y5jXVkgA4IhuwzBqTJ5G8SHC1kb996wICsbu98+AlnOjxUkw+ln41krQpl9jaC5NyjxUwA+ll3Oc
1CzyoBYA3OrprfZzdNDnWMZ+ALPUCOTR13m10aUecgzRNQlXYvLSU08//xIgFE1jXIkxHXkDM0ao
Rq5iypaeexYhoC8clDS1Rr8M7jhHVzFAFt6vsReXlspsbwJ6GapQL0Kyb2W2kd4P9BipMZiZsi33
f86b+dkujYWSt8bw6X2xa9QHI+V23Ogrr3Vp4mc7NS4zwGBb7NQSBlnYo2t3/IVx59bW0QhFOTPH
uO2vDEaua+nR0rCzrVk1JomBvh/9nu4i4QVrGKWlcWfbcbBYOIBRNPqNGtm9dMf1lZNvYfnNoVZE
rqCJNA0chtcdvZFwB1P+kV/Rv/MYAOe+75msFXHf9ZiLAm2Fzo3K29PrbWkupp9/2YuyxRMCV8DR
t3CvGXea5pw37nwn5qOF/sr0vOAO3JZrpJGlx51tQWB0OKtrDJvGl7HidGsq/EvjzrZdWiNJZLAP
8vPwZlBe6/8rRP/Du4M+RxA3aQUPFLgw+Znxa0gvo4SdN7/G7DikQ19D5AEx1BxcNXSjdHvWe5ur
8GRhNAZZBz8sVb+Tx7tm7QK7EDvnNLko7kVhNJiIpLrR0+am5TkqYUA2M3M/FGsKAguvcU4fCRuY
biYlPiUC4EIQ4GnC80LnXIIBeMW6G3lF/RHtWrEfhvPOwrlSXA6cLf5WsKCzHZRGkjXHqqWZmO2/
llRJW6sYV+DS0DpNeFYWqc/R2soo1URJES/6/FCom+C8SwOkLr7HoR6Q+nasrcHPAf4pduKfSWj8
J27OlcfMqCjNusQ8jNavnn1ASmErWu4oAXctdq+G9SZujmdtnTlqLpWYFHTMGHFPRimpvZeK36cH
XjhW5pJVOVr3RgN5b59WMe75MIUXOAa0zenRF1bKXA0uzQMrg0XQ6A/QsJRg0xm9njfwLDlNAP+q
CgNT3zFPN3ZBe+YDz47CpgBdLgCRxQftxx5hD3DuA08z9OUsFEDwS0hkEPuqo5Lv23aF1b00w7O9
yJQ2T4wI76+I/KyN7EisiRssrYzZccjUkAO9gym2VGYbuNi28rGAudfpF/hZLf/vCzek4L5PCFDN
PcymcCpKySsX0TGC3AkAewLtXMgjeZb2UEq1XafcCUkBwdnYDqXbTNoKdaOQypEE3cVxuPY0U5b6
09PMs9c2LokyGc7yznCCHMCkqrUH6dA2qm1hZzRJ7LQGaCRrQr4L702bnbFdGeMT8kz4QRYd66q8
XvMoWHhtc9zy0AFuWmX4Jka7TaQUSINrYAlWTqqlwWfZbcPRumqn1dYoklNn6cakdzFZI1DM9Kf/
E1C12a7OQB5mnMmDLzPUUroB9iYwk9RbJypfAx67xAJ+RSYHWbQ+MHB2riVuBWhKr4b2hOaAkcGm
lOKrsiBuluh2atBDI9ZUn5de2Sw2jLo0+XliC0e0RkloP4i1y9/SyNPPvwSHYTTqDMkKoo5wpHJf
rLl1Lr2uWXBQ4W7PIVuAU0OCGE5tq8Da0UisbJqZI9Lfr2sWIeqEiUKfYlrPMztOsk0qIEWrATcG
U2N53A6J8mElT7SzvKT7XRj3qrzVerymQneL+k8Gq8JOBXLtSR1zj/PU1fN0W8kw0B41x8qUfcUf
NXJ7OuBMa+iHHT6X1GIAgVm8z4UPzzo7jW94X9lAHToQJFvZHEtvcRZD0O4BKlahwi/VErp/H6I5
L8ars1iRaVoVxbQQPkVvDxeTM6/Wcw+IUQI5S1So2vXok5A8sYW+5jO6MBdzDlScVYMEgSfhC1hC
pk7RrbzFpXFnEQJ8qxFOwhICkKGjs9g7ZnZmIU2dbe86y4Fhr0vh62h6Mrt9Or3ulp54+vmXvW11
KuE6ZEF9MODlI5B15w0729oEPV9Q1lXhQyVFuzp72NmWtpK06dI6GPzufoy731XG304/70IomptS
VFoVwikAjdaO7RLyMpixB7zreReHuVhkm1SxFvWD8EnmoGfIzksy54aqnUBqXBYYFsqsKODW5z3t
nCc/BE2I14dhlQvtNlljpi+sszlFqqckrpiKBVFER7C3XjMCHubKu1vIjpTZrmPw7/hr1wUcmOPu
BQxwWwOUsAw2+rgHxNkOeXhDkwn0rIFUoNqisWC89M6DwgHnw0uDO0KqTVn6lnmDhesAwBrL9yl7
Av8Hv7kDJ0fYogSUb6z3QwInqeQNOlZ7TRI7M9hp7W3TH3RzV1n7ALBcG5VGLwNmG9hXR9SKTXVY
DnN7HGEfQ5ltRZJDogdGn0/PwNLkzmJDoxk5A5pQ+KoBLLcTrPHcZyZX/zlC5+J4BjyGahFSYLWB
q9GNuxC6g6lEN3n/HJAbGkNl+p3kd3X/pHWvIdKf877PLHpEA22CosZN2yReUexUsSKpujRPs/CR
AqlaqFAr9dNfXbkTZ54mc301wxrSEDBODPsBjDC8oE7PwkJKMCeH4cSTRDa91SB50pHMZeOtrr8F
/XnNfSgLfA/9CmDFsOzCY5fBo6LbsbpSCl6od81ZprpaFTr8uQe0tgu7gwFaB/CEmtxqxUuXryXj
C6/yM+n7em5ljYIMHEVAqduGnR2sWRouHARzoY7aoLxj6vQu8y10igDrtRz4X523sOciB6kw21yH
SaFfAsBR7vtqf3qpKNPO+CF9/ERZfJmOIKuAKWtaJHfBhRQqN7I4hL3qBuKeRg8RwFij2ru00zZZ
mRxjSbKJdCVZZBNHkZ3wGlIZbKep4gB1fFsJU6+uwIgvjRuJaC4huKVUdlm8t9WOxffQCnQLiTs9
GkBjyNwsHZzTXwNyBAvfY7bzYdnSTV5yKEZzHcKyvddWqmui59zXf5JAgk5iaoehgvZw7kTU9HKt
tscB5PUBZiugAkCSfkC2z9lVV/WApBWuqbYbome7FAc70z0ZkoABDYFSU12ohbiVXFzoxcWgTdZ4
CNhp5lnSw6D+UeQEmJtnoyJ3qtRtNDm/LtPftHk0WtnjgMtHE0Ke6Bvo+ntFF9tCfaviiygiQLTo
m6Y8RtFTlkA6o76UutEdBuDDtH1BsSfGmy6bgPSlXVoJCJiSbZoPSgUZr+FXlrVOR1+yQnY4ZHgi
RnGnZA4RKjhw3DFBKAjzh1E7GqXsBKmx1eBjUEAMv8+8kT4EMAHNQ9VLqXalm4+mAsEVyxYQQrGE
5UHclASgeiT0CM00Z9CJx2TJLvMPqmtelLwqTXrkSusoNT8v5s79R0Y1CMtam7osioMOWbfmNyJN
lZgflvwcxoGmspkZPXLtqrovzQvzT3kBhrIZO7A7r6RdmO7BEDm9LhdW5YRD/5okx1oYAVGIm2QA
Xd42sHm01evVzuRCvJxjOzqJtCV0slDjhHuuzn4ZSDPER6ZcVNl9Vu6tdh8oNxDscCzjjYd3ZdUf
Mn5H0k0OrlgdgcijM0era9uCnoZU7sysvqMthDAllB6MyDGrCgzmWxaWjxHbZBl0e7m+yWXJkYGo
JpaXV+kWGLQe8LrWk4sa4LTeVeVDlDzGxk0RbhtjS+BueHoyFyI3nR3CjWoMgSAUC4JCn4+gC35z
3sCzkl2QsZj1BPOYW04sjqy7Pz3uwtv/hEl/ia1jpEtgKOHtm/wiYYch2ZFhBas7HbU/rOG5IAvg
4TXoazgqQeMCVPBPHTZOMbH8omTTIWILvT6AeOae/iILCcVcjiNQ0lL0gRj8NDhq/J6ll6rO7WbN
THFh+Dmo2ZTiauxKnEFBPNiMxBDJfuUWBKL7ZGXpLOyUObSZtx1N2yljoYWvFrltmfuAH7B09XTl
hSwszjmoWS4aAtotDmhc1ZR2k/Xe6alfGneasy9rSMriTEkrjJtqmwGMrmblxFwad1qzX8btYYoC
QX9UPPV0P0zSpCuXwKV3OX3el3GLqmISbEiEj4Kqa7AC8Onc4eqxRR1t5WUurP3PO8eXj2Ck7VRz
arf29WNWv6rkiqXgrlGOPk9oUzEBjtcSi6VpmsWcUk9bUiQoUQ1N4cituQXQ7Lyo83k8ffkarajL
Qo248E3QFGM/Wes2Lq31WblOSuHfE01dwbjhl1Iv9mUZOzWcjGWaHShR3dMLU5mm4IcQNAei6mXc
dJmM6GYoFwUBT0W5gIqKM9LjCDqeyErQc3834kiApTfjnaLCv4tfax0YhPVoJ2ZhN2ITMMmmYw3T
cwjrxRZsCcb7qn4o1AZK0wlojO9pfklAqCYx29RQgdLNzennX6ryzlGugz7AzIRhZxXNcwabx3ro
nKTFHTvvvCL6neQp0hwZnuQNMGI3VXCd6TeG+ZtVzKlx1CU5UMcj3PvS2h9RVyOW5XbJBh4xOOVv
pPQxF25urEXghaNkjpsdBmIyq0HDUU3dvnFBKE7OK8LS2XIxIykBjxSvMWS/26F1E8iZn57hn/cO
1P2+h4KgAS8uqqcFYr4V5ZH0L6fHhTjAj0vvv3S0x4ZG7WjhgsvQLJFZaYfsNu1fc+maFaiTifA1
REcgq15vNBuqZa6hHrLqUQpfFVCYJx/TGsUOY6RbVY6dUHz0Amszec762gFrADC1F7g3uFkGZdNt
Eha2ShK7NzpHbjSvA69ZD6ErEYJYMoj3gIAh7EfJBYXJYHWp5T4EUul4mWl+I94btqvUjURe9PQu
Ho+E83iTNfccin02JeISnNlbSGxgpTPpCQLWuN8dmP4i+uswTVzNfG3YBRT0wu6pyOrYCSLLGyvu
5eOHAY3GhtlNdDlC8CJScUFRgXjXnFoxXIjG2pHCL6OGAgp3b4j7uDrK/X3d34I/7bbhkRZ3Y3FR
B3tKrtJiF+YXVX0t6rtE9XXlMMamG42hCwnbpE5A7L5OZSjpsAeQxivlDwebV5cOsQi2cdK5Jv+T
NT0U0oxrs+ZPAqSnSH+K+s7h5AaPrrZ/Tr/5pfc+hbwvIbODaU1dUiRqIJYkzRV8us8bd3bIqjm4
teWAcXsZZJTLcS0Uf1Yu/jtGQsn++wPXIINEYTRgYBps0Ba1SWu5EUjVObEj7SGTXCV9Tp5ego02
XhDjhWhvAfS1RnNvmU96/K7BubJi2Y1GdhpcjyLjTkrYRsPttAxBsDsPGAXftO+PGdCmr2IJKIyg
ysFs92m4slXNhY06u5XXY6wkCZgx/php6LW7Ub3tIJY7HDrqDojv572+2SEd10oKTYAG+XuN/rkr
S2flSLA/+z4tJjz9VKOakALpRWK42ZpUpvZz3RkU4e8Dp5le/AWw6cBOZUnhWcavqNvIOFIKAuV8
6XYI3xTjrRaHKkbXhrduX8LgQWwY2xkD+LK8dQwFzckusKXxN4NhH2QKzcFuagpWk6sWV4RfKToY
RF4jQ7YpyLxY/pCtBOKN7zBF3bdFcVWxwM6kQzoQJzBH+LR09lg9cHadQUWuvTTCa0250rQNBGPP
e1Nz0CtEFISUB7jT1/VtKl1Ab/LMgacF+CUyJN0A3YoQK1iSPf2tjVeShIWAY84CDqQZFJJPNQhK
mB3pzwEqV2et2TnsVZhZRVoSoFnyRkLpCjpLK6DXnzMFWHF9n4miHULacwHEh1naBW7KkX4PYduV
ef68z/wQ0eZiOFERQZdJU3EVhIICLCN9tQeZKqMyqlLNJlTeIenkBMXAHY0pdp5mSFdobsd1ctVA
qUSE5NUo4neL0PNi91wsagR0PQfJQfi53vxRniJFPe+wmcuPhn2QwnimH4Fct43AlddSuaU1NYsq
oSnHlcIwbot0NnKj9/MW1CymxGRS5EmBj5H1J0YPZ4KSYcXyfT2VSq7XpMTj5ro9mJt2tfexEATn
qNmOJm0VQUDdbwLAKozRtvQHM1egH36RQlMl7D4KgYtF4yY1cdToBoVMJ1HBHB1uC/MtSjTQegX4
vvJ1mYCFkj1XorvrQaNsssDFKRPkYPRJ28GUbNqUsJe/jrvnUb4ay2NYb7Ns10rbEZJLSnPd82cl
pPuzXsQctZvIGVXqChOmvirVoe7PC0VzmC4XQzJC2QYFhvQ67LaUr+yfn6+L/+WTFnUKVGskBX18
9Roic6mdlqiPRAnaOibk9qLzdtMcsxv2imhBxkNYkgu3M5oNN+7Pm+9ZjgH3J41WUO7x22HXctc4
r8sFrcXvC5+UQTiWJsaV6EX73K/xHZbme7b9B0Vpw9HogG5n9zq4vUWJHulDC18+fnfehMwigVLK
lU7DFrXBJr9sOUqw7Uo6t3C2zNG6Wi0gwSbj2XXlpS5GqPZcQA9r5WhZiItzxK6iFarJp8FHzWvF
hq/5AS899OwMh0tV2NQxclAtedGtD5jBw4wy8s6a67njfByU2tDLWCQ12NiBo6499NJkTF/mSz5j
UOTNRgnUQ7NRh11Rbc973Onjvgw7WCKjeovHNYJfkLZSw7N6NciKvo87EsasWm4R8yDyRr12zTV1
aRpme9AcB1SCaIqgJ7kyt7XsLAaBNgfpCgPETsVIUHHeBsfu4bzJne072MYyOuoYFMbD3prgx8IM
zPG0PfSixwx62NOTouxz+kk/s7Ufsrg5mDbgMFitpGHwe61yEhhAwTpQ/91Lk/0QP2Q5d4rAb3SI
PGeKk0KEJs7R/SxCdBGPFcSQbK6X2xI3jOQG0tAOTFHq4jGvnjM13PVF6Mba6MZh/wawnAdHWFBa
Ib0QtI7W8NHJFPnAIXmgxQ9mfEzAOGF7rbtSZJRQrku527aVBtuUp6yr97mC8nTyAoSIU9BRgdyo
BvgrlD4dCmqMM1DDJmG1D9IcpnT8EEVQlxhEdcmbq14uDmazbYLbYUBBBWJ3OxgEbWXeclsaZEBd
tdBF4dKtgvg49qUfE0/o/U7GiWJz0UN8dNxbZb+3rGKrhtIWguyborfurRhaZFUU6rtSyc67Dsyx
U2U4xkbQl2gVpW5Q2nBsO/2mF4LfHD1VQ3I6GQzcBuLmgsvPOiT4GnoeKAHtgu+73grbuCoU7M5K
+9PKdyK/P++hZ8GPVylNmmwEu0JsOlPy1PaZYVGdHnxhQ82RSbBs64UmhzhmwGNM3FhdaXwszfQs
BLJcQKBdwkxH3RaZuJ3nmymLOv3Qn7otP2zYzyL8l8DN4ow1EFDCOTMQe1QktyksRNpHFpX2WHQO
awebw/Qiz2W3NT+I/lwB95ryYAshuRuoq688yNLszbKXxAwlqOMi0FPzmZSP+Zk5yxyyFNNYskKg
HXy5euTmtdKe97bnRg5Sy4c86RE+lU34IH6ffhsLkzCH85eQL1YiK0ZTaBNeipX1M22aH96wNlv0
Kq+suoWpl2+Mlquipj02QMgQHdi/lag/JTw/fcL0db6sIa0JlBqOxJiLQN8UkEGi2uBmyPZjfp+J
5/PmZrYNYsBK1SHBhGf7+vK8HoWmyd+fPJUCXU0nDCiEHh5q/BPenfe0s+VMOKyJVNTh/URtvFy5
rUCuOD3yQjj4LP19mey67dlAwUD2G7ZvB0ihAkuRJ2sUhYUVOEfOA98nw7EUzw2DYye6g3Lyyjm0
8Nhz6LxsjCIKB0THxHityXhjZq0N0at8ZVaWnntaml9mJQ9q3hcxVkc9XnNxVa1heqZixA9LW52d
RESUQ0oC9FIDM3DgQTo1hZwULJo8SB1Cqcvk2GNr/O8FdCus8L5/jbAtR73j6Aor0XasLLcpXwdU
2jQ6bPuMb9W8cyAl6VWsRlEWXZn2mAbu6XW1NIPTz7/MoKKXfc9jxJ70Fi2blcjweWL/NH+zXcsS
gMysCsGnMEM/ar0G8sGtqV0XqKgHWezWgu0KVfPgsWiLvPQoJahU7ysVqJOi2ArTBOfkBSM4fbFN
zcecXo/lIQ3BV+4eE7Pdh2ClBEAQBlL3u+9+pfwu5Ts67tu62wxws2bWH2KsSUvObHz+jT6GR/T3
SUpyRRSKxkZfkVDrOUzOPWWVez0k0Ghb+EDhqOlepNdgL+Rccrh0E8u3p9/PQpCd8wGSSAPlOcFt
E358bRjbwbjn8lNm+b15Zl91zgoQ8E1usA4ACXkcb9PzyktzTgBjCc8ymO34WYp3aXgdxLFPzwjU
i6d5/2F5zQHDag/MTVYWyG4nj9XWkcvfen8R0meTv/VAF+bKLuyu08pyCuPX5CdYJgdgSKAJypw2
Neyu20XhhVkN0Cp76o0nUz/00jNWrE1zsjUlWKgRcBkht2bRo8QvDGWv4I+0xyIAol5zWoVtx7Ld
EgD8Sn0HfdcdhxhaEx0s/JPpt4MaHCqr8iX2ZlidHVepoyuQ/R2gtaK+lxrfy8Y9YdCFhitsqF6h
xO6ZmrkdaLWVY6hAlLHbleJ2HGQ3rQ5NcOylAqVH3YV4vEtJ4DCyCwxcrfQK/G/TbiHEXFq1G/bc
Q8vZAVXeZcktPEPR260mJzynC/vbqKIbjTwW1TuU3NHQxn9Z294ynMzMPDm4K8JDMDlA9fFmUI7j
eAFgs1PULuRabYNcluWhUyUHzk1O030IciFHsVNKOzUJN0zNMZu9XZalVwfvtP/VD6YN6ylbSMlH
hSnSu9YJ294j9MrKd7RPPFZDJ10KQahig11RaHsKuh9GvhUUkobkvc+Ho0DUrYuPmh7Shu8U87Wf
kLdxiRLuRkMvLZGf8sq3+veY7nn8KJeJQ/MKhcbIFeRqMLstT7RHHtymwPAzlt9qOci/2MAWWtlh
v4Eegtunuqu1H31ZuUVTgbMob6l2tJIWivtXcHazCcKS3YuNFFqbLKSuZjBHQTQiAXMaq8Fzv6XJ
pVpJW1gLOBXYDxDDd814dFXjDlUzVIxsPpjbQDROG0OWH306WfYZRNu79N2o4yt1hHwW2Jy9cjVC
AdHkmgMspq1Yv7JhC/yx2zN9O0aSbbQ5xPJvgAbh1K0tT/US9U6Tj9y6D2FIm1x02bETmwH/2Uz/
rpFJTtKpayhLPlTpFX4t8Gt3b21bb6w36Jwyy3PSyE1QN8/7BrXzLZcZ1KXxcN1VBxxKhP6dfpUz
v5afG1EDVYNAXHyY8gtP3xT+aprbLngRwYvUfmT4f4a0TSF9F8MYOsvIZZZ4SXYZjK+BvEs04IRz
J+yOQ3ZdZVdytkc67RBMqDSZIklAY7pBf5nncN71enprxdTWwWSpyVUALEUSVR4V16jjbEJS72oz
dOF53CUFzhcwpZBdsNc82RctuwwyAaHCYUPlYtPUAFeA9BIRa2cWwy5XrwEIdhpypXWXvd44TeP1
OSjV+S9Tuy9E6Ro8cwVr7wdIl8moSUAl7xJ5EnwCrvMQD8wPbCROnj6N5V5rhk0X+m0pu3pY27F2
YEVnq1ikJLXsAVGHSIFtTY3ZeiMjEBng+iWGzdUUkGxMeQ+5/ZZbKI0AYDIOjilztzYh0J5Csxto
jKy9tOKjpl4b9JibwGW7AKSjJwYHWGgn/DLYjSQPF6Eq3w4ZUCiKapP0MUFddQTSCSbQBu7pZnGX
NvHOYsSFfIQHgdSCoD8MFG7W3ubVHzakR2jeHJIMWuBKslWU28CEo0HKbFgKwJZOg7a6AqR5b8s5
rBfz1rX6e8sSNiwhPaN+0VkKZivw51XoNuHwkKGY0pbMTaQ76PLamtrbzHpoOTBQ2HtmqLpWNDgQ
x08xA1b+K9YAvKlhOAhRevT4HQKljxZkZkW70IH0L9mDKgGXx2M4tew18M6NzgXfAECr1GXKo6Xf
BfJjG7MrGdKTIfiOFmAdslJtAK33Kv4adqi7FPyZ0eG3BESfYZHLgeMQgMXOpJ3plHpuB6zdJTRz
YKi5Z7gxwRDOq2n1MjnRZkNtU4Ak2kxzK3PSbko3Kr8XdWFbbbAZROuyMXaNQtskYs/h41Nlmyjc
NFCZx+4thruxAy0Vcu+tn/HnXr1u60ddBoH/hhRPKKESGGgg4cHvGKzcVshrEd30WEF1YOH6NknG
5vCb8tJUuYZ1ny23d2GJnrwMS8puGzHPLK+THoWqxyS+U7FZoqJBq/4QyJaP5phTWImrp69DWR0Q
rC1wzogSoUJHgb+WvIredvDASHDydcqDYtyOHGDLzM1gCiXqpzIA19NK8Un7Prwsi9JTaxVltcgz
/h9n59HcNhOt6f8y60EVcljMhkjMEhVtbVCybCHn0AB+/X14l5xPdpVWLlsyCALdp094gzo/pdpb
1e0ViXZt0nh4Q5C8dswi7lGglcRb3/w21J3Wk/Q1u9q4NPGHsvbsiCMiOtus3Q7FL2XYYwHn1vEe
sNTOnDBmhMFgqFinP4kllKbRW6IXEEQKbmqOruJxEcgW2Kv0Y4Zk54iL0Xu4+zjtj84OyvlOmvaj
mu6G4YFmD0covgwfq65sJmwUVUkKi5VV9NOs3ntqqUTpaNJZ+4kQmzUIKmQ7NYNVfaoqBVWFmuSr
28b1sinroMD/C0+KtiJ6JV6v3Ct5HVaowbb9GkRWtlHi2E+Ne8iAuyI+r3SwsS0R0h8TDUNAO3LN
7ldofHYubUIqIwOFvhiCX1UtblM6m2u8WevejfrhaeSQ7y9lHizxna55c35MoFlaaShrIYcx2DE3
T5tNWniy8i7L21k9GPrzOt4p+otS3GvFyHjs0koAuCAwj/omUu8m2w4UZlDoYGQchyJ5HWKvq7aM
khB1eEinZ4mzr7NRUh8a9I9X7FZNPgPqh1PFd3EMljqTDt3wHk8SG1PfiKnbqWPkZQDLalwjHRKy
aWvV48ku+k03lK5ukxes7Z3aRQUL+lyUzCHIWso895AXxglkR3g+W81hJDrVTeOmGIwkTh9KwnBV
S5BqIataTb4KNX5sHh0pDvLplIk+dCoJhbxx46QBPLL7hOZV0tOeZeybJp/ycsrVQ1n/QSpSUu6L
ZD+Mj1E5boz257BGftzfpy0xeD416cuaIomLP6+t+QNtaz392ZevmRrkuOhYYzDCr7FzIljM8T5m
gYVWSy1kAvhnl20hKrlplbKILK+nhlmJAPOr4zwV1nYdzq1Re21qhMV4qJ3yrDTinMfgtBAGmqX0
2KIpNoC3l1LOF3O2qIz+wFwO57p/aNrWbaLIS9ciTKbmY5jb7Tz6Fl86cjq3jtpjKQTKuBeSQ0KB
HYC2MYt3taw3aZp6yyB5fd0HivoE+mdTxbm72sfJ+KUquzK6Plftvo9wfmEP9UN+GHgEJhVGKoVm
NqEnHVYyjuP5x8r5VpK9rOT0mk0PgkWskWG3WhKI3PDU5ZfEAWeiBjx25yV+r0mmZRQqrGS78pQr
DLESY70bDdmvdP26AZxk3Ma9cxogOmnGb6vrg9yy/ViCFRZVu2GRN1rnuC3rJmvqbaG8zVXjmcVA
IuAqJ2XQ8K5Q/W5IAyU1/anfdl3rzQVkQumqhbHPx1Nujtja4/14H5kPeXlPAjr0fdjVwl/zgxMD
L1Fat862iMRgeY7twToS32GjlKdCMTw9SzZYhpz0Ovf6ltywVrdls2z6tQzrgoOtLcK+hQ5mKGyN
2lUJz4POUxtVaFV6OBm/hYPW38LgYbKaV83CWfy5WX6QM2wnWbxhBsHHa4dYyV14KQQ3AX7rY2lC
OTb8jFbsap7nydooKun8yGIkLcfL6D4tC7dXL5XAON5o2BhYxpBQjeYMSFtQEMyhYr3i+h2sY3Wc
KmOzJDPyTu2lQ60y6ZR73eDIEeOmb/ODqlXUApYfZ4e09SJ6EU7huP1ku22JSJiJ/wgrysFtRe9s
t08t/GJ2bUe2mHOBkofS9Z6RB1igoSrd3C/jXdtUQZP3p9Sq3NJOtsDIXQn1C5uL4rLEO0Uo2lwZ
8tlbrcmPE4LfGo95ldajU4Ef042fBQG10zFkIila1c8Bop8ZWRunLne92Blz4WJgvpkdMnyEaFSj
8LVyfshxearYnHaN5RONp4lMHoehe1uZT+uA+IZmyO5Q/Tat+k5ND1393muRj7c4h5fwzKXfWj0o
/eTc13Cc7EOTSxtEqH2U9Kht4bnVIdLGm+gThzkvGl5G09nKbRUgX37QnD3fo1BeEyMJkyVwZl/T
Zj9CdmjSwqW0/2QTUjlO5efW7CWxhw9Sbx5HMQT1EgzWnaVx47D6KgFQfRzPbWP5pnhQ1SUc6AHV
sr1BiS+YU/XSNeWxHQBEdkBYbQrHxlPNhOHY80CJGJsvcVK7LeB4Mscsjnw7rv10taCrit1kt58W
2uAbMRDarLE/Nc0j6i0bU72Mdfqr1JP7hUgDC7Jqw3RNXeALZYku8nyslInkDjlwhaid9jOOUwjL
DFp9duyDAU8MgZ2NMCs4WzXoZHsbNQ99dxKxSXT8kTq/EOZrNg1CnnmacKRRAaUDEH6iOJrA2qic
hU2fZ+1iV2nnQJFrL++0k0BjwFI0j70VNutzBVsy5uA1xCMyin5jI1Ue1U/CmJ9k9LvHIncZ+kBs
DHslLHQ+cMUKaV6OjiT8SVgBXhEABdxRRH6bjBsze1LiwsMdxV0W6gkKSZGtrmALzlHlj1g69aQE
pe6Wprl1MoUD3ZHCChBkSajMB7T3u/ne0ThdFQWveyN6WbvcLY3kvOKqpMo7Oc/vnfbTbnFXgsDZ
a7O3Qk9ewZrPs+4OFAuL3Z/15WnV7ioRHdZB9TFvixrjgIXSSlGeJEMYOVTBceupg+7iMxNWiYX9
xHRsav1TR5Uelf62vh+0wKrOsbJHE3rjKD/V9GVKLpOTbJzhSNwCzd6lpzajrdGOIKEDE2l9U16e
pCRzo0h187q4Z8xF/tBsGPOG5uJctCzZRouzG/L4pJciMGL1d06Gak7JUVgvy9QyrSJjcEpaMOsm
7bTAKVO3ghpb5QQPUwo1J9nLQLH6aaEgp8GAbhvi0OpG01DgwXetoZZgyBuYkXSIzLNGpdFbDJPF
02it+NNQ9lurFsbaaTIh4F617OsZB7bOV516Y9iNmxPtsJG9w8D4JBgZC9nToYJJZDplDEdJxb8e
o4HFfJvtT6dIDm2Pi1r6a6jSZ6Yyd3RFEG9Q9lXCCVeM1tnWu6d+iELgdlQL93Zd3zXJJZsfroWp
W5IMp4PmZuJUVAyYLfVkisW1dawhCT1Lc4jN7txEHAPrO7KIrlVpG7WS/NV+y+gpCnYRfSPwuEXC
iHxaNwUT4uqtLqCtXzs5ycPQvWe0a0xdJzMrvDb+xP2Cvlbs9uy1HqH6RXufAUaqTH1N5yOykkd7
YgUvoTHaW3OkVGm1Y5JrXmNiaHOl0nR+Uhph6fgdd2aJz9oyN1JvbY3mTMfRVXj1SImHsb1NKrzj
isl1pDTA1mujTzoFPnsCW4DBhqM9XwPPTov7LWpFmI9FZkeQ/VwJnAOUzyyKz6U0bWOS1kKjnlBy
EMiZq6bF59z0LtB0zAcu17aIwjkm9OExU7d2e2boBgsGabPqT9q+O310SOUhVFrOHWW5b5PSt4pP
DNWM0gjUaIfXdzgnjpusXSizajON/HM2tgbZA7Wxoq1+sqzEPFnbtZZNXVt7WRlvy2K6r5y3ShnP
Nd0ow9A240SuHsvn9WoBBr21x4ohtX6U2IJZrxMQnVj6Uy/3tDUW+9HwcK5Nf3eqfXToCuUWbtpO
kJNTVSKH5f2mGu9ltBd02rutGKqw14MeLrKUn3Iyuan/kVW7miaGPvqGfIrSYTMAixXJrwoh5Swx
Nw2bqUv1YF0/ZxKWlepyRoxb64+5IvyWBnGGqJIB3Yn+GrBtcVcK6bVD2HLMq3NGnG4LzBPKYpe0
MFqcdaNkwNGaSzXNXp5qm5q6dJ29kkob7PcxnuyjlWjbkhSuxO/Qwdl0GA9ydNekKUz8uzq2Pakd
vcF513sd1az0lDG6kLnfWDZ5+tNu0PM7yWjJjD9xLHSHaPKnluwPc8F8mrwpTvH1iWhXPkdrhDd6
aDPjMnH1Sa3iUHYvTRW5zkpuVRuH0YZSI9PJHa51pHFqk2Xv9C68ALezwKabpSsVQEv60l3AqTu5
fmxmgrjTYSLX+3U902pSID8ItyQrmFudjh1AVAxX2okF2CrwXmAqkzl1Nc6n1YsVX6Xps7t4sXzZ
IGqYjme0Ec7pgl8dvSRr3UQVR2GzUMr8GC/nWS0eshZXWGwEMWIDkS8FupKGUx3RB4DbX4ltTqjq
rDcLQ78W/IvOclFl0hAp5WrEDfN1gJelSMql1Z0XA1UXuhPPsHRdtN5P7eo855XY6b1yGvTptERz
2AOllelsq9KuLJDdpwF5/fVMl8jGK9+as00xSTuOQ3XpEmpM0rF4Og3Lr/nBHrTDMAw/VQEURaUK
HSMRxGpES7c24ANLj8lIi60Dj6bQHDES9V7ubLLfDj9KE00Ga0q3Yuk+ZKcJS3X1WhnKXqnvS0Xy
h9qQQlG+rZF+MIAbLAbWJbmvpnkMAwryvxx7S/1z7gFFt8sZ53mvmo41Ih3zT82aN3n0ZMQ/4s7Z
j01+QNvuZ7ISuR0RduviGhkbxHy1J+xulM92em3x59ATy18lTHSGyE/yxi9Vcdd3xbyxzOSBogR0
gDdVFOrOj2Sw9yKp3mcBdNesT0tr7JS8Q1FClvJNZg2MpJhDUQgJAlGegYMXrK/Fx0TatdqjpIij
1vGMl8d4OdrS3ZzxyrZ9UiauHD9nll+bpPnOgE2BjVaFWpuebnSYuayy23YXAw23UcLHVbEMd43O
D226fjZ62HQNVioS3beeOsPphkBQ9yfOs9w9WFl9kdrWxzR2X/UL/es26JH1iTXQUPOjQ7rat86+
a1RqM1aYPTkIBjUbM30T/WNJ4yJy1L08WHQ223ozdJgJdmvtSfo5y3exrSNOpLMAunqrqhd9PSdg
8W2BxSYmDb5WYL0aTw9GDI1lqt7tK7MxH4PEURmCjcH175jFBBqzqpY/B4YE179fuaJRvforyaBQ
7E0DTW1Iq2vdg1oSFy5HhRSxQFNSv+KxdzJyLVp7HEgY+jW5WOqI32dCL9X4nKMadSGkaPrSds0B
Tot5D53Ryxnr5AdR0oTpSKVnrXvsayucRYfPJN29WQ7ikf6TcxenmicDehnl1h2W8RErl/fGgX/Q
Ve5YvkWMXOdPo3uyoo915JiUrGAwmrDVaQej9TE1v63mqbX2pTNx5vZ+J05zUgX9mPraeGfaUmDx
6836h+rYn4xmP/Zj2Du6h9grHApnQwJwGEZ8pE5tl4Xx8lYtu8Q4lGq5KaujY760cu83QtnEq+xJ
dA0y2bdluJoKTsGmBTX/vWftY9+5UZixqQ55eE3DeIFLoYD6UpIwlbof6aS+4PZdsB1FSOvrobT3
UrPNrdgXw24x1neZtLObB4SmIEDGu0hso7bdjhLCnpUcJCldqnEMIsUIZDbCwsMek99zXr2nfckO
KzzJFBy1v+1lduvZfkk1ZCYdK3+0M8VVcsD0EvizNVNPCMIEca6QW+8nceDY2LHAw6GTd51CHMin
T5MoVffNdlWeYqxLTO7/aie6pCMtxsjyFlt/H4YJpFx6cWJzo02c0UaFmlZNA2ldq2012aVnybo3
rxeMghTXod03z4tfaekR1ZYLnjFH0edH21y3SapiuClv5cqmqtOPSVpdFIBc+LyHETXBVOpBm09b
HdvZnrGFUpxwK8+X1zr7cLKPTLzHHAEK2ib5cdDea0GrfbiLjbMwLxM1W4VWcEwnkoaJJBV+vn5k
/auzvObj5wzdqlrO+rSlhw9MULYDOqhaYvhmDk3hdB1fd0oMBfOegaLSVVzhPlYvNl0ZR95Jw34W
l7w7xc1ZL05KckqVk7x8zOpVz/uRZehNTR6MknRBFLQiNK1y5hYRxORcLD8SiJ29dZ6Mu+J6Aj61
Sf6wmBSkbekXOCTzMH7X9UdnBI0GvLHnxJ39OXL8OXWJRDYKLsmjSb5r0ISvEjQ+Y6xPG3cFmoJA
4N7SKcDgymp7rThfy8vFuc+lu26ke1SdpEh7WLXuaHCkxTqjwC2y5Izewt6ANkz2v94bYheVn4iU
Arc4jvKHIsVbTWNDiVOW+b30MqfP3eyqyp5WQYVqVC6uOjX9QTXCRsMbuV72lP+FfX3fh9HSzlJ6
7oc7Q0e6hGkvw7SY7uVB5PtqtLWf2aqGsIsORf2mzs5RGx/0fkaLuZJRo3Hex3q8M3Aa9Jzp3ZBf
hkQJqLSC2ElxPMTuasAU/Rcx/7LGzlaXtNNVHqcYL3byWo4A28dnKX0pmRcNj3bjZY2915O9TWq+
1a3fkng0flbZTup6v1/0sJfPSnkHlZ+xhtuH9gTcNPbxDSdD1J6WUnEL4rGIWtbtWSumS5qfcf72
EUgPCzX6aSaXhIggGwj8kCMyMKDws9NNZYXdjnKmNHV3tB9HqdhJGvWPzAc1ODM9gZT05ZGupPTY
xL/LuPxw2tpfJ+coa/HBVNej2jB67nvNbS2wvQiwFuThTmr7BuE7bQOT4SNOKCldgMecklSvskAM
WOgM9uh3CbilRPPU6RlfQHSCe2bOB3n4UDsRgJvaqLQ+ChoZRil7eI8/zs1v6FdtTy+j4SdV9jyK
+tEeHxVZ8v+OJvgC/3KrEaZjCdyNAqBggdV1xfz+H9pjX133BpmUzWXN+cd17T5onVNjfQ8ZfysL
JqepXBsL180YZI5b+ZuAyVtBsAoLM7WxQYAtHWLSvKJ/AMC+IvjdCoLFZavNQylxKGnmLkvfJmny
FVPhjGUiq+rhnLduXKhB6fyxo/mxSPpNQ/81djovhvJe/cL1+h/38tU7uUElwfI3iuz6HVuD0ZSX
f/NV36CDplyYdl7zSuTyvDDKYgD+vbV5gya0V9OZ0rKEMaR4Y+an/wL8fAENvZXfSbXOziMVfjOH
TWWUoWafKds3UbH+A/zzhUC1cavAk8rxIE2pJFAxpV3XuuM6hHFDjs1wfFJ2VibjJo8HoabtqBgP
qWH4uvoaLQVp6F3lMFuZiMN0RpSoPsvddDeU/2BqfHlrN8zeYspXOYlBHJd0vbGLhau+RXsgbppj
Pv5mBr1rx201PIP20c1Tg4S6iYqF1FrIOOSbghqCSghXwGNUPqnGN+m7t3I/vI6aZoKDTG3p0XPG
KfVbS0i5ATK2djn2vQzSFa90bOX/jN/TZTeUG8iiqLva6lYurIfSsMHD53v3ewNHtESOm71jItmo
urJGGep977o3W9/q9LwVacftLqoXgz40aIN879I32x9HPLVaR5iI1XCQiyCdvxfpb/V8EuwEqnha
loPysb7Wv/9+s9oXeELlhlSkpKpkGYtFONZBZwHzmIyrGi3tk3lNGVwXd2mpkQJGF0e6zqwRBumY
L4ri2Og/GUFI0lHP9inZRJNhi6XqOyYRQY5Tbrv+riZkZcV8vk7nU9kJJ+WHHL1P7YOjyqEpPSXx
BCBqr6wm8sNsplJ5+PvXum7e/wAE3moHWWqWKCod/0MhHhe0SkQ34cXQi59a076nDV8xiebvLdFb
nZ8lN0qzaFlKVna3doFlv/z9O3xxOt1K8miVPlaKnhLt42OdXWuFv1/3i2h/q3to6mOD1ibPZpJq
AjEujFJEY8nGAfxfArH/y0X+r+d/Ew2mTNbk1mAPZGrirtWlqo+y/lRPb0Ph0GWMGCDvJu3Y10er
eKv6O471unptJQmgW76hi0nrunDr9qOc3hzpMbJeU/Un9urmQsMWRw2c0Pvr1FJCZiemtVMXQd3+
0ZiT4oRtqg3H+XOavxipB5Z5YzOyyZxQQXzJahN3sE7qGFriXqaPKP9Ks4uhfDjrT7rP7pTcKfP9
al692O7LzjlL3WHOzmkN7KBuGTK+NfR3zLa7jysNXCQInvgBOUO7W/HYrR9nXfaa8mWK9i34bGcf
j/9gfX+FCb+VejQhhQ3ZiCbRVZuDYhDgE6MatDWXmUa/CfjRcY1YwXGj9hoqYZ3muxMn35KfM+Sb
eNnPTi0JiF6HuT3F0Vb8C0r91SK/CZZqHeuJBH7gMH7aT80/zvSvgpp8kygtqVTbUwtcv5peDexF
gYLSHnNR3dJjmL897bixC+ZY8ZTF3MjyisM0E4nY8pp+l+Q7qn0xhEax0DTkYTPVsAz1FNfrDznt
7xy9Am1gXuwq8VAWDBWay3Nq7uJ1W8aam5TpcaGfnGvHEm+WVPsXs/urZ3UTqge9ENWaK+QEexQI
xPdUaPRbGa2pZ5rdJVw2PTONS/+lmHLd6v9/CNBvPTyvZgN5WbJiIoOx3G+IE1uz+95ZqN+ad6a9
GLsW7blDuqLB4JfZPxLVr276Jj1SpBLGdcN1k7h0nYlOB2AS8T3vRP1WrUnGrqOUR0TLlQ+mo9+q
NvRbbaVeUqu+mOGKWD+iJ/PX38+I/15qunOz3XMz7qUJmM5Vm6TPvP57FZfu3Gx3U/R1JK5PYP2x
nv+l9PHfB5p+K6NUjrbj6FFJLue0YeeARweDZMnAJOzB+97zuNl6ekZAEYU2H+q30av+fOuit2JF
GWrMcmqz2LofreXTxfneZW8KmrJLLUeuyRNBMTLmcv6hzfDFU76VKlKNuJOEqlLCaePWAgBcxo1r
9VqoFf8S4P3qI252X66irWmDxEVXnqHEn8m8ZBjVO/k/lIv+O9XV7ZukZJSzRJOUgfi5iOMcTxun
EAebduai3kPm+Vaart8KGGWFLsw5RzlXLYGZb50hDr73Xm/2pNrq07j0Cpz6l/hJ+t7Ctm83pF4z
sJUZERhKtKOpD6f973f7RSS1b45gM4qR3rxWK2m+zQE5kV/VSeX//eJfhKdbB0/VwVK4hO147daK
abdo33sat1pEzZIZdMZ5xH0fLFe8+Obv9/vFyruVIkLCoFXRD1uwhAMUPCBcn4OZu7RL5kf6+o8P
+WL33OoCqWZux0PGh9AWveI6mC/ooL60/nsHza1AkGbgFxL3aDqYbZ9uTF3xauCGf39AX7xQ62Zr
xoat5KPNCzUi1OBQfvhH1vzVda///vH+kFZx///+j/J/bfTEy2XhnlXDEx9SFv79dv/3O/9HcmPd
7EV9EIaTO2I+yHDCFjQBMzBpc3zMUGeV5t9rPIF4hFfUw9VYWk+aZShcOxPMpaxuTMZZRQ2a685U
bQDA0DzaJMwajaFnGYr1Wa+W66T/kNiqC1jyqg6qNcmzU+q+vZhhvdKV1ULFnDwaZq6OhEZU/bqy
I6RcBqrwtlJk4eZwNBHsm9fioMsDUM3HHmh3ajI/R022tN4Z0fsKVVZMq89k5JIUVbgW804dOn9A
38+uPGk1j0W87JyMH49/DIapw/OqxEECM2kq73v0/CP9wVZBJpQqfNRnBOxAF/z6+2M2rGu0+K/n
fBOeoAorCrmpQLl7gGv7Es3PBngjCQBlbT/WC88nehOZFKqOtlucIRjybr/0JjOMvTUszOXFtrRO
VYRyOfhUHeXy2WFU3mwm+/e1K5HX+86CTKTW4VWCZNb8HBhALO+BCoaxDmGHny7rXZv/ztR3qA8w
HJ4qBoeVvl2ZPc9jMOvgWNYYeUNPtKWXgvNOxUcN7wsJI1fv+00BWNiaZ3hAW13JgpzpxgooqWBQ
b/zGNdoUB238ORVOWNoiNBKaJCC0l1+1+ivDqWQWuwxchnI3FIHkgLthZtsqbtfsZvWTNr0rzPE5
76u7RhoOS85QaWJSCUm512q3A1IWgTHJNTRgxcvSg5Se7hcg83HJk8jOFjM5CGpgpFBBS5Hdl8aH
PmnBgOnbItHdeZEe6gHM57uiLJuRYrNJ6iBf85cZ/+8ifanX2a+7g2YGtcysHj3HUek8ix+K8mXF
ClkY4iLBIG91/rOaTiBkJdnTAIyPi7phGzTmGR2szdxszWbYdP0FAw23Skdf0z+K9mgshpeZlasJ
5bXqW2iKYNK5qynVfpnIuGM1tU0dVNfFNAbyirM1nJQy6R/mtrmivzSjf1imwbNhUoyq5IHbCOf0
Hty0VVZ+gUC5JSmuSKfdBAo/tgoXW8m1wXYiWXcSBCv9jMGeVwBHd4wcowzbVbgFg49uQbJMMVCs
64DRV/XI06Nup0R9MAkTpVNnr0D1dKIZTlXpJ9awHZm1DWniF4AV8m4OW/NzmKIgTZ1thbammmgf
VQx0GoJWzIDWLmXfTFWvKh6XTrtKxLimhLRvV5wL9Xdq3S9QGWiSurRDgKY6+OeVrm2NuyEx3OXK
O1wjwEQ/Cqe52CuaTExQjI0EH0GSTk42nBoGv+3sl/qPBfvdNT1ayN+NWwqhe/pld/YqjorzoCR/
5hi2pgIkoQHZbtTurD/JQuydPKSjxFw0Cg3wFnz0Zo4DpnSWY7oOGHRgQU6PhcNJKDJwsQoQZuuL
Yn0abQhBLbBRWd9UvDG9eu3mV5mVCDRqZkgQTZFbRjVQqXLTx5LbLWiQYPuyOtZGE6/oHvdp4uYz
FJMSZOpaBkLby8AczCEBzsbUsgHtW0ACeK9zDVrhrs20TWJp+CQi81fCbOyO6TIHqEAhPehn+WNe
2gAH/kyavcGhRun3UgU5nT7RPPHCJ9PV0AvS5AcD1jXEHeTDVeSzeuOtr8sgYZphZ0/l8tDLAMxj
x+VlgLE6qDCGnQq8vcM6phk55K9S2aFMpMHFULeFsC+x4TxO1gH4VgnsuUn3AkXzZg7MzjyNBGir
/yEVcAJzuKJp78kNYs0ZqRWKW4xNQM8WSe4Xw4/ZYH+OwHRwHJm0Pyg2uqoMAWvRvcZ4b0G3DvPL
MFehnFrMXi+5jWymvQUcpAy5OyZ4R17Jj1O+r9c7hSNMSV/7EVR89u6Y+rZpTOCG3daxZLpz06aG
ylkY00aS2XQQfu7M8lLnLOPZ2Njg+mVnuzinyMKurbdQjK7daXi2FdCbYOy9Ok/+yFmxj5PHkvk6
e+l6IAoDAJT1qouKEFn56xC/Rky7BmDBpVOezPjNjoHCs+AG8HMCf5jNAmioYYvK9ksG0qPCQqfO
13uzlZ9LMPFLCb14rojLmfNWSkTEZM67sJhNzxxmtzPoPRtd/bObzN0kHwGlJqjFoPEAdRgFUrMK
tPQwTL+U7pQWJ1X+aYs5yGpO5ZmhZH+VzBUHVefY/70M7a5vtDDPHsAa+ktUnagAXJ33hhtMlz8a
DZrM0AAHB3ztwPAoKreK5Zw69TR1v1om8rFwB8TrzQEdw7jxF3tndPOmtZ4H+43ekpelk9eaL0b5
qZmPU/YT3zBPh0oSk3SM1S8LHsOK847aW5cuu2967FLix6x7KdOAHRWKiKsZRXqK8+Ve4AmWSvtc
WGDpiMBgcNFWdZm4QMQD1ZRnPZxge99XsitKwANln/lj9hDVw2Gq4GmAxTGBebdgN00yE4op03F+
RsuDnFfgcAGwxMlTvD5yG54M6Ei2p1/aFB07+SLpzyINB3rCUKnmVOwKaW9F9ISdU84IqQHEfpVL
KRfrY6w5caY/Ndy8dCmCcpyPgwXVzWH/tj8iR9nNCVPWHmSnxGItZBm+TLQxGNJdLW2ldCYVFiRq
D8b4LwW9LzQt9FuNtwTzxAhCjDg4y3noFS8lNvcdzPD2UxdZWJFaDQBd0q7CBAo6O/wB3H/92JRc
kcB9Sz9XtXzIIw636LErS680YvI81avZnllN39HeDeME6ArCezq4XSJtu7EGFe7A1Xx0CpChVR2Y
A6AqgMF/T7l046uU+aZwq4dkzJtkotM7gVcsYL0jXtNeEnXc9lLrpQRjmMZboYVtsx5t5Wdn/wYD
u1EL07PqaZOscC8hYjWgPObMgJF9h8PIZoUWIVYIpJLf6uMBWGE6X7Km8Bsk5838fqwgrWbqob9i
CRsSVEZ9gw4r3mrconrKlcuA8ME6CM+uNV+OFo9a9XcJCdXJ1yCNUaViaLBcMEwPaoic6U7AE0uH
ewMUk7bgQSQ/T0gzWpBJsuhUJB9AaY1m2gvzIeOcykTlx9SS9midshxEGt38iMwKAhtzhjrHJlFA
ne73KAUpm7JNoZQHHZR7wXS6AxREOFi7t7U9oPlDJgRd2apfZQnpa1qJ/8PZmS3HraPZ+lUq6p7V
BAcQONFdFzmnRqZkTb5hSLbMAQQBDuD09GdRVd1tcyuVHXmzd1iWkUyQxPBjrW9NGFpjXfllfNdg
4BrgBOjrDS+vuX9TVasmPThq3NnZfsB9r+HmimKoii21c514CXEa1gUXkd5G+d7p6iWlyWrEcOYH
0HPCbME8iLOJXnvstsCgbJdm4TQKozgknzASua+euevkXQL/GaqwaipVpwcNoRyIGbzim1RgAcq2
FoVPzbWv0vxmtL5jyoAis1u5WDnp9m7IcE4ab+zoesTkWZX3bGSr2Nla/aK7C+rrsh8X0XTWYl/G
48EpvgUk9EW1RtjxwsMheWquTfBcw5eZ73sMaxTLZegEFh+6ePAEBO77mH5ngE0I2P7r+6h7tO1D
Er+11WWaPUXwVqd4FiSeP9e/0fEbr+ClQsPZN1WlU+I11hoYcBms+zjSQr5CFLMwgQunD6BbRhDa
2sCIWEn7W58fFM7VAyQPQGi7ZtLZc4dsGI3uEMq9FvwSQRhMVButIb93nKtGJfsCu58IEnGVUyin
cHv4gOOC8lHV32V0X6cPRPILmIQABHS/Rb15tmx9meOVVsGPkfaHFtmfSF5AzNuqQPBZjfqTUd+8
BiOEDSNDoi4iqD/dFB0At3RqxfcQeC1r2ERbG5PAcFAyQlRZv2ijmwHpnRpKt/I1InetoxYVjBg8
AL/Ae/ABqJUp3LK2uPL0Q5tvTf+ciWGlzAVwZVNQKJatUGF5GBiJe13gVXT1AanDC7xk8MDDx4zo
BrzsryS7M1he2Lj7/AH+LuSONN1rFV26OBV2QpRLsNxfOxASN+O1712lbb9ljK9AAGnsywHzh/S+
Z3A69PzRY+8EkX40Veu4VXeBFz8UMGunwIyAgdIAA78yEaTxCWYggf1nDLb3Fj8kOaAOQ7KV5EfU
DGvWYxkAVfiy8nZesh26Ek72S4JDzJxi71s/iUzBEC2gmzMwtQPD0NYPzKovbYXQmDJpsGem0W7E
8lqZ+jkBIJtyAw9WsvU4QAY4JaLwILYNdJ6yWcdwHdRe+Y0avgdT/6aDqz8YoGrNV5ICn0ZgvCN8
2SFiJ5u24h2WQnD/Gxr6MP8n0c3kogE8JWKbpuc4m8MwHsOtDLCAHJMNDE0l9gDdtJhDrB63+k0C
uW8R9ysG00RQX6T2laMeexTQ3HyAUWRciggrcng5CGV3ekROyHQ/+bAt2l3d7qdJyMnLX6mX77LI
XcJyvmQVDBHe/YASgkS1yYIla8zjFQwfQFbsUwMZNN31/UWdsdvAkzDWpteuC0huDlFh2ayTeJsB
usJqeRcRb9vACRNX5iby3Atw07ZDAulUh7C3qt+NHtsHxr6sczyPGJEYQMyd/2LB9hMVGKDquxgC
/6r63lbRJpDQN39DZo8eoquhCO5z0e0Ig/IQIJwT09mR+sGsbg/nEjoDnunLAcZC+KKT6v3rhj+U
S59UJuao4o60tPOcsr9kpnnAYHYTAdPTU6xDXYAhkBE1YP3PJESf7B24BqxB6BLmssvRIreiZ3u7
Hh8T9ivj8Q2Pfn19UUdqrnPCcTXyEvp5CmxY7i0EFkGTRLnTavV18x9ans++81Te/K2a5gnWtmWO
Iz1tu6tmtB+6+KJwEFXU/Uqt+9gQHMzvSQelcXPRYU40Q3aTBzflyfjdjzy1z65gdkIAQLmieAbx
DVFHGeGwdwYJP0i5hpLsIuo4XBdImVS3PXIUUjida8xV0sEsU1w1+hJS1x5UBebY59X66axsmcAI
lgocjF8m1pZ0D2N6or6I2fXzB5fOCpcBLeDfwHx1CfP9okTGLqpx8CXuII24x+YZ5pDiEgsgRHnk
ywKn/kX6o8wBqicre6zvFWaUMfFWJUxqmAvWHqzSPXwLeYHt76HVL27sbXxqNt7oXSS6XSfWiweF
uHLZLVfPnW6XQ5yupXwsx2DZCbjh9L6ur6LhsWjKFehGHI5Y0txWWbaUgIpUKDSXUeiyC4bRFGPa
UtMrOP/K8knYBuU1sG0aXAMMZRjdawVDkBiXgX4BKiSP4Ga7aFoQue0VVCBGBlg8wiZvNU8JBsoe
jqNeyamSsIysejFRBkqjsap4FQkWiwJCXQA08gbO0IRdN7TfWx4U/ROpY83yK26vYWL1RtgVy5tE
7eshWvooETqoQ/Su3GUAcQlsC1QDMz3Ze1osAHSDR1UND1mjVpVJ9gFnIG29BC6W7elelBcaJTZE
LaXx69j/KlR8qWH0KRPop+FiBKHFcbd+d8WBq1bINcAR2dU4pjdVmmI2xrods2pHMrwrchX3cIB3
sDPG22gT+wS0qQC3GtbX/iXznOtC/XJVucvZsMrN5O6/0Mm3tBpfRIfFD4VvkJI1tpxLnWLGgU2v
Lr614toR1xCKAu4UZRs+vLmSrAc7uwuad5788JxkpTvA42SAwkeGvZZYVI697Iudpe+aQK9GV//q
6mLXWCP2bC+BdwkhOeyuzZV03TV4JtjIe0tQlRYtleEIM3kHv1HV9ptORSgg5VcwvH0kjMdJ/sIg
LEhyhczcZ4ECsZnslQApBmOGMlJwKclNMl43WD1WQ/zgW09DVl3y4j1I4Kr15ap3y/UAX4Hp+I2X
uBdN7L6lLioQEG5w+91qXXiPEatV+8DWagStP2XwbYEuZvSGg69RSC/MAvvEOciRwxw6m1NKkbV4
ZKIOq44WVcP7Pk5WFoOEJIE7bjylcDgyls+53KC1Fg4gQt1lIx4kYob9+orD1vr1SH5kjzfHc/Ox
wCYFK6lLZe+yGIF5/XBq//j5uOXPpoggJqmHym532dfXpr3HDHCi4SOnW3MmLuWu6ooAlXIDPEQb
jSCDASKHsOPCPjW9HTls8GejuR8UeS1GHzcWTg4tGmQIUpTLLjIgS9LsIbG3Q8EwzqRL7rETh/XH
bvNsnC9GYgfD9LWq5NUNppUhPH1AAHx9n4912uyYiokkkaPBfY59G0nkl73TwIAKCF338+sP+LAZ
fDIh+86fS4IsaqCk9V3MgHSYRup9WqU3QntvJEaRHtG8KUbWhvwI2h7b2/xGRs+swpZkSsKD4Q6U
pZXRAIfFw05o7Ght9cap3DfwW+LwblO1ZJ1l+WWB1fSJKz5yl+msT2w6xHakexw1wmFIExwrUHXV
5fcieen0c9w3oKzFLyOQXB6gH1yA6RNYQJo1C6uDqkvD2lnDjMSUjSOl18L6kQEC//W1TTf9k86k
s86so4yALsdQS4TuEJPIgPrg1y3707f7pGl/VtUpsQ8mxsOT0BRZKP1hW8p4zZtu79Bhq2BLs4he
1CpfAVwPyg9oHIV65DAIERS142LHsm6Z0e8kg5JSuRc4bVpECTSp2VIFb3GGkVvclxOoBGVNQrDM
QCaoDYdwBxZUXAOnBVwaj8SuZs3aTV5E9Cp8vYY/bqcH8aiGficgN87T0MVhfoGYVcO/R5G3rPm2
SIF+GPs3r/fukBqNKoF7oleOvR6zkXwQPIlLIPkvSa5QBMmXPYDBCHvDSe6/9ev/8aP/f/G7Cv/V
xfU//xN//qH0UKVx0sz++M/r9EelavWr+c/pn/3Pr/35j/5589rC+K7mv/PHP0HL//7k1Wvz+scf
4CtLm+Fg3qvhDn70vPloHtc4/eb/9S//9v7RyrdBv//X338oUzRTa4BoFn//91/tf+L83MVT9B+/
t//vv7x5lfh3N6pqkr9dqur99S//6v21bqYG7H9QTgPuUNvxXT5Jkbv3j79xvH+QwEGxILC5FzhT
7kkxtfdff/fcf9g2D1zGHYcQTjxcRK3M9Fdu8A8aUMJwcIsWA/z37/99dX/cof+9Y38rjAxVWjSQ
A3z2FjLXnxuUujZNdRf38R0PZLYDEoNsEzbaZ+xIp9Znw09AI9uuo9I6FJn/IpsaLL2TNptjVz4f
P4hhtuPK+C4qslsuNVvVyGPa/HYT/91N/5dumY0gboOCrnTa6FDk2XdNHWdfxKo9Y0Ey9crsTXTb
OvfTCFded6AtBagCWoSees0/m2PR+Nx8xP3R07C7xHceqJtr01nqNS9sjtBTFP7O6px5/neHT7BG
FFXuyIBcJNUJgOBQKj2v8dmaimku+hjr5cOY03gVed5j39h45/7n1fzkrh7rm2lo/G1LX0ctzkJx
+HwIWkxoooKAxCc4VWWJfeK5+cyKMfX+9Mm/fUKj+n4sqIcjzkAjtbbTelf5NVn2YDvd9iLC4S8x
b5YdiDNm0ekDp7fjtw8E6wUGQ3iOD5kxN2M8GQ4i75z17dT47PX1uQseuU+Dgx3T71aOeDdV+U9f
34tPa0pT47P3V7BKwwNr2kM9YUdK4G6BRmARFDmPbHxQYGuUU5rOrSiztVVgWxnvcvMjivaosuG/
CngfUKO+vphPV3bTxczed2COam+kdXswoAB1oM+N8aUl77oMJ7Bi5btvPVKze2tctA6gYc9wauEU
313kAAtHIIJxEAf+9b+yhe/Y2UuSLZI22EhrWFvY0wJh+vWVfnjX5mub6Upng4eNkG3ZJ217cC2w
hty3AUwYih6BXLcqNlCJg00LWVbFVsAbW+CeOgAwBfB7AfdwIWA3/fo6PqWQ4zrmpqOcy8yqUJA6
2HJYNChGwZE9yQyg1EIPjUt0QseeI32I4g0B7gX9o4ZlQNpFhipt5MG80jQ7/LIQEGICNXTqqPJD
RvdJD80tSqgmiNRYOj2UEuobpwr2XQ84OnitkAWhep/jdLcCNyoB6w3MVgOMRlscIj97bFl1Vduo
J2t+lWr5zN30zhmsa8PT576OH6waKxEjVxBNXnQAJFRg/DNiXQcGAoQ+qfc4DXmgXfUmYOHuIpSJ
CtJ/L1uIYfISvN8Ex2LDEgepO4RUXyTjeIMT+XusCy5sO9oaE1xaCbhxln0x9VhKotWQDDd1a7Yg
tx4yq/6eFuV1oaEtcZ1yx9tqm6T5IUVRH4RohihjKKny/LGzuk2OY4HKB5er6UBdzvsLP9U4sVHb
ui0vWd7euKS4y3O9iVtRLAcThUNJzxsF52YuFHri0m9EGTotJrikx4EwHUyyNbkjr+268G6TEYfn
EDqceCuOrAXmLi/wkjH1Dxm+QwURFMLtM5Acvn7QjzU9G9Gzzkk9Lh0deh0eiLFBKU3rEyrzY23P
Bm9PScGodsuwLOHiSihqTiy9+/q6j8x1cw9Ta9Uy04FfhgTgHai+ez85ZHmV3WYl5ed4tKdBwPlz
9nELd8DZ1lBDYscPxssvQL8Kv77+Y30zG5GDqia8LoMytEqwWCAhvTMZ+DFfN36sc2aDqOX3zMqg
7w1bDp6R5YPQRmphg9tun+P1YkiI5392Te8zrktKqrCxhnC0cHLs0KI663n/i93IcOoXbTxWYRdg
vuFwK+y6SiRnrSn+4jfqWZ/VzMvrMO/zlwA7VUrj9687/vO76vHZCkzyZEjtxFQh4S1AZcMYejbA
Kec1PntVA2blTQsaVJjj1GTJceXLQgZnvat/cR5lrlUocMrKUPQcZwvQranUPrEWOtYrs3VW7lQD
wHWQb8iabYuq08Bql/LEYHys8b+8owPQtgyNOzzaQJkEmCcAXidepGONz97SyO8rI1yGUaaskl1L
3UnfA7n01zd0elf+OpN782R32Urhd2ndhNx4AFaPatPmqLwAQ0by8VfnpRdFA2ihnwHL/fUnHvk+
c5dSTekw2mLqLC1+4XlaukVUn/fSsplViSuQZgF1rEKnglkp4SiAKu9UYN6R9Zg3dyw1TsriFMCG
sG2C4rWQvvUyAhQKRWbEoGoD+kvgMYO6qHRuWMARVl8OwIgJn9xhyVDeFi3cCGMwmId+pO5NboMa
W2gB6Swl/sIAH39VDeanoLUHzimh5z1A8+T2RkhoxS27CTVj73EPGKCBBOfrm/n5ZuwvFqjIQDDF
G4mbGQhrJ/0KFWc3eLS9dk27vLoyEuFMiIE5x3+BIX9uhoJcS4LFXjYI9wApsIKmgSCI5cynZzZG
BJBbF5WxMNUONFpak46/Zhibv+6qzydEb+6MIq5VjshXg4CMJekqHn2JKPoGNA5DyFkTusdmQ4XJ
/NpjVFRhYiFIoAFNe42D3/HEUHHsxZ3N6BHwW03aszqEEcJZxH79E6XvU5udj23gJwPR3CrFemuQ
aVqVISfc2yMAHcryLv0BARRW4lAGrrMecEnGEnE91JA+1hkO8fIk4Od9u7mlSgU5RllaVeEo6zul
q0tT8F9f3/kjHTc3Uikr85AL1DShCrwf2vZ+2nX78+umP0r5n3XbbLbvot41ERC7YaZ6syeoPgNG
W3DsVyfycFwBiKGzHlDALHiiCY7wu5JAhovB6sJqRrOkk0uHjzhEDzpu7mFgsKAYZ9Gm4zAgVP5g
geYA8rGWDabjCCrn0aH5utCgb+RQ25RtJFdk7OBJksxZt9ZYLiCC8hcY1XGmSxpw8PO6XvG+czcM
lGJETpflgQ2+3ic5eDwNNemNxb1i4VIYBsD2ZM+CgyRRJVGycWFHgC2nb54jUOUuSOnrVSe7AQI2
+wfcixBUd0G2GgSOBMYOUj4WUHvbUf4ctLJfdw6CfcaqBSi6b9/61IK0ScKT8nXnH7uvsxei7qwc
XjBVho1EQswwCGihGrn/uvEjE/NcD0QTzbxWtDrsYyRGDCk8CqmNI2waoObAihxAaB0BAJ5h5zEq
SKq+/tgjo9THjv+3YlcLhFoNrq6GgTVI9nVUqIXFZQln0Kks52O9Nv38t09w4KAQlNk6jKroypLg
dCqnOgUJmB77z16H2RAuHKgFWtvTYeCBRZ/wqlu2HMdtfWINezJY4sTdOfYlnD+/RA8UgbYDUoe1
LiEvi77bhfp23h2YDeJ9Cs/IUHZl2CFT4YVVrrxDkrRa11ScOpk+cvVzXdcwlqII0kGHdmJfdXr4
iUTtE+vsI88PDf7smEoPTtbFWCNVOZSnjQEpfDDUvvaxOT7x2h37iNmQZ1xHBPbQ0NABAuhKAyyw
c4NKL/XA+rMq5N5chwU0aTBUg0NDqgngzR6EO7w7Q+OFJcxciTUGtExbjbatvDJgfVXXuj6vsu/N
z6LF0JmY4vQrzHK4UBDTcqLLjz0ws8c9QLTd4HuChnnb7CUHldTl561Z5q4Hp+8Bv6ltGiKeAbzj
CIbXbBKof/0yHbvw2RBdcWuMBsZ9WEeIveIK4QcDSU5Y0o80PpfUuF3fln4uoc21VLaq8uYmGqxT
UovphflkJJtLaqq+bBxTaxqWdquhE8ZBCpCF6c5wgkAcDoV+GXSnXPtHXqm5ysZ2WRXUreuHrIfK
imcKuntWWTe07YvNWXdirrexOEf2nEf8sNMpbBDlo+Xw9/Oanr7VbzNKnHaDo6sBN7mEDz62a7Lp
kbazOq/16e7/1jqySxMotAwufIjaBWHFPSK8zptGPtQVv7UtEm6XLjR3YZEpaAUhRki09/z1dX+c
dX72BM1eWuoHLMmQvRr22VXRBFsbAPm838BKESURtDTXfeqvbLLt5bvjvuXuE3gycN3ugxogd/yp
vEhHBO1EJ8a9T7W2GPjmkhEPMqRBZDIIGRIHKYTwDKp3ghDIAVxvO7rCQYVnbmGi2Iv2piim0CmM
jwDo9yWKzdMhRkmL88YFfzYudFmGRGSaqxCLg43KYV0ZKiSSfd3zR8aFedh14TWpxlZShRHzrwNV
XnQOWJRft33kGM2bB14nkaAdKC8yhE68++EnmdlLHb+iOJ9u9Ag7h1P6w75P9VsStd88ohFvYLO7
fhih6PQRGSNjCkSzgBy3pTi3Ui1oY3CJdbct8eKDqvF7dcOCnVL6JYXxdCF75zsOG67dEpaar7/F
sR6arRJ6HP77JqqK0LKTX44DsyFnSCP5uvEja8B5tvYoFUXiAZFh2efXakBO6ICN3YIP8tWJu/Pe
3HmidocTpLTtujwM4v7VmBhxdI9fX/6xvpmNN2NQK7e0AEOIegQN8yzMJmT9121/0HY/GRO82fo4
bZKxTMY+Dw3OLPdJP5J77ars2rFGOCTzNN5zWSMaj7MSLrLY6m8Kt8nvRoNUyrqDzbRDxOeKdRl9
S1LVXjEXBPc4RemwwU4QWgjyzXd6ZxM13XtfudB2dwqeN+lj1yLT807kvXlcdpyPsDYVLTq/IdAZ
J1vsKFZf99Cx3p+tvlMQ3t28ikWIt2hLgwLJGPmJAflY07MxJ2A+dq55I0IBmzfX/JnQE0PrkZbn
Wdh215PANkgrjys/hikGCUWJVW/P6hF3VlNFEjHzgrFLQ2k64PjjkqwGU556WSeV1WfrnA/k3m9T
oFtYPlxHwCfIYNMOsLkHyJQbDwXQ/c1G+tCQZO3aVq/uNLWn7xzRv9Lj2Nnvp2MTQcZVgrTUJkFw
K31kU2az7BcxwqcisDUUucd7ihSbbwKWPaafIGzAGhnwCuc+ast1jeokPqlhzx1+6jebf30siYPz
qkofXt/fvl1nW05GvDwPkQ38JhSGVhuc3PNuzGzZg9NokrlCibBqFc7K+41KnTPv+fSg/XbZKRdw
FYtChFEJVqgDR9Up7OSxR3U2ALlxlyVilNO4iZIP8udgicsfzusQ58+rzjHAJIMP+4BP95EXQnd6
XruzMUHJvCAdRXqx2+bOikNWttemCs5bGH84dn7raxGJQmLDidbVhMKEz7MZn8668HmMfaFKKWTl
ydAehY9odKG3gD4Uq/Nanw0Mia8Y7VtHhCOvkMGpxI2HIOAzG5+tELRyqEVLk4VDHj8RRCstYcY/
c1f4sbb6rcujsWMuQqiKcNCFQArNgrmBOu92zjn3wrOhf8OqNiRwgSP+j2HFxZFLfl6fz17MEVWn
mJJUhl7pPcmseCs0tvpftw1j5+dj8VxLGsVaCEOLNLQda4uB+AqvvU8fMdb6JRyGebVIkYfZI9IM
2KMRRs7mCflzawfYpCEeVwNYtVxah7gd165xt2AQLLr6pyu+oYUchWE3968ctEKbFqO12aH2u/Ak
0jjJVYoULOHiIVVPCrtPirHdBfejgcmrGkMM4Lrwd8oAp7GZhuo66Bbazrb4yYjHwursPeYPZMTu
C2TtKcTkVs01/tIRHhYISG5iwxuLftrsgQDd5Hm32OxeYTJwR4Zc8j1Sm1YY/S3cLKYAFsqSaVpQ
Bok3ibfFp5dBc+/HJQIF9nmq7zK5F/g+VvIeIZtK8h+1QRgJPgdNEtSCrQgStewav8ZsD8Eve5/0
UG6hhCv/1Y01Mh2B32mQr4yP13UNxhJ82Qiwezet3qBDMJu1tr6IgB4xqb2SQQR7QHnR2BsegZUY
IBoEC1tAK2QLnx4xl6gYPEUcSkv95Ph70cVXBtsaItN17NAnXEOM+kqcy51Dnqsa1LDCf0k9eRkV
zRqJTUtqJ+sRzr+6uXboVYADpATpfRQVVFMD6mWTdT8iaacyu6kLSW8vsSkz9sZUdIUrR7hXBhKQ
DfxkYderPIF8UK+ERjobQTzJMxP0GkWAhY2wIUSYfv3IHplNPk5qf3uRkw7HvTzws7DOkExHIv97
XNMTr8M00nyyVP7g+//WdpzUrbQ1thFB030LGqfDCZSB2UDhVqZV0izTofVPfNax7zFbGjJV0aqF
JiQUSYzQZPXgxfTyrC6ai5VLUWpRmFqE1CQeXCZItfV6WPrPa302B2jTcwqsAPbRlnoGmf1aNPJE
DfZDAvvJDZhHFpQ4tPb9zk3DAs9+0idLUnWAsG0S46/x/E8rnlocOjx6bbJLRnJDmhNbsCO3fh5q
kPdNkfdZlIXMzX/hzMsKI17rb5Iy8ctNfX7DDGzCX/fg0a85W8ZVQ+RRPdI0ZMDNXnbc9w9FHYGl
ESGPwxirvy5Yli7jrDRLLzJIVKQV4XvEJoFphhd/n8Ikd2J6OfbFZ9NLQN08r3JZhHam9DX8EDlI
NCx/Tm2PY9QcYrB68vrMZ8f9c7nGhOXRcciK0O+71zJnzxLBeV936pGJbC58zht3lBVELCGJhY/x
OUBemGjBz2rcFOG4Fd9ZHLQ8hzjqvC3YXN0c9ASkkF7koVNk7RICF5w2Ipj+669zZHiYC5IZYOES
8PA8FJ16KQr9Km3n+1lNzzXGblLVFvNMHpZieAQB8jvqnScepiNXPRcJD8YSwIc6WdgE9mNUZ09l
5Z8qgx1re7Y8VFldARtBQBNq7adI8E1eNifmlI/VzifjzlzpSiKmTM69NKwCRyJk29ZIupLet3pA
QmeSObCPWQXD6bKySmedd8Mh8AI+sfxktkpMSrZKJQ4gjZZcWUPZrrtepes05uUKRQWyq2SMWGbA
mjcCX2LVOaQQQHuU0YkvcGxLbc9HlBq0eKJ5Ehpw6ATC0oE+XGQ4Ky8EomiLA9YzAwQV+J9dg3bQ
4jwBSy1kXPrwo2d+OK2oRhiJMKvXY+iIb1peZMjVzDOxxc+wqUYMKmLF5RqrtaTy1tPSoYX/elpt
pe53Ke5M3a5cD2fyQOM37U/bPLfmxLxw7NZPP/9tXqYysLWf4dth4ZsOgOWfeMmc4EOC9tmdn41I
FVcVssPrLMyJTu6HVJsNiqfgp9KO7do0p2uQwau1IIAoki6Pt4XlWFCTc8QBE2YjttNkEVY4SHjk
foNka8gs5KNwQKTqrBqhhUVNAPSsu+qmq5AMaCtKF22QtVtkeY8Yp7r2Bp5XceUSRuDN8BukDTpK
LsDQI5tGd0iebIoayBeJdM1KYyVSZ0W7SaA5xB3yrAem+J2d2yu/J7cJTK8gyrlIe/YhyGjGIV8G
OVBYQaLhs4wKuJ2LotWrIk3dKyvhLlbyg9rYRroPXueNm8EpBNI4rfSXZbrslfGOvreq1e8Jsllu
R1eJRSq4WMP/3W4g4fbBUSDmKYKbcY03BEDAPihQXAZ2Ns16gPAg4t9Q3ed7N0OOvHLdAyM+mKTu
sI4I0FY+zatd1iT9BXR2ASy9TnYFM1G8FSViVljVLnTXetfMk+8eSFaPyZi8cKXzp1J6/qXn1MDR
eV698W0tlzbS0hHc4XbtbWHnDRIYerMbqKGrHAKV5UjS4AI0VRegNQAKRDcCdKrSxzyt9E1m6Wxl
5VH5iD1RgExrpumrVxLvNmuqA6brZWMl3m4ovXiNtosFsZthIwZD8As4le5UDX+rBuYrD4L4NhJ1
epvq1sUmHMEQJs2+d72W60FgGBkkH3etRG5QZZF2Key6vreyAO+p9n5BOATIlhMXt2gWSo/KejA5
BNUi7qESbGODrmrTYT+MaWTjNJlab1nDnZVbGA2UYNrsXFIiKnl0zSaVgbOq4wT52KIg+8wD9GPV
VwpkwmaI93aRB1vqyv7F7nx3xZELvM+K3t7Cg2sDQeNKIMxSvrYr6ocWAxowKWIXpFAIgjbK6Az0
HsTMQt+NVVkwDN/yIkfUpW0lqO8jXB0ZKzllgDpgbIV8TNOlaTgUSHWDXYshgUGIIHeRkosQtfGK
Yw49VI0Xvzc0Uus2yl2EbXgVaF0iUm+iNeBQWEgFJMa2tyoC6HHgVnmjWO8usclwn6Rfw3pbW1Hz
muVusC86HQPjlAOtlNhITXZMW/+yPR9PqLLFBYPf7jWtECDtDdhdIpd7wFkx4kNNOTiblsaAS7lg
YKOCS2F61zxftKZvgF6u9b4qlHmN/Mq/0F0A1pTKwdqEltm76AK1b6sWG16DLZVbIlDFefZLd8md
ZF9VXbKSPdI5yzQYYZXh/DDkSXFRII/6pbZT95qMhoGaOfD0wuDFxNIzj/eDNTSHBEyHdYzZZGt3
rC7XWRPIR9IW7pVvedVWpS2YUzQfJpJX7r77gkkKqpRtNhCY1JeVQbkGhdMUsIyEi2jXEqB+sKvu
xeXo+qM1IX4J+HVOcctKW/C1A6jZwvi+fOwKP9tKOGoemrr1QDJ1SyDIeML6NSdSJAtVpnDQjAoG
qjFxsDcrKzneDxwvTl9248/aH+FYYbke6Krxexv45UzBhMCYJBC/ArCVLBxP1QeX6hjx2mnf/Mis
AEAvLCLMo+ECRS1wj3/BPo/BIzMEafet4yIQc6zpunUcOa5zjsxFRPt0iGIpAensI2Bdu2SEdTAy
+qZ0ZLsdG9D/fA0SyMILarkaYxDrsxTkWenj2xQJQWRc7eoFQf72uhoShLCMdYPQHARPS1WhiKkQ
mrsePWWtaNDDBF905mCjQLjqM2qv6waqNtF2HPHkLtJz44lIJgL1njXN+FpDG7fwBzB1ZTeFowJS
i+TZxVhcaQQ5g804QlRW4IEHFU9YwS6rjbNCWEK3GihHQnHqd94iainIPQ7O0t5YW8LJ1Nl+6MaE
joBFdR5AmhBVFEDgbEAuFgg4avN177jV2vjGW1vU8dc5ARqFtMAzOjVyTnWCEF6WciTkelnd0BtS
KwdJ2HXzHanh5qkzwPiC91zsysD0et1ETNy3JY8OSZO2qJpUgEX5Omcr4/DEWsgIrixQcKaQ9wxn
NtoqAQ3meQMcLCWv7uA3b4MMULwoSHnTsBLx4k0sL7y+L/Zu0qOCQIpgWSq8R7UP2javkYJDh7QG
fZwqLG8GnMsXkRNfJFVbbIXT/n+Ozmw5UhyIol9EBIhF8FrU6irvu18It7sNYkeAWL5+Ts3jTPT0
2FUgZd68eY+3s6OqfrU6XR8zz1d37eJUvyDuWdOb5/uwT6hbVO/e81tdGTvz9C9JluXReICrhjYy
f6rcC/frYqx3b3Cs0zS27udYOSVP15iSIaM42yIZbNLc/nJU/mNX8j7LKy/Oe8d9LBui0bzFdLHv
jNNelcnzJLgAKq80QKnqdWsiQtCCkPQhT0IAHEf/G96dtxEVP1Ao5hIgKTOMMLPWLQuc1S02ueG+
r6YeWjVlpTGu5B1dqbmcCqquKyzORlLh2gzuonap7brCEhtg7dU2G5JrCq6MLarWzVLx71P3u63z
2BrBDrOaHk9cGY/UMz92Hdib3G8C/lxk3bI5r08V7tht2fqg2PSM10UQNlmelkyrQ6Wvv1EKl4Jk
decQpuRB2XZYH0j3kXfaSsw+Klr7aQpKZ8fgrtgVXuLi6rUL96Cmseb/r0Ef1rXdvtRt5Lr7BloX
ddZoqaN0JeFC3WjsU7LahBvOi96PI+mrIr9G8bohMbsjmQNWelgWkezKpuAao3bfuZWytqULz7hu
5+qmsCPeCN7RZCfEPOxlMcICTRpv2DXCj/amJqg5apc4lYq8s0gT8RiryiJzebSVfiEKrOWwqjxS
RqIkttuggLfdLAcOIzQ8r7cPuu75+q+7mcqx1hvXMTKM24mt0Van0cmUnXvBu/bkKQKMPOV3m9Wz
ko3LAjNOh+7ftbK9Y1F33MhETDbhWkNK8LFHJ9GIdNj2mSZi0i7GWPmtf7DcxDu1dTbFBKWW4M0J
yCBJFGZ4Q4ZjUgfWubQg0K95cKqVZ12qdnpNbaKmbNy+J9M57mcQ5ek294pfvRh5LIbmTbZuuvEo
5JBOC/whevWtV5gB1jcKqE1MvF/va8q592pR+d7XhFATn5/54fjZ8wOSb+jUd8rynWPYdAnoiElf
Vq7P7XW/M6qXZw6TaTtYs3ntQGX+hKoo4ITP60l0abd3Q05t3thmM8tw5uXoIwUT5v/gDsBYLNlb
GUwEV1zqyTT7rgY0PruGTWEY9nHkOs8rETUbgnTDj7aXwaWpJHFaeVCgP9buTU5tUm8GTd4p5cP8
L6pKQSZZT+wgHxmhARvLg/vmcEBsWhBZkoomooeyyGQcJ7+863ryt4NupvpNHTM+rOEcEhmqx3GT
CuX+ZMJ29oHR6dms7T01o3jJjXkzfU7+K7b/7bKm9naxCOvNi4ZKA7/ILp/c6F4nevxne8V0A/f5
N4haKA+tEq9r0FiGWDqvOU6pcI5ZsLY4+3N5WzYOlmYSz0k6G7PlknS0FHFdZt31zu7IpDQLsf2s
M0RsV23tqSMvl6O0/izqYQVBXxSkXHuq4Cwk4xkSdbgfVQ9mNpXndWnUlxc0+YEl52CzVhWAOJUt
xzmsftHw6W/GPjsXnLvnkQ2T/TwE9jZJ6n+lL4cYG8Y1q7/M7hZX8OY7VHytMBrXqbPsde6vcRdA
0u7HgkhXJyiPjutyLHqZx9R2IrR2HNefLFkXAjLDnPQvS0VqV/gDx2gWCb2PtO0N0JlmqF0ZEc9V
1n5UdhJe8po4v4gihtXc4odg8XXfLk23E0Xa8ETZK04u461sltc21YWOyLyH0EVAU9WS2stubyOX
eWep4h+hPcGj6+plNyLQ7udadgOBY1b1ErVexQpEhbLOz/13bCviMpOU8H6Ry/2s2+BAUkR1IuEw
ot4d631kk1zoDlP72QWN+9UqP4xdudox1yc56Imaj+zWET9npvFQtUl/mZSTHnOz1rfj7DRHTZB6
7FwZ6wZPPAE6Y3Q3Gtd71c3QXvxBm7jHCrCJBh6plIUKUIUcb/bQlTQDWbZrGq6b3Fo0p1ST3hUj
kPhQkXHL1EHCE2nrt3AiuLsMA/ti8yPsyp6gyUVREQeLhk9Rl/rOydKBDpbZWef1w86bm2xb6yuK
Ro7Fc77wE6CcS3jjMgOnEFrRez9Y9LGzqT+rfvDcXQgm6K0b5JBvZngn59C3h1udTOt9SfERl630
fld0BdDmma5n+tikfzGLLeLQnoO/aVI4x0ZIHReB7eEkkxnWhGzeKz/4aMYpjI1N/gRR5r+ea9t7
AmHcvZgTjzM1kiQKsjX9EqXcelmZVufUG4Pz0tjOtm2i/AyZqz7y6637Ka2uQ6IhuLFrB1tLW4s/
zZy/65qVL03HQHuTO/fT2pNz63v1cPRV/4vF4NsvfNNslqnMdt0a/Z2SjPxDJ2s3pXBIvu65sYe2
5YMaobHTCa/Y4FmpLHTn75eCEyoc++XejJxuSzs38ZSnyxOtVPS0CIvEvzybd6NFNmZt8wWx9RAQ
Uz+sTKFWsdeJZAPDC5vb+tqT+GIkNnauoRbaYbBzLaVvmlASducs/nMZ0tJzCtHkLZap45Cn76nt
m2yXsOCA48dAZVWB+1y7nbE3tJx27GpCFEcBcD7ElLcfHMfbm4THCm5K95bPM74NDvKNydRvmi4D
6X7EIGZTeAVN+yAUIkEmeT2aQ2OIG5xyNoNrQWRwaub2zgiteo7k9jdrEvVRFio9c1HK16YbipPl
i2u73nkbh1iBw5omSexZmu5xHZtTJsLlronKhIDb1Tu4kb/cJfyth9k265HaoNs6ITbIZAXn0o4k
YbJqND0yo+XDb4hE741Y/4ImCraWzYitaqP1QS2Mf0xd/VSlsh6D0liwaZrgNVyr5NhSfp871N9N
uNJMzFWybMJ5pepwQ7X3cnakWJb1X6q2TG/X0kseja711vjsP1SUJ1T5ZaZux8ZxnxwxJHsPf9Mp
7VbNOqAPyr7WdBV0GifjGSLGuulj8gLW6voasUnLkEGl7I8DF9TGIpfhnDBS2KhFyrsAkguFRR3e
9vZIZOnsE+wdRAt53lVqjouD5YAww57noq4PjkayClKjPkTFx1RLXz6gfnhkG4xfifLY7WuD6rMN
/H5f6+pJG+9emCU6zEtWbsNB5Xc963gb2UziIci6hwbaCNQSa/Zu7CYb+22X2pIhqrSy/dCFb0Ej
nXiV6iMcSQq382FrD+s/OrCPMks+i76sfsMqVbEe5VbJ2d6O8yiWTdA1GfHM8xfULv8UsgZO2vdC
KruoCOvmnnthGp0Sgk5SQa/aYtdks2EpyMDR9C3WkCxe5TQYuh0v+/cismKDZuHzTkX/EklS+7CW
084Z6GNHt1c3CF2PBS48tJK13qlCat5VYkE3JVXRbsyIsijH0n/RQoubpua08urpuMzd+OSss7Uv
1Z/Wph8NsVQeoHY90B7JI423ieU1nmgsm/c8S++9CkCJp/uJ7iyY34feln8JRgMTk45t+FQweT6L
3BJPmafYr3TH6k3r1HsgM8/eSLcjyrvVOfHKpHkvhRPcIJw4d8qnQW5swrx7O/rox/XOzbxz4jHH
D5OSqOVZpPuiCQBrZgXIIWJaXivkhlub0vRvPuboSBbBVWZYCJzO+tuiyV/5zNS29Nq/5eB0yEnR
uJsqsCJLM7wtQ/hMQfZAlgBtsyO+VVS+DFWdnzDzyriyptpsEh/C85pcGRETKsTi3tGrkJCYdrcV
50sywUBfp7U86Z73cyNtmd+OyuovFjs96A31/DAQYfolZ/daZGgHooiCzwRAo2v8veqjSzTmpBbX
lrzJTTLy3/jLZh2XYE/5ZO/STCF2R2P25kTZ1s7Dy1AKdzcMwUfg+6+e589vLo/rUTmNvgRVFrwg
9au9VWcDQBhFnmyVhHyd/jYZRwhjYfV3JLKY5Do5kZXv2s1NBtV1P9WDffQaN4hpBsi+W4I53QBe
RZv3KyzZU+s+Wq61sesw3Lm10geLgJQby4UDMtHPb5tKpXsErHZrw+w+Vroll0RX/t4LCSeVXQX8
hzpoG1iW3NaDt8RON1fvXRYFN6Ng3jtm/hadOL9bRb9spMxpGuz0xoY51Og+4x51pn3NNt5lzAvr
cRVd/urmfOp809E5vObajhEx25Ss9xLYSjz5Pq9XWJEHVtNBUg38+AOJuqrx+pgK/55zK9h2XJ63
3eqdxwQss6OcS5t2mCtqozf04tZ94i7fZimyuGopUnwJ5KaZq/JgeYWhAlh/gqsKhdvvWeoxIsM3
lxsZanfLXEkRt6F/HN19WNnVlmirOzNj9WPcsaKSOo9zWZ2Fm5BPkLpvayWJbYFzQXDwpZtYFhL9
eNEaIIvmMdn0vYAT4pFYD6N1Vxjnx+Vq6+Y2pt8jlN42Fr3B+GVQU1xqUGdOHj2fZOJxrZajDSLz
PZDo13lXZ/ctDQWwiEacCZXzoUOHQQzEhE20NruRq7gJema6wjl0rg9DOthIp3vNOhE+hHXfcLTY
4U13hbxYgj5vBtbGlMFwLYf2tggIWbaD6KSyZoYnJThtC55m25/6Rwym+Y8zDhuvtV95IrgCLaXi
xL8GEQv7OEH2mMmsodY7Bqa8rHb63buQpYHHdVWQbyprBoD72K+QN+z5oDLVMZ6YcHv48DlDP9B7
zLjHTqxVLK1os3b1te77wB787Ko62pqFk36pnsya3IShVRxlFhGuTJn5WBbrrnOj88AFNwzhHrDN
Nq1Xs1t55jdZpe8B1l20VYsbWY2vDE8fyNY5O8n82Pd8+7WXsC1Q+F5clet0NGZ6SLFCbZqcmOLF
V/VDUUTNfppX8xymAYq4Wj/SWrR7ZX3rNv9eXXR9skWnOPAZjHQFmfdM9MB3SB388av1plmMOWZZ
kl+5PsCMKNO6Bqhn+zaO+UvJzEsP8rWE1tz1KXWrRYBz0f1L+xInNZdFUpfOdSsT4EV6a0nl3Fp1
+sSIJV4rEBbark5C6Go7CIZpRBynWIKyt9kaf3MSh90A92sbzTRA+gm5oDjkwRRuw7XONulsLvR0
l3Kyhy0Zr2CauDmLIgEf10fFbTbb1p3M+PGdad15uX3ucDJz9FRF7NdZ9LwOdoaPiM/MYf4wJ+R2
rPCf467zd0QbPfvjUsejSoiNiqptRCapO2XtURXwxgdB4nRd1OWmLsfhvQv7hQDshHSDPrsUnX2U
9vrBVpW9mxzKJGq88TinfRSbMkF9grLetph3nfmP9oYjhaQFS6iK1zL/CXRkYLBkIzqYPoZwaupW
feadutCfn30yw+NkyNqXxHHPnfzr++K9sWEA2elWz/eUBttCIYYEUaHOeT7gCkaap6+Z7GmNiTxX
73VQ//QTx0XkFHvtqo8pGeTZm0NzEw5ofiLt3NtKNE9oucSCa/elQGHf6Gm9IWCcdFuLNWjLmaxY
yOlTCU6Xzh1uC5JoS3948Jbmpm/ST7TPZqOi76huEMBaQDp43zfaqS52R0utFUHgmRZDPLm3RQJE
xSiWW8wo7oWF3T7Vjr6eTRDFRnY1ovW9iux+403tYcHYUpNrFY/M0mLptR3PmfBu1ishEA6T15wd
68GZ6Gvn8Ivj/jZx/0192ZJxSnj3MK7D7SxL1Ndy/pd60XjICL/cLJ71W7jW0RFBd2JH5UTLU59w
euWMWsbyz5Q04JOMs4T+gfWYHCF7TSUYvmYpmWiXfkEh744b2vTX1ooW7pXQTTky5RzhZZP6qxfT
395iNMWU0wX3Y0gO51UNorJhiCBp35zWo1gBHwH+LkKgNYn6V7DAbnUjRBJa9KqjgqDdL17Q9/9Z
pdUeLbZKuyAT27JoH+2Z9ldAKCsUa5qZbfs71wSfSONgdlrnty+jpwD7IDA5OvCsHGJEzW7nAns9
dMkf8CJ0PGOztWbdIz8W74ujgDqW1W0dXfCP27FtzK7oeWehVxMIvvhPAF42pmz/jdR/tiDjTCZO
RyVb45FbyJltbG9vYVm3SD3fGD84lwCkmpTmap2ykhWd6mz4iMwyxtJWZ4Liz3Lij7Lda455aT9f
rzMBB2K0dX0/B/MTqzK7zB0O0hvfZQRmrZZD9Jekz4MNighYgQd90/5JK0dup2n5lxf9xq58BOmQ
GHvds7C2EIVmlQ+hTp/sjpa7dWvJUHI+50GyN2GTw7nJj1VrJcT51Nmtr0R+iMTwNvVaxktQ3zLj
JBp/ZkzigtrYJBTUqDN/mv9JPNytK1OLMYXNp5z8E6kLbSzIYMWhvCPjdNseNl3QmHoHa2jh7Kme
rbl4sX2Xz6e/c30MEkn7NfB8xn03vIR9Di6xHle2Tdevzon+lKr4ElH/hxnjurNCYIuAnWuwkBEc
jLx5Hldxye2/jqclMqmfHz1c1ZdxKsAApeSdW3Xkvc4U6zu3z24c0vG2dchQI7fc7mnpIMO0Q3Os
1EDrlCnD6BldPMkZG1lOV/5VswbFUdrvrbHg7UKFizswcLG/Yk7rXC4oKer2acxonNIhkfSSi36n
C3xKSJE6FK2LxVPOBafS4h3DxNKxkqaNbc8pjsFo3vzG6u/gdCa7NXSwovr1sFdzMT+XXle8ZSZH
GPay/jmUSHFZlk63TP6CnTWHwbMcjXxsm/Gzy670yyoke5kCYX2YmyEhud/3nitL2S/cBO6TTBuK
NDk/JgwLSPzR4V6IkRIlyOSHvZruIKu+5rPmLE/syX3q2nra/V+qRl2RAurozHhpuQIvjgIT5PVL
8+Iujbfz/fypCUeiUwik3dCV1NvVGaPHKVjDs+hqThKSqDbKU9+sstaHiiI5DtaJKAOHMRYOBHFg
srAwevbT49pVLwucMk5u1zyW2u+oDms4xyN5fVmD+J2W5C1Y/a2hNDgHrVSxxd7CsbGSYls4Y8IW
UgtCZmr2q8PTu2S5tQu0m35wYkNGG/uvaSV7c9MMjFQiVne3vt+InR2k3dkpWu9kzULs4NksMUEM
57ISfVznZGmXaSRQApORpRNW514yx6svQqyKfBJSKWWxPIpR4gIobBbuQIuQ0ujnXJQJmXll7t5j
TJgfs866um/sX3fg+ypq333x3LoE0zUweNTjup0r672bmQ1MQ6npJhjST5DaZOAh2xkOTvBVDIo7
QtHzZYu+YL2SmoGwNLPjzAN0xcT2fnkcxdgdAcyM9Ml94F+Rsut5zvgQzeLrU5pMPMnYZFKx9bji
t33vqZe66JebxrfabTn508Mkr5KDB5enT8qaQspSb9NIMua69NGjmKYX1AV7oxmje5znyXhcjYru
5jVML2IYqn0yl/gJpkkfjOrWx1BMoqNwIyerdVVyOw9zfgoAenx3ylu3axKJi8oF5vzBY5LVetdL
wc+yA3HVQQxH0Dkw9XX5ztrKOysvUciwSbjppqD6m/Qe0UCmcigQ8ZEIHOKrnfyZuqQ4BZEvTkPX
r6dJjN6FOOnVJxgwr34mXqt7/nDrxVlnr2+BAXpWlAPsh6C3n2QzlF9eIdybearpTrOkfffCyf3D
kCzAA5NU+5xJXoy9i7sCxdTbqnXJblE+ryznVNzVoY42vmtXKMgBYqpiA/Yi6hli01hnu1ZJ1ueK
vj/pEfhdvZjwwBTafdeV7TwYvpSTGOrhrKluXkAAFk8RNLS/qRGLZHOe+Hu7sofrsA0/voPFRQ1Y
Z5yps7arNWYPM6LZr2dl1cFZkVvjOWkmE5ukQPguk6jeNnlREhfTWSj5A7w81XDMYK/O9/mILWHj
jI28WU2R382tXP+6az3wjmjSPE07fmsbiPDc1NGxWGxOxkI1hzRNvH889ePFpF61x78YPq1m6OPQ
5YFnylRlC3q073+mIstutQ5rwIwrLb7TELcL3gtaFnyXYYbNJTN+hikL+u3SK32Z3Dl7AOzlXCQ0
122lZLPLvWGfwwWAeVUO4aHj98Sb40r8b90cfo9eAB2zR7hW43iNG6hWx0KgFuIrCGZYwWHdLP+S
K0mZaSHD0rROv40lp5Ntu/JFdmXeEzED9VmIfmZew8HLQBqNDzUgsA0PADzlsAm735wn18nr/i6X
fJnY4rzw22fW+shQtP4WKph+m8iEmzxPENhE6D8MWnLQd3P6O8MEfFJDJbfAlBn7JQlc3IxXD8gv
kxzHzfeVR5mbct1fSq9nA2eZzmXg6lMZeFgn5iLo3teGyycq/2SpTPurclMeLdFN8dRp4lkjLzkW
sthNuNx3ybw0qEoWewPNFLLpHmZ3zMXeipabE+4oT4mdPJdR3r6uIFVY00DVaHZVXwU/XjohLVn8
7ek0lzeR4BzOi0HvIdQ7l9ofAIhNjINkiY0nQe3+ti0gVa00jJkKpWPGvvJ+dD0iTjr9aQ2605uc
DoUzMVv9f15VAlXs0Vny3GQ4sZR8nBxqtHRKwcy0TE0eGmx5+7EX2XPft1gElIVZIOJP06xx1F+N
2/t+rta9a/hxrDFtTi37qtss9MXOKjpaddm45zpMsu+8YAhpZ+V7CupzU3MSWDGhYD7cXqfuvmQa
NO/TlcUq/Znbgf1igtWwAC0GWw2cvbo4dFn/PRUQ3HtPf6lQzgd2p/uHooO1SAkujoLkyrvSC9w3
WQz90VNLxRQO4nU2t1T6vb/Q32hnbzfJsJOmxOnhl2D41ha3WpoxD3coZuEjfAkfgPtiw5FjihPS
OodyJ/Mr8yB3Ctz4zItXuPL7KLSYF0/RcNuvRcDAhNlQmhDB7EwuuHIGN3/bBH/dVHZRPGL82aiS
nZY1CjP4FTNCl50Wt6n0TbUZXDc9CNfjoVS1vw366M1XIW8C93P5mbla3zdz+BMMtr6IKeVQ6IGq
eKUoXznzgUMFaJ7Di00I1LO3tEgFunFPySihfWeyOC9oZJdaMDUfamPFCD2/VRVUBFEN1WWa8o7y
NieTc5qG5wl/JnN1f3rz5yRnwGkz3yAinIXkAqHGrZv+dhXQCh3oVj/kGRUAI4nhEyRT3fue/uTx
l6e1BcpJx1Yd56q3P4swMTdLNjFOlniX+iG1X3Nt4eQs2ifKsTZeJrB6aZJZ95Pfz1shQ7nFoebQ
+JUFY0bMsCoZ4Do2Hn11CtbTy7F0am/9GtNpxRAUuLwWut7JrGl2Q6jp19o2gvqGr22QVNPQQfja
g/IvqI3wYCJEqyyzq6NrG1wRwdifA66hhknbJM6mmfJLO3viSYnFO83NnBxcK/lIkkEc5qywLnM2
iu+k0/xjNyyXQhr/lLGmffBslZ0K3ehD25j0qZjRBTZm8q071cEn8YxrfoYqXxp+N+85gudB3rBZ
8ddkqj3IZGWMr81P6I6YiOn2H9IyX1omy6Fz8VOQjIvPRKpzHe/Gw+wDO7of9XfRJDNf4UgfUUbR
TzE69bnsveCBnE6M+YX1AaysvAwdY0nhiWrXJQhOloQEZ7O8d0D1W+7W3Bq3aVXX8bAO6wdoYLnN
KunGrrf0z5WO9Es3VXo/adc7EckpthN3w6ea6j2Ot43RjUE6yWJP4bKw7PEJIR0ZvHe9zWjp7j6Z
nWKnRCDSDQNt/u6m0fFQZRyHjrhnAPQ3ZV6384yC75N1OIGrE4PwLfjGbOOtfX3TrgQgZZNtXky5
dDvLLOpFrZjGZCrGnxCNCtFt1TfdAh5eLmCIEDWYQFBDNBt/9t74T/sbnzv3SLLzT4aLks9zMIcg
UeX3Si7e6+QVw56DAQbyaLJzjf2TwAkXCO7K2sPiFMO3g6/iy/J68EN21SfbythvI78VxF3pPSVp
o5+jIIRk1+pR7bpm7bbJ3EMSs+Bk1WBCHUPUmBjE8syi5EKGnOdu5VLWjxpS5nYuWjzxogvz+zQK
/SNxaNTe2hlvMC7MT6vfgeeal2FrRBfd9gyl3mmV6TAz0E4/1pyxcpe09EFtLpG2RzFccscs93TQ
r9KtlgNhqj7xwenYXVJnem1X+lrRwak0bgj9xBdnTR42LhiEZQaPBaNIXJFsGz6RofPl581PmKQ5
UoBCXyWsAdkiaKdfW6yMfopqXDhU62FLr1pz4NNjkNZn/xEycQ9V4+cnr41aVtsYGSYbkaZuF6te
zJoYeP51WTbWcfHT4hi6gbyzsvrLmhY8oCsZdccgUs2lUgu+qJBNR9n2OZPltmb+6j+6RaAenAS0
jZZKPy79Or8oSUhdy7SOlTsm5llVTMC/ra8SrlqME8s/+i2jk+KaHXkgNTE9l6EPMAwyyNZNORwI
HTXdHf7l18Xym4P22vJUk5sZm3plkXv1P32sK2dVGffDD7Gj5JnJ9tGcvAXl/EddCaZFVXk7DBEs
AzY8Ujpxk6emCI+2fzdBY84C1X5ZQaXuulDXT74OuChDDdjun7Mqi73BbCWjHtd7yuxiE5TW/Vq2
CiXf/dNyIMfc7r95GOwH/5B2j7bbD3fwhfu7gO3EdQzSXSJxJ4ZpFt3a5fKnBwC0dVqD2AtSlLtr
rLlt0e3KStLi1JUb/kQdSWybQeKmylYv2C2u3e9n1ZHLh06xG3xMoH2EG49Nqw8DmCim+id0x06k
tcX0GzwHHIH3oi+yhw4HxGeumvVXLE39ImyMGHIYnSeMHQUH0Vijt1tyY6Umf/etnrVPfH8wFDE5
bjHd49K0xDEZrfbGiugAd7UvysehnPESodl2jP0S2f2JBPux2HXaXYsJ6+gwgsWnrQjLbrwUe3Dp
xPhguT6mBigqu6mMuKz2IUOaO82RUMelSXicM6e/kAtOSQmQIOmn6lyWk5gZdSWM3dN0eh4x3h0w
e3FjTWWyi3AlvnQ2bCaq+uXYJnkaO2jtl0zZaYxtAsXH0OAEzFM2/4fUJhayRBoVERKt+yccEoQ2
6VjIiMVqRffTTCE+pXl0iDDb/e2YsdKOrxidhAHOCJ7orQu8Bv+hRguJRzvKt37QiQNbBHZ4ziAj
O3FJb3FbLD0ACBYuYSuHgf+o5MBdScbDQDfx2yPj341ervJtGpjwV9YhFrUR307CRPSQVGtwZ7OJ
Qz2l6uepEoL8+whVcsiXPxHO1JvGYp2wLZAPjc86TgJ579VgnEKQMpDxdIsRIomaYC80AVsOcCB+
ERzA1hLp2x7nKlJ8jt0gLeWTtCssJZYRm3zGzUelYh9a0X0gPmYH1FP+0hQL+ZqZv2SKVH8iex7u
6MGT1wpd6xB1a3PTrMXMfaZoSloeUK2C5UhHJGLHrfRNNNZqO9IYvcEpBd/Qm4F7yCFMMwvSm6Ap
+hujJ5YBZI6XYxa+OYRFld7VSR19G4Oqp4M+2clq1sesoJppTDMDr2DCcbNORhxZ2TAUrwH1TESL
li14KOciXXPk4bD71L637mbOwk2Qq/kiFYuKVERBdvQpHwAmMN10HYXTKPOHf4OwIFF6fdN8IFdX
T3OP7aNRVnLuiD/aSZdZ7+qk6nmox+kyj5gpCRVlZ6aiJ3FhizMDK4Mn6WTPmd0lB7vOmcdVzidG
mjGPCy7D0NXJEcdsc6inxDkNrcTB5aVuvmnSwHt207C7LDjmePZ1EXe8R2g7/n/sncly3Oi2nV/l
xJ2jjL6J8L0DJJBIZMdk30wQJCWh7/sc+TX8en4Sf1DpVkl5pKLrhAe2wxGnkSiSmYnmx/73Xutb
xCnLTLSiQKeTL0y6PYIQfuQmT4gcRnzKJjl/6CyIA7Y86gQMGmYbuVavjFdyHYQvIf++SsyBXXHC
w7OsiEFu55j069xM3BZEsFtZYeXAniQ1WqOrEUJmg2jFmku//lZD2k4MGkEZahjXby2RGewHknET
ItxeScLc7wbpjHs9HlO/sMx2HZ+t6YuhBdwLFk9Qj8dPtSp5lDNcHUnTENoBT0qbnEMXOw7rchtn
tGrC+bE1sb7TH34/i33vDgrKSlEJ52gFt13YqHr9Esk1Y0sERi7CHZmqMwtHPCLkb9AnxeJh1NOn
USOCO0wZf/bGQEDbGEdezR14FJMzbqNe7J4YGWdumeIIPbNZ9cXZ1LdZZSYoCYLiJU2z50ESaXRG
rCGqgakjKOdnQSjPWGNUDW14K6wq9Lw3KQ4GLPQZt/KsGRoh1SVhNXrYczuo9bdYxL8Vm3ZX5vzn
Mg/thwQ173O5ZI61l9/0f2BomkIPCyDJH9lMSyzbD7Fpt1Xz2mXzP/w2ey0+td9Hp3372W/haZL+
m0oMmijqmiUZ1kKc/RaeJkm/WZLGtJoi3VK/JqR9C0/jX1SdgbQoipKpSOKScfktPE3/TZENsth0
RSVyTVZM5e+Ep331uF568gyVmPAf7X5NNCpMlXvDV5ptqxXvgQxOSg7uC6TmQlOu1KrcWuNVH35E
HtH5xT97wQt/YV4ClpIp73w8ROgELU/uEdLCAX+AmPr23Zk4/f7bvs8++6npe/lUF05DkTI2ysRw
9tP+hrAvB+UgKhbdCUNu6ektAEQxMOlqkAWeaZF0OMzUQHc+eHX5Fx9x+fp3Fkom2dIc08H1xWT0
SEhxsoAuGHFQEg4YAywsk+EFfI4CaiVM+b7IP7AE/5TyvXzuC5SOYiHhLWoBwZmJra30qJZ8jcIO
jSADr+E01sbOAObVUAQHyAE/+MALR+Fn5/SCr5CqbIA0sy59RL3WVX/MroiCJjrogSTGj7C0P/Oc
89EuYTuCFMldey4DvxgUp1ItR7JGb27YEk1OX1pOlH4UrfKrq0de3sJ35y+eR9Gqqbr8UTe9M7Is
ui+2wrBdC+PTAjM0g7O3zwcY5neaAlQ7b9wPjuRyon5yJOUL47V+ZrvGXLnz1aWmFE/daHhaE24g
BdpaKttVyxFVd7XJA5fm+1+/KivQT190uVW/+7ymNQlUpefOT2URB6jlKKhThEH1LG4ZxPpeAJkk
HlXvr1/uV1epfLHmDBqPs7ozTb96qm7jzwJ6rQnBoR08Ngf8AdRH/+ILXaw1KAESGuFK7VtsJ0rl
LifpVJmtr5fPmRUtVKhi+jWcr3vxwwVO+kof+9lJvFh9tDEQ5jFoSr9b68YqfpCeikMZHaLbuDbX
0anw5e3Ys1chYswZ3gN9SyP1WByGdoM+KLDfA3Q5qIPl7bBPjxoT24fkpAmvw16wBZu1MlQO9Wt5
LG+y3kWt5daeph0EF2j/uuHL10nidwezkh6zmozUR8Ed7HcmNzJdAsdEyapssdGgELbj5+5muGnN
g+RKq3Jv0kX2Wp9p9UbzBXSu/rSeHHWlBOvZQ9LsQsdRndlfxNvroH1noHBsN3G+7TbNESkAvzGr
Cnu6y2+EdX9Vn2qG6fG1Grwlj8o+9MzBQ8y4KzeJuJJcIgfqT0R/YfNCrfumqiwYR2GL5HryGq/w
jGSHQuhfXBnlizVZGnMrzIRZ9hcdNgN+h+yVjdExSNWH5GSUJh1Mhc6NvIwXnFj8KIDwa27izy6G
iyVZUMa6TidR9vvl9hURNEiW02jsneSXCMNliSi1pY0tSXbAsoKQ+5QDmptBHHUf3uHGr9aVyxVa
n1g8SQP1TXUnKuzLc9rQs+mMVrJtz/TFEJMjtHpEAbVjx6C4lLvbMzMugXABTUWz1VYSIpVCxmQw
guym7dY6EMJF/AWj4PXhYPl1XN8ksYMVK0WsIDNWMKWYUQo9r7hxeCZiDJCzKwGHlT0KYk7LS9rn
Y49Fc8xtraWEb8xVApHMmGMuNrDgoQRr1YQ6qEjKaujn5xgFYEtPMelA9GeocydJO8y0yc0kw9yE
Kd6sQWUVdmIY+TEaCsQEOcOr6LaM2k0otejqpXxDfGW9JrKot8VYOxalfEXpjy/xLTRfcAF+sP4s
N/xPzv0lHChRFQt5QRX4AU2L+smywjdTEJ0p7k/G0rikcaJXN7N5MM8z/hSapOVHDPpfrOmXCad9
FIqDhnXIl4L6LVIk1BjMNpANjwFib9xHJZdiByPrX/yoFw8utTGnWBfzwK8Ltum2Fuh2xUW+PDXt
kuHX4pOKb6IajXASbgzD+KjY+kXtcQkTAskr51MoBD4tkFORLmZEk6YhWeXk6TJR20FdHmD+lDf/
4ie9eHrRUx1aRWuSbeFXlrXN2uZe6KLNclKTMnRT4TA02UmTeFJjXDiHW+sDJu4vKqDLoNRZKHpy
OPRkO5jWrlZlB0TuDmMMlcC8q/j7UgZ98CF/dVQvHmGlOGZmR8SAX87iKQrErandqYnObd3em3pB
ZRTbFXYYOco+Kn2WlfhnN8vFCj2d26ZQFEvyh6DbCXTug/HGtNBdRKmLAWbHcMMOZnRVlLYabyWd
jY8Wadn81YtfrNKIbGAzxZR807CDebYJiJU0eTgkZQcdYLIwkZbiA95ieiZpty+idJdn1lXOELpu
jqjNd3ga/KwOniul3Cvyqo1SzDHoYBUswN1G1tc0HlJlW7frstzNZ5YiL23WAmdPWgtoiSNMlbO8
mdmSoIKkNckqi5+bRYt2Wk9TrJ76VUEgJw/uVXQm4/VGOe/G6k3NThVFYuQNg9dYfmFuQnEzGZtz
szGmtQhHZ8OqKMSeTkGHt3MOdnP6pMhHWpmB+qSpN718Z02P0DA69SEvbqXBwzk8GF+GbmO0/tD6
orbGqJqnSLE9aVredButm8mThg3pEFHoh5qvRRuhWifM7RLkJMHS1avk/WDObEQG3IVGIWwSRblK
m/4ukZs9WGQ+1vkIQmpHzqBPJ3GjM8MJ5WmlMPBJexy0oRPRbJ/m1D8nCi3kzusRPIrno2o+Kjq9
xcKL6bFmIc9QbveuUndJpjF9iskAnz5JyIgNc761EPdi0zS/CIV0M7fmvdodsR34SqbfkRB8oH/4
DiVjZ8TTjURnUmwjf4ZzEGUN8y/VjpDaSRbOzrl9H0kptahy8rZBy1G8nkULXUMcXcfmjJoUdVWC
wSNLPNTbYFk4GDSZM6yPGP6i9C6pDZ8emJZ9XtTftPPstn5pgy9xuGn6dWY52QD7rFHGQ9Sb0IIa
Tyw1WAvFaEN6Jt6cTR36RjKaHYgT21GRfeJAXHJ9SD8VV2aL87IascrOnqZv6zjbMd68lqJmUyB7
qvsFPBK7TMHPy0wukjc062+zqUAzNTiwdClPcIJb5WgbXjBhX1LyK/aUd136qNCOosXInsDoTUql
5CbNx3cmDqsQSrV1rnwklH5WtQc9E905QRWMXuc4x+ZnVZ5u++pQq+OqRM5vlyncQyPXD8O8kcV4
O4Yqk1H1gH3kdgyNN/NMgz3tUInImyjL1rOm7emG6zMcLYG6UbsexHEvk2hcnHV/FHtPo1+h5NJG
oHuvqfIqMMyNHp3yWUQ3p+3Mrt4lWOMj+VlAQV5E6MNCiEGU23SpGYyn8atqtWtGK0CVeszzT4vl
MMXRD69T0uOPnpO/WmguCjFAI41ayn3v17N/bqeNWQ9ORv+WwRBNe7abX3J8zF1ASaWft+FHu+ev
cPyfrK6XIDIjwK1ntMrgmwq6yzA4hB03eD4ABhGPClKEHAolblM8aMcWc3iZ3wZjgIVAtkX9tp65
tPDaG2HtVJm+Eiu0u13vGMAthxzlYLBJkHWHEJNyPMYZszTEL/i07triWRSpdj7Fo+xagbYeJZVn
JH1IU6CNz9iMEm3qW3dxnhHBGtIxp2tp9ChR6pVxl6M0/+tn2k/R/nQQLoFpTArO6TCEKcSLwpaL
XZBtM/muEJ95wiDUTHAV9q7JJHQIp9U0n1oLcQ41q6jjHpqv+wmEz2oaE3Kz6evCabdkZU/ldsxr
3b2O0vCDh+/XKNGfnavLWkpSmbFpKVSIWfEjHsIGmlgxHAnWfOrUG9E6Nmc4I3G1SuXrRpb2ZgEw
tej2cgDTGx1Tw6C1r06xfGC8OHKRybsMz1NdcZghCGTpql/oA9mT0nG5vfXElNdZ4LXoq9PaWMAq
q9aqV2CMHD1gmM8t3tKoRu0FeSZcFYKLXsfWtQRlqWrX5V0eurF1XuUK0mjlHV/hsgXQdBGJXOS2
yHLTEI/MnCI2hBOOPipgnaq6V2F8kRgsj/K+0rSVLMzXnbLIE0Rbbq7TzgdzKidXqpxBrMXi0HIV
ChPK5HhfPqInW5eyuUZX6cQJNn0YMHOyWCeBKMiYDYLMDUHyWN0zFjE03HfqMiOY3kgAsPtz88Fl
9TXE5Wdn66J7IsAjUtJWYt+8NxPgdMVZ9DIyguYOfR5a8Tb1te62Tx7CsYTYhYj4WssHJF5spdF8
nntzlXXtndqHazPbQYtoUwbWyddN1haYwq2Gz3+qI1wMzQHEjduT9WsoPUOlwEvS5spKiz3jVKi4
JVIs2c81xujmgPpqdhR08C3dzrFLwdOFLlb9DQobrO2IjzKgHRZQCkYqCcNzUUN1WSPyAy8mFaGj
40iVKUf++vYzfrEZEi/rZhQLCLmCxteyZ7Qiq7TWDzy8d/iGmdx0m8ycjnWM1rVXP1VCfNeLXmSI
B7yyd2mYHZWm9ge9vpYaX+UyT2am3nqJlSS9byP1Uc5bXw87t+9kR1DLFZ4VrDnLJnoI2ZM86y2K
xnDamUK5UWTVFrPX3oIjx7OUOaIzzYJn4sJA+L2aC+FKIE+0GnU/rEYnqhtIDP1Gml9AJjn5ubGH
qXT1DueN0WOEwsjTBV6eC67I/9dIpIZG9wgJdpKHekxcfdkxl7cB0e0DMnf+phuxC4DLSzUT16vJ
zv+jxePrvudnl+NFz6sMZYYGShJt41p3EDRQp7fXPQ1MRFe7ubuaBL6cmV4VavisrPscFio1l51J
3anGbPxxW/HrDOFnb+ViEwHbJ1BpARArCaubxUvZifMVcnaJdibRhOm5fwOIus+M8Y7y21fOt50f
puZOK9G0zYJt1d01OD2gBGdZFVfz/Dhn92f8FSgkWOfytxwDA239rWzZqyCjBjW7m3NZJlvmf7Zs
bUbN79LjX1+/v+oKXyaFG5WKSGnMdL8O8PfOEXooD2ydg+tPVZ0h0XdFFz7IorIrpx0uLOfc9fUH
N88vX/xifwING+tMMzCmoSE8S7KD6XxXVtZrrva7CMkYauadwrhwOY1Wki2iEkAr2kev/4v9oHhR
tkDo1wW5CQ2fgKGrpgp2Sr0Yc0kwSOjxLyyDpXc1Arcsk4e/PuA/72DI1vL177rSTYq4Q5pmzZfY
1hYMi0zztOzrl85JRmmCfwiP2L92dmXroucvxmIHk8NS/ESv73XWZi3ATaR9Ai6508y7PK6cUjMc
NWpOgjbvjOi809gH/fVH/fnOXrYuHvhDXUiWkoEVXxyJGL29M2J8jAQJH7NNA0+uP+y9L8vAP9+T
8mV8uTwgmT937BPr+QptqgOS5R7fM6IWxRF6wWu+tEyFJwlxgAq7sYh1ngOUpony0aX081akbF08
B4qiazp4HKaf8rTMZdVBTrtCRrfWOZ41x7jrJE/OTEK+Eavztv76GP9i6iBbFwtjlg1SM6qz6bcW
0mfjabl36+ChlQ0KnDNCXdNBaOVMVXqqUQR98Kq/OrUXa6AVS1jdmeD6Uw+EgT5gCwIG+7+d0H8T
NMPWpU2WUHKCeerDLZKb6ylcXJQvqIRPIf1opVEdZP4fHIZf3VXyj3cVhKwYLB176ypDrzpAbITs
GYual4LVKHNx1wgzrmDto8//84VDti4WrhqjNzLQysINkryB4XFyHTnm+HW9MpXIlQlJK8vHmM3w
B0f8V9fXxVLVamGoCThBfI07J4bcJBNqq4xPQWg6kdyivqdZXD3VJLYJ4b+2Vl2GrpPCDWRbsAQq
9mEXnrVdwrSs5w5elkWzMHYiw0qJp+4Hn/EXR/UyiL1H8JY1qSr4OLF3y4JRcp9OZ4Wn97zDCW0H
qsL9K+G4Cn5/zf/dEo9D/N6Ubfml+79A4wEdwDCWVKdfqzyucCOXwz9uozgtu9fiH//lzz/+Lvz4
Xvfxx+/7pvxQ9d8soGSmJBsq8o6FeP1N+cG/oAHl/jcMibT1Jfzpm/JDVX4zTUslo16SNEMGoPSH
8oN/ouYRLdNUcaLx08bfUX5c9jwpBjUVrIBoYRZV2JNdRkTpMpiSsIjPwBylR3WWt01UXCeNxD4u
Q76Kh1QywzW/ZyengeG2WflZnedbON4PvaIdQE3gSIHwMAiH+BzdoFhfh10F73D0tCx+SIkCXNUV
cC8dE6xGLxBVFYZOXII0/ebbuUmvrRENo0k2Yj2/mKW2OEXuoN/RZdMBW+LBc1QLn55Vlp+HNGS4
k5DZpnXWHU4KvJe1G+vCZgih35Z1AwK21L+wnl/1nbKfZMM3JeOuNAQsEdZVkDMiMONN3WPcM4VN
M+XPOZvgomQ7MCklAlcZrEWelp8bmbjRqofx041MitQCt4cWQ9gRmc2OAxaRAYtICdTOBlDwLFDM
2k2SA3SZ4zd6IbeqwTc3kjasNJ6l48D+M1RKEGAiWvDevFqesK2G6jGVuxuhpUEqtesxNx5aCd5q
BCLYpUUHFCLYWIjx7LZBDDuq422Y0h8XYF1Yc/AFYdxNJnFUBIgAMH45thNNRHqCfb0yS5EdMiRE
saFwTtOWjXInDN6Q5Ney0YGUrnOK7fqBn6XTbRognA1+bamsM1zCHGS+TELZMSqH3MUMZK3MBI5q
btafE7CmNlDgbDVEeWYbaiTZE3pKO2s4E+cWUlV4fhyVwJ1F4Yqm4C5L2KMW5/qGRJl3rayWnosK
z1SWNODdzQ24jjvR6o8C0was1vR0T3EYPxdYnVZtW3wOl4xEDP8J2Ck7MPPP5BCEjmii5mdL1TH3
IR1AzqpshRDc2kzJ/Gglyn5OphetD09lbByzhayhKcIX6JReVp5vw4WF2M4tRkz89K42WxtVAP1U
kZlAFSi4WlLf1BJe/kF8BDH5kErsNIzyIRO76+DcH2a5uJFKk9jVMn8Ap3crW1noCML5FqR5aYel
4pzjLltlM/Tys9KQHg9KArW+9jSYTWbLQbARaWtqEXZJmQZk0BaVg/Xwcypxhht5J0Tp9WAFLs30
laFEG/QY275uPg9musEH4ppJfpDi5RQE5vWkDtDNIFkZiFMFc9DshL75YNSeXkv7qMOT2PfBlcKe
DPBc8iwkncfbsydt/iJLrTfIwgYbx0bE5hi3yXNQiS/AWV2TLk0/ZtfSPKHuhuFmC72FAUR9tyqJ
9rnmV6TRL29tpGAuRAAIkbo1MsOvBA6OOkp71YreZlG7kxRph58rdM6jus3EdGMp1U2LGVushY2W
5JvZ5KoQ1OgtEqobUZ5esM19GdiXj7WyFWV5l8znl6TU/VSbX8BwfJ4qEIMau77vFvnT7/XwDwKy
pRz6s0z+tjbCvTBVmSeEIRk/lkto72IN3935vjCJBw/q6imRsgqOboIfOHwfJ1ovhk6Ka7EPu/Yp
yQeHNv36g3fxY8vk93ehWZZmaZJBI9u4KNpy1Eh13TQi7wKAohIGgl2l2qaGkxbK2R7kw21S5S+5
FO6qOdiWjXINFPpLV+S/D+f+1sP/l0/2HySev/yu5bXey2oGUh917X98LQ/Cz+Wiq/zhL26B05iu
6udmvvnc9ln3H/+Vn/z2nf+r//hNqXk3V5///d+A1LK34LeFcVl8/7w2oPKRFP7dSfknlefhNXud
X/+x65s4+x//7b+36fI3r5lfP71SC2xe38r8Nf6ZBvSP3/1nLcBDHbeIxtk0UHz+WQtov5m6KmGI
phhRFYN90Z+1gK6JmmxYmiqJDFg4/99UoNQCig5+lOY7OynTMtW/Uwv8uCkwLLaDlCFUQ7qsAxu/
3OXPVgofoBCbez1AU1SLu1zVnarVnVLsHX54neaVl5TzR/qIi7bG7y9sWZLOfaZiYrhU3OmWJNdd
p3T3VTS7UC3pE6v3xCS6QsYzSJRyVxhbuMrn4YDUcLDjAYd+SdAD4wZtRW3gjYR8tGq7VSfcBVH+
kpxnN6IzV8jDTdKIYAGwsomVP9bVaSzfpFzz5pxUrlC7zrP0riTPlwGtXud7tTy7ba7fJfNwsHSW
FIv5WzqVvl7Q7DljNk30ZwObmq2p1p3YiQbYebFhXJ28RWrliW12tADzz3AYFLik4OnNuzCnGd1U
z7SH7lWVNk7dOVkcf4p40BBKda030w3mBeZZ7JVWSWMex8y4i7mal19JceoPI2+lFUa8hObVaA3k
lclBtFbR6wrsDqeOg5W262XTMfXCNmFj3ck6EO5zui/E4H2uhsYvxmJTCMmnKMIGmaZsUoyxerKC
wK2U8wseMs1uI+iBIlg9GXiUrKOMQ1cxqUVNz7kRVp2qH3uMi3bRpEimUodlEzMrvUYja7cVe+pC
zfeSCQqC4Q7OWzfT+4/2rkuL4PtVmUtNFg2E1BqVhw7z8sdVuW5xvE+S0NyLZuuIk7aLQCZa9YzO
SLueSQkh/g53QRLfkSuwi6zMVckMSTPjGPPghXh0W3UYAmY4xOe4fQqz6SHrOF7wAyNB2zBGcZJz
4EbS4GixujFy+frcVV4cWD7kytzOS/R6en3CZPmA4Y/5MKc90ffIQp4kWHjKGKCUmHZ1UayEEQ/V
cnbOXMX0Jp1msFDlSf2NqC0XuKmQXYPjLMP2mGXswyM0l1H2Qrq4nRLoV7cLREDIX3CSr/Jeo0gD
sNrP1XOmNQst4GjI2gYf+7VFNGcOgC3JpqtQma6qur61wsDJMmFXp+o9icIbxZLvQSevJeqROSB8
jdtkitRjCu7XUKfDEL6rBkj7PD+FRHSwE1hlVoofmisEbIqSEblX9Fsu0H0EhOy7JfVnT1vx8kG3
nFhJsVj86MErunZxYoe0afJi1Nv7RrTusG3dJWLm0q1ez33z1Ijw+EZpuoonzYVWd+hG5nBNCQLG
W3zAgTZdJXPtNTWpJkArxTJcV3jQ5Eo+VFCMxqI66YFwp869E2fGvjqjOoBDKmbMlgRp2jV17WuT
5qnGACURExyFe2eMblt1j6SIOW0Az1ZRvYL7LTHmXQxHr9JLL4AegpraUZrkLYiy/TjoDBiihCbt
+NCYiVP1Cu8IJUacu3rbA9gDIzGXnkJIkUylj1tzPfSE83a4sKfl0Fcn5qLYHvsDqPzVVGHYFlPX
YBUqO+y4zNhDZbjKFUYMTNIg37Drh9sTtWtYL4cc0ktRETnQQRPEk4xPK6HLYh2j+kHVh6tgrEC1
frJMwz5r7BsmwxbN90bmI8jClpOw7dtqwxj4lFD2L9spv1JY+QPh9Ndn/EIi+3Xhp7ZXJIC0QPCl
SykwtVOua3HV3nOsD33HkhJiWpw1rP2EH9CjtEYNnE94nRkBMhfLFZLK67AlCyD9Uy4O5AfPapLj
uosrO8rKTXWmHFOadaOqm0BXidVOj2beO1PZY99Be6so93UQvy93icx9y6Zx3ejDKpgtXy/NY0OI
4l9/SAqJf1qtFHb4eD/waeg8on9oZGPMrw09PXf3Ef7blcJr4o105mZMmVEmH6yNFzrT34+oomqa
wk3EROLS+jAIjSJUQAfu1bLbanm5BuqI9x6SZbjrau0+MEZqbw06YwltOgSQnA/2VwOyERS/l4u/
12E/uaH1y/uZ1sLygU0JfwuAhcu+mKIx91XGYbwf2Qidk9oXLJr3y0O1LnTEQRDLK6qMTPUaQ90M
VQVEEQ6Upq1z7icxhWdW6kdi5Y4dbBLW623UG/syqp+mojglRbirWVHloSANsz/IQ3nSZOsUa82j
CnthqDXUG/J9Lgw3esfHLOb+EYr/URGmhyYDh1jr6zAJP+V57Q3Mw8y5xxGrOUoaf255aoOJvSL6
cgfVx8lJwEhnEA51OOODNmogK8H8AOBtsuugeg5z5VrlG2wCDdxSFu5aUd+TDrWrsnz84CQvV8z3
zz/aNLJqKqJCV4nu0KXmsQKvFUcRh1UXlA1NbbzYwf+v9D/9+79JGh22X3f5DmXx+l5+vzX4+gO/
l+7Gb8h1DYpjU6NKFqHa/Gfpzr+IsOWp501TM1RWsu9Ld3ZsS0nNCrcUttT7f5buhowjzBINFb7u
shX4zy3Ot1uL3dEvbzV8Yj9eFLjEZE1RZbYWssVCI1/0vQ1Cl+aAiHeE/td0eUKn311rDg7ZNWpp
Z9gcZsPpwfWEt+ZK3I5u4eRe7BlX53l9TsCBz/buISR0IC9XHtG5zLDt+QkX/rZfR7QB1+MTtoDt
4HaotTYMXdkSTKbdHh9at7XzTb4xXPJcmv3c1ADw3FzfyPmDiOF2pUD+Qei+OtPPOwzaDQ7SgTc2
r6b14NC+gBY+2uGL5vSr6553cd2vsFE7mRf5aPA8KJR2uYuuFdCiMHR3OAZ6+6G3o714lK8zHynS
ljzgtbyt9rqH7dnRnnckk/BLBEd8VDfNNnPlt3gduP3mAf/3rWIr9vIKAQK1q5T6fR+sFRB5PAZv
hmf50K96+xpJoStd6ehY7Ift9cODZR92y1/mVbPP/NZ9UVelbdjNvtkDot8CwuO9UxvaT+u7u9B+
m5xq3zm9m98gy7DTh5puF4jJ1rB3IvMtlhD4VSueNv1DRISgY/C7Dfsltu84VjYWDqfja5NjvAPm
sGHQm/Zb84zf46ZzaKLtsZsfZ4vUrHuJBhSQ+thLOvRbhBcZME2V6/r97Il+tel2auIQHUhLT+JF
+Lk91u9TuGJjselt6YqkCsT/bgQY8Srms7c8/rc6uwzj1Dyd17DHnXhPs3YNTdWdbZA0L9m2xkpT
raXMaZ1FJDeeagrNUwxYpV2l18hSkfrB+fhcXeGrVT9r6/q693ovc7p3vXKa1N4VMadN0fyXBdUs
QFV2Zs410Mjz5+GAOBEBLbGKHki6xwL4wGCL9wqfhgN34HEtu81L6E+Zk0b+ZJeRfyoi/5m05+hL
P9kJbCvVTtah2+1EH3TDvnmmU9Ri47ZburRwZ+tNBJEYiWkXOtKIbMMx9q3oDsPjOSQj7WhdQwZ2
Ks98rA7RXj4otyhIvP5eN07Cm/VWErSMtXw1kLm8gkTPRZgeAUVcYa6AengYRxcdUronxgT5bM7/
miv+TDGWT7ZODbAnMm1CU7XC64OdDcewLB2U1odYHCO0/gK2V0ZebNmjtq7u+teIZuyegCJ+Rwn/
mLgyp4w2isMz8ZQgPtJA0X8JrvmVztuZo3U67be8/3ol3tYO7GSHkCvo8dHT0tS+gxGuKKu4XrVf
9Bf9kO8iz/IDk6DPleAq23RNmg2GeTumL/kOUoJrQPKcCJ7OCv1guQ6vyzPaGlsfGRvb0xNXXa3Z
8aN0StuV9kwypx3ciu/J2u7swoZmuVEP5IoMjm6utHc+mGUjLFv36xMKUOQbqIBFzotsq6hrnPCo
XAX3wpqob+5g9szzY8T+XrTbN95XsKqKVfWksW4Yq+EpuGZQups+6aZbfxbe2EQH4O4Xwe+6njaa
V4SPiNbk+Q6Eh7SZD8VaXa1nd3YHLJj+2bmq1truDX7FgdsG0O2n9KhvBfRtr2Ax7PRzwCbOJX3S
fM7ecmzTG/n5FB6sVwWZll0kJ/lGOcXWvZL4g/x8nv1uJV0rB/nZ3FcQbkPyB3r7XfSl88G8cs9Y
rMynwBYO+Z4oPLt6k0++cuMZK3LivpA/dxpWijvfKttj7Sebci3VthjeGKkPOkF9UBs+UHOsWjva
pA7Lsvv6Gm2SZmX5on0La/y0TVxl9ehSDNvH2XG1azly32VHdsBlfZL3/MmGlvRUvD4rLOYlyhF7
XqObcsZ19No7tI75Cvobd3KzDTGO7rg/ymtpdSzs5qGNHPXqvOUj0IJZ5X65753ONa9KX+RbKn4W
idOKXgCBwHyP5eHqy47adnR4Q/zncQ+JwqZKZ9yL1oJNW3rQn1MUXdvui6bZ/DH78mx4X9/FsXuY
afvvMo9UjwfD7RezlE0Z1+7r/bjuZS7yCJbSl0TetqRzEItmn1fzWreJcl4+U+7zx73loe9VNB5V
3VbQ7OCKoVZmozHo53Xv8DNEKMDgXQuZc0b5wOUpHtT3kI5Opa0VNzxp3rNwkPgMFtFUNhroyOOq
dAxPcmlrKq/3yCC3t6vNF8EvaJPt9J25vscTwKyI5Blbe9VWqd/w3DQO0jFFX3aKOUT9mrxaR/GW
/3aucG1UK+GFZyxv30AWYYd3xWuao8P02j1vynzCXHcc9yLqU1C3dnSw6pcZFuinQXUM6PRomdWr
wL22HI1IeTvz5vhqCDdqxXNOe4b67giVDcqhNdeVsFGGDQ5aYG1qudUROn+tmv5Wm/ju/ykMgIH+
iHr7r4rHuxiGtbD/3Hafv68g//jJbw1g2fhNURnqUkaapqkvvfxvw2BZ/Q0craZ/ZQCIxAL+UUUK
JmZ/9segM2VD1ETjuzJSsBZEgKZQkOr/k70zWY4b2bLtr9QPQAY4OsekBtEzgsFG7DmBUaQIOPq+
+/q3IOlmksyUsjS4ZnXt1SRTJlJERBBwP37O3msbsLl+swXMz3tXRzqSMTCHNupI4qC+1bp8/Y3u
KoLdBJhELw66bmWktYnR24xBhW0NlPYmKhgvqsKpF0VEYqPvWtXJlFfhHfgm8vKmtvY2GZGN9wOR
PC+9hbLVi4X/2mkjJQhwk2htFFmSkaKXdDQo0hDIZFT5e4iNJUtdJSrOctl0zFrAMWT21uFF7rqo
VjPXeXYiPz1rtZYq1bLiNUObZCPaatnDOAdGaFWXtpnMCYSoE/qWOsBuQ+0688z8ye55FX4eFnx3
4Wn5sjRzHjPlBPwNSkW/WiO3ns77cXJeYF7Jr99eS+27sY8fww4lewCjnyTUp8vR5k/D0KnL3C21
67Ie9BPaejE/VYJaXPsB4T1grgL4qYxqj27j5qeT6w4UMVUXvuitwZuDFzOX23ZwbxJ2h84c52kd
a3oOorsuCaacyiMIHVAeVhSPm2hgb55caGkZzqzPU1w5p0HdpIR/iOJB2bn/YAwGWUYSUNIAiQn6
7oUgA4RA397fe5GBkJKMV4II7Kxdw0LQV0XAL1GOyqMkyQeSOVvcGdCJyjuy22fSsPABz7op+AQk
crsRCSDjWoAxG18v489218cmYTeddet3KZSiWCQYuCuzLRgHD/UdsGT7MSrI+aiJTbwgKKa+Ngxf
uwOLig1wqr2TuAuytU/G8wmJkv7erQexBJh8XTTO9GgjxXtRY2SDXFVmDbAbK5KwvAcdj/rZQNoo
rUGrP4dVxErbTmzbpUwvLPJwXmQ8iwf1XjxwmosvgBb6Dz05i5SGYyOIISQIj3nLeCCudMvYrdtg
eA3PBhXJI4nL+f0QNPp9GYbjjUJIfqF3YYhBlW+xYiu+7SYK+tYn8E2680yVAfs674kthQAr0MhL
ubWSsTopgbqQ7eGQ4zxU3Q2Ni3MVkQ1CGgJpN/lgPoWdZHGHFgiVojYn0qt4HjI4R+jFY0Cyhp8W
D46H+kDHwny0CyO4SOM2eJxwiW17kgWXouHZRKyNVW6q4iPt4PhoJpW6TAzatKPKzYUxNWprhajl
G9ukpeu09iFQTbatUxzgyZwjqkeAJPuEn9cRs3tFvk1BSHWLA7B1q4tQ2GSyKuKvM6u69xCxLSHp
jEdTjOlr4mXDmdPA4/Vphb34DtnhTjwQmBZBZlbkCByTMabfNJrWbULgGTwcjWDjPmlI/g2SCjQU
yTqgzFO9yvGU1ajBDR5Tw++w+8Y9hoUESLy5yH3CLBsp/GMd1O5ZG3O6YXHsj4qx+l4bDLlvJDlp
Pnl+B2HbRFAV7QAMPRT5fQDl9ipsQ3HZEPR5qIhuPYxmFuzBdBQ3eeVHWLX8vtm31dSeQAzWjjGo
M4jtqr0lv9U4LYcG+VoNavIiB7h30U4JuG53yj6XcYeWr40dyEOcR1KfnMKhwAto66XzZBNjs3fC
wL8xx8JYBrYVr7Ii7Xdv9py/abmJ972hb8s3W5Vn6A6gXI+ewPvlu/Dt2iBWNz5YRpDcgjqTuFjs
ySGIjgjMbWP4B+g/zhJCpr3LM6O7L1DDbt2xae/tSPVbpcE/9JEH3sH1OCt6vVhWmiOu0siN7nXQ
8weTxusmyorpZLBLfDRuQWPcS3PvH+RtljOP1/9sdEmHSSStTJ49eisWHcT5zb7ZiywBwbgzi4L8
w268k5nFqqmcbHgdCKF8DOfPsKpJ41k43z7d+XMe5088mz/7cP4tFFXt7JRGqmMyadlnkQBXtwZU
vPEQ6RcD2xLHEsWIZiwNfesF5MstiPjUjmJE269NdrOH58bhvphvEMJUgn093zTtfPuo+UYK51sK
Okl+X863GYNf7jhGcvmhnW/DYOSGZAFr94R39dDip4gTJzduoULtOOo+HcMGWahq3AuUBsRBgY6x
XjxA2Wsw/CyISPpX2WCQOu/k7bJMx6MzNUCFAa2tcOb0tX8S1Rnoh+DEBinFEx1E6qTV3XOPoV12
IFlviU5olTnJIdQf5yyP6YlK2A7YV4iPiT5H5n2FIL8pXilZteExYDd1GnMZkWOSHtPwc1Y9ZcNN
aWbEr52I/DwavhDZvjCxZSC9KSw6q/cGEJ3WM8DzH9SdR5Iw9OCBTZXivTjNIrXGuvPEdJboFSRd
FRTWa6enLFbn2IqwjrN3tt0XzL6KdGJbncTphtizTBxct/4cfCmIimJOg3O1X8l0000PWnJH0pql
X8yo64JuChB071mK3fjF5Zbp1XnrbeR4HI0EI2a6AIG38Eu1MfmMEwCeCGtkeNfoOeJ9DkcAgG2U
yDILaHHoyYmyCjq7urghYeYspS0R9bS/SvPA2rWejYFBNscNkJ3MPhgyBKwHGPIGTtPK9Szs6FrD
aTYW2qrpe31XyLDBs+oX66zlMzHBt2pdinJOw3pCcWJQDmSMBGzRL4SrMeu2ztJq2sDZxYI2jpif
s+Hes7vTNiGwmFqrCQKNPAxjI5V19LARR3a6sdU8o31wTDrRSpivU9/f65l4TkZ9RdXzIiZPrTRQ
KEOxbqvspmRGPpT1oUc0mjb5vi9ajkqFfz+nzGQ5FOWK1U7p56aOXZLl5qq02h1hDKB8r8hImbKD
ZX2ZWngeY7/XTNxlTrQ0ALq0ADVAHHhMxodqPLWnPgPuIUIIGGKs1lOqbNZyJp92iVNZpgrVakRC
GCkMZ7r0Lyr4hz5hgzqEtigITqPJ+wIzf91nCM7aUdtBqW6XYB7EOsjcq6TFNA1pJN0P7lNNupYA
5Sq/gBUHLyLQLUjzNO83XfScm4z7EPu5BU99RCM0OgpBJniDfCpcgxpd1GlwntHURG5FGh18H0T5
BqLhbaLdTXD2shIQJQjRPiIWYsNdphew46sHJJJ+8mhn1p3dcKD09YVGZp/+EOiLspQUs+nB9a9I
V1sMzKhjAat3r9CCN+48+iq7Ds4WQTV4XeZEnwAzQnBQ5kM4XlRwsu5CIcnndU+SoNro8Ph16o/Z
U8epXfCkREzMmrvJWw8z/FhrOOOek6m6bkkFc6sXNwAqdKSVQotGAlR/qhQWqegFO/30lTEqDbhl
A5Mu604h+QpxkYjpWJRnPIF23exy79GLD4JDJVBks7+qWtoEg7ET0WeZxqemnqzaoV9GxCU4+FEI
pFlW/TEmEGSyVxQiFv5OW2/xdlcbs4cAsfbH4cRsciKwaFKLzegZm4rqcypraIZ3RXJm2elWb1+b
KeeLkG/yxwDZx4TiL+9hBmEhhorG663Xsrl0EUKA4zwNNHehaP/Jci9pkNq0ftUMab+2qwsPDFZk
3FcV+GBCmLX0tUgmIkqpe6MTkWTrpmtX0xTfmtW0tLu1KoaVkYSXLb50hX/yhVRDgm4OtCG02thl
3plFTyK5zvDppsWuCuZyxVhAlL7Tmb2jNG0Us35KcmzyxHQsTPfUHR7AgJH/rZ2MutwxOCNZdder
fmH1r1ZsAKfZFPpJQyqcCJ/K6FFv1k1ufx/v/HRc8BFO9G1r5ZxnuUJK13Eor99vrahOi8A08uQw
5D43UlT1ycqSkhtJeaVBKy/PxgKNSZOdV9aYAoZy9e4RkItHPTNw8jDTY6Nr4x4nLMVF7ieuzXSe
D8+fKwHtW1EwzvVBPFcKrmiSjV470UFPoTePkyZRhBr5edOqatcQ7L2H49yvzNalR1FFAIe6iOXN
S7pDEVcEBgTRJWv0bZEq7pG5Kg7pv/WkuLjQMFo0Q+G4H/XPRXJQNUkh5N0sOLcQ2f7Vzb/kxZrs
0Lgrb/J4WuVuxiyETWKPSneGOeg8V/7O11MaxHW3A4q86US4IysXFeXUbFMnC7qFaKf+TI+rFB70
teuNBPacB/pRS9sj7EsH6bJ5H1WXWi9P0pDM5SIgG8EgD/XYpJ+JCz5wuP0Ka9szbxMRoPlEnGAX
pIZwSvQwrIXXBKw65SHu3TPMVtDVO0T83aptaFJNprbTkol8DVQ/XXbT8NshvhyEzLiXPvqU+mVS
bMfaxWg9pWFzktv+ZebecOIJl2TAwuhctJ2DTbHapbq3asvmMEn3ykBSnIA/7cIaDul1XgLunvzH
MC8OJjSE8tWZbt2Rnr43x5pT8ntS/4cBuUHP432ZhwCbroYJFnGerH3UnU26Xc0BNN0hcntKh0lf
2kXChLp9pBaajrERl9spG9S6r4M5XxqFisgrfRMUFID/ltbVT+WNPIF/qBv/+z+Ic/m90v6lB2KF
JCRH7Xj9FH+tQ5U+vW1z/fHvf7S5TOOT5BfqeTSnpEc364821/wVdI5CZ4I9d6uo6X/oHE33E6of
FzwmittZA8mw9sewdP6SyWFAcnfQ7OIH/s6w9MMNR1QaPa650SV1V5g2fM33ix9miCnX7CS/DNLX
iNwqmr1VPA+y3OXANpCTLUGniEyNaqZtLzKK9F8f0z4qHv/yCuZp7puTDYf92PQqXgF4KJ6/YVHj
uCaGfdUfxxMbbZ0sL1X7mDrNcsaAedrL79/n/7Ob+H/QyP3pD/pfKPZFQKvjgOau+7kO4PDEpqPi
t/f3n//shxpAfiJ0glVLfLf0zOfs731cV36ysNEw07clxFZrBr3+6wYX3OCO6ULpFxgQvZlC968b
fH5eyEbC1OPq3JgYUD9M/3+lBvi4vXOeRabnADrhEXp7X/mwqvu8Hv1tkPRkAUzNQgdnvAy75Evc
JVvc4dvOEouyI/tUuScKImLrpPs8vipJ/ILgcdkHWK+jzqmIJ/OfAoFd200EQegyjhlBGtl2SmpQ
zqk4DAkNTP5A5lt2Hzti43mXTVcvqlCSSFttY3qjk9XeGPEEJiK5mBpClA0ZEasZn/dahkS3D5eS
SF1TfhZ2+DKAm4DB3fJ39U0cZc9lap4EnhGthjACUGiLMwceOw1jmpiymrkFczZQWG4C0wXwojE8
xoq1igKHphBPleGNkgIvWXvNLJ8N6q9aVXz2kn7rN3Ihixh2SaEOfd/cwU4/90cQO+ELMYAE2uli
revu1UzHa6J7n7lynbINyfs+pB3pDupOGeeEzBZrq+3o72AE1/ObyhIvdsT5B4njpaFP65FzsQdZ
/zpOpThWdqzvsVqc01IHoxGQPeNlHKDl2DwaqtNPFHnM61H0t2lhn02op/aOYxf37khLd0ijbtuk
VfXYRUyexUBZ1FQVkTQqr8k4tB1UkIFDh3eQYh35VbgVbmkRMDvV8mLqjfKsdUq+0aivCT5ALR1Z
G4W54NBim/86+qpALCXUjZNPEPNz/TRBhrzKUZUgB/G/2xp+a0r005Xj3T7690vQ/97F5ZdWgosn
jRT751A9wU5s/2aN4V//WGO8Twjx34uHfqwx3ieWMSlgU38f+bzZRHEEILtzPdd0TPRG88L0rzVG
fGJfpchyDfZR4uV/b41xuMibsu37GiNNNuX3a4wnxiIqkJHv8nzOBXBQqGYawQqjmKpHj0p6MQgP
ebzWA1rMFW5ueBQc95R+GEUiipO8FdMillI9uV2V7yt9CG5tEgz2wZTcR339OLRlTevR1Q52ll47
VcfjJKuU4C1kgHaYjpimimJJ/5ucyjBKtkns7cOQ2IDQHDRjlXvIeMkMP9cIETxNvCa+tePYukdd
bNHuGRXhsLz4Y5klj8xqGK9OoGtqv/AR1GuY/037yrCfGGZUZNGM1TJUoOmJAl1moq9XRl1HR/R5
+THzw3EHsh4oTTWWGKgzXuXId+9stPrPJJ74VyFeSqBCBofTfnScx4BqaR/Ek7suSuIsc53KfKzH
lIT0nCIgA0SHAtHPv5qkz+4ixwzIXHQrrD1Z9jzhFttUkxMQ2mu4t25jANwvocCLOK7IwzA4lgYK
8U8+muvaEch3krjdhwYnHsMdWeI9nT/GPpllIMmNpeNmHmQ1yUzZbxg6CY5iaGeIEOvnBldmWN2J
b/sZovaifa6RThKqxr2VcMzVy4XQq35f8mHSQQd8Ynu1ubXAbdPkHJLo2BVZcWT4QXy0X2U7X9FZ
WyQxINnQidutWeXZ0WocQTaNHp2RUtzdtaTdLQmZdD87Ueid4zbTTrMg727GPEn2VQ4QNwTJQlcm
Tc6nIo/PvKE0iXKy8lOLFKqVU5DFSDOLCOUmkNGiz8Pw2BKBS1BFZy6wlDIuFwQKD9ioF5acDNb5
ctLWcRiNOgM6ooE71RCEYrIaMhesPTne9p0ZfQnCqmAW0F3iwyI6vWL7o38jz92KAB8CLEAlN/y6
TAEuwh/rr3bqx0RqoKJ3Q/Gj1f9/6+fMv/h5cXb1lAV/s2ryb/5YNS3dxlNtOQ6QL3su9f6ozBBj
QvGQWAQt/v9m1QS0Lx0w+zpDdNNmCv/nqml8wl6Fp5tjDHUWQs7fqszmk8/frJq8xPerZu+T0Og0
yt8aYrjvVGvQrmoYyFQ+JMiAtnFEm2VtOyrbq4kGXaGji8szOh1toMAAela7LIKZlwNTeFWOEaqu
NCeJ0cwekSYYi87Sp30pi/SpIvrihGiQdGPYU7MeKFYZXDIIGaBMLUH4DeaiqencR7HNXq+ey8St
NkkgSM2LW+Qysdc8Ka9ntkdIEglxvtoUJZyohVs5/Zexb/R9m0FxBnKv77PSy5eEY1EKUvXuC6ez
1rIsKuDXnogJYbeAC+t5xJNp6wasb+lcEvBHq8XNndtSiXYeghd0BnXEff2Ur0gwYb8wiEsvPKJT
HfiaVKrgZLuuuNMirwHma81G7XK8VR6ZK5MKx69IbduNV7n4KSQw30wHVCfq2a4TR7Dn8sxeOknx
qulGg1WaMkinHUFUVesai5zAlc7CazLqwNFsI9+Qcayug2SUs6mWeZnhIo2kK/M5seyQwOjs2E+t
x5sg+GeH6HJOf6wGaGNT8JI0uDGTKHA/y8xnDpr309EWY7cifZF+k6r7Tezm2kZK0seYo+4yR9xL
Mu7XRk18s2219bJo9GLh+RbwQwuRDpzDQiziKnY3LaGvxI4O12EZEVFFoz/N42zrWdXx28QVXny4
TPxOg4s5wFce5NZ0sXgw77+ecKE4feSfjC6dZqMFZj9KEKdBkSAc7pg7ZHIIdiWOp9RhUp6qvjpl
pBTjUJtTnjFh8xYT77E2mQ/lGFv2wcAJ1ppy9Pu+Xtx2OMquOsiCqzBoXYxH0qHBZBLtZUw07pN+
6OGQq+q2bet26059vbYIu9p5qUjuvq0L/7dAznSiny+Qp09FEz4lf7NG8s++r5FS/4TAR5BEgm5o
LgRpP/xRWXpkpTr/kie90bKbOkgKCBYetkFKA5bCP9dI/ZPtug5j2rlmECaL2++cXp33WvbvlaVr
kMr6fo2smWzToy21rTCYRph1wQhRxvssVidZ0feLYggfMm4bazQeBvo7C8awTOSLE7vj/EPSbkm4
Zv5gYISu0+HByYP7MV+7bbyX0NbH2iLU+FJUaFg6I30l0epaE+N9OPXXDWGyaHlJRtZrwkCawlkG
taqXtRme5T5CY40edxWR5NZ4Zy19yIXnxltw92gQXbynxQi5QRufLGS68BKpsFDnTAUCUaOlUE1e
vchGC6pOkeg/Jo2xK4A8QlO9FrXjLU2clEtnzrPjIaNKYeDafQ6M6j6snWcSIx9GXX1tIdSixiCO
Woi7CJBfiyirbeSXpOTca850AX+AatO655FEl00QWl6EVwNLMao/Z1F3ZAeIqEc2rJ7yxLgmvMwg
Irr6Wpv95yT3jSMfVoZrm/HYpRgQM8qJ1nie5sfRI5hUhQ1gWTLJexE6m7HsznSmCCzwxrRQKngp
yLGhOzutQsvYloWCEEDEUjxNGqWzthAJ3Xh+BkSMzzaLBiLrHsWL01zKKfegu555WmycOMCHNd0N
b2KIkp7yHgCjE5XOgJRN6ixTulzDaPLIXB7j9TiOjKacZheMMedjvbkmx6LfYHPsGnbLHH0lIqOt
agnYCm3m7GUdb/UOP9jotd35FFT2yyBLItLN53Ao5Y71F1P9QLMdVyzEdCI6k0K/8Gq8r4VoFGPk
oFrKsczWkZvE+9wX5c6KJeeSJnZewzhfd9HofceS/f+9klEY/XwR2z5NT/91RT5N8X4d4x99X8JM
65PtODwTHudgzDN/NuD4isByg8KSCpCApJmO9K8GnPGJepBKjsWKszPn4z+XMOMTnhkD74xhUgRi
o/mdJcx8X+UxbOT62HtIj+IVAheYrfZv+rtZ3TiuXwTQN+2k2XQtmNCzbj594Vfz2Y73mk8Y/TKA
jFWTmxH0/JXr2NWuytuOqWNYEqxXk4Z+rDsRH+zS08YNKRYo7m1zqhftMETntTnmGzy6QbXuB1/L
V0VMLGBORqp2XuuAR/1EA746ZsqOtlmNysUvHKaNjWgDpt0ZRWMyTnX+b2vsnBdfM37JX782x6fi
P4AUZcw9kJ/ftOfp0zuwxLdv/3672t4nWiXId7klPMyu8035fce1uXV+3J6CUC/J0ZOIcdOkt/hG
5kt6GNWxZemCA4xjgWr6ndvT4WpvDiEuQxZGvvOBhkdBN6BIvb89ERuhiImkvTIwoHNXclNh+QgU
mEXqaeOiU5PWnHSd7Mqjlg1etojbQbaLMc8lkRpFZRbYhs3itdB8RCs6UO2zSJBlssCa7/LfkBku
ygQDOHqGJu1Z1g0OMzPoCjAqnoyLgx2ncblghGRfaVnXYRUryRtRRR6NHDNERmqXN5PMHb3UL5tG
C++zacLkIkNJH7pmqDMwqQyKcWHlhYh3BiGb8HOnHIXJUFcDVCfPQPoxkE7MgQa0FJgC6FAb20Z4
uG4aI283Io/sPdreCH5rOXPDId1M074yK0RTpBwTUOwRtWnhk04UIeexUua1l8fdAUt/6AKuNSP+
PESSoJ9gZCbcEIVlLGTdTruJU5lFsNhYaqi4fBGv4j40rzqDN0neYDxRE7vVP5noP6w8TMls5les
OJR2QEZo8r1beRLQ+3obOdaq9+HU71h67BI4RYrU0PET5zJK4Gn6tpbChwjdM73WG4eDkXKchdHP
1HSI+BdvnoKL74K9txgdDs/v7jZp0MWUtmW4xuxJ/nj0hZgTpGHvAY1HfntmaM6wyste7qJwaPaE
QMrvC9BP1Q1/cz0Gjy4oExyX+C4pVN8uvr2vkzE3lVxvqKcN43P1AK2sWSFwqp8NEVXbX7+/+Wn5
U6aIsdvgIQIeJkE2cLlvm8Gbxb4t6hg8iyVXScBbi7Wg31skhoN7BCL660u977n+uBTLCGMnjyGm
/WFuWOdePXcwJAarSK4zbcifFXm61uI3L8PyA22G/wqmpfO49d0nqPomJ/5SuatAE5IA0qnchMHk
/sNVBJvqu09utqty+qCst8DX8H4+vJ24H6xeQYGCeA8SnFDtwdbY/YLeHPed2ajyphWJjn/F0gxt
m7lCvQZZJIq1H5U5KfBZWNkW8GLL7liFwngYzoc+CQ00Vb3lP0REghK1KfKYXkrECdonYyOFzhH1
epDtYjvXvnoQX9OjF5hodDhaO3dWrzXjeqb3ylXMIlkhuOdAVC+yqk4Nsmzt1lySCzulD6FhlVoP
qW0a042Mh4DlTmSEw2xMaHBXvamxRjRdBUg9ovHtbVVd+9ZlppUdPrredfRu4aehmeID7ILqgIwV
dsjShsSaYFTsWIBtElyxgOdLPQ1tbKa+Nti45RyXhkNmj8EmM9Ic3VHmdOmZMaWZsWqcNspSAm1j
1z+0OVMjfkYa6+uA1ke06SDHY8CASj36pNjpDtAzuODJmY/W17lxUr/rkEE2kf2FoXiWrEtB+DOB
Ghz+D3qe+fepqDRicqdctfdEJcvnCU7HJR12NUyLGlRxczFlsRbdph7N70tzRNkJ180top0EsKiO
E5ogfFxJliLh8wFtK0Z5lGTGxqr9sd01U9GVp6T3RvFtoEYr+lyKpiyCpVmF6mxqM41knWhoxy92
4me8lEaW3nnXOv64KhkMhhuuKPMFGatKQl+z7C9jnCTHXgtGvFNdYXeLSovq4sUPkjjqFhGd4nZn
E0RsLibGY47NsabStButTTz3JuaJyxmYtjLZ5IjeLYAyZtpAHm9z66qbjBCCDNz0jImeHIZtn87m
Fig4Y3eelFOGULPzQezfWx1jm72Ba4bUXy0waN0VSRgkO7hsrhGsStfuxJOgc6I128IY0vI5kACy
+2UQQLJYZtJj0NID/9AWvqkAQbsdG2iTAc9d4AYghCBWAOAOielLPHZVW4+7GOQdnXMP5GlN3qez
Law8azlMt0nIJlAXclt3LbKeRtNMl7AdqUXLKpvCbFMig6c578X5wyi4J1dTG6O9axvk/iu9z+HG
JXUAP0jFLSSRqB8LQuT6ym/2srHAyyaFjSLR0pkPIdKW440c/eBUz6yEY5xpgzEEyNd460bWTDLs
frYTRW6B064aag+0EV6DZasZIiSW1Bzi7ZCNmDyUV4wDYfLhOC6cwtSDU9Mqh2ADT5NIkVAUIFgb
JbJtFpfeo8rdoNiETErh8gkRFZsSjbdz4qQlx1F3ah19P2NKnDnhXAOV7soMpXbnBedd01b2dRgO
UPFys9U7UMV6dlZ3tluwHjF+WFWpH5AtwPtdBqXG5iLZZ1ISY9rITKfjaFVFQmLO5Jk4f+nj8cvl
lScu12nTcoHSZsrOBmLKJqzBlRJwC9k3WIFgWFTWNkC1JQLUh6YoBQfXNkuSADijKuuV5k5Fam1V
n/lGsPz1FvAtT+rNrmaRRuu6yNWBLFFOINV5vwewhDRZF/sA8IcIVv5COrFvnVWVWZJBULhecTuk
Wj+dCCcr1AzTFY8Nj4l3muVl15yWMd3ebZkNGJ+NxuFMHEal1938+lV+2HotelFzNK40DHZE2KUf
lDxZ5gehoi+zCvvMOvcGPV2RAd4vzMnQ/mHr/UCOBuzAtUyXDXHe6CnCP2xWVJMFC4MbrvBwZbCQ
Jloisu9Xlsjt29H21OfCpBeqpAjOfILe1jnBUXjAw+Lk12/6Q30zvxBkUPMhgpkFPr0Pb9orddqv
LswAYY2us2OrCb5YrIcDeTY0tU9lBa7oH26HD4UHdwNlgAGGjlIOl8k3dNObGifymQRqltWvjLJH
/ZyxuiZDHq9//c7+ehWKRAbXIGNcmzPKXNy+uUo30CAqmLii8GWKEBRBtO08/Z8yKP7mKkLC0OVs
Mdek36hEb65S5tQ9SarGFc0u/bKqLXHSa7X7/Ov3MleZ754fjv9I1ixD2tycXO/9ezFr0Q8lRFKk
lonLZJTpMbJGY+Mxnd72MhhWoWap77+mf0On6D/u7P3rseAlAMnqXa9o/v4fh2/xiWM3J17MRN80
WXzlx+Fb/4SGS58Jy99VV9wqfx7GZ2QzBT2VMKeJOYv3h5ACp+6MbOF88X0iyGH+N9rdH+5GE5vW
rPdybRoEqL9mUdjbe961WEWNwq9XdVVYR8NNo73SxeWvb8a/XIQnF2ElKxjsIFTHHy7SctzUpG1W
2Ps0TryVAT60HP3fW5hoK/DjdVTiwJ7oyMn5kXjzYEWy1nJWrmrVlL5+GBx1HTKN2qhOo27SNWP3
6zf11y7GvBxROM6yOdqAHy5XW8pvh2asVnihSgbuMeRjjn5LLcQDHxkjgJG4JV2lNbPtr688t+/e
PNvf3yjaVYOH23a/tRjfvtG88XWMZjhL/KRLTqMy8Egaqca1aMxuNXUdDjDb3AHeHk8iux7/YS3+
sOl9u7rLpT3PAQGOHvb9x9yNRuynCVf3SnxAfd+lK/oq9TKUTfAP7YS/XspgZM6OM0++53vo/aUU
3lhslxJ4ZjnStNCpo0qa4Uu7GcfVrz9TmgJ/+VSxuDM/4kYUM9/xQ8VBNrxf14oGU1JwLlyWeZvu
lXCDK2WETramGKweJUFYNZ0c01DMeXsC5+yWYWvpE1loh6RzRUlkH0sc3bdoq8J8VY2xeoUhaC6w
3rr3Q4ncHmuXvvGx00RCsmlWJg6IIucktpyKur4fJzJorc7vHokdV9e+A2ZtaZNXYyx9v2mIFEhq
Cz6QjyV2HVpDn29kgGUkRd1+GkobB5sz+Q2zV99hmNSWQE2MSJtumckZz/5Utda68xQySiMS7Npd
KLzXIVeetnTKegQcWNY0aMPM8Q9uZLjLovPkEZJ18OS3lXfbYMt+xRfIrd4ygnqhaVUaJ30ES5z0
jCS9UWEyge3hUKgWVTvdqAkk82iP1k1Y5XhoMt8ZOHO7sykgYF9/iKQxPjOhNtQqtfvIoNZNozM8
+XBcMH4a8WJsQpTRAYeWdmXLLgTYDXCRic7QDMtsqutmZdPzxrHgzAF6eqerp5rSmnafEyIUsntH
O7Qepypsr834XGCp+Kq7Wnns4qhst3pVhvf6PHTXe1XDZKps53pqzJ6Kl0nLi1S9iW3H8fRjH2nl
mQABvW5cPWB4TUDhcprC8LxqPH2fFmKmtWsaI7uqkpz8KXK7eIkBR3MWmsl8qBtbHwBmjjxi2WEu
YQ6uMfROnDPDrGtC7LzIe/HSpL4k4VgB9xSIzHD6VHRDwylUiyCZMnRIxRTd+i2ZrGvek++t+yjD
W1RHmXoqithChVRCJ41NRB4bY+wqQoyyAu5g3bn1ujOsdK2rQEy7EPESIR9kr2n52Ma7BuT0y5hG
TBeHcWpqzHTJ7JrpneEVZjjs8T4an+oUuZSmVxM4qGxCHsHKDPlrMArnXtolhivUdQh9I7cTdxy+
E0hcRpJuVN44J11RyS21c/ellY35udKxpKt86l6bpo5WTAZra1WGmX4pWqPOTn/9qH/s+7CCebDk
2Yw5XjAh+QgGLNCb/j/2zqPHbjTN0n8l0ZvZDAv0ZjnkJa834c2GCIUUH733jfnv8zBdZVZ310wC
s2mgUAmppNCVIm6QH19zznO0jvnqZq4XwgMct57t7eg8FUJ1nX7yE8yjLVkwUo9rpXio6s9RO7YZ
NEvnYjinKb+O6F9m7UxQAMOaTJWCqc1+OeT/VUv9m7oWGf/1HoPMhfjjj7XUz3/+l1pKV/9GxcJ9
hmyAGTtLit9qKc34G+cgBzeV9c+PCx6av+3dgJ7APEEw/3e1/N9FqXyI64H5qIWJlE3ZX6ilGHWu
lcwfHs1UHToIbVZ4qgEHD6D2n59YbW80U9JJKPM0KUftpKXot4kw1n4U2TwCgdRyNfGquFXzDyUv
yBTU26QPNFskZZAZCg4jo+qYtYRmWtqu1tn55Ofl1HdemstF7pWCT+A4In1CBR5V9ifKnSIMpiYd
l8rt+86WDk4vxV3iRcYQG3tNDsMnUIAsrSfOgBGn9WJXDQZdM8K3VvayOeXMsGqFaNZZ6eri08wL
lZU992jkoOLqnK4oLkpOwOpDbHUTCm8E41NHvWGaGdKersTJouUNKkXPqeEKk/TaTbs8s/r2fgpr
5jR5EhnaBoy8il8eRexkfGkKUzLQWB3G9XMPnkK+2ZKCiZYRvsKRPasaw9V+KpLuuc7yvoCBPdWE
03fWEvPsClmSZM7QkNQp9fYSYnFlLP0uxDQ/ZonZXmuoDXofKh6tELiPQok+W8l8LkOAnoKkWjEZ
J2QB2xnhQDJpP3pydOtsxGbG3JGxa19ztGHM5+nj5ARPlGeJ8e3TwnYJzgeRfusqzTdKAjxzRzrx
ab2Eqc57Glf1uU31A87uo+i6j2m8zBWz0iI6prm5IeWy9zAZz/u4Yiva6JF1b3bGyREgwVX7BLiD
ATDk5zINgH9q3pJWzzM4lop3WMXxV9aHsWlhJ0Y6KMMZUas1RlgnCpBzGVnFbtn1h2lqL0uoGkFr
6YUbErvk62QZvy56CSsDesGlH5ST3DFc4cIILQZXqfEw8kmizBLPZhRB94yk9C5X0a0iwocK5YQ7
MTbNNp8Ie5tsm7cWVHqHq8EbADS4uRqF22G1D9ddeMiSBJzL3KrndMpMZxeHmnyyRPFAb7xRm/y5
SqHfOQ4wv7TpMf+b/VQRGrJU0dPQqLChzMYhuLMGRl1jfJWdHyiH0CgzBsldPV4yyBxg8SR4k4vl
abKk+qBmSmzbojATA9Olpj+WwpGEX8kibTbKSAiKw4XAfJXcRKO5j/WFkD/gs8HQTJfYSk3X+Tkx
eSnZmMuVx/d+EyWOB2WoBDw53w91ubOqGCbNAuzAdPQnJRuDXGB5zsN8vPHQr5BiKzracJNrATTO
Wo6TPJlW5NBDUOjPGZMVfnM+RBjHj2FhakHb84PVWsRnlqZ566UwkfZyrVy0AleKMwtSrFndfVOK
bqMWdfytmVK98hhxf7eqPq3w3S8fbWtop27EOAxMVMPdDW7BMunrzHhEHJNOuyrU1hCTfgXIposa
weHWK3epxiZoi54KNNfOCTU5bkwJxkmvO56ak1nFV+Xc1Fjogw/KxywZlU8fqZJ9HzWlCMjeUEjF
xsS800tpPpG5pWyTDNOkN0e8ui4gJIwjtJpRYlJ3sITaie1iYqKVcoRUY9HtE7XDDd+rigAlk6yJ
NUUNJX8wuNmKlabU2yo7EZgvGmbYVIDSGDUSrq95LX0pUn9to+rLDE21RcspmdptLrvHdhrI3Yqm
xxS/LTPRxY267kmuy8yzOWtPshEeGHO+zlaRSd9yrSY/xrTdxi73CfAepmky5mMlLLTP1sEtLo+F
zbS0cc6YHy5xyVGYxriEgf5JN92MDkhKLjEi9iPnudtXmX4ltZ0/ZMMpJNwFKerQ6a4k890ULEq8
SlO+ioSdqJmRJ60N9Y9mzMOvJrLeMzK/tcEZYNWlYI3kChD5FL4g4TozBZb2U5cvT2qByFUOHXB9
g3ahpNRSLyr1UvNamCEfZSgVV1GMQCaNPN40cK1ToIFsmy5zKhqVLGwbgYglEQPfK1xZfWl79JJA
GIgeIcWSlN3KIGs8HY9KspxbfdB87ic+ZE7yi8Ik2yO5OpLuFDbPR1YLGUcNI3rQ5w9WF6LhkvlF
y7LLSD0HdHZvR6wQWnmr6ViM2LF0+yrs2o1pRva4qwiegeoofcF28ThzjM3S8sAQZZt78Ww9hFr0
ZoTjq2WU1mmmFynqXWnXwbQqatusPS1k1c/JQraT2b8SZi27ltPviwYCxH5CdT8QrZrWM09TIh08
7FPuUtbPopE7QEyQ7tZdMjnd1XEiEcbr409Out5NImGc2TXp99qki+/a8IOUH1/jriZGr23TW8zh
wI7nzulGTGrTtgvTEwodhrVVfY0X5MZZbsrvRlvfz05xyiLt3rRRUgLUAKSwQTGwa5bwSud1lsu+
3UkznEmzrLNAV6LymyP6a2VBMoyUc94pEF2yu1Tdy9IUTBnQqfCgiI78qII6oNxE8niW4v4kZqXH
QiE9zbNxMSvpWndRDjiEaGdV/ODwHcXeokf0ML9d4xixb+MQIyx9VcpdT7it1WKaN6cXhIl48swE
bghdhoP8zbXidKtDY4o3Y51+VpyTZQXh8ptNCzxEpDsn3/uK9KGpvFIbBDJsBrk5h7HmTfQlVSEe
Y33FWeEtBbSRSKiNWoXJSYwG8dJID+T2vdT9PlYT1M3cAfhfxPLDNiWPdYZnWhK4hzrIknGXF/3F
XDh83pc29npOFMvk2W5aIGsvCGLO3LI36kkPNw29tr2rl9od+5HHAIdxDJu2BcMeD4dWnXadQk6R
9Ykd/GrH2i3KSz8lkDJn/crGgfrizYAAquls12pZoSQA2DA457xfT8UXIh7ILlA2meOr+vdGVjmn
1PjWDxHvlzhMZcViazF90lFZssKNkOBDMmxwQ0E6Fw9tp7xDD+XpJBepihpA9XFRv1wrVs1tis7b
vNVt9LOSk5Y4StRzUfZkaI3M+ZnUV3eJk1KLUCMTX2kAqDBZH2/W/fdODvM9AX3GDPxjIKgP+Bgg
PC4eWmE6+cPYZ4RphNOWidN1nNhLEdcUdnyzKx7DYmnvllpS94YORgXvcozikbrU7oOxbttzmXTc
+0X32s462JCqhK9lAqVKWbrFzZ06xvd5c7UwUe6GHNJuXy9X1W6PSjMc1c5vNLKiVatkHZ3mWHvk
EqaNlrPh0ZxhZwq+A6k1rMkkNfoy/cua05vjTHvBS9wRei3ykgdBJeLNhtHvhmKOvWhWwN42xwZ1
gTtW88mWo4daAx9m8Lzj/ttn2bbsEq3z9BEP5VgxYile9WKMDuOITJPYM8H4wqTsSWTGFTY8jEgl
JM5KXkoRUR6O2gNBvOS8OFutjgEDt3vdyB5V/uWiARMhmfKWCc+zToq7wwDDXdSL3t3V6nrFa9ma
yxDEheXxLN6sKXZjOZ+UWJ5R6vLGuGmZ7CNLArsG67Syd3FcwsomZDqkOJ5juFojF2s87TJT3kQZ
7oWJEm/Mi02E9aKS5FeNWMZ0UhhNVg+5Xl6SifWzZGlPrdy8rK8ym+xZntKHOJHeHSM9WwNBcIr8
RUTb0+hgWW0oCbABEERBhAfiIofY65GGeA6DOkvA5NcQ6xXAO/nBihWe9WS4y5P6oGCgnWRcW+W3
NuP2YuMMjCYHsmtyBZjvSju9Of34ZjfWWfQyMTGF5saTE0iq2Bb4QMGCXPTe2PUlIRXs/3KakcLw
RSdrT6PF3MQ0pdA3bGPmtRDRgILgqpBjz4jSbK/GOqjgxZOlHmeLqMx5kwsmFMkCpg9sEE1B7NVs
ynXHee+GuDlG6lTvwkbZVFT0rJh8IHF+39V+p2V3Anxhob3Z4QQco/K7Sfh5GFEiRTKfrOqbWeME
SWkfBLoHKa8Q9Dqgf3vaqSR6W2wT9kwxt7uikj9YbW0mFW5LNG9sTsckZGYVmpuo/Yo6/VBaJKnX
zofVSo9OaGEBGTBwKC5SBaK7zembkR5DCWSxXjHqURUYXLjUzATRJnwftJ3LMXFklxBQ48A+Pjma
E9W1blSEnIE+4vwVzHu61UyjGa/yCHSsYm6s5gHGCesQwSiyrPkeyNSeEcyFJfwJ59ya4OFxyvh1
W75nqekzbgLJmPiqBbZg1WsY2Qmd3SFariXGEUt/JTXK17ovUUp+vxR3MVS/uOrdsmwo/joS5QWJ
hlcZSE1edBBIqIzDkapKyHeLau4YmZGDNwWpsF0p7TZynrwzADtLpvTcdgAXp4faiGDw0ayIj5F6
cjNBChWmCfRn2CTd+FwOWo35mqfHkkrpYzXbPB9A6wD1FZekjQQCKenL1CZfxdzJIG4JwhZEj6lM
RrbJ2O3LNC919pkKzE+n0DIo8+S0pMMJm3amG9Ls5AV1v8VBqE/U4oyVws8sipn8oeeYlvsIgAzj
yaJyiDrSEJFvlnyWf1hton4qYyfuUc/qfOFKbH6ABs3fHbnNdU/LuvyrCQuO9TpJeLzkGkmV+pxZ
GjTmea7PyNkS6EXknG3QlGCURIZRY4uXpQQhRp4q14EeDoyXgZjEw8QJYIkqq/lAd5RQ5UV2pnkW
njDJTZE+QbrJhnlttRDl88zKo/fMLnOaEr2RD5oxD6Yn9/1KgsjUdHJtqKCyl9d9RzInzBzCbsIp
sEwycrzUKHAoqZFyMc2pfNEWxmS9CvlNqx2BuymX6fnRxylk/kkzKK56KvwI3A7xL5HexXz6RgmE
vM/glSMlZoBa5U2I2IxFP9R2KaO6GlQZDRpBFU+iXWAXc+yLC85Ihvc9boaQx9/cvOp5b1Ze3mRh
tFG1viVBbIjFabHHqcMTkMQXPrHxUUh9dRpVCTBXUi/WQ25ZXDTxUKSPCVr/RzQcxtPihOOXZChj
hUejIUNJifCFeAjz8hERytpZjJPM49XIjATlip5RwKmlzpYe6mm4MFS36gjQj4GIArIHBYk+0G7S
KDfmfYhQ5dEG1cnJMg8Me5XKGKUTo8k88yCgGmbQmsXI/kxe8tTXwNGQDmnGxgjUVtOuuk7OB4no
mC/sOoPzWlRlf6SytIGuKhbZzyl2N2ZN9pyt5/hoQJKKleRB6Vg+UhLAaKTiLxcEVPYgPuI0l56V
JpvFNrPSWH4YRyNeTz1dfmM4rJCQg45x3ozS8lnGRsYFmK5ENYQDheTN46w0/9osEzC4JxUECOg/
m4a+gHT+yf0o/sQD+fk1v0xEmXsaKKrxiKI1XVWg7F5/2S7jRLAZkRqoUP8xGETDi2+gKQJAY2oI
WAzGlL9NRBUI0aoiI7P4zZz1Fyaipr1uA/80EJXB3bAqVBhLspe1/2GFZ6YQNKPYRrnkpIcBiHyn
mf2tiid901dQeM16GV2Ar4prlNlytJfppmZNGRS5DA7H1K3G5YpEeE2gTS+jSJIl7KlOqkFANfUJ
tVJSs5nBj7U1dOYeHUjdQe7lIMbvSktYh6DXgTepKANpY3HI9AXbF8eE1IYE9Qh6siN4qi7BrUed
dBkX65loUduXhlgKusFMvkJWNVe1U4qXVEKdXvaadMfuqrn1YyzjmxjzkzF09OhAy9YJ6ACQWsmj
9t2qNhGN9uIjy2KLeQ4n7GBmd0ic4Ue9NvVRb90LmeT5WFm+a2pP0kaO1UkbZ+Zbzbsav6p9/MCc
FvtQAyMup4Knyoz26QfTzzNq1ZtBqkxo1u/gmr81DdW52vsZULIxrE6lNQXoc2+WMG9E9N7ygiEV
Bo7dGCqPNLYbiSgIM/SJ2ijs5AF7+UNhgRBQCxBgIvc5IliNKH7biGOaTbfRfk1Q5WpsGJsmw/3p
nMx2Og1jzbAG6LJZSu81+k+3VfO7rhUPzsyc2TKS926q740ufzHt5RSlFhlQ4RvRzC9jm+1DhRFs
2T6hPfRRpwVaVdzBJ+F5EkZeIQQRUuVbm2My0bhIpPDKgpu9IJXxKL9p2UnUP1hToelOTmld3iOq
Bwqai6NVOsGUd7FnCyCCCnMkK7bPEda7Gg2QS+69KTkXJuHYsuyrWvMv2uVmseZkh3EfIaDhsbjb
dMkVSCLSPvCIhl834UeeFt8La8FPeyepyTWBGjovlIapJ5Sdod56NKFSEyzLG9FQNuLMSFkMt0P+
MMy0trL6UZXqLuXYRiQAFLvZOk625ZFKGJrVvUqZFDTSErSifDLCR1xkup7dNwpgi37a9mqylQjU
iOJbLAkirUivUhPfGdWL1hmXbqDrLeygLp+X9iUs+r0OsGWxwk2VGzu9Sn0q6vM8EKOQ6+9xI25R
iKxRzq4zMkfMDPxLtdlsatZ+8A73UvreDsohrIadUaWeJZObM3N1Kow2B3tbq+qZ1Yq42JPC6jN6
N9QPrqDj0rQBicVvqcpy916J+D7VuyIMaxIUxi8e4ndyOj4UA1M+O9oKrBjypO2t4hVxMqEQpnHU
CXG0q+6kjc4BSeZT3BubliCxyTq3pG7aaR80yj02uhclsQJ9hIhxhimNNapyR2veOvN06qP02JjP
CEoPssgCLcXtS4KCVWhbNe78thXvTpYRlVCEd3M2PljrzRfZzqMy7Or+Xq9/AOHcaEnQ0NUXRhJM
HWHaJfMDe282dWDL7UkriRavnHNpOpOb7kBKAOYkEiaO6DBIrSiRtGY0wlp+NaTmFU7hblbDJ6uA
v1NVJynNGSbgeEQVfJTMu0HUvA3qtnTEXh2FPy7bIm/8uRhIxGtJaX6fdePWdm27EawcqTmeQ6yQ
qOdeCID7BG9Esk48+ktBysyA+74+G3js+ZrFtmsr6oVqp4tDlAb6sJbShOSoMN2ZLjP11J0nDG83
0GBehvSY0VZceE2MJdNUsmBSvs32vJ3MZSMci7Clbc3l28DdsNLhWZWF4FQIv6IQ46S8hF5Xpkcn
SUk5TCy3EuGxKorvlazJHOggm23aO/hWh4bEdjMaHxiAjpsMBa2PZSj20ipzYC6TNWLL1TvYweaE
u7U6Nx0hMa0lH5FNXTVpOdWzoB0apeQ4SwOp6yF3K8rSaKvHRI1is8SScjId9l7YYpIjMou7tXJy
S0Xh4rB2OS91K9NaiaXqW1osD52RffTlcGmzLDrWEaSkrivknZEqw6mrVIz8s55fdJ4890beqrdx
1pSLKr+GiW+0YbZBxbkZ4ROI+CkSZrypAC1x7dbK1o6toHXOoxN/ZNSAblrlC6MePEyi3bGCgQvO
NCqZyycpJ/aV1jlL8+5YbKWUuUxSpPtuwn5kCUYTYNqNjRqORyeTnR3aU6R9denXAjLUyJAsJwo8
RDFtxttMhkWe2NDkh6dSJ785aqynJq5p4vhmpVaKBqHuT3lxi3OiKtU4pAkxFPDp+XQY1PI746nP
pdceqdOPRTLWcJ7SnV3IV11q6cAU+bUyq/CjalhsRQiku5i7YzoUAyl6AHwFCJKSmt+L+kowHmMJ
0xXcIGPfvDQ9bZqcN5M7KiYolOSFkWO3l7RE7G1lOkOLZo76Os78KaxVTbLNc9hZOSDNIpG+y6nq
56QgxdKydYp6hNSpzcEMB8FViFEqqpnCg2bTXPvnYXmVe+1Lmmsgngr4hC5JIQATae2aU0OC0aSf
2Pme0ix8hFz/no7hnVNFl6FwXgm+/xgd9YYgK9D07ns07Wv1XpQjw5d1+cdD6XGs9WKbyLK00YyB
lLNIsl21lOPtWKLEiSozP9GgKYAvetr8adQ4vrMH9LMYqEcm6UPWXpphqbd6a9RBuL5jGYpaT3Wy
MMAz3Z87RFb+NHfPRa1rG5gReCiSSKPjtsQpjlIw9Dy/WatWr0a45sDr9fADFrQV2AT2ks3bmMib
YCynTtwdrC76XpgYUpx0OZmsnhAOxXRBSj7s0dekJwzg6SU3Z3kb6wSw2g3xRnILu2xmGCx6wojy
hqWzwrtsW1RLC9sK055YCejtdjSLbYYThdbxtZre6lg/CaOSvNwJb5o1kswm5APlBelpnf2IDP/a
Zs1+4hjR5HHXtJ1bTl3jkoJ+Eek3dKuYyKE6+KoxX+yxfkC0kbqjxKCa/Po7luAwS6v8UU6Lwwyz
zY4geAxYXYJKKx7qKTotRUIAkNRlUPab6mAavX3EaIJ0qsN5cKnsdjp39pTd7GY9PeuU1WvSOXpQ
KnNxl+MWSB3tUMnGnS1mez9G1SueBRFoANTlRLpfbM15cuBLg9p1QArxTEM/JGj//An8N6PyLt+i
82m3+GtJFYNCPLTS1/+EWKsp0qBNiAasB2noYPMi1reljuGu1O9riTmeYLMyVfNZbQiTa3NiJ9Xv
PYWmjpVdjX9VGP5LfPJvMBP/Wbt1KX/CRvs/2p+yj+L7H0UoP7/u95ZLkQ28fTQ2KnJBBYX87y0X
EIo1E33Vf+CF5CO/iVCUvxGuThYp+lfbhIGGcuXvLRdSJJveCWM4ik7d+isiFEtdpd1/brmQNSGE
xTcro5LR/0GDkg1jL6kG6yv2P/skPtWNdhHViiEGfBapWVCEFI+a+dSH9qHSsgNCuTNxIpmeHhXC
YNg1ym9WhfJPImkHptkPsWjBnIuTTgHI4x/vW6AgsOvUdylUZk+PSwEASC+9ZOg+hlj1asLSUkKx
UOadCoMlosCiqur1B22aqu6SBwf/eLptqs2ou3MVhLZvIvA8OITztVvDhiR0u3Y0cJbFTBDk1mki
d3Fb636O+034YeeBZBh70guCOXHd1mLW6mcFKzHuEl/Wma7fnBSIKbKy+zA5xihHS88IN8R32Knl
1ls1JW03gJWfPWQPySbZZNdQfNVPmnxPzQSPnhw+GYCzASD1lAVZYLxIIYoxN3+nCqoeGIuSq/co
rdxFj4i3Nv4RKffFA7vTxzq7lNKzmtJt2QvoGw/ct0YEpYsN7ww3R0b9tiReK01btgxrweZG+bLZ
Z9MJo9TO7O9KaRsR0gXDZsQmj1e/patRtiSNER5DJEn/On9K79L7/Cn//LP888/rj9FH9/XLj9GH
+tl9qZ+//Y+ssg9jS8L05/ClfxpoFzg+Af6b82Vog3AOnG2dnlR0HLrDGomBudYTVnnIVp4QI9NA
Hh2eZ29U6Iu1AQagvmYfOrF6lIrpI06de4KI0o716dZVvHIfLQQ2bEaxhcI/hlfyxBQjGKMNiCez
vDZoBZcrRyykSv4uS9nyIylreXm1QfJrRPbirkJSwg+FEUSSD7vnbfJsnvYNmWpg23EleevP6QP0
jYb8B9d5J9bu6jY+f87+KHWfJZ/1voU6nVSfqn2lh4HU7WsyxiYP3q454aTZzDe+zohpK+PLboNk
BBz643yLvoUUVe0tR0RRHCZ1R9qItql2Uc86qOVJl90L6VO019w8qfusD8SWl5fkVE73kwaJ/3Az
5SCRXrlUhV5veEh77Gk3KoE9qwDAhp8wSWIjsGnm60pz2KfpBqFzrB8b2lVtIvqGsLStTLiAtakl
v+ALZlCBq7M+T5HsSTwBAY1sjfCshefqxIR6CtgidCf77t1A2UIihh55DtJUAIW+KLm/ASU+ttIN
z52Xs9ftmg1RJJgQx6/oMb6cN8HGzg72V1Bjk2Yc8nGWiJJzqVUdr9ARugaopFBrDoRbX2Q/wjiw
wBQ/sbHKHqXrEPn8jersG8InLmFCT7EqgdRTCvEmfrEjMFIzzKXT6OkIo1jitFru4Xzaquzi9TUY
RM3ZwqD4+bn3IOlugYYSHTMEbUr8jcE62/JDQ6/fAebDR5ieHGqQkIE0n5vT+dVN/kCfECNReKYV
qO/z+iu1dVfMXp5NvoXm4X4BbBxVJFsw9bQ5YK70IUkr74rvMZVy5KFOhioZMxfvHI86mF/b36+I
q/jU+I5CON2z5oXmJ0Pmek/D2YusH84ovWBwzQzI7ftZO+aOb2UAasRjpLzotsFXui3kIC2eC/l5
DQ8fjhQyH2pCLQ/+3JI8dTmM2VFbFR2235sjIZV9dpPnxwQcQBUM4tSfrZeR81Bxy7v8jk0P/82r
nmT9P8W1P7fnn3+b3/vlIzLHK+v4wsXeJzwGwb/8Z8AW+lGe48lrxz0H43JcXmZ2oMJNJ9ld1rwJ
ljSufav1C2WhMn/jstfI7phY6EF9ay/GjIRZRQDsC30T99xTNQZGpGiUUm4mo1OiTZTuLcg1QuwF
wEKdz8Iq9oAKXQJ3MA7QA86HkD13tW+Mp9wPR3/E9DxbLOp6Vnmh+Yo+so2R5FT3vKuF4q37yHXd
x5qi+Ia3gn95w3IQ7C79JMEIJFWUaC3IBHXhD7xmo0mAbMHc3yIaklXmh3lKvvWI+9PW09mjlBdT
PJc8HkNmisUOArZFjFwULJeKEROWqcWb1Nei0TfdgnRikLxwmvzY5t6ReZCoAHZT9daxcM8R8Uv1
R6M4fnEwuGnj7kU3Jr/SkUyQx6FajAHLMMjG6ksYmVclHLE6UQzkwqAa2aTqU6ik33iwvyWZ7rD6
mKBDQrw38Hj28i3vQCJDgpNZGC3LnVxqG1sMnsAybOMM6HVl3xamL2XVcV3tGrO90QiVJDXQH8ev
UZzslvHluIVMk7qxHAWJc5O0PvdxkZOGJTgo5vguJj7El5DATPiMvcaRdFdpWdI713x6UOhTUNn6
qar7clFvqD4KV4Wu4I7DEpCYCwH5nbbxkibKiSXa1cqmZ2Tt38FpnIR+jQpkv+iC/1KV+t/OSIY2
eE0a+GdF6GNffPtp364laPvHGhR2+K+v/aUQNQySGdnv0FMov7GGfnWWGX/DMakTkmiroIDA2f9e
iIJ5UVeLFIggwr8tZQXo/lqIrh8ilMNyNIPPEL/lX+Lcr36ZP5ShqOxNA3coNkcVpqym/IMDUVHz
xamNnoBQKJJpjwYKFuproqXf8j5i5lkqU5DV/xdtv/IfLUOoPwmoBytDcY5GnM/qDyYwfiM2WbvD
lqnQ63XYAKhgyViZ4/ww6PFlblZqpaltkzy7CSOyGHLwgE+b6CkpCDtyZO55uQBN/dev1f833vR/
0yv6n7ZV/+tb/9O5b/8k6//1auZ1v1/NMlAtmDErWuSPmyyuc4AgeCjBRxuqozpY7X7zSRp/AyKk
gYXBvEi/pXI9/HY18yH+GhzasPi4b/4iOnW18/35crZgszoUaSyx+Me4o/54YUls9xk2RIjYsblp
M+c8zDu0NtpCGaEqjGaT1B+N6MFhtS0t5rgbZIo9zWDUiiolMBZl3k3C3BdrfkxrgHT41xX2y4rU
Ug38sdrqzWN+j/FxbWn/awPJv9/7D/79s7/53z+t29MfTfHTf/CU/Kd/5e/tPfMWmaAEWbVxlGic
1b+293hMWJuuxyrPYVNeG//f2nvtbzpWXcR0vIrwEOvv1yHLVkvHkYobAEwl563+V9p7Ds4/X4j/
2Xvxxwux6XqtQcxIimMeGm5jGDvBNoYwz2rZxV2su/E4RNvSIMY+k+4SfcAkRuKzoEAwdDYhGhpB
8rO2qByxAKSuRR4nLNlLWrfZu21PoTdIa0zrbIZoQYS6HSbzRWsY9MZZUjJbYytoN7N+lRki+km8
fGWGeNMlgB0z2oqTlEFAKKbZw+V+j6oI3WQahXd9N7M/Gkp9jw0M4Xq32vrGYjM6Dvl1jUOcIVj0
pr5v4Du60aSgwQCcuJ3HVWFhKcjf8TeUk+WjSju3ua0HzsBKNomqmx7TBho26pElbh5LnVTTJr4U
uXkvR9bgGnLjabgIPP7wpWTUBzvmuXPiO4axZIfJ5yhWt43BojZP255lrs3k0Fij/pKKKC4VmWdj
OVtd7lUfy86ZMeOXHCZsQQUTRXbPp7xfTvMis3/Wa/qMAVjZKMs/2ij7aEPzIqKpZQTCopeIpBS2
d2OwSxpJtm/tPfPY3oeOLk5FRcGoDHQTLTmXFXKZEDx6GmaEErPZUMWyBe4x/SB18gvAGpZbQzCe
SEl9V9gwpMJDnv4BD34fpoi21A2E8KQmfFCjCB1D61rE2Vc/N4ubVBiKzCIvXdVqqqtJyJnoM5qF
JEHEqqEgJvxbdO1eneXZzRpJvxQNDfwgs8rWeQvh++hrRse0K1vFehiVb1YxJ+hv25jAV1JOMRaW
rl0QNmh0zUCCRuj25Dq8xPHylEewYGLBuwwzxwfSUd6wspSnrhnH22LgwRikUTosRfvWtpGzzSuu
OCv7HAqtDrocsnqkhj7UJetgGyRaNmzajq0ynyx2qFtpmJ7YFDL4Tztb99SKQYOK9IyBbKVmO8fK
r2nSQrDHwYmNI5HRdzdfRR8HbLqIkOu2tcMX2MJZ6ovIH6qYGB5iAxjUNPM7A2todIDzJdNrGQt3
hbJt2DkOeXWsBeGf8ttAC+Ikk280uS+FYtVlE59I4HpicHM4t8nOtiTayhEghlUMEAfOZXWKZyYr
dA29qHFe46ZCzMauJClXUAAqRCnhy1ZD4NywbZ7+Pz451mr8s0RKFgvgq79X5xuIB3/6hV/wbv0f
9s6suW0k2/NfpWPeUYF9eZiHS5AARWq1NtsvCFmysO87Pv38INvVJM0SW9UxE/dOdHRHRXXTdBKJ
zJMnz/kv4037vRo/fa/bpPkFG5n/5L/64T++v/0td2Px/X//r+e8zZr5b/Oxe9vNgy2Sur8O/y7c
l6fkQI9h/sqP8C6QNBOeyRqw6tIUBD/+5BDOH+kAYiic4pMzk8BBs/wK8PofEvoN2LBjHLWvjqjw
EeRWXSRjxtpOQprl17Nf/8gg3nXP4Vt7EV6D0M1xQf32h4kO0O39VMObfFDeRf4q4eZ3Np0Vd+kn
6TPZrDXbAiyKpb56iTfpBrbOubRGkjd3ezdeG1trO37XzrsXKBXX9WV2R/v+KnmJXqQlt+e7KVgZ
z/0DWtjlU70S7exstMuVtZbt4sxfqytrO511LwEtYhx6bH+TLMubcgMy8Vp9Ddf5BWS5JytYtsma
0Cw/VHfNeb0RnHplXTVLispLdL/P4gf5BjTdyrsBoOiAxrDlVXI9rsob8Ko5mr536SqkA21j1H6V
3/T3eNXwCfjyc9OlY//QnJWfhCvlWd6oduD0bnOuu/Gl5pSut2zW8QrAjYOl3Gt0nW/4lZfK1lh7
D+kngeLfs/kqQDqA8cPFGLj8gp4JVQnA7hSUN+xEBNKqK8uh8XyPe165Kazrb+1FuIEJvfEvg+tx
g+XDA1N4zjO8Euwd7wx14Q3X7pW2za6AoiwKJ7n17uSz3OUH2rV9l9rGKl3BJdoo5xQ3bdwlLs07
PLQdwBY2lYNF6vbf4WhW7Sr4jO3xBhUWh6byGkTQTUVdV9h6X401mPNbePPDTQBFU1t4TkgD3kbR
aoZxi+ywdRtcQN7yvyXSVgFmsNXOWlu3gfFviVfFcD72NjWVL83tCPRahXK+0D5P5+k6vCE2ueCN
orNyrS1BhPJczQKO/gaM+ZnhpOvc9bfyJrurvwqX6YV5zQiPlgPmhBLfGUeAybTHbujqS+OTAmBm
Eb34li08xtvuqnfN15HG/KJ7tD75i+FR2Ta31ZWJpGPgTuCbxbXFD9UWwlq8DB0ML5aF29qS0z5h
TrxpMntp6at0K10Jt6xPkMIBLuXp2nCkRX7B95ehDdzW0beUnkTH4I24wOe/IGCwKG+66xAZK6QA
Lpm0FAblcqBCu0CdGoyT55CVCBBQKLKfd04P/nSRftOWwxJJOaA9tn9xndoL1c4/RQ7lecdYJy9O
gzj1Qn/AzcOPLihJmZuvOfn9wlx5Npq6K3kl2B1Gn275Nb2YtpnTwHJZUAeB7Mt+YxmJ9nA2INAp
Xek0n+PsPLYHrKJaR9I/t0DarOZVkI3FaL0m3lbDQVrjlFgPykWzuH6uHZBvwyrZqgvDXiDN0oi2
ct/djLdUyeDezojYLf+fFiOgS2Pdrp/bZbAY7nEQkGwgKKuJ3o9s66zF5Dwtl1lHQQwpVG1RU+e1
Nglia+NafB7U2g5Zu9g5uyD0x6dyMz1mkGGtjb8ql5IdRRvvOb9rrwfK5tlKR8dg2JRnGQ7ET8kG
7+S78jUErj0zsy4hv6zoxmyyc9VtHEX8rt3jIkp9+Kq9LZYQHSQAxVfdBcIA8QJLggfVkezQTpY6
wBnCEW1WJwOGAQMsgaMRqnSvaUYjxhCc+YndNzww5tN3KlzCzlXuqg1beKHfQ4SWZkedm65bGg1l
aJAelBAv8mv1hYNTXw1OXdvyBvNlmvZGcpE8hbfCme5asgPiqnSHV2FJtlquHpEytPABXsQ3wopN
fRbg91PDAXhifsXPNYVt9VFfgstOvxfVI54t6jJ2C1xwoT1Na1UHSo7x/Sr71gvQq9e07pOQ3HYL
ha2mdYG0w6r/BMN1SblND7aKtLYmRBgWrIiG6YP0IT2OqWbH+VeSdIl2BJAY79kLAS85yi2qrmlw
PUiIOm7kVfyg82e+qFsDItB9mZ6lj+0jWhtgbRbmupgZV4veFS8qU7e/GroLKad+iANH1x+a2AEw
VPuLfN0HC66jYriqkyWMjelzay21yc11Oz4brSfmerwFGW2u+1sAUg+sKVIce7hsPsFLQfYeUYtq
09zEy1vjDFxwi5WxncNU7F+wYfOtG19Y9o/1o3gj0ud3cDVrBQf4B7VCe63gHXwvXJuf6vWLBUmU
evoyWdTFhaA+GRewN2hzlVdtnC9qB9bfheR/QvkMHJ49IADy1WjvUeBHjcVwZWyfc6qzw3Nkjy4e
wekCe7kl4Oll+KlfwRKhRm9coG3CQr7j7/mc2MFNQHEIxgObQ1oKcDcRlruQrQv9GxXNRbiMVh2E
zeCMuAHH3c64BYXhAlF3vVtJ5QoQItw786JP1SXxDTE9A4+Nh4Se1RcLFyPEONOL8LOYfZbov3yV
INvNbirn9avS4O1dPGvVvXUFoaPdpNa5KrrLctUu2FTtEsep+2616p/TeqWTt7ITF0O5UB/96aW7
kJCyLwp56RMoV8VFZ9oEd5tlPxgEVoyd/ZvWaSJ5gXU8SPpQvObEQnLzuTYXk5mRYKqOHqePArJ1
F+jsx7deZAv4fXQrsud+EW3as35Z2OU385N5STswXDYXZQwrfiF/4x/NRbIZz70rzU6X5Teq8WcM
xUstbH2VnNOSgh8vrIszndNF/Rqctd8KIHPb9pty3a/VraZSL14M+iK+xlSPtPhzr11La66oS9nh
WTFWlhwDKhrSpupCXFfxwgtYaGCCgzVrtaAo3sJ4X2smyDO3LOhxb0DYt/m60R572fZf2jOvWg6T
bdAyS2kxQINycsPdBBsWGau5u6DyTle6XYfLJ3MdUNfOHd10en3jNddivsGOHY7AC/dGUf0buh53
ecp/DyXHdxPt/0nurVhuvJePb7iPfh938/e3L/zMxuU/0OsA9Cci2iFTIRH/xK8L+FVqlPXwPlLA
qiPu8Wcyrlp/yJTCKba8FfYo4v5Z9eMjSZ8h51S9f1ZvPpCMy/vFFqAY6PXPNXeVn0Dt+FCsL/La
OBwrlc6SyA9cTEJey4tEwNF5VHsIi5imxV/yKW/XsqlOFlIRktksSgljSLHvh5c67ssvoNZwZEZL
4c7rW2io8I/1zx4ifA+Y01cgHK20+tKXAv4dhvf8Ntcf6pH8f1p3nmu9f30N3Dxl/7h4Gr/v3RyB
5fx5DzT+QByYcjLOTNT6kI375z0Qg0MqdWg3wI2gNoJZ159Lz5BYXxQGZycHVPjeqoM/C84GFjUy
fJsZ3cOK/MCyM9hAO8VmjQqjouosPOrdUIgUcS5G73QxQtUv6hL/kmUKNZJCQz76EPwl1al1I14H
iWeYC78L825VCVV7WfqwDbfiJC4B//kRir6CEIZYhGP2QLZQAnEkRe7ReBXUoPJA1VjhYzcr0dt5
aPRfE4TGuFY1HgrKQySGHCWSiARKhBYwGBjYDXPxZq6fFAqYhnB4lba49Y2DhIqYAtHbamsjdCmD
6yVy1UX2FE0NkhwUyVrgtCh2Gujm2nFYi/e9qvmp24VWuu0FcaqoNmEuUU8lnEQhi3tllVJr3PS6
Fj3LCLyamg75H6Uyf4Mu29DZo160Dzr1/hSTp7KkktQPDj0oKXGHQL2FKuOJNvrh7Z2vo/dVYR/4
NRmjlPxLz/FQDQTpSaZPS4O35bAay1p+Goqo+ZqZXbHOexXtmSZN1//Zhz+q85L67j48D78/B813
PEe+h/t7cf7ej1MAq1HiKwUPhG1RRAUf96vkbv1BPxLUnKrKhOK5tP7nTlRx5UYhGKu9WRKWF875
8HMn8pFIsYZqDE7fOjbIH0LUzYSsnd2Iur7Olp+BdASJH+4Xe7uxBfekoxCHcAF412Wrj/UWfZ6r
PI5iENQNwB8tUS6h6LSLBiHolTKAj1KyMV6KYqvfGUiwkd2q7cWU16obTx2iR/435Fc/myl+PrIG
0iDVtStLJ9+PvQJB8Pi8m4KFEMbVY6wDu6oSUz6L52I6NemRu3sV9auCfhW1mtDjPu6n+WugJcVS
zbt6OaSJZ4f0rACS51m4iGXjDAk2Lpp0bReZb2bYvyFOwuLnQtmlNWXQ4FoQgFCYIpeZGKWchaJE
oYv0E7ZTUha4MCaNT2pJQ/fjO+NfSIj+tUPsf5DpPY2k984vnCY5v6owy3dTp7cv/dg0EiQ+NGLp
cCrsC06LP2GofMKuQFmWOiVJlWKxoH+WMVXlD7TOkL8zZUWG57cDQ+UjE9sOemysmhky8KE+1ZsP
706/lB9KMww9TezaaJli+7t/hDWRlsk6wZ7DBkB0pg+hi5PpANmmNpf5WFuuHCiIGUTdldBprlSG
Z2rUFFwRY+S7uCdm/S0OtnRvhqA8rxC5VmaKqYJ+EgiVOlkF4PqXVYeykj53nBIV6gW2Y5gnxpFJ
6u99T2TQpahXIbOjS8ViEI1XlJug9lrp2rSyR8Nnv3QDNVW9lW47XVwLSLWDuZbRreIEMLX6Cy5K
Z1n5FSGCfiE1ekpRwrtLO/nqP5vgXynlk+G/twkenprwmY1g01rY2wbz1/7cBqAFuCVgxaUiYKzv
bQMMXwAMIObNRmAF/toFgLHfFJQBXHOP2HXiUueP2AT8eVTAlTkr/EAip85wk71dQJ4o021QuJRg
qGHw43YTuaZA0eKNuGiJ6N20N6F64zVPMxHOaJZ1toZaYQy3aJRE1vrKSXGHD69kBYBzIOMDHc9y
Eo7iIxxqYZ9X3WXlg1I8aON90N+L02VQXiNSsYzcWUMtGuByokp7o+fPpnGJ+6bhfdKk2/+3C/W/
YTtJniXs//oicZfH3yF87S2/+Rs/L7Akmn/MYVgBscJK23GzFEhJ8DwH1IJA9C9wys8VKJh/IDMM
bkVHAJ5b5tsV42f2Ilh/KKhXz9ePWV8aaemPLEHgBbtLEMjB7BwgQlhQkBKH0jx/vnOXwM3HGie9
EG9l6UYprzD59pwIiq28zeUtElCK+Knwz0cUWDAST/XLIl3VFMM3gBCrRyu2pwAPcxx33bzY+Hq9
8oaF/5ov09rW7iqnz5elhPrftTFc+kjFJhBerpAyHqRto1937YXVuz5AYOW8pCgmq2f6RDM3suNx
gSRa5KEJ/IXqfEq5yc0HcLdQgfRi2UCHkqKNBiUtRAf5i55dDeKFNa3r8iqRrzIAs2JMMqSjhfYw
c2Nyi/uIuqaLnvi33bAI+E95VZcbmL+Lndd//WP37hpKvcmV/3NT/5xRmbjBeTkjUrgd7s5oL8pN
bgapeFuH2mesc8Ll4KvGVpmMr8bQLuLGgo0sOP2jMDTahaHgvRuhknzqZ/z+YsGVcMLScYT9TpTZ
/xkZB2mh1Op0Gwfyg9RK5ifNF8Ntrmy1MPrcm/kT0n/3qTiALDYrVxYL2daUZLzNIwHdKun+/WnZ
x/sxK4pENs6EgNDh96gHoQ5vNtkfFbO/reRKdNoitLjVqZ8bZXTTSN8AdBHOZiuN1ccD0r+WG/6P
A9Zpkswk/nVkAiL6/R/5K2ni/sXqx/d+xicV8du5jAV2zgAJR6r4624lIBCBWS7wUWpXc99aZLSf
8UnDZICyF14zXLlMbme87Z/hiY/ehByQ4EWJFxrUh9rd817Z2UuqQWiydCIkAQ8x+bn8t7uXqrzP
5anx8bM3Im/deE8DCm8AxEVz0SAtcmNgwoHQQLDKi+LURtb2T2fyUlr2gMrITjXqLUTq/cFFWcD4
uVc8KDoVDYS+kuozYcBEt6gL76wuRTD+VY9iQxr43Y3QqjGl51CCUNvXm9pU4sDGa4fyhKa2lg1Z
Mtmi3RvYoiZ+7iBMIT0ZlCKIflNeFpRi4JzE3nUopcNzD5hwWHpiri7SWvRWfqU1j5UoU7Uxo7RZ
p2Mov4RSR388rxVYjGHXoZkkhHK+MpOR8j+K/+eeF1g36ZiGX5tJDeh9C3FBN52U44EiqaMLifYE
JoaCDrgWMPWJkuIVixnIZFcorr1SrtQuTK0nNP9nV/4od1Bl+Osd+V/kvH779A+Q24i2VN/alz3I
K9/9uSt16Q9gHgBXyU9l4CZzXfIHyFDgI0DGQLDhEcIYJan9c1dKxh8GGw6syY+UYYau/NyVWHS+
FcqByf6iHn4gbz3gEFI70XVAjPwDfXTCwGwTurstW7nIzGKW+Em61LgNh7beNLD/c9ugDvhNKSwZ
PVP8mZxehJacTWaK+SQkbcwuu8A4kwervNGGCqt31C8fTVOpLaR0hyZbhI04fYtlL3G9SWihhAxI
qu7M+ZED+q0qvxNUMOSgWj/bL3ILpqkgzVX9nZSHsiIOGbkGJa3Vxifyb/k21rVRXAzYxi0Cy6oe
JGwPkL3y4DuPqbzUw9YZxV6OFrOu91k1pHCHBJK93O7BmuP1LcTKvR9IK2S4jUsqwJDG8Af4jFcn
in3lpAjXHaQJB6vNaYU/HrWgKBWyzxN6xeKVn8zS/GJmjjd6FAXnngyXH3WUBNm/FCUB+vHxXMkU
kRt8fy7mEHY4FVSvJJm3CA768FSWWrWDgkGoUSWIPHi3A90bRMG2CvGUSdN8oz8cSmbdUq0jHQGw
vT/rYZ6qUpPGw1I30PVKkLvb1IJH8mF15sKoPQPSXXbzfy3OdN+BxlbfOS2L+h9Om71wt8yzwybc
f8P7icQu/+uQM4eZp5e83r2fzN/4GWiw/gWYTBlUhg8x307YyT8DDR/BECZfUyQKSW+841/Hv6QA
kgPjbBnwlWfMPUnDr0CjUFuVuOtgnsA1hXP7I7cTeQ4ku4uGH0V4mR2vUfRn6Rzk0lmE3LZcqCja
aKiRWxqQ+dk3czXFmteudCsFZip4MlbuFqEEafZakAUawxp4o1SXq03QjPWrNnUtULM46b93AvXV
qcpVfxVoRkn7Q5H6F8kzwUrXhX6fa1l0UekJcqj/WYqHyMuZ0P7XS9Fuv+0dd/Of/rkMDRVCEpj5
H/dZumb/XIam+gdtXFmGUU995I2n8WsZygolfn2+YRG/JGhOhJxfyxBLay62rEx0xXTuHR9ZhQc3
Kbj9OgRMBUMllvvsLbEfufKyaeK6aTq3rs3RqRS8MMNAnpY7k3HkWDoMxfMoyGxCTIJVwIY7iI+F
kBtFr6PoKRQdfkBlHtsoeEbLUFCs1b831Lzrdg5AVCN7NluKeKhqPWuNhOeyiaiLX8XiCYumg/x9
nro5DMzFZmw06Ljvj2SafaImsty6eQ6VWcpngeSur0tuwUGBfZ5VuOS3tUMQqr/0VqWwgv5cYUcm
9cir08DqzrNK54ggsj++JFeelQh96+qtrC9EwUIex1Pyj786Gk0sYG65Gmv4IErVRVBLXoxRkFQI
AuavZbjxU1lYVM146hQ99kCUDFmHSPRhdTHfWXZendSnpjCJWevO2vUusqEGxUBYnh+eNpDOLEba
1RD0Dt0kMwUlHhqlDVUBz7pK1Ma4lS2kwD8+iqEbMst+bt5ZB4ujNfowTAoVM1mzUbdjPqCzZdXD
iVE43PaOEJYg7wXHRuIDvT5z3nc7M5Y3stnnvdy4voy2eSmpwKNKEWJFkxgbnzuu3RqBtUxD8ZRL
6ZF3ResR0hpVOlzK3oDcOyMj+mJgU9qAZmvH1hZytVj10A8/vJlnKhKhUyHDp5p3sCKMSczDMpVx
fPVIR/OhFM6lIdTRIJ+qH20IkEX+9/zIbvo9REH8JExRR59rhm/Xgp0H8iyS5LoYCrfE7mUzya1x
luZ6dVkaWnb2/to4NhSFByyzuOFoLPb9t4a7a4A6KvZW+PIYy6xGgzdHTs8RJs7394f6/TXRftoZ
imNpd4Eo5TCqTYqaltHUyjpXY207+OmpBzo1ykEk6jp0ZItKyF1audDvoQlcoIsSr99/lqPThvwM
9T74rdR19p8lTKMxLX2fZ5n8ca0FMkr2CLLTv8Xf4f2hjj7QP4c6jESdByCk9nkgbzTMM8MHFqqH
8vf3BznxPIeHot4qZZFPVu4WUWq6gdcai6AXpGVdAzp5f6j5Ne+mmrjJQy5FFw5OMqCBt47lzuKm
FuSNnmjmLlZ1les3CCKGYoMjmZk+Ew2TE2/q6PTNDdW5BwoijRR6d9UFvjBF8I9zJHRREhUaRNBi
wYg//JLQeJ11VUmgAEnoB0lF2QlGlqZG5sZB89AOXbwqLLV33p+5317SfEPgvECeiGXLUb3/KOjk
owmHuIPbmKh961LQvCCWikRZUenpibf027S9jQXqDqtj7u9v0Kidt8Rp5eVkiolbdPrw5PkIpNPg
DvMTw0jzdtxbDYwDDZ4ejQaHHovVg2fiSpQGWZO4ohkHl4JuheeItCNBEWvp+QTH8ApW5XAhoMx2
XiaxfBVzj3ls2wzhHknAgLhWgunCaAXcHbwh2nIC1LeZMhbb9+f+t1U7/04mnYMGYAxgsP3f6aEA
q0HrTNzWb62vVeNpl/jvlK5Ay2EpRt2H84+Z/0TViUnhnqcdBhhVRvm69o3ElSXhgZKIskSDbvjo
qmUQ/Nio/ILswSbtIDGIp1leTiwTF3Ijuqtp2a08rWtPTN1vVSwytvnIRAVBQuqYBGZ/7pKyVUCR
o0xR85qe8LpXxqUuKBkSo6pZUOWNis4u+gr2wZQOnxUFsmGJx+wdkVxGKqsubrEJks8pbBn4fjAR
gAM65BrTDtUbKnG50xe5hC/Q0BU377/33/eBPIuLQRhGTgzW2bwnd/aBrIxTziESu3EyYm3WNvm6
EkbzxM7+LXdSZIAgvAVwIkCcDg98wbfE1izbGE37wvsyFvBZ8370HSTfw23VVdW514/fjSlobt9/
vLfcaH//MbJGKs27gb5/mBsqBRKopt5ErhEECKYOQ6TcatOoPeVFha5o3xoGYCT0+W/GCNn9ZVmM
YNALWK7TeWFabDtsg6yv8WCWX/1AHwc71moRQ4D3f+fv24+7BfmdajFLFF/nCdx5Da2WSrjHYXcz
6QlqtUn0VQtolWZNOtrjpLQnhjv2PiiqzFBjYGc0WPaHSyw/typxity4xSUmzbQGTVGuHrbehJ6r
x4X6tY1j3S1GPbt//0mPLTgWAqkYuTpdxYNAE8hVNNZBG7mDp+erJmh0G0+V2H1/lLetffDeuXYA
6pu97LlyH8TdLMz1PqySyMXqCUWgRJSQ+erS4RPWpyo2IpWyGUcpwGYPRa588tWzvkQ3fNllzXAG
6sj66DFNGx7bRkpLc6yAELo/44jeS1JeoJJaI+nD4hd6JG/hor//2EcmV4E3SoOLkhtg8oOAV03j
MLWJFrptIAwrX06LlRS10b85ysErlEJvpO/KKP1opKuY83xBoVk4ETOObV12LmgHemegyWYc5+6e
8HK1NNtRDdyxS6+QgVVug9CvYFQEGvzEwChbeIvlqAKYFHDhTnKxtdVczgPHjHTxLLT0HPxhZMkv
MpvqtRgQ5l5+fL5BBVFXIoDSwTyYb1qHguR7aEtHbT+u08mcrtVEiVbvjzI/6OFa1sHQcVvirs50
7E9EXE6SjwBC6GKY0G80qwTCbLXBisy9O/Fqf09X5gIu7XHapXNwOBgq6JNaxqstQCWvfx0i46oO
EWlIGuO+KMBzmPK39x/trUey/2wK2HhJo1gFQsU81DsJUGKeqgHcp4D5j5u2IcrZoUd5tuQKfyVJ
U+8Kld5swYsj1af5uADmSnDNq9Qe3/8pv88yO4eNA5QXdSLdPDjFJSR0R5wMAzLCZLrTzUhaBiZ8
RvyNfqK0//L++3u03x/qIDjlk9IEUcdQMmm1Y1hpvNakFtHr0PLP9bZUTwSfU+MdnC6SWndi6TEe
1iGxo+eF8hLGKHfSYAGUaMnKia37W7WOIAQRhYIJ9X5m8yBAROQ6jSXmgasEnrQuYxHkDGY/fmB7
2G9fCIg82L1RZEucxs0vCR6rr++/y2PLiilWZyS1RZPxsLEYKLFQ1hLr2Afwf1P1bf5g0FS1W89T
tj1veVUaaeImoxpvLL/0Vi0mtPGi6D5afmAmFPqrEmBz6lMY/+7FsGDIDctPqsAdeok6HtvObru2
Wvg6HmHvP/Ox9Uv9S9PQD4KtcMgh8rDdlXw8w9yqwgRxGmk5xuNo4oKDyNz7Qx1bT9jeqKRW7BcK
iPtP1eTouLeJ4bulGAQbJRh62BSat0L+CjegAM+u98f7/Vij5MolCvQIoYkTYX+8uKsAJoYKwpdT
kG+zqpNeEYXLTlSlfo99jELOQJUZzDKg5f1RyiEqGsAYvovPUPdYJIK8aH1IgrLRATTjXrYsoNGf
eGtHH40VSnIAUo8q5v6gPrVGUk1k8xNsYG9hePU3gaT0JwLAkXQI7A10H9AvM87mt1a1YA5DIkS4
oSZqehNP8fjsExaweFS8S7kvjU09GsFKpUlGfSzK7C4zhmuAqzBc82w6sX6kOQAcRH14eBQS2J+U
Ug/zz4BGtiJHKVOtWPlVTAb3kAUocKZTXdqo+SufRDNDm1QblfJ7HuGWJuKRsI69KLooZJQelQwD
rhO/6tir0IGGccICiaDeuv8qUlHqhVAofbcqLOW7KGY44ukdiv7vL+Y3RbrfHh4wBn41c0dyhkPt
5jVjr4y13gQ+JhuG/i2XC2uVVFWxtdJJ2xatnsOIroIzy6+FVZEWxc00jOgS/51fAXYB6AcSJLOa
yN6vYC1YrWcIgqNgZPoZ1yfVjnJoug2ujTaeWyYlYAtfkimKLqcQCcY0tPLP7/+IIzNOyQFoKoUR
k/vAwUx0BiGrwILDAewAGd4UtZVpxdWJxT//LQfzTQOP0Apcgoedzdx353vedgG2VoLjT82D0Az1
RRikTlZqA/HLun3/kY4NxvZCiRDXdvDiB/tZCQtlirtGcAbk9/E1tYwV+YR2rSWZuSXqx5/eH+/Y
FBL1AdAYUDEM5eCoDazI1NoEtruvWNOyl+LeFjD8uvgbo9A5BcvGHFIm2J9CSBIkTm0lOJh8JYtC
j8gFkShdvj/KkQCsztp35A0c2TRc90ehyRFMVckoXaVF14jfpyurnve+OEN+87LfVnkdnni0+acf
ro7dQQ/2gZ+MVdvg3edEYNsumqJvtmUzWm5X5+o3Q+m9dW2anesVnuG8/7hHXh3gBplMGxg2coMH
uUGcCdRzQl9wLD/AcKoj6k9dMbnvj3IkLWAxYtrF1PIGlfnzncpCGOsSLq2YXkopPMyhmhAcz+Fz
5Riz2e8PdeSBZoLd3CajZUBs3x+qw9ky6QPkzoOgM+/Nvpy2VdH0J1IqBBV/e2OklRq5+nwX4l/3
hwEVLVZTlViOXik4E+t5kK4kD4GbLBzEZ2AYmTPBLn3RIzNBWBfk9HOutninTGLsGliFLUfO3GuU
twTsOyajkhYFgdCuu6m4CDLNXI5t259SDD0SGEyUSgHHAKwjFzyYHJFLjWd4oJU1DFcu1aSvPXeS
lMqcvQhbaEARNqLIiON99ClMJrjgcDnC51jAplYGpXIdjAaOno0kTiiX8MpR8UIiLcMHz2/96/ff
5JFF80ZCpBpFuZ9exv4Ul7HV6oLUmo7QZRL2vKDUxl5IVkaFTMK/NdRh21HsLV+vmsF0MM4crjgm
UIOTh/6iHCbvxDs48VSHTYyx6z3PyBsT6pZZ32VxJa4NeifnZdD2f+epYMtBiACvIL4lQDu7rs1j
P7LoDjutWFXtUimioLVjpbI+eWaqr96fwiP7Du89etI0VDlMD6s+eChp3TBWptNozYS9tYlUeo9+
0d8ZxSALn89sCuv7ayJh+DGqWBNU7ltkrPHzLIIsPRFDjmVHb0aCv4Y5WHo4ECFwmJSmo3Rl+VAO
JW1vT8AxpxBfo8aXnhRPa6kJYE0stjrOrrpexx+PzLPQGt0uAieUr3kv77y93kgkPChrln+VCgtQ
tLinjr124lGPvjaDXIH+AQQy7WBCp8mKpTAuWPloXbr8LyDTWeqv/8ZrIzewwNCb1N8PzjdzjEav
S/Fqo0j+Ggyl70hZ2Z1ogRzdWVy05w4IF7U3ftrOhLUUcbhvstxDiLuXQSAkD71gai749lMlt1ND
HTxPXqVm5ets4jJuEPMiy3YbtZ9sTFTT5ftTd2wocArz4cnVib21vwxkvQtm0I/pILGbr8cmqjfD
mIVLq2+Mv7GF6U6QB8yS2Mph6lPTdKO2yRbOkTAhg0NPnazjFEr3SIIFjxfy9Uw5BM92kCx6sOfj
rIt4TX2nbfBVCzcJaDUkpSSMsWHvbLssKB7fn8Wjg5LhA2sSDcogB5upayUhQyHIcKIOW+u5A7ay
PLXf5k0zXVE2bmg1KOGJUH/stLWAvvOsXOgYd//VFTjfdubIqkcAX79M+15xZFMoVlrSGhcGUt0f
jxgQpOfyPtV91B3nvb6zAbpYmwqxYS83eYU7cDibTed9eSIEH5lK6uCI1IAeBFxwuJdnOcdR7BhF
EuNu1fvYE2fcKRAhx1OkipvyvrTwznr//R2rHdCvofI8w/XRcz9Iy6M8LeA/8wJB9KDyCm+5vpF9
GOWO3mbmlzYhRqq4X137AF+dIpw7ar0uqdss9uUzgbzlxC86si9ntXeNojF9evQX9idbEVt1HGXF
wIrOC5cwtdFPEr3Sgb37d94rNkcqFTwE8Kl47Q+lAtKsYmi8ThFX4U2H8PZC9TvzREp75CSgbkdu
TrsDBu+MP91dPbqAv1tNAHIagzXailGK40QdfPy8wfGCMhMJHSXJwyas30515EWMUhhUfCOjfZqq
7qel11+Wto89ig4tjysNXX06XvuPEhudiEm0ZDhhHU0rZUwwfNTAXb+/Jo+OAth8Rr3Md+iDCTOt
SQ6TpMcjz6oq25Jzc4HDZ3vitRxbZ6BR4BqqBrxv8eBZYBImlR7UmCnWI8p0go9DqRCkN9hgVsv3
H+jYUNwBAQfN3Tu2+P60TX6WKP0YGE5lZPpSx89xJXALQYvslzLYX76hY0OZ4PRF2kM4ZZsHh0Ac
SJ0xDb7hgFjAZhwX+DUmXCk2Kqgxv/9Ux8rwtJFg8NH1BGdzWCiWpAicNTAPR6q0szAWMCPJhRVF
6s+G0CA77Bv3mYXNSZmJxIxa/to35bf3f8PRxwVlwkJRwU8eJv1eH3pxTC+Q6NUi/qjhEZ3Garaq
Sqs/8RLn1PSglDDnQBhavCn+HpJgtMHEnlkccVEvZGHr5xp0PB+fn9yTpAstlLPF0GflqmqC7sYs
a/9vnEGcr7OsxgxjP3TC8K0mFth6eNGgubIw1KyxO2LlieD7+zuFd0Oxej4I0DaGtLG/VHPBysaw
K3VHyOHz9VmI6B9CzcaLIJXyFv8BXNFQI19VOCTft73aOWHW1tdqNMnDid/yWxjgpxA0gcqAXqJ5
N3++c+pOpSQP8dDqTmOK6VbVw2Sjd+Lj+wto5sjtv1aqazIyI/CO53LDYWOwLwZB6cC1O6qe40A0
la2E0GCVAr8Uu3bA81IaXzwlJpsqRUFCOtnog8vRmgqEfJUgQR9TDaVh2fR5OrhdI1qd22l19pr3
Br5v1mBwqlZ4H2/FNkE5El/7uLsdKlm8N2radqtO6uFvZprUISQKSuVEmDvMKmadlrkCyzzOfJvD
NNcfrb4wSwS/DbPML2puC3aWmaHKap3EddGRVoiRLHx/f1oPZ/VtVIpEMAnBu9Cq2393hebHqSxB
hsDiuF5FMTaietNhL1XV9er9oea/andfMhRRaKb9wkKiv3twiMO48DDIqzqwIKnldKocXE8TLmmD
LwvXQaHiluWr5lMzmfEJ2sLh1FIVJWeCDgW6mNhziP6zAiHQ5GzqwAeo4yt12ZdJLIplWvnlOtZN
fz1M9fD0/tMeTuzbmLNSCVRsBjYO9mdgjFkld7xONank5eQP0UIMctMGXjeeiO+HWTYVONTNATUS
XAnwysFQmhkJvpLpiGZzjDqJxKO1+eyK+H84O4/mOpFw73+hSxU5bOEESZZly5btsTeUIzSZJjTw
6d8frruYg84rrmYxs7DLanXT4Qn/AOIRydYq2FnO9ef9+0Ou41HKZ6vaa1t1q1dninoux3FAS7ey
OnQcTKTEk6ydMPTLsTRIkZSihe7eTrzbb2ixp/bOhLcXzt9fgEQQPRl6hJTILjdtG2SFH7tFe577
zstDhwcONdmpFDsX2/N9s4qy00Ag+lg72JvD4Q/wTrl5m3Pgi6SKmsocf07uuFIO0NnCsXiwDiU4
0vNrtw7DUndf2VA821uWjR2bZI+0ZM75WHwrfPQzZNM+LQYu9C8PdGUdKRdBuKJERnVs+yGtxlda
a8z1eSKkvi1btw7nRJtvXh7l+UnwsPgBzrp2w0ldNonLkijdbUZZn6n1qC8Q8FGGML0KAWINb86X
x3o+o5XBTJMVeTl41asW1sVTZOQyiOesOqda2YW21xkhxZhiZ92eHzgwe6hmkXEYVNi3TTu9nnVB
EQF/32TIDoHR2xHNtTPcYZxBNZyIXz8pMh9KceR9xPKb7T5lsskrMr0zim04FBp6ciryaQ8KfGVS
JK4oeyCQuRL0tp/JyLOlTJ36PLj5F7dcsEPO7ZuuR4Qc49BxZwmvfCg+MmRqXLvWCNi6/FC4S3gO
kVl9lpO+PFp9PZ9UoL8WVrsmWKvWAyw/GGPgnC9Hwf3cGY3WqNENLux7VRjTZ6vW253v83yDMwoV
AeQlIIxxB1+OUswV3O7ehmqw6PEJBhRlemO0z1Npda/f36Aogbpx/VKf2oZame60ea7p9Xls4Jzr
4P/o0w/LK0PYddnY3QBYTBJiRBovJ4SOxOgUUwFNQykjMpulh3Cg7TXerm04pJIA2xImr6ogl6ME
U80t0ATVWeWt/086d8ZxmPEGyAOU56XXxjsB1rUt95eXxqtBfX6LRS0Go8xbc6nOQ0bXCgvzNCpT
7T8cVjYC2A72NGXEv2Hsv4LhaWiUWakCASWwRRgI4bCju7X3+i1HQwjCBEQBHuMt+x6b9EQawqrP
qRrxTrCr8ogdO6aMKR6mL98+z1oB7AYSR4+yC+hHqgmbO7UpelFqGa8EFdoevRIfkLL1hV7tD5kW
f8pifJMO1cd6Dt40Qu60ha98s/XpALHL4Csh83KPKBkXiuJCfQ4GLF0zY2xAnFZ7U7xygPnxoJNB
d0IsdDcXrMm12MV2zSh1ByC454LNuuJR+HgZvbyYz0Mniv+Q78mXkByGgHw5n2BpXQ0yRH0Ghp6e
4nZwQr+zhnNcdNmDtWApVIPvuAH2mXxoC7vbeYqvLSc9fbodkDShaK9//6/NCaXXa9pB1GevDuZI
Yhx+ohna7+yYKwebDgRPMFhc5CG27xWBRqlj18Qj3Dvd+2zRAHkjDNKSyeQWfow5ZgIvL+vzQA0V
KkrM0CWhfZFGXc4rN8pKG7mHz0U3t2/ID8n+ktp+K40MYdUFtjDmGWAadm7jq0eDrIaYm21D8rTZ
ns6UdJUWp1xhE/7V8SC0T4ms8jtfmvbPqcZrdRhS630vKnlnEil+HkD57PwSV+burHK6K9CFXtkW
xyTsUhmDHpRnow+0u2zKire2Ts27c3r4o5k5vgUR8FqMAXcCGL31ddAp+8FevlxwCO+9VA0RkAQ5
djPnaYClcdK/frs6xPgrOYmjwnt0OYrgtvad0izPejsnj0va9AeNysLx5c2zvjOX6Qz63qSm615d
v+MmfUo9rxqqQpVo3vbiXb005jv4qhXO0316iBs4l1mb4g7dDsnObXDl3kExktyCDURevMWK9uVg
ZpZsSzzP0MPWSZTC3MInfDF1tZOzPcP6rV+MgjPKhB58E4Khy7XkTwEPqaY8a67702iqe0fr3/Yi
OGSFfG/2442ryoCIwr9t5/aQa9mxtZIb2dRfXl7tK1cQZWliZgqRwA635W+zapOq59E6D4PkBiyr
MuzzfHn9zoEDTLa/ZlLAnzf3rJVBHSqSpTi3tiGIli3nhJrhHtb3ykXHYpJxrBhnCuCbNdUn2RoY
yhZnG8H0sKoK7VYDc5bGqKl7vvbafjifcGXRsVOJLghiNhG6FU/G0De4YAjZ4J3SVvKrPaplR0/p
yn2yZlCwVnhxEWzZvBGllyhhGXl+doJ8+pZOZnecl1GG9YRTUNGOxl02JsYeEfTv07M5hWuA7oOb
4BwSbVzuz3QJsiqFtIFVb1Ir5CLz4lxC17nxCrc/Z1mCzVg5m4+LgV85hAT6zZosTqqzadQ6fhEl
DSIvTtx6OyHIs8Yby74aywKxJu1e+xyXv9mMxaUDzDU/1xaK2ZkWe2GeVnhG2cG9b2cPcSzEydST
d15a3meVeihbnIgyZ/r16pOzqltBC6WMs9YJL3+PTFb26LSQ0zS3N+6GLmhP8zyMO7fhlfO5Jpno
qK8mHLyll6NQZ5wGp9Kys92qDji0K3FJcX6+PJUrFx9sxvVTA4VelWIuB+mqwm/s2c1QBRsb7CLT
JQo6CFJDMOyMdOWI0s9hI9Oi5PBsEdfWBPZ2yebs7E5LHiWC+63zEr4ekf/yZUnyvWTwWWGe7QJX
avU2WeGEzHI7N5UXI+apZ38RCebw02pQlGjio+oT59wEU3HQJiEPXeFj/D7P6Rs511m0uKLc2bnX
PuUqCL6qVqwNrc1JXiOlyYjL7GzoozwudalFGsjKHbz+tW9JWR5RXHoeAUCdy/n6XpoUaa1n0G7r
5DSUY3sIgNMcZrvSd66m5xP6W72lbIDOMvXHzQWo4xuqvLgscbdT2q0dTz86Zeu3O3tzzW4vbyJG
QQZrfZXpbG8nVLWxFeAFWp6bCnmPSM2NaB9tArn5CMks7qJK1X18zNPJTzA3wrsj5D01361wegCy
sVp+UPstVsMs3nUKQnTDDqk9yUe9yzvsz9K6+eHUXvIrT+ETA/Qv4/7N4nbDfAiIVd2oBGv/a+ot
8aRKOd3OdTkfR92UWJkqaYWagRDsiY5GhdcgeusJ5KhirG80bsDPet+p+tw5s4wYODjMsWF9ay3Q
JsgRWFgXuq3+XcSq+K3Ntj5jooZiXuTLQP+RttpsHPtiiG9szVnwc2tqXETG3AO6adpJHdqV9MTO
hXMliGa9ybu4ClYc7rbKOuttlvWmBT0cA94vowzcr5inapFvaPKxKVPjrVHaPu+3NO+8So8Php//
r0/T/7kbSxjL70DRcPUlQjxkk0CQfxbmnDk8Oe6SnCZzxBqlcTocHry9XOXaJl43Ft0sBsTU4vK8
DCof9C5A8sBsMXKu5xjjCP8/ZHqr5jlNc5QNYICtOrD/zvSCxnKqNpDFOc1j68Yp1fhQwKvbOfvX
5kIwCad2lWOiQ385ip3kLOmiYHA19ZM+QqaI41LbCV2fXzCoxvxrkM1UUhOL4XxmkFxk9DgzHxc+
4aYRjfM9htPVocgiaRdR2n1GPqySZag9ORbnMdFx2XDb+BSDVkVEce53ZvX8YWJWQHX+FnTpUGyu
zQWozqy7BR9INtVd1/QmZNq61KNikKi6FtW0x3h5HtgxIm861Zw1n9qGj1ksRSAzRnTaznrrUfKP
nFl5B+njHL0qs5zGzHp9oYpBKb6upCewLtuwLs8zCplBWpzdUai7sbbwP4SdwSM873VrrmxG2CVs
eJI52sPbqrw/qXGpqiA/z6JUb4vSdL/nrae9vgRLC3rtgNEzpWq5isP/+2R5XQk4UFoM45jqwezq
7mtfJeXOK3TlY3GiiCJILuBNbrFIZBXE//BIzlldJFHatMZtK3R80eFUG2/ViE3sKD1/B693dVTc
kleMCKj+bewPJRK/m3bOzwnUtFNrW21k9FP24Ma5fqoTO/vsLoFzfvnBvfbdmCPdn1W5Gn7h5YLi
2WCuVan83DfGeCOC1bPYE69VJ+OGX72GqJjiAs2jvrlFWErb6Oo+P6ulTe6nJsYfp3bGeudGXI/t
Jni4GGad7L8qbHOfuvaE8t7Z6f0MrxIf9MHUlz8RlcGGU3TuucgCWA5zmfp3Vh//rxTz//chu/IF
LV5SRHII/AD8rMWOf42PvOYcp22cnZfK7h9GFL6iyU4wRR8H8zB2trzVyjL5/PIXvJIi0UKkcEo5
CCkxAvrLUUU3l1nTtghZOKNojzw0wYNoJC5jcWf9Ub4vf45S994QVuEmrWeY9mqaeXahOL7Vyzze
2VFXrnE6gCBjXN8mGt/C/kvuTnPSmuwMr11FEC5xaZ0N/dCmuMu+PPUrmxdBwlXWZBVp5mK4nHnp
x7NZTCRlRBW42aZtfqyyYS9GujYhby1O2QSkK3rwchRb6FKPoV2e4zyFzr0szanSM+xnHbXXBrw6
obVbS/xL8rJNzbxaj43WYai0Db4lrl/d6SLdY3td26WgImAT8wYC1NocxmFKYbz4Zna2/FiAGcdG
q6lwc7DTGbnXxHVvwXvuZWbXZkaJmIiLGjxt6E2wksVlPQQsG8oCOAgZvqk+TGPdfnp5Q1x51+kF
8sj+rZAG26QLXbPYNksSTs8R6l2O1vz7KosRNxkqHN372HJ2bpxr08J6Cf0L4j2KmJsdmM1t048o
2p8zo/bPjmZ3J23W92QJr0XpZJIom7F0QHG31YdC08vRzkfcZ4pR3empmm5VaYh7qxny90kCX5tA
prgFTi6+d91CvS0tlzp6eXGvnAOWFoE15LEog2xV1rqsA+q8YBKQ+4v9OdAyEbY6qhUyHve4FFeW
lcOGhPaqnGCzVS+P3KAGNaFzLvAX1qvvASaN93YXVIeXJ3RtFKIxOmcWhHff37x9makAcM85SjGa
8a0tQWVaLTIFLw9ybdXAeaycJB4GapWXU6GsTJ2jSsV5yhMtoqw3RpXh4ohoYlX3H4Yi3nMxWaAt
sn1+ykVVrmy89Gyk2tc2meKDUCZWc1n8H3YC9WzydBZtrbRczonXrxlnD1Wa2nOTCIcx/WhNIg2N
+NWkECIHeDt/S280w5+JsdjIraCqYCKAY7fU/yT4VVtL/OPLK3clcEB5inIrJhw4424VCDLpjKUJ
3u9MExDNCKgTsTh5TY4HD990OqoZofUoBv2yhKqA4UEyrjk7BKJnlxe5zyoAvr7jEGK3uemKH+2T
jvOFgmb9ToxZF40gd0MiRe9QllX82jL9Oh5I+7W0uhKwNldy0BsSvasqO4+eV54CXQ2hb/fJzv5/
dsgIIAlKEFVd0eOUTi/3iu0iqUvCLc5GoH622jAedANf1Je/3zNt81V9iJofeQF1RqBHm8iLZgAl
ZNGKs0YtoQln0QEI0dC6K9LO+uCLIH9wVRbjKi+1s5cZgwhLiWm4Z6IxmHRdXkaBMQ6npUu6sGiR
fJWWmo4TSMJT4WjaQYrUidJ2WLTIs9r5vTYLdyeQe3ZTrHMI1jIMURzqx5uVKpGVlGbPStlp33WH
Fh9LomTfxfp8IqDduSxWW5nLYBkzNkImNj351BqvbT6MsPMMvDuyLKaJwEMyt9nRjymR3uHZ5sd3
nbcibgs5wSuIp/aXXObkIcBEBtmaudZCPzb8Oxjb1a/UtbRzPZtTiR+KU78VlTc+pDmy8MMQi7f1
ojwgrRhQjCgHRpW12Ld9n/nnatTlTals67aNte9AqvfI9M/3HlNE1wFtP3hX3PKXUxSGXhnAIlBy
qgvnYc5x4MztRuyco61zNQ8yMmvEHcDBAdZCmLwcxs2sxCiyAd9OUwThsOCt3pgf0rYH9R587gbz
je3F75HhK0K7tE9kxbeBXYxhXMkoreb3UzU+xSOdDaUrPZRKntpisDC4FlFtTTulj+drslakVmIK
ASaow81JgfodaDadxpNdjfMYVrVdtiE0C21nfz2/zRhnTQBAj0Dt3IYsSY5eBuoF/qmMF+uj8LLq
R03Zv6RRX5QfFqq4OwNem9jK6aCzCRSM/y6/Qt55kxx4Gk5xMGq3QUbeZU1p8dqAD9DcCnVYiXVr
63izpZxAQEmk2QG/Qapbe+jFYZXZ+y9zAShCgL5WA7aEcNeq+6UpmUvWz+nbRG9V2JS52Emfnl84
BFmAide0kYh7y0pMfbMecwx3T33btAe3TcPRr39XoFN2pnNlL6zRHOg8FM4oV24OSG8lfZ12vnuq
kmR+o9qCFNzyyD1GR31qZ3fv3F8fj7dmBR8C/968bMLGVbolyjqVUHu+qQGVTbdEAapHdfOoasPZ
ubmvbL2VhQcalXcbAvrmTC151RuIerkn3+zNN3HqZEdqRtPp5Ufu6uciFAIkCnMN3fDLDQ5zP0C7
bJ2VBXQoBZBy01mrzevs7rHpry0gbxEX5wpzA6t0OZQ1++gOWgv8Fqq/d8vSWu/GiX7Hcu/IrNnZ
hs9Xb3290QCis84luoVl9cKpaysW1kmasxumUq7+Rpq1E+I9X721DUdLlWIoj93f5/BftZk6c5aJ
YcyT3wY/Fjc3Ivzgg5OEb7JTx7s2H9APNtExSSEQ+cvF69ux4EYwzZMMtAKUvDMcyqSIX30RMR+Q
r/Sk+Uw8b5ejzFaiqySxTNrQWRaKfDA+aZ0xPL12z4EBoj0DZI1iKCTQy1EC9CfTOlbmqZnRPkSI
RpyyxtE/dqYT7wx1Zdl4O1eGLfgDvOI2e26xUUKu/ckk7m5vu9F23gylt6cCeHUQPg4If4OYYLvX
pjbW0SdmELeoZqr9nn8nlLbXZXpeklujDnY0occKq9hWVauxQOC1LI3T4lfySaY9mBQu+z59xIoc
B08jVl0X5nqTQ1KLsW8KG4jVyW29dAsqUwuan8fFdca9i/H59ImC/mIDQXOu5IPLz6knZa8ExIqT
nbhYsYK4pP+vtzud4ue3x2qoRiV75b7S9t9ElgEueV3hVDqLTH/N92c05pPifkzbJnLKQu6c7KvD
weWkM42wFayfzaQyE5pLmegnDsxyWzW2eRIuwkzJWKbhpJd7oqzPFnEl4BAAENvwfgLWvxxvjIUt
7cp2TvboBiF4/uqoL/ar4U2MAkaUV5nUDKrh5hZp9AX1ucF3Tt0sftlj70Wym220A/qfmuaUO7nn
tTlRpCAVcHEWRaPnck5TI7Kulbpzmhq7iJCgb45JYBU7N/2zL7XuOd5IsuzVJnPb4WihKYpGs+1T
kLrJeQroAtjjom67xgMzaqd7GpzPlOf/sm59bi9QKKuixGYnioG2zYBY6ilrYzqJzTL2MeYhXSGj
pbWBA9h206SUpk3E3bulMPGXk4n6jBOHkx3QnaubyBpNc4j8VPXGsagNzeLhaOs+HFQPIrtQzbzX
5Fqv7os2Bq0DEheA7LBBaM5vNvSQEUllRmufZFJMXypAF8e50tyD1cBjQzTJv5+ADeyk0M/vrL+j
IjFMBWRlkm4elGHyF91LyE+SJS0e6nkM3gQofbzxC3+8SVu8I8LcrdXBSRqtYg1c/0QhsH6w6yz+
MVrucPPy03NlS1LYAI8Ga3pVct4cswSRh9HOYOkHVWo/zEgIhXoxd699Rpk1aqEonJDGrcYllxuf
clmPt0yPNEZvz/e2alyqWJ75+uMFxIL3wFhluKnibkaxTIHyR26fZhw4ImdE/nqw2WEvr9i1fYOE
AiDFNSFFKPlyFLPSc89SvnXC1aGOo9IvpoMRwJIKpTvLG1Ii+5aK3qtbv2vpG3YZjBictAHWXw47
5d5sFBbxm0YjMQSMAFu3D+TOEl6ZnG/Sw+aG5zbk4r0cRVX2oLeDbp7sVdY7MBjniNKacYgV73ko
uBRDkAn955fXdL1mN2dxNXNEBvovRXer+ufOhY3Y5kzAYExJOMxT8ZSpyTsazexT0sI4r/Zj/TH2
5z8vD7x+rOcDr80SqB+rJOflfFvDQ7Scu4eoeOiO/VgODznC9Lfz4Bo7J+159YwCEMIAawbDnYN0
xeVYuRxEMwyzcaqEDslapk0RIb/WMeup0XK8c3XnZ2pnzgG4tn+kSY1fYOZldmQvdX9ET07egd1Y
DtncyNPMlXtXJCmeL16PzK9GwywYavGm5YCE6WyWEc6+TbdTlL5yX9BzBaDLnUHzfks3C1Dm0vk0
xilwpHujTXkWxfRMds7Y1VGQDzEZYSWRbJaqK22dAkpvnDRXvpM4bb7v48zY2XTrD9l8e17H9eZn
BJ6Bzdtfd9QyJ30wTkJbuHDF+CNoShOpsfF27kjTX95pV6dEOOjREKQQsAWFV8JKh7hrjFOPAUqo
95Z3my8YU708yl97uO2kqK7zGHMNUsrfTKrCE0gWU6Of9MqpnAhmtPyKoRgVQQoh/g8tL9PPdWpm
IposNNwoJU6qOxUjNcowyQYdSqRvdH9aa4qbUCL3+dvyuuW7iuWYh5OfC/sIFUKKSJO2U0QSiLU4
I+LHu1XYw9IgtB24352yCYKDbc3omfE/SLe1ZYyC+Du2cMzN7OpbqWL/V0BT77dB+vs02r76NPWa
sEHsWPZXLBtyTO+r3vliJx3UAegvvRHqsPUAtpo+6LXCTvQpKpG4/eDno+5HWJnQGYHXWX8shMq/
JrKdksiyS3OMRr1eZGQ0/lStZJmiD/nFZ+f4P37teanfVcZpjIvMDd0EfHCo1371Y+fTPNtuUNgp
lCKGBc+MzvDl8XdxWBl9s5hPM5UmXvl+QFex9jsqJ84e2+v5ZlvDjJWKbNO3f/YSDqRfysia+STq
UUbJYAfvUpUWv147I4DAvBZU0Igc4Ilfzijwi2YByaWfyDO9ozkVTThposHqatrTo3rO7SAtpvAL
B2HVTcZI5HIs3Rlk3i3tckrJ7NqIJHa5pQZREUiUpZC3k8xGDd3DNBsOxZC4n7FRaX6YtSrfDKKK
h2guFCVfO6/qn69ehVWuim4Sok0cvc2Jm6a2yWpIWIBPWzMKoHce6IYaodm0e92E56/VamRNqw7A
EN92q/3FbZ4E0kmXk4wNdUT31z5puq8AQI57C/48EGCotRrBs7yiqzcx/aD3Wu/XzoyIaEwSbbRx
82gs9gxA1k6whs4dDIWS2UKR6+XlfL51KbOggUfnEwUN0GeXH9rpnSKN7YljooLlLq/jP4Gj9J0w
h13Dj7m8JxmG7jpSzfBM4E5fDtMsVS8nI+hOca3y4KYN+lk74ve85EcrnqdvttMChtbrxKpDtw/c
z6PwM511UC5Q4raL40NaT4VxGJ0yM0MkfDUbK3CrFaFhKCM9TkHjmEcimcnGt3dqn1ar7jRSsZgy
ANcoTNxggkgBri2DqT0lRQez3kFR+VgV8WzdLCpt8mjqqB2HPGFou+B+kCWRiKniPTRliaXLvBRe
FpWOmfzTzqOvRY0/pv4hqBr/HkxdYt+4SQs01pN1EDa5Mp/0YWiTcFSlRkgVZ8l4HF1Z5sc4KcWj
CyS6pH2U+H30V6L+EA96sk5aqjxahWTXpq0RFwfLmN0mNGOz/EfMffwR4kHxOPqJ+6uNB+0jEDs9
R76tMT56rWF8GazB18JJ+sWAMVVNwaDtascF5Wyqt3ZhmMCfnSl4Vw2yjsMg9zInmufam05d2hbI
MnvaUt+XaB7RJF5qmDmj0IaEFqJPdtk2fiAeSCZL/bSMRv+eQnwHgWVJ9U/t6GNJnjfWmCPgsZRl
uAinjENhIRpybt0mLeGjmXF2oLlpfLCVFNZRFWbX3JSpHD5bTmp9p7PbIzWyQtiFdMcHV9PSIvQT
Ts2nWDTdG5Eu5nJs7UDhiZ6ltXXu66aqIl/P3UPmT6Uf2k5i/wlk7DpI+TgzQDk7TSz8zmbj3ai4
YsNcKP0zrjK2PBFVJcGRrSIfi1oba9wBDIygjMXsKfK4adCH3pxpN11LOzVEnlKLebeW+Wve5S2L
5muc03TQZnzBmo7kcgwazrAQ9MaC2Bp++rFj/9AGt0fmo/TE3cK//jEm7cyXkT4RqFry7p5yz2Kd
mm60nsYxKAaiSj3tOfWJCiLXnEwXy7Ah/VNZtX1vOkq8pxGKJoVW+OJ9QWz9wU/agiA38Krx0Lc+
LQg9M5qfclE4Mg1eoZia1sV1xGWnEEkfrPGuTnPnRw7GgU4dlUxmVgaLfUyyZP7TyNz5aKrR9RCJ
Nw1aar07q4PySFsi7F8poWLmk3JJ1f6w3HjljGxsxZd7D6CVaMUFfxCZZUr1ZVJpPIWl70/geDLR
/DFrJ/6GcFH7tfIhS4YdOd5jR/neikyc7SX0BEO+7dx33pjct6KJn1TTan9I/7o8asehqyI0ZL3f
ChrE1ywbTOMsg8KeT+ZoleWbwrVZbSUy+ROulVPhuZf66ckc0lyE0h+zhwq8cBZ59ux/b9p2/C2o
Fz2yOjHkBzbRFOnIuP6ug3TwIvjyWhUqjEC/I6M/PM2z0ptzjfYzf+oFY3+wSsOqowFR6jhcmjx7
ohgqikinW2eEFRoBP7qAys1xxnLTOQxzzA7JCyf+h38mQKkNyg3zRGVpJJzWOwJjdMkyHM370Gsz
AnhOlvuhZXT9+8Jq0BrDJNRjW3bpqkMvAr5BV3lpE1qAa98Eyozb2xhl9fHEkQreuYntY3g2zXT6
baOWSdi5Ji1SgY6fF1LoU09Ed4sMwX2pjJDQsN74tTt/sMpMj1RmwTFW+mzftUtgsGmN1Fd3naka
SLokdH2ERmxShkxQ4Xvnud0bzXHFY+z2U3XIq8LBG2bU7Y9xGpePbtp2Lp+wNrAlc3vjxqGF8b4O
XHhMHm0fIkZUeNpjZ2OboAV9BZxvEPcLeq5PrW0ay8n1Gqe9q3DOa6NOjCgGz12wBJEY8/R+daJh
b9jKnU41x208LVNfV+dxyJqK0lzlVzd5I0dAMKIEwTrV3T8FPYkuSumRnv04sblxmwpp+rJTzr0/
SNjlhdkaDzqYLTdSZTa8NdoOebISD8czrpxcoxXmgOIOe+ekxzMlVcbZcUcuzRbey5PMs+Jnamoq
OTvCn5JTP2aVOBfocJHaEapbZ+GogLC7SbmbskQ03xhgogibEp/ApA2Mj5h55PTXpUYoIAnFKnC4
2pxHSMubX5YS69OzHEZPv8Gr1kxDh6+Y82EEjKEpKCcntIbYr0OYmv0/pS90VBcyHapP5dnLP7ht
Y9i2lL356Jt5cWsNwBdCodp6Ci0LMYFj5iWiu4m5jfWDmQyehjhc7X1MEDN3w4BH663k0Hl3ntdo
OnLndlGEZlYVvwsxSDTHEDz6Sv9evqmRoo1BjhmSomzjkVrMSzO/j4NFG3G2qUoucRk7U+hlGSzw
TLMrPjPy2rfFFDthTYJzHlpPj5akv4dE1b0flebwGBHMZaGJd1l3cppmZAkQr8DCLFntNmlxD+9t
MSVZCHYt+do5WjlEjhyB89Ngy+70wWl+1RQMyUmdwcnCzNYJsQmEteZQZBVhcDzPrREmjVuLwzx7
2v1QolRKichJv1p2775d5laJMzelNR0azeRBS41MC70gw+9xKO2WC7PNpvfOkHVfyzou6siqPTFz
mTo51C9lNPFhAXWSh7VSznjgwBTBMSnH/vtCM+WMOvbs36lU5Det5O04ZB5R6vfcyd3lKHKVGLdp
paXfPH20m4OVOmZ26I0EJ7WpNM79JOpTJxqYZLaVt0ZUzU15z1pmXNai7upILFrSRCayew9LAXn2
hz1PlIuHvHefGulYv9PAha/rdoXSj0XvI29fMdkhzAze61D3JddDX7vdu1zK9nff8tKd0UUEf2Z1
8Uy+yrXb/U7U4PMs6VSZq1ifvxjWVP4eF8MkPGjlbD/lo6Z+9vJXWpyMrFx+4Sntf52KpSKka6hl
T3EP1sQEFOGH2ui57YHv5tDMxePysR38/mc/FOOXGnnuImxhIH8Wkzf+IkEhvmtco1HhbHbEdzaC
h8XHNT55TIdZS89jkaJmGWDkNYbwE2CXSKcfVISex5RGy7TAGNIDMT5JaXpfGt/p/8l90Q0PqBVU
P+Ex527kd4YnwzLW5IM3deKP01fmP6ZlNySHdhz/4WLjbe5Mm0oShrBlEvJzqg+DXRmfcr30Po7t
rAPrKTXE5cExFO1h4prTDpzGIrgljHKnY14b0627sJ3ABK+7J4f0gHBKCv/VT3rvESOwvAintEnh
gqL39ajXhZUclNZXX5s4d37nsAuJorMx+KQ5ZmohSOCUv7s40N5Vcq7eZsqYjmI08vlYGbJcfRjE
8L0s6/bn3PYQzMo4bpYnBb+OLSGm9GOtAqJ2L8kND+9FaI/hGKONyBzyGXpzVeefWLB8vBsRefmc
1poooGfUWvOwtNLQDqNOufXgcd83IVU4HqQsF453bgyDKiwSEYlzKJLeFGQqXZm905U71586scYd
nbTs5ZBPOsBNboL+EU102URV4M19WLJVHyop9ce50FxMMnTF9UboVc1hQ123DI0Uu9fQH7JgDvMA
DcOQlqKT3JgBDnU4101ShLSnm+GY937yGe/b4FdNxwwMoDelS9iD5PuYty6GPr2ra99KzFQWQuki
/aBMXtFQCIprk7TjJTRTMD/hVCd1HWoxn5PjWCXVndMbU4rlxWg9lGj9mufOHcSfqa8GUmszjw9B
NpUehLVpTT4yy+gjDC+aIZLIg2p3Cistgb6Enz5lXjHa3H+zNn3GjHgebwJ/6edjSRqIs6PutrTX
sUvlmQlMzaEe6w7NyY0XUd20sBPuTdn38yG3MorfSxHkp1iYdYcmnuX8WQ2jiUVV5Tu39VBPv4CN
es1daVuJDDvNi6k2mUkZ5ZAm/rGsmpOU9x4PSS2HqXtnYj9c3iRyKIJIKkfkB2Naps+V1Q/fYwCV
SZQPY9pFpuqb7yIQMonAW3o/q2zBwXWoqsUN/YLv9//YO6/mNrIzDf8V1VxvczuHqrUvuhsAs4gh
RVG66SJFsnM8nX/9Pg2NLAKURfNud71V9oxlCDgdTvjCG7wYR27D1aW2+dzKtPoAfuX2fVZ2KAfC
jKWEludGeI6CfC2t5NZUkpUmqgiPOk5mzR0BuYd+ZiZy6Etz2PN45niRGgzTOd/0ag7/QrX6JMZi
BVWSjWllKGsMZkcNOUxKbbhEAqMYrnphmZ8kCxUcTxladm1Zjq3jvtU64cqBTSEOGVy092C7TKBf
Ke15RtjX8nEtMk39kuF70l1KQlS2h+JScRFNYV2eOOkUXebECabbpYVeuCSi7RcUhNqrRsFN3R3n
0kg8RyIY9VjZkO9mQ+0CryDPKAlYaIu7dj0lhO1Jll4jHpVpbtcXDv6eohODa6IZXdBRccSwaXnd
9iZ2MO3w7DDqozO10JzpjMgIUwirUuyTrK5ksHUF8rBelljNdaak3XORsiP6QzrVfw70u7Z5lxL0
JyH54VkSiIy9A44EbmNV2UbnUiU1o2tPTdVjdZmnCHzHIytujIaycRES0u8htovIT02juhpH7FKO
JcKATZrSD12VvRx8nVKetN8Q2qWe3dbytupqgkZtkMtk1Xe91CyPxuq2lNRLx2/TrhWuPTu15iaF
xoNrNTWsiCflsiOGGZlIFHlo6gPlM5SzNGbjOY36pi2JQMLqsyXJbXySQkP6YstoJvjzHDaznzsF
3uLZMCHZSATVbtqOgi4ayAE+oe1kjU85ygunojfIXvsZ+y8Xphs6QnJV5wHblZ33LkT98ELAQL2y
o8rcqpLNlq3UYS6vJrsOVLc3iZ6pDCepRaUkjhzG6tLKcyLboSQwD/I3u29QilOrsX2sE7pox/Dd
gnU5zk7gm4UovnVCa2T/P7SoLyuc0IZ1umTEZaoSPNbSKBvef1QmOXudAyug42ARsreDdmNVlJ5C
A304D1FcnMIQh3Ail7p6qPPetOyaa3beLcVpUR6ijW6DrKb2eNgTU+J+KrWpGNdNr18gpGlyGgtK
xu8ufFkWYDqEjk0Y+VQU9ytSydRJfaXIw1qGTwr6F9pTIU9vaey/bnrgVIyjIvw5eqVMuP1R2HNF
FKICjxVUl1zkSZRfNbmTnSqBoa3r0tbeEGj4RcN7QfsDhl3EE1BXOygkznGtzYYRDutBx+LPYB3n
Tc/ppo23EuInrl3Uulej4OwaM8F7nmwTkyi6ea/9oQFxSFu4e9rSvgLet3/jTdtzoodqi/JQMhwP
FYZNBSoH736JjIJcDjhl7lg5FFZIVUg1oTa0a0iacKobSxAeYB3z+xrpqzowUpl0rcDhywuC4RC4
SmEsi8uwR2Q8GPqLJMM/hnKssYTTmff7oV6VY7G0Bk1Kc2gnmXI4VDu2VTj3Wb6uW0t4TVTEV2KM
hzc6CUuNfL8aC5sGoBQSeJRkEUjYfzlcvJ4L3gsvJ6Ox0xPqmcm3MegpuElfYJuB7X4LUP7qISLq
JdsLUw7GEBXUg/WWdRg9trLBqyqS1FPyRPItsHAeAv3vpuXBM2BeEIqwBAhoDtaAOgtjDox2WuvY
1LgxqcpmRpv7jVnx6lXtRoHmATmDZvahOVOW5MXQ6TUl+0qaV8TPszsr5bsFvZZR+O/iqk6L6RDD
FObWYCltMdF5GE3XoIq1jlvMHWch/SX6/J97TF/x9//iz9/Kamqw5W0P/vj3j/1T03bN04eL+0p8
WHfF430bl8V/LT/yjy/t/8TfL+Jv2POVz+3h39r7EiP9dSX+fXu/94cVBr3ttO2emunPJxhB7W6A
8Klc/ua/+uGHp92v3EzV09/++Ab3sV1+LeTi//jro5PHv/0BWHbhQf3nyxH++vjyPueb13HRcvP3
Tfv0qy8+3Yv2b39IpnYkQzZA9nCRNFqQNn98GJ5+fLRIELHnwUdArXM5WIqSFPdvfyj2Ed1IBPVo
TAJ25mt/fBBl9+MjGD6Y+dEaN7De/ePHFV59X7jfXxTP5K8/fyi6/KrkYgW/e7jWgBaxbNC8AlEC
VvxQcaktywhzKF3zBzC6bqOYeM4Z9a0RU6itbtuQBDcoi5uuoJhbAaDx0oydzMK1cB0r/YmphaTH
XZT7L57kL65rR015ue9wXag4ciACw4ZwcHjmDlk90ifvNZ/myOC2oi+OjUY+67IJpZiKED0Lvkot
fecom6+qqrlKC6tz9ay8nagVnFjZxoK3ROhnf1KURnYH0niRhRcOumznVpjJS4nLcIvcRgc+ED5r
J1sZdOu8ptGStR+mVKJJhCrXSvXSEyNG3WJyTZtsD6mbaUW4cFaBFPt+4+9bWdVTcd02T08tS+tw
peytrn9xDf4PXF0L6/qfLy2/zOMi/nb/cj0u3/ixppQjOkUL/hQaLif6Atj5saaUI/Tb0KJchPEW
aTyW8I81ZRyxpJC9YQ0CxERy9eeaMo4WaBUqDfSvF7lX5z2LagfleDl5oVAizg4mnf4sFN5DsV9C
xSRqY6X21XbpfCU2OgiZrkpuIEHX9/JOA99hVagOM2OnwnFRsRK+oQSmX6e5VblDK9tPaZGc6v0k
1bRpqiulGNVNJ8xlgdIroSki4euB2NVYucZoUd9THRoDnJN0vUxpqr2I5Xre2EN3ntj99LkqKQys
Ir3Pb81OUT8Vdd5tMCmcT506Hs+CsSprt6kaECQ1uw7cv/myUtq6W+/e5Ltm+D89B/6PzO5FEvmf
z+5N81TcP+5N7uULPyc3dGz8QQFTgNgGdvdyclPtIbhc3F1AdixEmx+TWz1CNUWHPYsWJCDwJYr+
cWAoR4DCMMFbLBM4iOi4v+PEODwwSBg4KchSltwBfPvy+QseyYSRSFFZdeJriZR4Qq/NlaT04tgY
W+uNQ+AVRXMZi8tVvwt7cMf7Yyn0o5URcWK/NhzpIiNfd4NAN31HTF/VdKn7pFm0WugMGKBWVxl5
JmZolI7taeyXxm7iYYi2GbqZGgWFkQWBJED5SN1myMt13pcJ50vjUOClcF/YqXAxBUFPP+O0MKMq
Z+WV80WRtdr2xQv/xfl2GFZzZwSCpHmAjRdvqQPYrYVlm5MGDD9LSrZu2eI8ZRTlSjWa2tWAiLtZ
55ju3OXG9+XHwvn1iX8Yi34fmYxvmWLsdsvnL94fSoSAU2E9I2NZhCt43xQpZH16I+LdSQTtbYFo
aBCeIHaDmDRgJOb3y2Go7ipx5zixPxhJ3/iNIVertIs6X3YAdLsUyRpfTewgw1IgDL4BIgy/TCiw
1UMyWZ6SSuY10IJTa0rVDZAKqt9GVmrP0WDHW/AabeEqQAI6P+7LkMZP1yVno60kX5NmtHxoEpSI
wB1oZxo9+JNuMMbP/7+LHUbAS+L1m12su398okBaPb08pZfv/NzI8DIDKASCXd5x4Pc3soWcSErJ
/KBV/3MjM4+YLqRknMMAcvciX+OIWNhaeDXkhwTV79rIuLBqb4YuIvmLAAChNJnfIR7TrIgCJq3v
fNpdn4NGnd0S8wR/GAGu0H99Y0H8IiYAr0WuzqpAmf8VkwzGDO2NVG39hh2MNp9htyv2heFriHnh
6TwIOK4AmbCOMkIresRlqiqOq0ZTTuR0bmXXVGI5cmOrU780akYvpAikP1GQoVmSKJO+VYtO1fxC
M7LUS7jlDWDNZkPxV15nQW2DEK9Bk0y0DrJMVW8igKCVNyLYHzs9PI4xl0+maR6FZxpB2/mTYQF9
MqcohI410bzHQTbdDlFk055z+uSN/XCnnnn4NrBKJjSD8stL4dB7uV9IAfrCBSgaH2RG/bVo8uqT
OXA+rkwJ5Ktac+i45thbmMQU0lf+lx6uVT2jkSgVrQNAIokANs0Jj8AicyBqN6k1O6IMPyVVTrUc
ay7hoS4Au3IuZsU1KVaCakj6DswS4KSVUprKo+j7JFl37L20SJKJQnZi1G5bmMej3ALBsjAUP5Nj
QEjDpEnnJbD09WzN/JI1qBlwhFwJt1oYpXe0s905QDvpjUPxlfX5ki2S50PkxPlcI4Hcf1IztucV
KHYBLmq23b7PFNegiUdaEmIXi/lHUp0jsidtFMLBVukMTpFw1Uao+6mxop4Vyjhet4NsbGgHgDgT
wNXkVL4FgBxucjFmqxe7wi+OuleatFwwwHQ0/1EcdIhoDs66LLSGKlWz1i+KgI7JbAfH/ejcxQ0o
H8CyglIFfQ9tlCO/iOcW0jIqb1na9G8UPF+dfMt1EDoB0LCWOuDBFGszY45TI2z9uW21lSEFGko0
4q2g5VVZdXe7i04yfAKCuEMefpLUtZ2lSesjvwRWyWhG3wbBRrVRF55otfHYoQq8WihvLqYLwSmy
DKpnlCjJKFlQvvX0X29zGjxecPSoW2NHIx8cxEDqCkstIToCeKrP1TKrTkBOqoMXGSTWQTTkWxk7
bXVV5PTQEnU+nRRDPevSpvhoqe1G6+25WCf8euQOfRFcDF1Tv0UYXebs/uqHsIPuB0ReYPgEt/tz
emxpJDaBLPx5MFU/c+KLWSlOW3OQTzv7Yzu36vfH8q4k5OO/QZqNhuOL1boUyfZKWBcUr0i0627v
DN996cchLh8hL7ec30RyyFsazK+fqTbhK0BkiwMUptrL8pV+tOxQeHvJaOww7X4mI/oRFXg+Iste
hLSQKHtHMrKT592fOEt6Tbq08OYXmfT9iZOJjk5eGRV+VNS009GrCI4TOkJYwnOa3eR9pINPSq31
OGizH4Xd8Nmchf6Um1FwX0nWMZ58uC2oVeLAxRzVGnyJtClwHgBIPUrXegvbcE4a5yZO0KO0hiTb
dOrg+GNaFV/rTsg3JYziJ1EZ2zC0atOdNLn3UTSpz5JejT6K3AhOaRZGnlk2luaqk9Av7QVMa+Xg
1Wgs28ojFvbGHbFKczX1WkQSMorrsFIFkIw2x254jrX2OpEKzDONKnueKuTX3XpSWsONC12+VdRa
e5wTAGzu4BjJthlpbIRa1QKrGnXKVyq9WTAqBn2erO2Ncq31gi5tqUyrQAvnO9MMYL7YWXlR1nL/
Nchry3WaASAY8qm4xE5WCNSBBtVJ6aTqY1b24aZOnTVdzKsqGJRPNA+rR43d+1aTSkpkwB/kY0vF
LGecKywIs4qeYD8m9YljJxTfamnWT4FEg0Gdxm5wI7CW317M5F+cO6+3e+LKZdZSiVn8t5bPXyQ6
NJsVvQgRTTNM4fhAQ+QTeZL+Av7//0ZyUA1HJOXF43+1kVxRkW/LD3/G38qX2cDuWz92EmpsdDUN
BT1og3+93EmsI9qri9gdW8lfmcKPuoZ9xF+lxQs7RzZ0Shs/txLriHUPeAa5GbYZ1sd7thI2nv0z
iA4oVXDOSMWmSggT8GC+xH2IbIHIQd+b0gr+zODrAgg2uA4UqBAPzfyaouPppFrXttwBBEuLVaUl
EQH1LCOsZMbHVkz6HrU2cVki2edmFj1MIFlOI/QsPVHUZ0oHdyqWeudjSI5zWmdT+8aBf3iUcoSi
asnUR94b1b1D9Y2hwnMkUOIcrjZegBhICz8P4isjl4WHIBhYpUQZ3khujINHZ+NbzmBo5aJkAr3t
YBcGewxQbKKcEFRy6mtO9oy52ldHzt+rC3Q40EGc0DnjHFMzCKm+Z1+bBOCQnTs3Lybuv7BvLGNw
N/JSIaFidlggaTstLqjehisAKBiXD2LwQQ1Vb7ymV1Exw5B0Lqa0zF107w5uheoSvLcqp0Vhd44f
ZtlZmTufg9jAbay565vuU4MnnZVCtUxmZZvb49Xv7/MwMNxdAEXB79a0r7QBzLJXnCoBKeik5XkG
2vGCMKt20x4mQz/AI/j9cDvVi5dH9W48AA7oVtO4xsByf30BIdMQ91jYOV09eWUdP0SYrUBztGc3
yKyPhUMq0Bj6FsTrc2/W178fn77A61mK0x9tJZb4Ivx1kIdoxSjps46XcuxUp6DCLzNpVle6mTyH
XTVvgRFtgcUWm7yvNLexsgdYPc+YG5xXapu4UV4JP50QOCvlOVqD5tavOt2+rGOATFZ+bkvm5Zyk
zzLnexHbQIQmMFTTIIFl64DQKSmBQA485SpVlMpF/+Wxz6TYa2T+MQXadtZSzS3m+NpQ6q9pYN4I
W9+WjbG1ZUbWLRJZbchIz5MHq7KEW88NOSCjDS3UguUybMdEN76wbgYEhYDxKlu9Cx8wHtdcp5O/
2FPiuP3ykZGqxrUcjO0Ke9LGzSK7OTbFqNIyYKhMFJWnAyz2kXKdt3pT2j7a0cKt+vw8TtRtImwA
PsudqYl+MYFAPdPrZc+LJQSIpQEFPatOL+JU3EHq465AaVJFnXNvGAfbl2C9rlDXvKw13ObBt36R
LFF8bp0h8EHzO14Jnd6VcrCoNOQ07kg4G5ViqUvL4sHMrEuCpksjacvjVFCezdLOWU+GfWMG5uiy
h88XdqX3nhVF6K1oYQytG5YLJ8+lYhRLCOYQd0lIbsyWtq3S/CGdtFs1VlXfscRdkEfZKre4BCUu
pk/Lew2s4jxpLdvFlzL62DnBClCb4nWVLUjcctnvK11a6VGjubqAXDAuD3n3GEcdzb3Ehm8YteH0
yUKwCOoaD2ECb7YulMLZTJHseHZsXSJU72yMZpo2SILZsJ3jB72Ad6KlbbWmTWy7IWyNlZCgGQ5C
m4/L0tiWmWmclTZTAWCkcTbwGCKq3OsG7tQqmZ3pIgjJs2tJS30jhQYZ5PwxKDji6jp7tofqTo2s
k921k6kXG7mwTop87j1QYfdDrz6bgXSDckm1pp9UQgDhJvs6ejancMYze1CRj5wgHSlW/9TFfbuy
EQU+xjx4m5t4/dk4NK9ijetOnXheO4G4AwQo+0Zipn6sOKObwV7zFYBtrhPF4VpLimlDNMmsKdq7
2WACSEb8LIU6rpZTc9eOVroabVB8g5RVHlF0AWN/5Hh14op6vbJ1FGgMcc+VSQlAPikozpdFI/f8
8ADT3wsq/u9lucPwadwl5HZ7lItdPQr46Y68fMrTZ6NnkWVz/gCz7DIalAs1GD7WsnOTU2x2U7hF
F7XGhIc152ziQBVuN+jbOcAltxajje6PeVkUsEGLLLYoITmXyqRtITILVzXDB83hwUylwhhBc4cZ
7bkuVXeSxJOarPizJSRq5QMvTJm5TRUb8ZsER5iLyIomV09Rrjb6ZYla87ceTXRvtO0beZ4RK8il
G4wKR2gU9o0WAsYQ2UMRsmShwN+ISJFWy+bbtlbq16K5S3J128QVixYYJwwPJr4cQBJCpRTAhQQi
Wx0M4OSwmjSdLWO2mvG0itvxdMxx2slNSYMmIbcubsXRJcjcOfAghicwjng1huAiZTR4L+SZaxoy
myVaZQ9Ga3IHOQh0N8b0RKproMl9mX/L5+gk1W2sZStWvEiau8aKHnqtu2vy5o569KJhiWeEZTZs
yhbzxI647tKOnrMYFvJunUqVdZNn8rzpEuQ+QrCIXlM25TEsTFYFEHgfRJ/q2b10M04pk0tyTp00
q9Y2esh/IruS3fZWAOZRDpJpkznBkwzvzldHTVpJOt8KZHWbpbnmcmQG9wK/LddYwr7AWbbGelTO
NQvIOrh8Q9loYsDOxrCGj0rLu5zDbryyNTZBUPPpqoFlc7JkKu7QMLXxAQRnwEuRjsOYrm7WSPfT
GEZXmp2rKAaW5XGnsuGnRnlnkv2xbChGnesoGKyVcFb/VOY4WCb01Jz11sROq6USNncRxr24/xh8
U+mk41znkuEITpsQKOOqmXp2+lzbNhFJ5jx2vdem6P+6AcJIn5ssij6mUgFCojHuwbOkvq7kwh8c
Qds50uQ7skzjDHJ5BWlFrr4okj1u7CKYLqSMog/cwuhBgCX5M5ale6UGletBt+P9JTIaSDADpJU6
KOqqH2r9sapSGLiK1ntpyGLpM1JHhBOz1QgPw4dfba+tupfvyMUfxpHjedmcUCoaTzUObGptCSdV
c7c7Folbt9PQUN0SSeUJeTkX06A5A9wOQt02sD1lHhYWy6Biw9AQAvDV3GjOdKWVPCGGj0bfxl/L
gh18t0eksXkpi6q4lorkIcyq4LQKoe21pRqv2eKXMyW7wQ8pcxPTgkHBfjzOneqlZfzcVepVpXUX
TWl906PsS2GlZylEEpqOnKVATIgtipysupdVSDYsOJUtbt3FJN+lnIHpgqLlamk+nY21nJ5Po0Wi
EtiNX8r01Fh0J2raXyeiz9dqJnd+OxrjFSrf9GkHMZ4W6D95RJR3drHcpioLBmU9Zmk9f+1iB8BU
9BAj/OCmTfy8oAs9pV4W7RJg7MIFuB13k5k+YJpUcWYJyqh2/5bO+mFvlLh4VzSCBU5WCKBtP1DU
clK9YpyjVYYJ08q0pJuBkdg0k+chblRvjpHOBDIVvxGhmkuGtxehmsBFQPmCLJEJzQ8DxHEqwLor
IWhDq/8YxZbfttGppvfbIIX6WClU9EMUYly5yXzikQuzlW4Vq75LUAK30gLhOp3zfNY1QjbUV+Sm
BtBer5Nmvg6HNHGhJSteJMRJ0Mrf6P9I4PSlz3Txr42qOasVu1rXo0G1KPykiO4xUbNjJbRCd4lD
+yyAY5u0XpTHp3DHCdOyfrw0pDY9zSfWchGwcYM2OxmW2H1AfdZd5pyR6Jdawa6TaAuNPmOHFG36
cbIrE7gXgHqPNhtRIzVXLx7E7A32lLt5lY7e4ui16iT1DQHeVwnqrnFBMZEcG6XxQxnPsrIqU8S2
5JsqQQgAVoI0xTyZrfA5qdg9OViffx/67/RHD14sCDskDylAMKUOWyZqpxVtHWSSXyxPipejI0BM
aKtFTrgSYv7S2dZJnXCq5Jm+6QP7cgkn8X+13ZzumAfjgQCebo63xEzyQAi0vOWGYGDS0gdUslM/
Zw+BMHoyxb0voDyclGr2XFfNnVYR6XQzeU2ibXFtc8Cog8qPY2w0l2NfjeJs1bd08HRCxyXclGYi
h5wgXMisTtjU6Qro2uRGvdwStZG07GK6vqkcb1btG1uwRCTOpzRtpGNl4G2LwrisZv4midTdmCji
psQFIIY6vXTFQs7kOeAY/34yknOFAwfDMMnSahwjoO2OaBxYNRUbK/xPGCKcCo4zSUtgR5Wem+7M
IaVSr2y1uL6DUtiuCJ6D0xCd0a+71/euEttNmfOf32Lh/jVM0eapXNCb4vCnlqv5B2r1fwYAlYTk
xTx/VXK7vl/wp2dx24oP98Xjh8unPhb7xTe+/6P4BjxoabBQkScLXITif5bx1SNMLfA3x3jMkhWk
XH724q0jXQFxBOYIDU9NXtChP0BF1hFdcz6kp72UzeR3IebUV8UIRleo4iFZg9u7eehkk1TxpMR2
KPto0SUXZqmnf2qFhkMgfEz1KoGdiJ1OGZ0aZayEK80oe+EmAs9rFzH2QpALtCOBxKB8K7soXsuj
kt7G04T75SKVcqmi9c/8Vueavc3IpTOEmL7aYT8+oD9lAv3BOgdQq948ARvs/Bev5RcFpVcdQRgj
9D8XTUG0hGluLTf/ohLtmEBUCky6/RCm+z1kPeV5VEzpPAEbEbuORJPXdQrlREIh+NqhoqVAKp3j
u7nuT3Tk4P6ySH/Xgvp3aH7tpEn/OYDlpqH19Xj/uFs9N+XDfbhfu16ETX8sH/lIZ9ksTkuWs4Nd
/1w+oOuWF7sI3i56xIvu2o/atXK0uLeAlmNx0Z9aWvk/lo98BMMNdDeryqSfSofsHW0whtgLXDBy
ZIotP8QCXySr9ycYHbpwrEO0qqJh6DZ9T1w2jONbAvP2QQENHVaUoxfcAUh2BAGXjsDLedwMsSKZ
Y4qCaJAEN7HWReMqE73RuPbQRF/SSJckrCek2vTlKRmV1dwj9uAq7Th+nIwintZwLYifzEruxcqc
4X6vp7hLIlcz0foXkayO55Wmdx/xcZ2yFefv+KBDFj9FDlvCF27M21u6d3SkSFVlw+9rdeKsyxTx
ZSaEuoIOHoZnwpzxEgjAv2zRE6Ck2eFq2Hr0JCdQZAoWZBysnFMnAaz07iQhmbhKNIEGQdNX42Vv
1465cmhvSZsRQ7rGqwO9OM8L7HphBRZd5pZzECFkoHN7nowY0vNgDXXoqRRISJOi+DZGBS7xVDi5
t7Wa6YMH/CduoJ8W0zk2J4mGjl2jn6gJ6NuJWG120T/pZ7oOBjCgvM7goy6yC4ZXYv48UgcrJ93r
uRu3p6t1g0LyLPkl/ZLLCBw7xcDBiLYUoYYUdZ0sWGsFVueoeOiB7eltRok1BlkMl19K1UupT9WH
NLS11MvN0X78/XZ3MBmXGNqgDwCyCiSETKdnf5agBNSq1tRIJFPCORYjIgkOCnvr34+iLMycFzHd
92FoBxFCorUBJmZ/mKkI7NbpBEr6ohhOcFv4U/SK6petLs5sDXXFGMXbMyUpO49lm5yPAeTc31/D
waG1uwRgJAin2rjg8M/9SwiTKkAto8IRxYjERTY22nEsYpXYMKpWXQyS4ffjHbRZduOxyfB8WYps
Kgfjtbo2pjpqrV6Vj1RoZ6P1sxaJm6KwlM3vhzrshi1jkQotrjig8WCZHBTL6yoKYmHjnDS1RSxt
ajUWd9LUw4efIngXCH0UxkwpNzFSoFTiqqTh+zQA60/XWpZo5+hORbaH/XT/se65bsy2ndYhlelj
r4X53Ho0nuvYr1g+tocbt70aEZA6o+udbiOY+PDMyua7MPe7Dr5/LUz830usIFR78ar/SdR4Gxff
IEHtTr42evrwHZEeF0/7AeTyUz9OQOUI1Uqa5KDLNRpXFpPzJw6E+I+ODpJwxIi0lH6egNoRIA/A
GSg5o7/3EgdCQEqfdYGIYJKyIzi94wA8nK5UDJAkJ8UjWSW2hRS8vxTRoWhsaRboA/QFNaMhL8zY
NZ0enZLKETXVGJGqn/RU024Tyv+RqyIjfdW3mfgkt7Uro7tAnl2qwVoHgZ3QbjASKqOW7BbjWJ4T
nrYRulBqeGObiM7kg9ZdT+1ijd1Zqn2cCPUNEwX1YH9b7oi1B1ATOim8lMMzPXYkFmhSpD7FD+GH
WMlc6RWs2CTRIlSXhHBR/6Oe6yCAJk9ldqE1Qt92dpVuKBgjrqC1PVpxylXC+XOaLcltF6EZYobG
KpjFdNwWjTh+MZV+EekuT/nFnrxcM2188K30MzUgvMs9vQh0UXSRDWSGUrobeb5uh3lchUN+O8xF
78U50pptIIY3qjaHB8FuUHre9PQWVeRXTDFekqOV2Dn6oFLVT2ky3VYDaEilU+kkWToaEo25TgjD
PFqh8brCCvENzcJdf/vwvsEgqYSAsGWB8+/ft1VXKAn1XEKFRfnK1KLYnXSluBsVrfMyI7IuZEGV
LhrNeaNIibRKMYtCkLKlvAXE9iyi2ulqVfqtwlreTTRJfuMh/YJJAXRi2cg5MTk6Dpuvs1UgYVRY
PCTtNu4vOop2DTVHer1uj2hD3aACkXykLuPN8niq5uZ5pj2CuEBSCXGOwPAndSOF+Sbjj3Nn+5pV
0Of/MtmJK+mfq9FCN1Baxw4Cg2+Zyh6cssv7BdEArWRHennVN64jYi7slBNfSKVCabrJ/RL9MhC9
80CZe37LjmXn6bH/Nk0AKiRWxDGE5odlQNvodadzlMSHsTWtBzs7k/HN2ZRoM64y/GIvqCc9dG2C
Ghpt85WdLiTBQaJZQWHdtaFobdqgf693wMKFgU5hLNEGbiSHflJ0pRpKulyV04y9R4ihemXVNsfs
saU/ScA8dmv5XWflv0WS+HuEJDXQFhGRD7dox8TFhxORUWvZPyWXH/hxSupHELM40DgIYebveA0/
TkkgkcwlEMFMqu8H3j/yRPsI5QOIWxrIE/CUC1nmR55oH2kIoZJ5UptZzlHlPXni4VICgmGa7NAI
WYA7oXKzv09Nc9NUozAdX+jIHelQHbxCmMDfN/Bqn39/FhwEq6BbFht71JQX3hlZ7sGJLAu0gHqB
5WBbGB0NwjBZmbSGVk4kbn8/0iv59t1QO1l8VNwXfv3+bY1z4eBXyW2hzIq9nnPW27dFPg4+vIh0
ncNoBGYJVzkNJNTyq7vJGil/yle0m8uvufbch39K5GtAwmnlB5OL+phDgJuqXq9r+Sp6r0/Bcr1U
E6h0wQIDZHQQxyc2Einotzl+N1GSnUUte9pQLpvIvLQZgsmXOGNWv39K+vIUXm5rmCozKYmOZPBy
mEVr+08py2Ij66bcgcZNXmnX5Tas++dMdbKtOTYXQxDRwJCG8iKKafqOmrLSJ9O56HXEvKhl+Igp
+3FsbyO9RUwHUoYm0D8N64uqvx2ldIAPrkzAU0wDkT5gc0aOFh/l7q+TYdJiqsrroTG3Yy/GVavT
M55A0HidaUcrw0Ko3AD+H+S0sdC1myBhQ3DIw2olyir7LJZscuzjN2KsXxTmCBtxpGCKLvDlQ5I5
ANdwiNPW8SO7G/3Gyg1Pm9LHIstjN6bs6XcivMtb1A4VEZzLgXOawd53qyo038i3Xqlo83ZwC+Kt
EA+rtGkO8q2pTC0d4JEDPy4uXY4a4U/VuDSCbU7cOsFpJZOdVaz6aaToLuqerTfpjTcY9WdUV99y
m3i1U+xfjnUQyTk6eo1pjySSI1UpUOI69HuNloDW3TYDlqFvzM3XU5PAEfKPhTE2vOmD+AmlRQTB
esfG8zNAB3do+xXKif0bK+AX/T1IBmCC4YXjicMuuL8Ccr2aMjSDHF/KIKL0Y/tVo3/sWXF3kUsQ
RsNk9qfR1k6rSINpqhink1VNPsUZCzMHgSqWF5WW2Jhj/melLdJVWX9M8v2I7hV9aueiy5TgAp2l
0JO0bh0Uar/CDWQj6RK+bpOQXKen4Rz3Xh05nxpD+UjpRj+jE1f75C6VW4cR7fwYZ48KbbHJzFsw
I74Nk/IEnaccicey8XPJ2hR2lK/0UTTIrQf3kpw8psXwBSPs+tymoS6hcgDpRKbc5bClpPGnPl4E
fcwa3lNJk49xolVaAF9y+uJNysmykxzsNAvVGNC1grQQj3v/OUdjVg9mmqE/laHpNY1emYSzS8Gg
PG4N6QbFsPJMkSNzTeyL4mXoE/+NfmbYXs/X3N/PrWUzfXUx6DeRIoAvhjC1fzGWU3WtHQS2D0We
QqOAFJXLJU3cbw7yjvTFAVq1b8XbvxwUC06kK2BAGIeDyvMAuy5k0CIkyWwdmHRYF+hNfTHHjeXa
KVp5YfLl93f6y+0MZj4V2sWtjubq/q0WAxZhPbpevjC6E0GH+7/ZO4/muJFtz3+Vu5xZoAPeLAem
fNH7DYKUgfcen35+oNS3yaJajH4Rb3HnTXR3SC2qCkAi8+TJc/7GgwedrHvGtOgFyxGa7skoZgEQ
oPE0iUm0z3ptQ/cw/GQ9/0JVhKR94XAirEM/49Qg22+1uSi7AFxrPajOlKGK64vArEIDxJ9Ygcub
KTE4eHTXO7+OR4BIrenJhnBWkpXsTJ3KUlfYI1iOT46oH2w4lkDLvDQ0yhGEmqUk8faMmkSor2vU
Klwre1SMKj1PJ5xxW1sb9BWKExKLZ9FrxpRXUZxZB8KCiBrRQos6L84ouSUBe5SEvN0k17VdlNZj
kymakzZhRpP9KpJr5IGb2MLfC5qhgLmpY+S6o5id7ffxsTIH0wP3+zhGk4tpALTG5FnHVMUWJmYH
eJZkiDdgIX144EHuYBwT261QIQqhh8/UXUU7nKdVU0gzOibnlZHTqc9wR0GFeC9gEYSSC8T8lIEO
gjF2qWAbLhArhJSqFICr+omB1K92CoMa6BJVSfNOrSY01FjyzjdMd4it3lU6wUGk3pPb6BZA5U+r
u390KPl/vYAHReLNuv9QwHOwcGna7Ln5eRbh7PGqZrRIFr1+9MdRhErLHwgmUKejLMYZ8C8VieUn
NHAscC4oOKBQQvD62bASJPpckEr1hTGIVAQnlX+fRJafLd8F3YKVA3iRb/wnFbv384ZzCHPG5P4W
VsfSPTvZjGlwBgkdI2lTlY2yk+F7DqBUMyN0y1Jzi8iqZjAtGIig6qtUK9VC7LAWk+esV4YDOT06
zVIjvuDCVG5x07sYA2ViN5OvUHZn/vdtXJ/ha2fd9IEPRBJInqOV0hTZuTrlW+ByRw70yX+hwPx/
uqatn9PoOf8XMnLfnrt/Fd//dd0ijtW00Zf/COCBxtnh7/umt9e/PQ3z2b9Ow/A5ecdw+V87o8Ta
P0/D2h9Uo1DqQbRRWQylef1/dk1N5iC+rgB1ONOxeb7pmhp/0EmH0PUjYact8U+m4BLp32UGy05J
32ZhFS1165M0hTOWPAS5jFRu0q/kaFpPpu+9GZiLH1/2Vl5rmcS/u8SSJ7wpiLIGJAvss4/LKAKV
5bjG/tHTe+v695d5v5aWdbQ8CbV0fFNQqDy1jm1p6AWtKPqunw4rDM0PRYEgr2bdsYtuf3+pD7XO
5Vq0tH+Yp6v4Fb9/JEsr6kqcJ981+34fSi3g8wVSKrqVD3A9R0Ze6ffFFKxVnJOjbDprJ3UzBcpm
GV1rmNYi0h6/v6cP2dZySwSSBY3CBmgt+eibUZZiVcJ0aPQXVVYS83QTDoEHynUfLC+2Nm+DdPyx
0P9WReWzS55kESqWeLqIMLSbicF9PnFZGthjjolKFwM7D5Bksj45rf5qur59ypOA2Zog1uuKpyzT
2InFcBeqyeb3A/krUhJIBepUaFchl3o6kWJj6gu0BHi5fnExi/lTbqobgWuBYDjqmXrs9W7ftEgJ
t8WFqH7mTvwxg+VNsmtRIIMUtYgyvn+Ttap1MiA2xGj7p1Ktz+c2c6cm3SS5dTD9aDcF0S7WrKvB
SjdVZt6GTftJOiMvk+V0yS40QJPTCwisU3ii5U9moPQZVJQM1/Q5fpTr7FCCwkSS5BYELVtTYIvd
4CmBsmMzRS8YjXETdmAnAZgHxh4gtUzbectUOKRWt0+AweN4uenLAZnt4uL372xZbx/vl3e2HHBY
lifnm6oucx1fFV7ZpB/bhsxPgB6HY6syWNcoRe8pzx1zsXn5/WV/Fdk4RCs6ubJCze2kQJD5Bgtu
yJmN+fCCKPpFWfRerYdXv7/Mazp++ng0LiiJQDBkWziZEUpgYpvXUkZMYFon5UWuIu+bAUwt2wI9
Xm0X91iNBMFKTITDEmJgg3sAFQ+wfA5Dnl6W+byeZ80WotkdjeBSTwYvgzjdCuheKJBtxAmoegwF
oUg3Vlmdg3t29XlyaSIhsaHsRKlHBf0GN5b1758N5YlfvDsOyBR2FwYreh7vp/scmmYitIbl5pJ1
ExrZhTz2e3A8R73x3RQ1ODA/iS0r+JJE7XbUy8Buk2eKUp6VxbtYUW2hiB7HccBxz/dKmurDeF4x
/WC6OeXUr1Rfc2AC4OcSD55R48CAx0kKTiEc9M08x1dTzbyskZtOBLiGndNI0xq+62akdDHCmA+a
YJ1nGgojlDIYSREsuS8TWRsWRDO8GA1uZ5W2qRnRgD8PreFMq6pzP3sCOQ44pdmiQ39AX2vVjeHV
NECzoSbhooXTQTVEnyvIDpbRe36jOVYVPwKQRYkCpfasuGCVH7opcAxIbgGOL62ePlZTu88M8+ug
CKumwZgo0p0pjHfzKO9g+tj+PLuAGjb51K00sX4GYbeL4vyij4LMEcL6nKLs0Qymda+Haw0POsyQ
UcnxrxH9fhZKznxlPZ7JA8tWNe8yKboCMH8eVanmlnNy02Nga9d5ehFb6sZSIYkGodcF7blpCtsu
ib6agMTZjNZFEHlp2XuRId9HMW9UN+/iZV/QVBsnOg8/a72j5LzWlGNSm8B6fG8JJIX+PWRsl7i7
jDW282B5PLV6IqMGNJzzR4r2dQxUzDT8DCTSuDH08grni0ON/Vc2G9fCMOzTSFjVuXBYvqugvh/M
zbmVhDsj9L2mTQ/o2e+yYZEt16Z1J6g3KMB6fRDuFhmihVyUCfOtr2hHXWPiCfNWoWvYBp0jqBAu
rHGdI/yP3vymEqzLJeoIkbgOJOVopghl6oGHbs4G7xRb7TA1yCkUK6WVo+E/vkwohyNIuPxn46TM
ttkAwkqta03Tbxv03Eb83wiYTJBByg5xJa5LRGxQt/Uyqdk2lQ4rR6VdGe6EdljlSbzTtcAbjH6v
FDAWmskt/Xab9mihD7PbtAwssPgo6K58QFlmVZ+bvLhCnVwsjdygytx84DM4rvnG0KIyLH1p8gxb
FRFFJrnedo26W151mPL/OomVKdzhZ7kd1MGDy7IRAzx/qmDdFEiiB+OqDw3TbkCW5323bYfgiuR4
l0yza83+6xyA+rQDqfZ9SmaANZAJw9k15OBaD0NPTdld2Fh1+caUOqiQ8U6DQxYwrPXyapZzfB09
NsD71QyoGPOkx1kF7cjbTB4/iVC/CvJY/VE4Q4yW3uNJ8J1rDE/MVrZcxazPDbzngnxcd5r8Sdrx
Aevw2hABHYIKLvASUBzv42Dsq2lZmfiSDlbyPWQV13oAJaG4SLXJbSR1F03ZplsgHVPReZWQo/Ya
PCx7qqj592HPTGqoyepme48A98FHpj4eJ/f34fpjiZ7kBC4VKs6Ii6Ldd5JmtlD988w3KR9LWEkg
CJ/akzV/GTR1E8vKbuRXwZJ2kKpeZkU+QrBaGwA47KD4rF7+yzwJVbWlk8iugbvl+wGTtXRIlZSO
1zSEV1Fr3qj5/NIl07qlSqwb1F+Udp8P1TMOxE5lECzgp/5+OH45N97cwslojH0mZA19DFdTxjOj
wispLNAPApLy++v8anIAS1eRtV4qGeyU75+1T6tIkFtl6e6lj6WoHmEEQWrTNu1sva6RvPc9w5ho
1sROpYQPU32OB9tKIQpZfr0VxH5VW9ahqKNd1rFsw+4z/MeyT58kKezfdPPoq1n85mQs9GCqU6Ne
GnpFQBmv90JMHxpB8OIEHcm0Xy1cyk7AOyegCIrRiP37MfrF+W9RzUDDXKO7Rxvl/RAJsaGE6CVb
biY9jU3omb78JSIPSvPPjn+/OPfQhwZrg4AdadlpaV8oVaNI0spCu3GLjC0u2LIbU+cu5WmtlCoR
+Qf5428PWvKrPNiHwWXxkygRgbRTOliqo2bTRlwSTreXsHF0Gu3LOlgtiW4tYV9mVNDg+OFy6lzI
pJ1ilnABks0yIyYOZWpFK0cZvEntUReTN9qUbnQ9PSA0tmvmetu0wQOlV0iE4rrLeq8aei/WM3fk
M9nYewZZUB0ER7BfhywS7ijfXo9J6MVVcy5NFJtM6xAlbH6htmtrsE6BhqpXtGsyWOF1fJnFg21Q
aq/0mLp7/gRx705Mq0PNTS+fb1HTnujItKWyadlt4CzY1Iu9QWWPG8OHJRvruB78tD3up16Ztts+
D45jHDtS156rk+/1ZIETojoSrFeTY/aySjqLnzf1uUjEpCy2WZKlYejw6AoeAlWgyL5QfOMdenXf
ezPZKJyV1W68qqz5ostHRE3ifqWXpIhRs5XIg5dMy2Czbfue3S3d+KHghaKAyzNudVKwZrfbYQP2
RZXb/RyMZ0v8nmp158tPUeVfzWUKXEbYN1bCHl3CeSQV8XvzgH0qjm1HPcyfpC5Y+0giVIV/Jzak
4Lp5oAzhTL0G05yfza3TlMwCK7oMyD4rsl6jgMbVWofJQDe1DncDNoPLGPZtdS5mwZVFD0qSrfXy
uWgmMWRHFUdt04/KUbD4bxCucUT6PjJ+RdztM/Om7idOepoDFGjVinDj2PDlhGagn1wmRepSjbma
DcurW/KnNHUHcVoviYwaW3cmvta27ivHRhghWxm3PucR32rPjXw666N+ryZs+DHvlLkW4DYgJtlB
02HzZeezEV/FNUl38wTc36mG7GKpGZk+aZU2rKVS2Q1Zvy0nmInsQi0+VjimXc5T5ATFsM85nBZa
cplzYI0t6MNCzbDx4RBdw91chtdLLWSZI/oI9Zcw1Q+EJ+bgssUiT7GdDIilzbxWxYz5Ong4rG51
omvrMz9N1ZZrXNpCzVneTY1XLXBIlBaEa6NggASOnfh0aWOykWoyueGGJX37+2D3cfNb8CvUE5Eg
XurXH3rTkhh3PDu96UC4Xs4DstrtZ7LKZRrksbqJkuDaMOZ1pE7rxicNVKxPjqUfAi63QNFSp2qI
VAxSZu8DbiFWYi0qI502tGj6vIUgp8I4SDdT9pOs85sAuETvdwFwKcbohiKLVN0XHND7i6ERIeCk
FJiuqsU7AUkHesltbYNaujLE2VVm0vhGTS4RGfMq4nBcSXdVOD5VVXhVTjiVUYHd+aVw6MNhxUHG
FsbhRVcjB3dJQJEFR05iA1V2bIt7MnVhoSYl0a6fMZZtzSXNWQaXQxo9zXUXaRtp4lAATAGT4MXj
ylmKXbNOFoYGxVovkVkYVN9G7nTj+90efvuuMJQjSiA7TaF+ZERXnD+uGpZOVg9nFqjIehp8hJMG
ezYx5Oon9YhLcu5G0CzQYJqBrgb3sTmHtq7PZ7k0IXqynEBTYpQit2gd5ETBOTuotX4c2vAhVzBo
TYqLts5y2xx9r0aH0S6JlwikE2OZq/TkJtm/wjX5GjNgOx8Ejzj8+vTtxIk6F64FNtvFlPaqkwOA
72K6UdX2RajDb9OoIyFhKhs9Ly9Mvdv2LF+BUgQs96skxlxY6P3rQtccSeENBJVwyJLgvlU4EXJy
zPu8hOnfe0SCXRDhFBbFO9/ML1qNQ53GdhVyWJNzzsBFvwKnMzpNEFxVrQg5fKUk7HWteRBk6zrh
mpTMLiW/XYlYG1QizRRLPJqcp1PB8pZ10aBaoOTqZgRMwDTbTRz28UraYGOz6bR+1ZbhrsTiJamD
qyXMIi9zi2WbbbSd09c0OdVScF+/3Io3dCgTxKkjx2g5zVbpppXZFOdFQIYfdIvjrtley6W2bMEo
uCjWV0NvA7fDAU4KwUC0IcbXYGFMLNgSmoXfIcSUdoOXgq36iGkJCbIu45liTq7WalB18uckMa+j
ujtT0gWrlGyMtjgsB++YoDxzkCrF9iWsU/wdMxy9EmGedkA9LpG4uMNs5aqRzauK4OxZXUbAAkkd
NP7tcsQOcTtzRujkQt2tJCKaPILd0BNY9YGn44ndFZrTDYA8S87WheAhfb4VOScjqPOkRxzjybdT
yQJrTsxEHMXfF5Kyo+S/Sw39pmnITqp5PEsMpPQKAws1FElS9vb40cp7VITizO1okeyXnb7Og09y
519EjsUGgTYLOSFgxJNafUt5K5sa0XBNayA7YjDZePVlCUJoSqhO/D4yf7zcIv5Fzo/gIzq+pxgm
MdLDUUHoBHxNt1/yk5BTs5nnz8tML8fhk8v9YiOgRQkyEhEtHYTkK97nTd1/Am0J3HEw3IKgn3LA
riMUEJNZhI2Pz7CUPIlTeD2YySEKM6g5nTNaP4WL/xs60vCX+feUd/yWdvwfZY8DGvvN7PjQpkap
4jmqv73tTr9+4s/WoPkHjWTcipBZ4zfIPv/VGqT/t7T4kONTZKbTwpr8szUo/8HfZCqLzC6cNZbi
/Z9AWfkPWMrYtCGpBn+YD/+T1uAHtW6YLLgcLBJ6NMq52EllFlvdWIRyIeEt30r3oY777tgCuEJh
ugb+loxmhYTV7Fh1Wt1BzxSva1X1t02km3vNAqyBvMCDP6iI2lSJ2TkiAMIvRSNieduFoINwspcy
e9CUcNXgXwu1b+68ORdbUudEv+26oEzRgxmtxyTNzSP4OP2bEAVxaqPlXW3HUcaWbUxMdjtssFcT
Bh/Y8GThioGB8TgUg/9oNNJ8/eYdXvxIOt72M0+Pf8uwUA1CTROnIDjhJwGlToNZ0nwZq/u+8qlt
KoWb5n3paY2C72yQF9sGXQEvE/DXfb3yf8M6+w+mbi1n27/vuztd/fzl+T1HefnEX0sKndNFCRex
TKBXS/j9s9tu/YHqJvjWJYf8CTB/s6SW+UkjHqoR/BBS2T+XFMxmuoCiyM4BpExFMPsfAD4Q53+f
xoL4oKcvUR6B1KSiwP0+jZ0iUUW5DFIkKh3CV7jt4RmYj7bc92Utoish626hG/mqLFX8FWfxcYbU
swcubAA7xSB4tgO8myezkIDBNr1yGUFGdmapBDiiDg12z2rZ1NeB1NcYx/m4T/ZxYWyk0KKBmEsO
OO9ejLZwkXzNK8yCU0sWeX2MXuER1+l9gvoSCJRofjTVqq5oUwyN4YkNRzUzJGMpJODBcKnYv4e+
SzM3puwTci6lFDG2fveJTMrpEWNZapxxGAxcuYiRBMi3TW0sS2JfxAzaxVFgV0049wLXh8FmjIu2
WflDG/3/L6836CjZYG7//fK6fn55fr9d8df/XFvKH5C7DFqdwId/kjf+XFv8aOFzALt4lcd+i2QB
rgLICviLDsHxB+T+z7XFjyTAyAtMEzT+P9SufWX+vj8iAspiacEYpDjNlvp+siD5rxuzb8pI28Na
nxJjo1TYSpnd8F2eZ1RfbugdNsAThy8Nvu94s4hbmFMoA2Wmi3f2gSguH6EPUFRT1KPWPv7z6P0/
gUy0pNks5N9NskW05Yfs+r/+16p+hof7v9/Oup/f8Oe8kwnBr3UONNlRVLd4sX/Nu8VRkBBB2x++
0UL5+zOmk1wh9QKYfhH+XwzS/orpJroTaKDigkbupVFY+CcxXTsJ6Yt5ILRHnZ4ptA52j/fTDtP4
ph1FUXGnWZI3WHWrTqjMIofNaLTfDNMvMo+PbYDFqJArATzCIARK0ftrKdpsSWNsKW7czMPGaLys
hu6LC5TqKMXoBIMx2XmP41Oto/ldthRJxnRlInFlUztX1+33SAxoGiSz5ZoqBFExCl21zg9GIn7q
sUSkOCnZvJaHFmyjSJfm1CRLNluDHUpR3KYw7rAITyAgmenBNMNjAex8LHsk0LEm1BePQqPaiOKU
r+MR3b6sMUVbExC/K7tEsivFfEmi6sbgaOOUSNJlRiXao4aRtGzGlRsjA5FQWFmNFCjXQWjsOKKN
CE1QadWG3HTjM7ltcieHShOYdeUMqKehu1hgVC7HO0yq9zXUSiWKvoamf6VUtHZ9MPoYSu80v9B+
HNn+0TbzPyEOLCuCVAxCPIgcGLecdN5M9w+HpbOi/l6kyS8Qvb/8oh/BAYWNP9AzVuVF0Wyh5BMA
fsSG15+w8DGC1TgDQ4n/d2gQZJMPLdWVpYf5Q3jmz3yPctEfC6BHpdmigX7S/1FseJ+/mDRyX7+J
MIQECKtgOUq8OZynZmCqg1+F990O2RWMUB7mTzKkE+b3x0sQ5t5eopWUtpZmLuEC8XvuH9Lz3uBK
g5vPn0Sf94Huw5VOc9fUoOtlmVyp8OrNxWdOzr9+EGrZvEao/rDA3j9IkHd5ooZDeI9QDFLzZ/O9
vxJvyrPPBEteVTv+yhN+PsebCy1x681LUaXRjEt5DO9zomboZbhQrmrUpl7C1ba3Kc/u2l259y86
N7a77eTWZwo9H1t3zVWyJT9foU4pGT+Cwt9WuE/YIh/vahn9N3eVxtSh53QK72tzQ3cn2ayKb5ZH
38Ub3Pp5vOufRtXWJefNEvvFjnKSNH287MnuFda+rFYGlxV3klvfjNv5EENnv29u+7208+3moumd
GI/Y3e6zpvYvHxnb88X6dyHlf+ijVkKsq3Eb3ktf8t424ZE8FU73CENJvalBzZwnq0gmgtvJy++f
+n2N7sdDv73wybK05FquRWmZapO3gBpre777Umx+f5GTytzHq5yszEYBAwOjL7zXaxsqaPkoVjb1
DtRLuSCEUqB3keD0yifL9NUl7HR+k5GolJo0gCuv9/VmJsFyi02wdOG9mnl13rSrIJhmbzCt0i4p
JXJOVODaGvplpsWL88gWsxbghLXe7g1JSJ0uMio76LvaEcOxOKaSema16Fkko4H/Sv0k5OZdkpmx
lyGjDUV0wUEJ34vJCDdGYVi21AvRalQgaebN/TzNjSfNZeB+Mrrvs4s/R/evpzwJF7kUGtMoyuE9
mgzn7QV94KvIkc7w8rqbXqRHxJA/Azi8P7t/vOJJ3Mg56va9PIf3yrVqOhI9Ilv1Mi+wzXPIY+YD
9nK/f8YT3OfHK57EBH9K676upPC+8rLnauN7k+l03rhKD9CpGgcqbH+BH72becgYTzh2ugsqEgZh
sokwqgrsYROu022zSdf8f3IuuPL+M3T/slY+zLalEgatUIEsczIqs9mLYd5yj/Vh3ltnVAQ+AT+8
EpBPr7Aw6Mn+NcSYTnE+KMxUilpH0X1mQ61e1719TK6Kq/prW9qzXTmC9wWiaHVrPs770J3O23sJ
AIoXPbX7qTu25krfThfyNbKKdulM94Hre2Ns+4FtbIWVdD1ekHoilfYNQPcj4OSvteomkncJmP+i
+5pc+HZsD/vJLm0a2sHF82B/hmR6VQP73ROezOU0rCQRberwXrM7L9z2bn4u2POqclBQBsnpDVei
aie78NrcqnaFgpzj27KbrdQX3a6d8Em0fX6trkFh2uBvPtsjlkD1u9s7ecUTJlK5KvnhPW3Vw7QT
Q6e5A1ey7jdt4VIvMtv1uJN24oF2/IV1KLVPbkD71Vp/OwNO1gHF1UHsfWZAYpcHdRc+pi7C/069
Hy4S58bYxO64N93Eua93jYscLJOi2lVOu2uO4arej5f5y8Xzl/Ey9aJV6sTOAy09V3nECArW+2jH
x+Jevmr2g2iXx2HffbKMT6QZfixjxFs4cb6qQJyaMIVygpgACrf3rYv/3xYnKH1tfdFWkoun3Mrw
iMmlp1/PXncefW2d9jZwv/8+kpzA9n7eAmktFB8yZW7lfXYhh4EwmXoc3Ud38p38TbhSv2Jl1+7y
zAOGodJuVdCL+uTBT5gUH696klzMTZBoVFei+3hVnmsbwb5oDu0aaMr+syX06aWWLf/NpleXRmn5
ApdKzvLWzo5EBH8VbXPPPyNwfsbufhUz+rAk3oznSQZRKRZaBUUe3atrfze6GA6c+U7rjgdYvI5w
Nr4I3vQobtEvcGt72DbXiQsB9f6Tt/rLhfnmLk4yDGPK0tnIeGgW5XpYl5t5nb6E5+GLdRbsNA9+
wLHHeePon4nEzvXvr35CEvn5djWDWoTB2Q7l5PdDnqf5KGGsGN3TtHFTNz5P3WifuqErOJFTfh8e
K7dzfbvcyfvArVv3aDpi8MkUM5bS/MfgtCBRlvo9klunFfXOCkrYXtH9w/YlsyP74fr4creKzio7
d5lxjQMRy37ZHl8Me9/YZCdu5niy7e3WpR3aF1vVyZxz2RGdbJfZD/r6CU3dVba+IYaEqysvcTaH
0F0ldsb3bS88lefr7Ze7YHWd2ec0u/jkau+A6nYbW7GPAZdo7KfLo7HaF+uny8Q+n/msZq8MW3PV
tWhfwvI/jKvjee8OXuP4rpPaznpyL76tLh6vvnjTOXpSsjevIvt4LjqajcaRve9dfXd+VL2nm9BR
7O8JT3q8e3Ir++YOA1f7S+1OzvlxttVtZm8K+ya1ub4trRT7YeVvET1/HQBppTuhy7div0GY/Hb+
ZHBzl4Wb2ddnk/31+DTzCO5ecL2rc7u2DwhD2NrWXV3u7gp7sI88z1dQN6vbzddgZXJzqVPam9vO
8Z2vD7539+RvI7twLvBbJdJegx93CuecsVxmx7h/4X2A67fxFOcngr3V7Mvjtdu7x21r36xH+2la
P+2dr6Or8EdPIw8lOjNRk70cYVe3WZ8/cVIj57KcVeasZ54wObb2FWp0znSh8y2Zo7qsuxXf39qe
ard2svzmi6d53tq0nXGnOM61tzvT7WS9vViN9uPmlltVnHXvbBv7IrJV5u3h/ux6nzpn9sVhZjof
NjukA5zK9XaHnXd1MO2d5T5U9n7T2de1t9W8AxdxyLRsx2d6fX823cYhI50Zn/WjaqvMuAswgzvT
JrwfO/sst72NRi5R8Co65+xatjdeaH+dVxoDquy+hO56WAk7ZWfLq2f77BbM/U1gP4VOttYZOO+K
X0p7FyzvLrbvLNtwsYhwUGaxD98Mx9uVa3/v7SRnubNvhbNyRSZb7+jnZwcuxH06pXM8j1zvu+fu
1t+WRMc7+3rsnB0gEfuWgCbaw4WXe+tvsxNvKu/Y7S4n59i7/ap3pVXrbhJ7c8SUwJF3d6zuiWl1
PL/p3dXkTF7t3t4dzzX7YWOwInrXXItrb9O6hn133F9y54lLRuaVDl4h9r7zzu8S1y7c74p9/fCV
mbwsI8P+nrne5vbO8S52ExPwbP3I8GX297vNw2AzuhPFvecD4rv22WPgPE6r0dt57SWCIfbs9Z6w
LtzQjve+zd7OP2vsJOxgtWGwy11oBy7funxf54DhdoXlhm69W+6u9Xa+c3358DLY+9FtGBDDZuWt
cOfa3tyJvDF9bTKEl4ab3op2uinP6l3u7D5TEzzpGP6Msm/i20nJVxZMPVIr4ptBeHkQ9g+z+3Js
mDV3vCkW7DZ0jqojM/SF83Kzbr1s+4WyQbW9N+3DkruC5F0pzvV/LSuEBc9BmuIutjnvw38Zow0j
CHVE5SDfil4QOf4aW11wUdfxqqUANZzrGwjquYfFMBPu97vPK5z7ww785vInO7AVWqGu5s2SE8qX
T8XZuDWIg+vIU878jX6ur8pdcl59cqb/1WEHzQDkYAFGLJT9988sYtDZm8oQ3TeYBXmh5l9Y6B3b
glQ950DGcS4rCwc9D+OzKt+yl54+LSK7QHk4z0NylN9fOMvMYpAELjx481b8bn5XH4cH+YETSXk0
LihV/0i5/1GN+j+fw7+IzP99G2pVf8u/hP8CrPmcP79tPy0f+9l70qSlRQlAZ7EIxIVFJf342XvS
1D8QfEXejcr2gvbSyL5+9p5QnVgw+kvl2wCzT6P/370nma6USJcSpgJrG3jYP9Ky49W/mxivvr8U
sF+1UQ1TA4j7fmJUrSQnVT5oyCbhTb/tcPNbNLHMktNsAy5yEWjB9FJONUSehqgaHpU6VLv10CYF
BOfen/E4Q33bbeeqEB3A/9mI1FUAlN2cJHWlKAZVuLhtMw89m2GDbV2lek0N7syOEh3UDhI3+nM4
SWFit3UYnNdIVEYrNNgCqkh0a8gN5DIEoirNs4Ta2yxsi6Fuvltmk931ZQaENvbLVtvMhq+OYC2z
gnJH1vniWkUuqlzXcTcnTuOH/njd4RmwGxoAEQ6DXz+2URu2jhSb+mVVjMqlDtsdCPdUIAYlTNVV
IlrJoyUF/UBFK6weArk1OnhSOJOeGdgRbAZRqWo7DqvpWyYXouzmJsZEXSGHD5h4mVeakmYYMBTG
LGMvJQmKE8055l5Fo6m3VWr1iaMmQmwi2CVkXyXZ17M7MWghOqL9J1WuL6g6XBSpV2565PjAoRuG
0AKS1Dp4mhnG9U6rj1Fnd5NAnRAtCD26AK5PHE2sBHLblCkdbxEBdEy+4k6ojgkiO3hZ1clcr7u8
jvBSCYNqp8pm9RV4Czh9cVLialUbEzXVNk4VtAn8Wp680pqLs6wb4LpKcdN0O5rdY2t3JQ5vu0jy
qRjpcwfDrsXQTFv7lpac52Xf8DplPSvdKsvj0Jmp93wNcW6rD3AoBH8rZwqOSKJgPufysBws8yZD
Lkyf7tRYCO5TcYh5GjPPMAAD19LZWJ3DilQyqzMCpxyapnRK4G5H1ajUb0Fe5dl5UjWqtEKFD66R
3WdjfNs2SqPi5pRrKVo/yozxYsfY2jDikqMU6nFuRxYF11WTlp1+ZRhlXdroLIhbujMBZ+3RWJSA
Qr0ErQpXK7ypKZTGPRXMacAcsGSdOb3WlQ91LmaqHdTB+CIXdARBhI8RplsRznsZGiruWNXAretM
Ny+LMILxqAATzy6ltgxqu7OKQdiqgGS+161vRbu0icPwua2nFq97yVeMfdaI1LezSUJkAPEabOLm
NNf9VZ5lQmXXTV8iSj+POWZXbYpKlpSGyIb3Ru5DZEPIuXSSGC3J9RwU0YOY6+G3KjcMNNB1o5Tw
iBI1+LmKgvrRHCrFZtSC/LKda3VElrwqmU0J892NDHVuXQ5PKlpMY24qbhQPPce33lK/C0lQYtAZ
t4LuWrEpNwe9D/NnQ2oqKouqUl8ng6IKdqjUMiqaAur6yD5YanXswqIdPTkrfckVAjHMUNqSux04
PtQds0wPaLqWYrQZhTxbjzGWBW6Yiv3lXFT+QxkGyBzWeBL8X/bOpEluHEvCf2jYRoArrmQsjNxT
SkkpXWDaCgQBgivA5dePR1Z1VVa0IsO6jmNz7LJWMkiCWN5z//wOWb28BwmQjE+6r8t6gxModsCC
KZU5OiefRO0zICc0fUCkdX9bBWuQaxHbZoOfU9oNcKNNt+nreorBmrNg4DfwzX7BDCk/sXGYvyId
IU0PKbNCH4MROiR2z7Jfcq64uZ9Sz5XbeKL4NoWppodFtyTIamLhu63Bd0YaWA+cYb56EeMYolNK
NilVFtKkyiSFWGN1NCl4yBzT3M7YAE8WRcfApaPe9hKxdL9vif6rNfv/OhfqCFF7Y0X/qtURTfsr
Qu3xX/57UU/+hQgalMKg53vpGv+1qMfHtBIUEo5pJuSPtJI/FnUPewEkA4FUigIadgRYwf9c1b0I
GhXoTEDSwZ8ElxQ1wP9CJnjCl/GOMisIVOD2/Ptq3kuruasVWB9zdD+Xa5e1o4LvKpIQN4x98MUf
lPchCfT8LJFMmDdynXZ1S+Di4POSe3phe39toejzOfmoetdtXj3Ph993nK+1r0fd8auN6F+/7FiG
eVVfK70KTaIUsBUdlDXMRkt7o+Ye53r03m+pQR6K37No24kEWSdu0e/HYP3gvJLsqC+Anl94hOCN
VYuN72u641R2m6AZyD5pUgSoQOX87sIvPRZ+/toy//VLT8pSfmNjzJYKBWpO0jzoLRrvXgtKQKLK
774Oy+s4nJutW0sgASMeYuvTDc0FTg05d/WT/ViQDpy5EkAJv6PRDvMxgrPhhNymHVaXvhzr4ghz
PWbUtJuWTO467gAaePvW/35K+evOT46KDfw+KwSsqliNwGrYxg7uQNEMBy+CESaamP9OBnJh2Yis
nN8nn7P96+PI/NXTPim/OYY9kwcVTdEqW++m2sZIITX6tuH+j7fv6qRV/edt/QeKPIyBJF7hZHVE
lNdrC+/njEjlJ0TrTkWFFJptFSqXM7GgK9bWpkBw77hLxXqn9ATl6NF/GJr5lqnhm+nicNdIkGGI
R/iFl/6CKvnFQzjC5F5/HJ6nGyCkQSykqppBk5bAPKfNsNOgLxbQgpmrKdLqSjBW5wmPyyfgGaut
IB3bNhag1IWLITvap/eBmssrfyIUwXV2vg66djn4A7O56hL0aOdlvMBwOvPejtKc1z+5HiaJRJzI
FCufgWxkEaTrc+X28Pa8f/u9nXiX/3pvJ9V/5ArDUldNTaGdr6/KJOiy0qReEel2vnbYSMFGiXBk
b2DNZjULGBN9V1+5msALOlvyCNnaAhN5Gd03CmuzVzr1aTSAfoi2tEVSLWPuKDE5X0W3DyJ9jO1r
3D4qCVIqBku2Si95F9IZjWpOd25czXXoLIwDLTaCbYRb7gcyX4ci7LJBNe3GCpz9oC+/pcKmu0n0
wQWw0rmnfTKvV0u0QuoQN4Xhqw9kPWI1l3jtM79dkt3bj/vczAPvx9/eaNcnCLBZZjzupBp2UndI
5MZcnY/G3rWi/jTx/nM4lmYzgfiZpXWwXHjRJ4KHv170yYzbetwmYR8iiVzGdkYSTgXx+oQQOZyE
SvezdilAHWkFM9gmTRYF4HVL4ENmI06IXTxHPgQvBP7NCw/iONX+6ms8mYLbOW2btQFn17R1cIPI
Ygec8iDrYlmiBJad8MqkCNLtICzFEQLhBR5RCujSbi5cWI+XfsZx1v3VzziZjZ2J8Ln7pCkEE7Iw
xzqRckuf94J/6IIJu+3jgWjxkYBaTl26XXuW7tN0vVSo+3uF4K+3cjIzQ3Ydejjm6iKdXJITHM82
otHdtfFTjY0qwBBvP+8zY/s/MLew3YxIDNaFA+RoP8CJg8WedRufdE9vX+E4J/3iSZ6q6HrNAI1p
GSyRo602cN5Em0rB1tlFBEzooCLbii7k09sXO/cdnfJerDHlWnerKGYzBLtFxQoh14mHhQezjiLx
ANFpUB68sP3N2rDfxHNlLnxJJ0klf76zUy0xAB7psnSjt5eyNFdDi3KD36Tr5wX6wtuWELONgBBa
wXCK+j1vqZjxmB3cvTifR9/8ETuybMSDFxsUKdmdWTgPNn202EIC87TzkLBdBLUkbT6HrP2m/LR+
DmXZ7pn1UUfxKFLXss50c7+Bb3zGaWVql/tujNm4f/vxwsNx5m2erjxzZQ2KyqYAf2/5kUT4TVmH
OwfAaPXYbojw3DMF0HgCsqjW11r4abUZLZ9t1oKACqoBKiZbFbd9fPAQQF/FEwafHHmcawAcbmfd
AxhGqgX5wnTkX7uaE8TIl0H1WS2D/VzCu7qpS6DTIhv70E/08BkfmVQAVExjYrpsMSVT+5jL5MFP
bY8eDeMEHP80gWR5mentYN1yF3BN0frUlh30MqTHtGrirUhHAQg4841qZxD8vHIfG4rClwwC++DR
FtWmKTHJvYjSesHzLatrycBMz+e4NtDZDdT7BKa9Qn3Mq5ESwJIG6LBuFp8jbNuukRQ4p3cOSZlb
wBLCANq8Gmm6LY7hLLPVVMU5K5Mu3patEbtgbsS4p2UTPwW2aoAOMs36G5ILPUhm4Nyl3EtB5FhM
8NilqCZkLfPCm76Kkek7wJ24JSGXLS6KpLmNcDUM/gif759x4kVGDytxe9kAUAbcbmnQRzfLKvLA
QzrAgMJJYQN9pf3V08iPklC+jXGXgE1FbfW1QuHpKZC1uleodhw6o8d9JCgqY2Mf4c1rF7Tggem2
XFDPCCdZDMsgkV1MWX/Uh7povypDnsGMhoBualWq8onE6j6uEuZdlWM0/ITxXP82VS277rukRfxG
OxiQJlizhVbdDaB19SOEIgY5NTmPbH2ESs3pU52ueMtETfod8ocNerctRRsjlnX87K2yUSjQhEDa
QAMAWn3iSP081dKgSrTKEHkRrTLoLFPh1QWby+C5WmKHgBrVf6hMVX0lKo6/16DzDpkVzWI+wM8e
f2eRW4EXCGMEVlaobgDRJwNER5DWa0pUe1Ls56mizbuwruuPgjZG5KumCp6xznZtHhC44rlWJjx0
bqAH5QnP7uTUryilDjE6rnMjb4ZoYchYAikVPdxWOiAm0wlPZi59+xiO+O4zY/1uOqaa0/c2RNTX
Ro5wWUBdZoD3aCP0WRmS3mOwhK6jvoFENlj5lqB0OELACatoWuFwCnFVtX5mCyB4ecnW2OSUz+P7
ro2QDx6Fi1ftfNsC1JciNDycJ9vlYcnGR0EwrnPLUwx2PYrfotLAwxBG07FuSqpo2zdKRFli1+5I
map384BAjvtpJPH7sZztc+977bj14gbjEENHbKI5wGYIlM3qcSiRMQ2QQsy+NfjWuizRffKe29b8
5gVD/B1JuGTclPD+/+yWIIaYsLM9KoKddR8qb6AVSpoJ+za6ASlo8Hqan40Iqw8S7DykmqPkajc6
nCHSBb9pgWmBWPO184W9sySgn5bZ2h2Fw/4p7mWLzHkugsOYNhwIhMjjJOclvUuHdCvmFkXN1lqQ
WETUAreeRhmYOu2V0Mv8NJIaNca5qruvCYaTysoaEesFbepqp6YSEkDdpMFnN4A0uDWiASjFLw/d
yHsUmivStUU66ybzBbJJizHUCc25Jes3BQj7WCxDBakoFRVQLXCYAOu5ivod7/SMWXOEgpVAc3Ll
t9y/lTZYD50tR/Ql26T5GA4VXrxlS3pDulWNW9UDWJ16Eyqigss7AoLVBi+yK6JummPYfhuJrqta
ESquE2RO1BLho2ZcZAHyxVhn8P2yn1HjS47E9sn/XgvULjOc1yN1MGy23zqcCMwubTF5Zm1CgDaM
Ufi7XVgzQhSJwDMIh8e2AqkwKbFYgsiOhOQ2/OwzkMWdnjDb6oEGEIHVnTwS6BXG8+AcB4yuxpyZ
g7fUl5lfltENm0N8h28vgWc2TKdarG4KLKrMPfan4zLsIhMA+8PjBRjDgG/evsRxz/+LHdOLaOZV
tWa29VB3ddMUqEH26PUsQSGqZbnQDT26+n755082/HKlDSI1qCnmutFbYhRaNQx1ZRuJBe2QZniv
AWfbrRQqZ5QdwnzmQXxle2wNWSPLnYJ/epNGlmRVCEJRiVVwF66V/Ng6hHgCdAbqlB5kUUUJsP9t
hVV2AiOkA/b0zu+rS+FqJ+KxP7db/5GZhHI3l+Oqi8pO1Q16MuByVp7cVBSMLLkuZDuI5vi1AQnU
YRu617ybb0jr6IW985mq2qnDHokqfa3STgLGVfn3lQv57Ty11bPXeWu2HPNvJHpxhWdNua9WsVw4
K9IzO+r45GywJIt2pQ1lwauq+wFH5BjtpOkziKqn9sYGdQzaqbC8y1xXTx/GKBy+jjiuoB5pF+cD
b6MCl61sgNwbDFzoj8kk0XdCGDD+A3fdR5z80X6BP8ct2xmAoCdP1wIH+1I3bBuXLv6MsHJ3raek
wRocBhwTSAgXwNvj/8xzPbZmX1c3TNhWYMNgC1LamWLXUx4LRQCGbe08DVE2dzzCOZW2IkSsEzc/
EFXRXFKon/k4opNi0No3ZowB9i+YievPsZiR/uL186Zqqz8My2eLbmeOdsd+9evb62eZ9F06QJOz
UMRbevW+NgQbWU/+mIMlufAQz9zIMez09VVEskpPdACfSReENwJNUzRTsP2eYmwy335P577Aozn5
9TWMWWNPB7MuYG2EVHeCkVFLGN3BuCQJPOdYx+eoWh6MYT3GXsMOU7pWe19Q/vPCTzhOWr+YK48w
gdc/IWm9kcEUr/GVjc0BuVuA/yIc9YGoUT52AjG/FgXdD4YgIhI1++i26uroce1Uh9RlzKkt139w
Hs6+1zOf5Sl22yB9DwNzVIWHbXOWah9tQB/+l0Y3Xk7qptombHH/rCaVnNQnUA1LVDWKprBQtKCb
LtK8CUD3CXrevHv72Z4bQSfTzLiQJkEg9LHIWNFdJxTkuJFyGzUR/8IgPbfSnXzpLeCj4P7jLiI9
0yyQQ7MZ1Egu6G/OfGgwA/5tbKR8Qi0giU3RdRFiphh7avqaXQ96ghhtEZdiXM9MV/HJkdi4KTUd
TvdFObfr1h/96U4L71a0y3oDjAiKaQs+79hG2OI4ftFmcma4vRgvXu0SzFzPgFGZpqi5331UqcQN
xV6Fk4mnw/VZIiKlBPG9Ejj0TkK6rNe8CbJEgXSV885TN6PuhyXjXKrfoJtoPoInPAD7G7ve21eN
UxDhvhyovQVz8Wo0Zvwg6pr9gozXhxZUyedkllwB8mL8A6XoVWx4EpZI/QH2od37asDZLPE6UJNp
uvSPRIG+ltUhSNtA0QzuUXKrPprlmFEcmq5ZL8xLZ55MdDL1sXFCN0urCspxFEG0WttdO4zrTaCR
FlZJVT13pRYXBtlxMP1iAnpxP7x6DTGZgrZJW1kouv4MgvEROpkBx5fqTnuO7Id00l9CkagLX8y5
OTc6mfD8uFqqJkWLytjyhqTWPvpNDenPUemQUNnu7FCynWbqK18T7xkiED+zWK0f/tGkENG/f1OK
cN2uc6WKcEAlqxJNspXoJ+5oreWFhsyZeSc6mdp6tFzS2ZmyQCvOHrikfj5CZ3St43q9sMM+N0JO
prY1NapurSeKMaiDTEyAe2GOUDdtT9rD3DnECZPQ+/6PHtkpcQjJnilO7qkocHYc8nTy4wMLGAMM
xb/kQz0z053GcZZI0FqhWFDAXybNAwx7CPE1ASRdYAXs+egujb6XP/iL0X4qoWRjF81ej+0R4bG5
rtolyIcYyQ0EOpSd8QLv1qaDuhp8e0/w4T8kcV1vE9K0H62h5Gsz1Rq7SPLT4IgBeB5seOnoP4mp
MoXLYo+3BexUQ1YK9WmVMt6tI2DiOCSbfPIQ9rxYoXZeDxdKcxRRtXW0dcDHoe7h1P1Cou8VSrA4
4coRpw+PFa4RQeYnZZfZBhugOS7rR4PXu+Wqx3JcTepaWUQQgnIXb5CU9iUBpneX4Ax6YaCd+1zD
k83eqKHJAwAbpwDEmmcIgm6Qijj2cQ4eV7yBBC3dlz31i96b+M512vsshg4I0lr7F857Z8Z6eDIb
Ni6u2RoQUYBCKb7QZDXvV9rpnFqfIFlB4VjeN6H7+fZgP/GX/HkqO0ou/7Yh65zXjIsShR4T/zaJ
h2YbcLMWABv1hwlGqv0YDxSnxoFuwsTB9DGjJlhTiB0RgMtzdPc/sBJRf0Ot+txGvb8LpxmixTpc
v8RotRxbhNUmoppucAyHPmlpLhmEzj2qk7mVOTZ4iNIURTLPwxbxmOBUOABv1zr6NEolH2Hxlhde
y9mRcTKTLotQVd12oqA1zuJhsAx7X4/Lt8Qt7lqCsXuFKMnhutQlAICqbqAGq4ZNJ+Wluz2z+TqN
XakUk9LzR9ztUSa2SEi3aiku5Uie68SEJ3NsN/TMUYGWhSAC5VtKZNGsU79NVqzCbJ6T6xa+OkjN
1urQR12SkdCPf2dCnd2Kn1lCXprarxZln6yyBZPL2/uRhqTBzmbjq0puJkP7C5uMM1PuC37v1SVQ
dKrCdfHKIlkW+hxwOt9C8vZ9SEHnylE7uVRvOpHM//lBnfrs08VAToT41kIlEH+AbrI8BtNaX0/9
OG5ow+k+jbS/mzRUkms1y0dDLfyzscSWL24RTBmjtg/RrLcgHSMJrpaImg2w9/wfPuuTGQ5i42Bc
UizXujfVI6coB5OVwk0WROTj25PKudd5MoVJENNs66wsxlKxPUTJLi/BNb4PbXiJQ39mG/di5n71
OodJ+3MChgzAutVwlUwEOhxPsR2NarYPW0kR80LsFj2j9sJO7txNnUw2EMF2a5uOssDrG/N4puoK
Q3bIQ0hcL+ykzolvTvXlkAcLF2qGClXilU8owdZ7x3r6oHuEpy/CA/aoa9x7XLc7oMleFgBrdHkk
0hX6Y2M3c0gUsq3nEGGnSK8JDUjJKCKMm76fLx2fzn1IJ9s9y7pxQnNI4vgUoZo7RSpfkOK1a2J0
eRK5dvu3B9G565zMRzzuPJoIzN89WSI00+vlem0YVMoop+VljRyVt69z5r2+AExejSRWG2jEukii
emtXZLjAre5x5m37SdcX5p4zM/dLA/rVJRp0A0eyQpzg3MS3AKaFt2Nnlu0/u4Hj6vjqr5PYQaVd
M1P0sYyzY8LhllOsEOmCrv0/u8TJnKG6Zgyshn6pMgI9JdCy7kBPvoeMd7qwvJ57C8f//uomBFts
2i8aN1Gy9L5ViNVhTb8+OETNXHgLZwbUi8v41SW8Uq7gFLG6EB0fP3LutxBiK3KI/aHNIAUdD28/
rDO7klOnLn56P1sVVAV0lu/job0T1RBnpPH0xrWwxoFyeuGOzj20ky3JGmNhmSCOLkKDfgA1cs2q
pCOoIpTswiXOCQhOA8NGQc2Ytq4qqgo6vsmb+ZU/g6RSOUMBXR+gkT+2bOgxtEIqMmY9CelVX6fJ
ViO/58JHek6r+8Jqe/Xy0jJCWcDgGF02HVIcJpaOQw6uEfnCuwbaebpU/cFRbmFc7e3XGmHFXyI7
wCDmbBh8HxdvumIqQoSRwpkD0jiNY0QqCAoob7/1l43EL45aL1reV7+w8WSE4z00u4HtkGKx+u+X
0KJ3X80IhFQ9SO8ot0J6CFFv3KT5ECwsRx/Z7piwwInqKNpAurXcSY3XOOnQoNubdJ+sIOl+BFMc
onc+g97u1k0N78i2EuDxIqLjup+Gm87VsCQOsGnY8JgVGKw3bhHxp7hM3b4WgdpZ0V/jDXZ7N3ps
E0pB72Z/2JD+0hxxZkV+WdNe3T/ilCraEgwU9P/poSIzzimsgu7W73FYXOlvoD/i7N737MKYCP0z
8+rLFuzVJaHULFU6l1UxrQx536Ft0mvZIWsdKH01I3zPR7JHlCK1KG+BK7glsnEWhXvU97ZBJOUG
x0dIUlK0jHsgThm4VMncYkWdqhWJUJCMX6H55nIaeTswV484S4Nnm3tCT19qvQQJ3BYe348qHQ5U
4lyQwbs0/ygd76esxKr9EHWeu4esKXivAzI/2C6OfpSdKcEz9p0e8hH85tsJbWiZwSVhSwAzKb+v
mRc1GwSoT+8EWqtuI9q4sTtPfEeX1DRwRHAK8gIBZwbHLvQgKCxFwO22FRK/xg6U/ABipWTxoVCX
aB/OW4KECoQtpAjas+uMrqCXeCsyRRaiEiThwZqUpV5a/4xRyNnMSeQBoDAHw+ceANuv6ZhCSOl1
PUM/Ap6nBT9t5V99YuePsLC9G+NyuooW9FcHwpBm6GCtWhcKqFRf2jZ3S+yhszAk9KaZjA//rl+G
LuNsQD8e9yd/IM6E3PBK8CgHK57bDUQy/S7umvIrTfoBfU1eQaoXyRphbcgVIM/R2AF4X5puW5bp
0O392qBUQRCIWGVqmnqSpy3visDD7cjJNkmeYukqH2rMBiQ33FZBjlr5/LPx29G9g3Kye4dgZ4dW
eco0P4pc2PeODxqJ7BGiP4UfgjxtSMxhUGmRTgG1FpLm7wA/1T9M20fPesEpFFkOKuF5sobVx7SS
vswmWqpPkyyjJJ8nxEJs7DqlH0a4dhDis4r2W2UXfCqr0isYK4AeHcCcDCwCWkboxkTU0R0kOkim
1yuN0aZEF15nGJDT80JII2Akc+mHlnL5mwfpk0SKS10Df1EPvJhHUwHA3xu05cMFMowjjKqC3CGN
uM5iMdpwr9UCUmvQG2iYrOyqHU4k0QqFcB3OezWFMgsCF9BtW4kwzKMykbdTLFeCk9rkP06iXJO8
ieG1kpSVHwRYo/I2JQb2CL+d/eDg1tUnmVqENtsGFjR26AbPfJNjGHf5bEf2ZUrYjoMKCQ3JbJaH
lC0L/GuaJXvnY1jmQoZTXsWDW+Ed08PNpNtF7VDV6j4viFj8Ovir3HlOV8cqVlnlNB58hiQR6TXI
hUjw0ye0Qa8mSajLA1Q6HuGDa9MC2zt0vtLeS/TW9i1eKGbv8BurSvvB4wOMmfgqkquKknnOlUGe
aYbY6eo+biL7zG3nrtFy7IEGSnvEX6KbxN4LOXgKelv0Q9HaZn31DpXmZm8qL/ru4qXdYCx4sL/z
GnjOUXXygzU8+dHYCNxN5CnOeCRsAFVKjqaBSrpDp2A3snYVmLV5eyumWapd4OnhUUTGXxCnMsNr
sCp2DLBLe4vwFFgdkMdTrhG0FHZSTx4sdLBaDbT+AEm0FwLhXqbfUtLgpKnisFthVTjqc+CwjO7X
9Cjib5SLQRhJRr6HWA6hOh7jEQBJKCbe6XpWCF3BDCJhmVzBfopa58FdogfIyaxegGIJvJZsdADX
wLZZ03EX+rx9gmUGcm/nJzcqmFS6K1k9/nAOJKpsJcm6WyTz0eYBJw6FhXAAiimkiNegFUYDGx3q
5ME43bpwSGWGv5fmdOai6PlQ0Str1zbc4tYhG2yRyvGDMTfZTT0RuxtQdPzMwt7H1KXGBU+ocy49
BCH0UUCfIkIqw/B11/OqRJpBnBPd+0jFAfOiH6dDHcyVzFImo0d89R0khCUiQ/MaIxkxUyKd8mY1
tt8LVPG/RZG7Tevuo/Bj2W8IYJ3XM/XEzxr/HiMBYh4gBY28D+sk+M4BCZo3rmpbGGJjGh0E5PXJ
LigxT23ZKtGBNX6UPLbzoOSu8Y9Vz1kjbSrusKBmZWsdx1YH4ax8MEiJYqwS6L3XhIAj3iX+M18m
iqiUmt93Mkju68CRJ9mg27gqv2yyjrYxhiJSMKETQPGHQ3tlwhuNbhsGejvxh9nXEVAaY0s+Jw2z
DZD7kBpBS9XdD5yOt7NcPkCweJRNsMo8eWr1EAMbl8MPPccN8BQQdgG3YVX9RTONH9dItZAc0Yv9
FSqM9ZoTDNkN4k098Gll6gOYNir7Doq06V1ZsfmLaMJh2adj4NFtrKIeoUednBbsPTUiibCk+2hP
NcIvDB5B5pg232ApdE9rY+o7pHKP8JX6Ym0zg2BCuZk97oHIgYFT+M2wAFqnmknkfjKXNpfSymDf
wpD2vcS3+xkbg55mNfTGLWR2Az/6UhFeddTrKgMYHMK1ILhI+CG0BsU+dHTtDfraQLFMQwCnMPUy
CNZupENaMui5dHj3P8xhYGDXkO6dqepP0Ovgp5WeaT+9vQU9twM7OTFXHLOk9WO2r1JMVkSS7+Gk
EcKKuetQCx6iuYWVxinLLtQrzpw//JN2MKbO2ZTHC2I9ah8VhMC/4ZwbHxItv799S+eqkv7xXl9t
8SY/HMowitg+caiKmSDwN01dql0syfBtjBM0oEenkZkx9IhbqePNqJv524WLn9lf+icnax8q0dhD
FW/vyPQkIuIDvV/CzAIzbk6F7zbURRJ5vBjbFLPyQXeTfz11Exy+oTKbYNDeTvnu69s/58zrPVK/
Xz+KeaVt3bop3vtTg2VHuHjXr2a4Y7Js9hAu6pz70u4ENikXrnjmxOyfHMqxbI4qpgpGCa9SHyl8
QpugnrHnwIR1gGp//ofj6Pj8X71k0oALQOmU7KMxBLxEU32LvaVDxCNy5t5+eOeGavD3S6yatwrY
shTB3Ej6Gll8r+cFEle+XlLXnLvCyWF8qGoSeGge7ePU+zBWQfBQaWIgYln8C4WFc6/jpPIGHoBG
zyxEA0B2FIjRAVHSc0MQa8yaPbHpJQD6mQKGfzKP8D4Ih7acvb1QiDYN7cEjE7TGdfmjk81yUPGY
XFDFvPQh//PQTNnJDBL3uvchyi8LjoxfBDBq8ZCw3t2j0xRn6zjERRBbqFOHytzCgxbkTS/IlpYl
mFVYPD4yzX6rpx57FjmqG8dn8rGqpwAen2ACqX1JtqmAeiFsvGUjLLAa0ETHW6pl/BCMc7tDepPK
YtSloVgzyWHyqj4fF6BcPXQhdx1ZIF9nVN8jhEbug6RVtxzRCvlgl+nGee28LRO/PtRaoT2swdbA
ErpuzVQB9Aep+iaxkErgJDpCTzgsl0oyx/f9q4d2Mid2AkHU0P96+y42w4Fgn7ltZl0iLdwOmxCJ
08BqLDDaKuVdDXL035WEYEOWlhexQL+eGCk7mRgVFR3twaPdu2kAHz8lq75HlzDosx5uij1A3x3d
wHnPCNSGw/DVUYeQ4Dm2+7RpHU4QiyKbqYqiO1ahPn2hBHPuV51MkEEphjH0prJAQhLZG4k1CVpO
uvlHM8hLZerVJAU0vsdmjq8vgksArNCS4ZS9jDscgi/JHE4Yln/2jl4Yzq+vAYNvGZSrKsCTYBu8
1GXXChTYEUwpvvMe+tymWid4a7t12xguPtsYiuNq9sGwo4ig0xQHO46k2v06AQtRD4zfcmHlDsUK
eDIFe2hCBNqpsfneR+wS6/tcy+uUSls2HDxxBPRBebaCoA3ZXl47Ne1+t2GvY/LQB/F3BFgFN3oJ
o4JJtGYo0nmwbqfsISAMua2Q/eUjD9n7sIyA4RsYuYAUPjNtkpOpPxXIWF0ZHipP2+SRxRZiC9RK
c8pW+Nt6RFW/PUDOTJsvFdRXL08JH3mLMU32JVseAMRv9ooNNkviiGd4ieCHwNXw9qXO3dLJSlCn
zpK+oXzv97O7Abh4yHFWnHY09eE7hNnj90f3/7CLV1k9xMdTPE+72NvlBFz18g/+DbmI/xWmmEUT
RLNieJOjl/APctURcgFcJkGSOIBSwFdhjfsDcpH+C4dqLHoAxfoUjPxjfta/03r+hX8AyKZ/pLVH
+D/9V8kIyFr421oBchV2UATwLGTdH7E8p+KBCLyiWCH/MS8Ro07A7gmQDAkbdtjm/RxzlgFisH5x
Kwk/wHpJIPZJWSXzCFkHMHLMo3s/yXmGUpio4MtQpsAmYQUYsq403tOi1uDHtLaMAoltrjqcz9+h
vw2/zIjgV5c1KEJcBy2BPkMEiGFteEiT3DOrerR2jG7ge0u6DZv76OOsJGoq7WqaCZLcdkI0aLiE
GqpAgkyRYRX++0n4gKtTlAufUfEZ71CKkIg9mThBHukocEcJV8Mz8RM+oQUaHEFIkG597UMrHruW
O5eVNlA/xVAiALSH5Aj19ln1dltNI6JqeyxYPWDsoLX3RxV9FAPFsUcgbnLdUR7BzQjnnNi0uo7R
7QhxsS2hDXg08UTE53EQ9taNAsmkHLWsMHOiXh5LnPvDPcqkw1Xtpx5qE7Xz7nt42PRuSEa4lSkK
u0iSTFCByGoLh9rGwNvFj++ljg7t6tNCCBAu7lBzCxFMFs3JZxKNXOQhylnehg+KwScLnw1O9YlD
iMCI/yEyKEmRKT10/QAlD0I4CuQ2qegQTNF7dKr4O68K/5e9M+uNG1nT9F8ZzD0LJIMrMD3AkMlM
7Uprs0s3hC3L3Lfgzl8/D+U6Xc60RtnVQAN9MedUXRguKbgEI7743i3CoKwVvePB2dfulCKO8k1j
O/a1wfVFG1SaZu9Hwl4eIwlh1IOo6pyrVhEqK9yEf2qswOP2FCPWU59nyIE3LxT3GzHqIvZry+y+
aRNMa09kqDnOdLUw780umWmsKPnwMGa5PdD0adfNrm9CBHIp7Z3evEjKDCv9MQmR6/Qu9rrFCEqS
d/gm+ZNiaz8cGGyFF9J5Lb2+0VqcL6Mchqs6uspq80TaAjosaRFCO6Bx9KtZQfjRG/N30VbV67BY
6o+pWtRbS84A12GpC8woVVxh/HqE2RZkNCJxTjCUjlfWzMm32Bq70ZNstqienHZ4HqawfrbLKsZY
AkUOHNzZWIB4LEytFnO8XtRJSch0K6HrjE6KLEpfpHxOR5KXPWvELK7SB6JxjKwzAvqV1oXZUTjR
vA/txVuiWMf2vilo+Vh6VctvsxLmN+Hi5sh0Yrs975OIuANnyAsjgCpimjtbH3KCYa1eXzZ6a14S
s1yEAQZT9YOhFsLxyyRGNJrqVlP6hPiUHGsjWMa7SqbDJ+nORXpuG6qL/XsJaOE7yuJ8q8sF3xtp
0EX13EGrrJtJ0ek3JtQjt/ScKlzWoj7/3mlOKy+la8dXtYXWgFTKaVJ3GhHNSYBLjWr49cK7oJtS
1T/o2sevmZ6HX6CSL1+Vilfvg11bf5Y50ki/U436zzxW4EdWUToQCTzifOapyHDxoF/cBB/aMJ4e
HA7iKf09fbgZapSHHvV6/2zSSP86ZiggNxwxUtxqxxKLtWVRvto97n6bCdfA73YbKba3VGH7kEA/
784Fy18cxG3X3JdNoX1ijol21a9gtb50VZaCl6QDAuXZVWjRI158cjh5l7BembiebKAPbnui/ogG
r/S6v+yM2tUuerUep5vBSCabLq3t4OA5DX13YVUuj8Mg/y/3C1OLY7/Xke9gL7RI66Fq4oyU7K5u
8BnbGGnKIhf2RTVtDEPrMVFXq+zGrNvEDmTcqslm6OAdXadjHBm3qBfVb0pq61jW53Ho7PJ8sfDQ
StSVkWd103TbmE6FskXUanZVoTEtscqozX2fK3P3qVporvtGWybhJpwtw74zNCUG3Y3nSr1QmgQw
WPaFaYXeklhar3vG0MwW8VcF1TcdVC1pg3bu1Ud7GS1MkyFgKX5p2KPq0/5kfsexwDBDd8g1fMJt
ustfsxxTFg+DSGfc4sw51L7TOM68yyhrWCXm3PjsxIWzb5mLOEzr/PymmHTtW2RWyjeAMwJVZMi7
8jKRjCpt2KJ7GHk2uGYbJNRt06a1J8T5iYXT7BzHN6aajRctXiFfkrQIsZpd3PR6wX1K24XOmk4O
YKyACY5V/RJ10fJitpm8rZosfa4baHFxbGmfQz7oFw2oYfHHzsU9kEXHlhuEdPZ3exz7R2FGFfTE
ZCCuXaz4E0KXMCYkQU0diTVK6OASnRnOZzFMbnVp0VwDHVwKyvimk22A3+BSsEuw5PQjRnNeaFWs
Nmuc7LJBR1pBDnXVaWG/tGg7Qou8163SmM/GtjafqnHMQVGmfn7U65y5N2R5FIEwRABxYhxL0lE6
ejDbrJCwtmlj8AAbiMPNhZZEE2fkJcyIeh1AOb0snuwR4XDTP6lvqnjFJonWM7U+SYGpHA06BUDT
Y2KPLT7FtouSrSP0tmO7wEnPS90wu1rcgvthPbYCxYwWpllS6c+YDIKEViwoRNRgPzZs08I1n63I
LH7YETAHBy+rllulx1+grKqJtO3UxKogVK1v8BS6B4IzdHZQY8oLL+cUsWaudO2LXSnu+dC57Xcn
mbO92/QVC4YxwK2TZusWQR2b+ae5TNJq2rHbuqV6WeKq99SnYUMvO+rIVF+Azn9kMJF+DGrk/tCM
WmV1KowbRFRW5UGAbW/NEik6uqbqGgip+1I6DSdzBOPVQ9KaTeYtaA+hNxuafp5gDWGf4XzHeank
1HaVd4JWokxK0QW2Ci9ww8G6I9HeFn0ASa8QfgyrpyTQXKjfrXFa5g14NV4weK1g3yfSKD9Xp8HN
PJHq+oMjeuMBBnMELw4VAskaKgmfwNc1NdeUOg9dG5JJn7iZRGhSl5xrsTFUV5PD4Yurlp1Y4Vki
dPDmEATpIBu7AbDB36Ht+/YczqJjIG3P05veiPLhpihSGkVmWkSP7Chqdp66mfZk240++mJqw23c
EtnuTbBYjc0cO3oUCLufxVafSgyFylJaj50AadstVE5fpB3n9HlEnD0sqVrvsZ5IIn9QFbrbU5Tl
VyzqWD26xvC9wBvzO9Xs/C3HeeHZWTKoEABYvDpsujBSoNGjlz7fvI3usq4J5rassNsndhg/gqs4
oR/1lGMemX4qzt1Klj2MaR9m4Cqa9efcp8tlGSVmszXF6LoXtY0K3pNj2GnnbRLWaLzTSHtqiqHa
w2WqijN8xyYcSpH8bAR7x6UW9mO8kUapDcC82DZ6cdjY53isDLrXaal2MS5LmtM0Tq0LLMWARwAk
0H22cYtvJ3M4Y9PUwURReNfhzhEDa+OiUx4spOxG26gG7/WiatK+UCMUpD5XFIkbp3Hbz3FngXy0
IbR7D9fMDI/wzgXhhECppGduiIeWrxihjqm5XNy7uVxmwHvHHh+MtCGCTLh1jQ1oGZIaVZICVCrz
+OrYKQZzZUbp5JWaCfMmgwRzmRlF/KkH5cWQdhzth6JOkQ2wx0c3CRjlqnGqZ/xySxKlkT5N/LRT
x+7NYmuJCFI+s1L0yhdRKrY4SxWxaH7Vj+WFMmZNjGXobJ5n+Io9pmBnLLCSvBSvMtvwFpiaaxjJ
4ZWQzLVI92gCCponfQxO9Hb2+/8H4oMD8Ufn4f9TvMrk5Wv5P+6/FtXXXw2dV+zmr2MxgX5/aAZB
oX+db9dj6V/HYo63f6iOi5W5bmHf7Kztkn95P2r8lUFcs2sBtXI2Xj2I/joXK5rBoZkUUFcQK2ng
6mT9E+/HwwaKaeMxTQi14LzOKGwNR41M2bnNYJiDfY9pjL6JZj5qc5yxU8jBzMK0a0+07sXabPq7
Z8t9WthY42ipE/ZOMox71IzSFeE2xVIND2hLMSBIhi5nxddi5wJ9d49rqaFfsU1EWxWZ9lnlGhEm
T8pQbjQjii/ScOi8qU/M1BPOYJyLRMyvZd3/iW1FNHq2phl30pjzZ6jC2S4KNeWW8m9AZtoWyfnM
J/N1MmhUkadVqpvY6kbfNIzywqzY28MnGwzBBg1eIE1MTfHnL/Nj//Mmf3WzPARGft46PlimQS7P
Gjp41LTCrbkI52LoHjLdNvzE0WP8qcWXReIw9fFIhx24dSSaLY5JWIpJB8V4Qxt+6cS5nZpL0VnF
Q2kn9Adg2p/bDZSr0O5ooRpEmFz2Y6RvPx71CKP8OaxJZLNqCkMVzrE3l4jjCjx0Kh5kI3DiTHrS
CjpXbtCKrI5HerapojHzrS6+Ku3pZbba6eHjSzhqHP+8BEsITaU+tgQ9pUOYS8VpRBp6UTyIptRv
okYmu8nBzViaxU1lc8tQAcegVpxoG6vLJzVu+3N3ZCKqWZYFWWvqQZcp487KZfZnZmDHMBt2cj5U
YPb68MOQRb2dOb9e53LWT/RNj+cHmfDEExqOKmzcYPkoD689Wnoh4L4r96n62dIjv1Iu9OzU1Dj+
4NdBaM8xgMlgv33wA2otHEIz5R5p2c5KXrsCy/POxRr56e1V/FfsEPVred/J19fu+mv9v9YBXqp6
lkkUd//78I/tzz9Hr9Wa53rwh6DEfH3+1L/K+e617XN+9KfqZv0v/6N/+dfi/zDXr//2P1+qvsQm
++41Sqry1/VdZ33/f/dJvVdZ9N8PNoT1B/7aECxs/A2bOAcc6Wl8w2v59w2Bv8LSiy6qtQZ34WDG
X/21IQj9D4HdL/uECn1df9sr/toP+Csd+15mDq9VZTP5R1bAb9rvX5ZnGrE2rjqWpdEpxS7j7fv6
ZeVo+kKxqKPkdtKyczjHEEJ6bwyRuXFC0sfNZN7pGCsO2XwTOcg3SUDmojws+TAC065TO9utHKtm
fhpw0ce+2y8nGMnAg0XXnoWts3EU5aKmweaK70b37NqUw01/5sTRZwDqx74vt2FjbSNIrZpU/XL0
7bTaIlTfdJgkQWDxohQ5JTGekdEikJQbnLzRKdIFw29JsQRokLii8sYLVVqEjDnW6LsJ5RzOZdAU
yvRBqOYXbHPvljjejYkSZG53aZk7QX3ZQR3s+T3aKE8syUff3W8P9mjfIxkYXWPYym3XVBcQ+LzR
2ht9GgzNySTswx32t5GMw2WkxkMDYT+v0NVxgPtzOAUjvUlAD+cIzC2SjOn2GwQk/mb9aSvYxqWj
xPT2OlEhgzn3S4bLTogjkpehjtUr361pXzfZTR1fiqrYZshV0/S2Q0knAaEF0lKZxxetYmJa97kX
LcaCTxMTByiN0hy8iJ9PO9JN+F1dM1+55kpTI0RRfFJmBOIcXlOqfY6ZAfypAA0UR8oogNHqIYM6
K/FNE1CiKvOiwczil+/5nX38Dc777QGsadPrd2zr+vquf/lI1JX2VI+D3EoLsW/FFvOCawF19ue+
GjBtXDthnmHj2Q+RtuShAEtuQU6Dj6/j9ynFe/jlMo5qt0K1hIUrhNzST/As1/VmgXUarWS22u3H
Qx1tTcypw6FWdOWXO65qYyD1YWJZoNmiY6cRUoHRAzhxR+vC+Gt1+Nc4FruTxWJHTXo4jhtLWvAZ
T7bVH+LaPE/V0MsJ11PYpQislO6VpS1+Z1xItb9blJuqGoJ2+ay7RF/RgSlr1avCIAy/hWTMfvwI
gKI+vLSj3dloMdVv015uVdsERLI3WYxxZK96ZRMF7Kq7wVICBXDn42Hff8l/P5GjgsZVpjmsB15y
AyXVrCqvAmNo62Gbh+2Jeb0uDL9P67+HOlqiSgQB4A8MNYMmwJr2ouJEuOqpEY6WpriXKs5vjDDO
z9J+aPt/hHDTsX6bptgTmNwFfvZHH6ZFUVqnNotsr9128wswEJZapueGLx+/lHc/hzWDB+TSYs89
+hwSmw5n0TIOvS3QgF1NI3C5/3gMbP7fex+o1WxUPEgwflN3mJGqqgUzrpAZK9y4hYDrxYlzri8q
5BYVlkuIzmDx+mLcJtZla6rgJdB1bfE0RQVrqP1DN5Nb6P/QvOHA98r0OHQ9vfxErvzIldmbjH4W
DlgAmVfF9Jhi8Wjk5TbWiPeI41uY1htaS0Femzu1/h5141btc3z3lpvOflGb7wrc9MyuL5SaRO/4
BmNeDyMsz+RgBWg5LoEivrfGo4YaXJ5jk4kFW7YBuDgHddmUNl93w1eDer5Kym20hHi64z251Och
pPNYtYlBQby5PDWKdiHQ1uRqf9aRPVmrAU6IN3r5qqIAqL4l0v5hGsMTrq73Tjjddfau02+AbD/1
uf0j7UleJTxoQPcSpuo9+hQcouPLjgfXxja6Sg4psIOSnrzqQg3gSQBm7iVeDsr4LDNAUUPszNHc
VfXi1Xh3ZtENgGXAFNkXXXaTtfpV1nxH9eYtZ/anrnlZfSzYG9dbAJLchqCas3LXV19L6yVannvj
s8xcNqevaDr24YQcYe43xuTiVoT6gMZONaZB57rBPFnbsaUhPzmX2IvtxvhxbJptk1UXK/G0wPwV
BbO6pNfpDAGiq67W6YI3V5PgWKmmOxxu7ng9G3AOv2enKN7UpLinxvp3p59wTQzvx4lQkkTF9D3S
siv64NeVYVieEo03Yhjv62Y86+12NzX3YYy99XxZ6O2mbpKgp7Opq9ZlAWHcUAjntc5AN7FbZHsA
nkgnwsgr04cZAOtfIkhSmBvflCKl/ck6TnZn833iP0pwFZYlOXrfEJQEVjQGiathJGmc29ElXCPP
tONz/EwF8hZtVLc88zKiDu2uDfVnRZBbfqpg1B6lvsxqX0+gRtciKKpi0w3uQzHctiaUOPJl5naD
fjfo+m96HMhUgiHcIC4a1b1qxN7SoO1r47uqGIijMugvFxtFDF/Qf7D7GV418ZVlxabqI09G5VYn
0wfVHeuxfo1FLRYZCFaq/EbaxtdMTZ8TY7ktreoGL4G7dnSuCkpZ1XjRwujChudjU4R2/UuP62lR
yidYtJzSHwca5VVc+1H1rZtfR8T5ao2+a0Jchrm51RG+IVt6NpBFAahyztjxvk+k16bftdDwRMd+
qGlBwuXbaLW7aGeMUIOHGiCSStpNQC/x+MroS4Jy0kVPNSXI4+WqzuFe6d1l0VR+rNfXU1Q+1/y2
XtcDp7qtdIUr8FIt9eAV4pTf8hzGwEHvYVmYGCokYqdPOZ6ZcVOc9UrBhDS3Wf0czvU+7EVAit62
GompjWq/69Jrx7kf9SoIVdOHcbgDTPYAcYNWkbASvUxvfSvKP0kYAGBIfjKL8yyagkSW29xSfFMN
n4Qhz7CIQ+2LBSSs+DIOCqBWo5mu3Nm+zZWQEk1FpVGQyIj9J0JBIpoWT5mLs6UC0s0JzeQOM6dD
rDrtBv15WNWF5T2OLxkvpx5v2qrcJzSQ4rJ4RjDzKenkBe38K32l80fjblKuFHDFBm1RuzynNDoE
b8Fkue5mGQwmFrfhfVdXW42BtLreGsV4boT5Fm/fMxH251Pi8gkPW6MnZL3Fuh3bQkfdU2huUN1z
VkD7o+g+yPRZpGyWaLwSThMQHbMLMwA4GX12WaCUrLsq9B/qRCisuo/d/hK6tq9YsFaiKzOJPoGM
34jm2dSjO9lP58NwXTu052c3UEgnmfVyiwU2ZtLnpV5jA5ftBMvdmE43gIpPEvAp1ZBbWsOtZhfX
yxp6Amk1hAIOYHuetPcyGk70RI6cANjSOdQSf2OD7pJjpzlHW7oyL22c9JXcmkmFFolTAJo/kxCo
ikg4Vc+3RcmRUCeTG6qJ0mcbi5x6w4kvs0G9nqiVpDPslfgpG+0Tl/bb9nx0ZUflt03EWE5Bhkyv
cDbY2N2q0DT0dPHM9innXbptsYXJsPm4LPit9Dga9aj0WJX0cm5XBHCis288gZ/sEAqdKnbXWu+g
FlyH0QxaaIjZiQ1cb/6Xgh9ihYYLUMbN2XjV9tYZ4Zsskt2+V2VQIY6sJjfQxvF2LQBg4wYzGJO7
9JdD43yJeBW5CGq9QfqY+XZ/qaPlM1FkrWf0eDQ9g3kF6fjRaASHRlhE5rwR/NZG/W7GMHdm63y0
nrq7LnnoNOFNbuRnrUaeWYC5NUfCAeFRKJHjQXWpoB8ZX+owEAbVSdQGPVrwGvR8js1da803tEL3
BgorR7wiAt3HSrtfvzlLG57MqPiCqfvGXKJ93rpB7hbXITa/bjQ+gWoHjjt+amv9eSxm347vrQjI
dpLTtpiX+1ahgzz0Z9jeP82j9QUL6buFowm8MExldT/nNFbb6Y8Jk/u+h5ZYwOeosk0LNJWwkYBQ
+nMs/I/nxxub84M393bE+uXNsQSGcqb/y7S8UVkTY3lvKNu1jeMsztXAM16e+ou+rUh/uA/dE5Xx
Ued5bVvR31qbUZZJ99lap+8vo7eNM5nSYPSq2rWIMerz+CYpzCtiQX5O0X/UX3yoCv457BG+9f3+
biD+xyLKdq/VzdfitT3+VQfNyP8e3UfxYffxHnPOoirfiyRbf/BnF1Kz1T9g7dOnsFSQn797kJpp
/mFqujAMzBb/YnH+C5MyQauIKoOQSfNYEzZv/t8hKdqTNBv4K9YLy0UJ/E8gqSOnBcehYegwhUzK
TA0/CvOoCaAjWyOcqEj2RIWiYMalHV517iJZxGu/Ups6KFwSDNTBkYFZDRCu66Xal1OZflnSk0at
hzP659U4q1aRjjnAyvoUf53RdhFNneEO6R49sv0lNCrN8AriTR9ElYev45y3IyrG4to0JuIJTNOO
PqmNBR1Q1qIAy2X92tXogh9S3D1wlTUS5OnzlOL4Tab9eOL7ezPX+Pvz/3m5uHjwGVq6QKB/tHCL
rOmtTJ+Tfa52LlqxYawf5FA1rZ/ktrJ35pikg2au3fMyKYY7NEAVIQqR9Q2nVP1GnTT9caid6QEr
+8X02DPka05TbqdAkv006272Qw+H5MU04uVxbrP6PtOnO5VohqeP17HDVsG/7oMekG66trCPs+m0
uJNU4zLZW/qYnjtICX3KZW378SiHu+nbKExXXReqbtr8c9SQQF/tJE03JftCKtlmMDQCZqemuZQp
VcbHQ62FytGLIYFXGBZzGmDKPipkhixxawet/15J+h85ujmv48TQKhq7n2s+fjzYe/cF1rligIDH
JMQcTlqnz0zkQUayJ/7RuIyqfgbnrKo9ZL3iRKTXOy/KhVkNFu3qOoGER98HWG9SLItM92kZJ9vR
EGRGz814oux5dxT8Q8C8LY23dXRDc0HQ7GSp6T6PiB7gv5DBBPn1xDv6fRQwU9otQHC64yJVOHxs
umaN4bRo6Z5FiZiYvulR5qenBDRHOOk660z+pcfJryHa+9h4uZuMJCkJ994r8G8JGSniMwWoHWdB
1bOjggfY6LpHOs8ULFOF5hpJ5wnzs7VMPJyNpqNDrSc/EryGFtbhnaZmmdrWkKX7MdZ/9HUqd0IH
y4njCMr4QlTCMEgUVJV96ot75xEjAbDZaXjEDlvN4cBOTuRkrjvpXpZ9tOnjvOewg6Xjx/P/94/N
BA7TbIBUyhBYDkejdI7O/5J0rzau8M3B/KrP5WclLzdNNJ34AN57lCCqdL2B7AS4++FYQ+rEc4sF
/L6TuRbIoTODpaTP0cDq2YjJba4WA5IhbPlq8/FdHumN3ibSCguiaGCZJAb0aL5iN+uUIx4de2d6
Jtnm2phFAEWM3pZ6DpL3kOY4GUehP5GnQ8hoUCz38Zx+lRgiTDMkxYwudv/944v6/QVDPjBcMEpq
BKqMo0dvDU2sm9US791cSZ6go7p3qRnK3cejHLlQrre+5p9AYEFBsiKfR/MoFB0xOdhdrDtahnef
SyLPaHVno6slPuErNp6YSvqnJdHtG0TVnaWoNba1UU3+x1fy++u3kJWsU5qyinl9tOGOmiEJNk/T
fUzT9KyuoS5mnUrIKEkoCJJLg5PrkoCayvjEyL9PckY2WUzQtrgwiY6edCE0YJGJiTchuAqqmW5P
YgGIuDBGbyFyqiee+eGB9+2RcxRk97LWx+4cj6dr7ViYEXcKaSd5WOCWJatNY73yyoWpeAZc5NTP
5qY4V/JkG6PPO+WQ/d5rpwrFX01nszfYDQ4/Nkj0Yo1rSfdET7uXouPMZlGzeHXfEp4zZOU5bcbu
Pp3QBFSxZfnOkLD3ibg+ATW8WREerqDws1Zul8DM0tCPXZ8JFZy7YS6gUKIwXWFAKJGoE/WqD/pB
02VAUEKOYZhbRZeKIgNrHhwCCCUsar8yihnFWqEMe7pAZRhUYZG1uAKnKg1GNHTk5rSTNXhzK4i4
yLrQuZJdqf9Z0ZSHpRW5jldMZffFHozprkh7pye4QJZXeJ0od/akybsih97pjX07W7TqavmDKI3e
+sfLLJXx+iXyfz75Y0V+QqYiZMes3VfKoPttTsHZapAFYnMBjcR24/7jb+33soYCANKcrdMIomw7
wuCEPThW2kyc3yXRQmYs4GjPMAjSSv1nKPo62RmK5ctR6YTAtTv6uLS+bmay7dp9woZ8oWRQhOxU
tbYf39Dvi+Va0ajrVoWFNmS8w+nczH2Cf9fakFAFM2aqPytGNvxnBqGDBlHXWpl+R3t93AyxNYiK
3s2sV9scGaZHjkGy+ce3sjL6hAmHRWNVOhplVppaN9OOVkukk9IzhN+yGDHRPx+EukWjUhc034/T
Tpy5i7u2Tvo9vqYtjnLD6zCTuPzxIOuuefRlC6o/TqGUzysKffhSOvZ4t7Pnfo+DUX4embMk/kvN
z1MrioJlEeTcj9apbeSdmYACgAan4fCO3PVM/usx07IJCLVnwaAqtIfMxPMbR4tTetl3PiCUjiCK
fEEmesyjWb3mtpjIDOU+S4bZx8lH2RD4gCzDNMsT8+GoEfX2BUFzXJtBVOyC6Xd4R6JonUEsk9yn
qM4Al3I7IE1Q29a9jShb79wrTIcnX0nNBvRPb4IxanCJa8gdsQZ7etTHTpzIPHjn9i3KJU7HUOxo
LRyVajO2B7Tzy45SzZwCoS2Eodb57GVleyoLSHtnLM4S9KwhQnLAPJbLdzWKAFWa3T5Df/CkzJIU
vDYyIDRlcsQPvpyoDpZyDIxBXS2LxnEusEdMTd2LACBSiDFt125xKv6c9Ar4WeNWRRl8PNXfmXXs
5AJC8fqanOMo6WKOcCmTVb8vbETabubU5+aU9Cce+3tT4WCYo6lg2zVxCzHDaDJ2tuYsolsjVmhR
mkgCQhK4zqPR1va16Sq3thoCJUYjkR6kz4M4RBN2cvGp5IEjpujb9HTB3HWHz+FttT+cnqShxSFu
IgSDVEp9lRZt4wlZ2/1mDIfxxdLQOngx9jIIAxrFsbaEess9jaBa9duh6zpwqgjrp9mJ68iP7Rj8
J4Z8Cune7Tvb7/DLJzPW6tttbCr66JllDqhOo6TeW5V6MoX9iFj9834oBTFP5UC3blyH9+OUy0Qw
jdvvk0a0QRbLdDvMq9XfaDno0UzkOVb6mtr0oMK2HS7C7mLMgB5H3UuJrwuIXIy2CyjvRuLy7IlZ
p3uU5zoNWH34PpaAHKjjoL603Glimj/irjf2jjFEJJyn+lUZTuX5mI7uzkkcZzPGLUnwuqsGE74l
G7wlxxPb2u8fGOulwVlDp3nDWf1oLatVu+cUrY57VWkVP4Zo/NmyZAUDjfjFf/qZuKrGM0U5zkmL
iuDw2TZTPxjWYo97Rc5iF7f5a4O9ydl/YhCbFtHbv/bxt6iIppNxSfAJrTb8XJTY9mnxnYrfWQvk
w82NhhcET1YlaGC0cg9vZe6yaqFQmPZD2r4mnXOR2qAmXaN6QwcY8/EtvfeKVq4/ZzTXMWgQHw4W
joZJEEA47XXi5tGrDvO2yFSaoEqTn1jJ3tbT4xtju6HxuY7GXno4FhTPNJzNbN7LyKx9N3KS8ybJ
9C3REfpmKJXmwp2z9quWWDqWvTj8XTrYUWLm3FYt2PtY4O2ZpBLbEYMUSn3X2dn4IxUO/qgfP5Tf
11zO7KYtoNgKfvz4CDO2MHBVduG9mMfaV3s39i1JnOTHo7xzUmIYjshYHawNnuPWZoNI3y40ngcb
nPrgtuSSA/gb0LpGS3ZoLmxVnpGHM/Se0bba1wgFWbTFU7C9D3uEICfKgXfmHV05R1sbTmy+x21C
M4qEFEm97Mcl0b4uClFrfNPpvsTedJNPxCCfuP/1fR/Nh4MBjyY6xFSlKRoGRBUZ3s4IxncoAxI/
z63oYoapwOGoDr/gIqned3kutsOEY/zHF/HO/F9NL1DqoERwaUcdzsk4si1ssaZl39h6syOMo/DK
UelwNohOpUq+OxTzia6lwew5/tT6hVSspBiXfWhBvB7dxvFFP4xkkbSnmJDvADQuFR0U4BUXWbsB
h7eVJw4w0GgutJ0csRtoP2+MyIgus0w6Z8SkGrQgyhmq2oxG34X2MwiZEB2t1A+h1NITM/33tgRX
46z+IpwMOISKw6tRaumUM9b1+5nFwWu1wXysij5FYFO2FxnOxFhldHPAHb1IOSgnapv3nrsBUG66
1mque1zmaXTauxQSzl5f8i9dBGGDlNKnVqSnCORvtfnxhP51pKOnjn4VScuoaPvCmvNryGVkAWh6
u1oea113uxgWauo8zPsG3V+r7XFrJDC8rwtrt3QOnBBBG+4h6nLD8WbV1AeYi7Lb0L53q61C0MiL
kwzQ62zMo9QrvlAd03bVSa9IOhOu39Rx1Jz4Pn5ftN+USjizmMii6KQcLdqQuiaUk4rYSydrtoR/
Kzs3bot9bESaghiMwL2Nq6IV8cSkV5/ctlY/z1mlDl7dOGEGX8Zcdnbi2j8ISFJUNrJRuc/IMXv6
+EM+XrPhQOA8IXQUeXgtIhA4nGNJ4ljzklbtHkWZSU0qlt1I/sSJNev3UWxaAY4LkILAjwl9OAo2
tJnoOtnT3kjvBmwUJUyI1UPv45s5XorpnnHEBBwy+F4ATY+GKWDgO42U4x6dlH0VcaD1yAFwH5UE
BzgFHuL9x+O9gQm/zlyoqxRN4KeU2uAdztGAda51gqJJ3YeNsF86HA5Cr9HsSIG5OgyRn+OiAt+I
Mnvw+R1650W5gEGYUPx/b0WGZ4ZssV7xhiFOPttN32o4QZQuUZVai1XPYq6ajYLiqfDtLrbwfUhy
qozGSp5bfrpCUat0JGqXfftNSi26bvsa2tSoYJJSxaZK1CYp7OxIZUh/LdFkm/h1JXF/TfGPAwbV
s3bheGAO+GfXpKvGo4GJvkm3NPE7GCvVJjZFfZ0oBN15KX2cl48foXO8yFEtGCYRMUiDNCRCx4tc
32sqFsxtv8c6DHsPzsvLmTs66o3RvCixUB6JB5j/xHXbOnfKpFndT/JqA2qRYpZupO6Fitfqd1JF
V9viBWLepkgTkXsSyfLnmRzkltBFW72IV3LRlWaTtp2EWgzVsTO6b1iM183OhvZ8xuvlzRSjG+9V
acmHOHcAGaLcsfx+kWT3pX1Xi2vsxcm8Dbuiuyh6JO2esGaVTuSMvZEHxTNqgl4MxlNPKr30ojZV
dkVGjotXY2LbBFaqj9fx0ghYiNXcPkHcg/dfSbok/soWy/y27Em2GZ3e/AQOWLuBaWkxWUGd0bDe
h0uwjF0Ja86dl843Olsul8qY5joqPqN71LMSwuvQt73jRxLe3qWDOudaiZbhU1U5i+3lkfrMDMN7
UY17DS/i/8vZeew2jrRr+IoIMBbJrahku21L7ujZEB1JFnMOV/8/9Nm0KMFEn83MAD3oEit+4Q2J
Dy9+hEYJgskOe8eLDRy8D5bek69ii5UDmusQOYiRtUbpfHBwU3WLGBG6ILO0zWAW2OamY3hsI1oB
gF396otuksJAZglHpJgn45svtAGcsGpVzuH9DbS8Wub9I+CQAYwHjqsu2+k1fuc4AentSW1Fg4c2
1caC3uT+n0ehYkZ71p4pqDBnLy8wFKEsPc8QMa9MBwKOEQMqja21xO+qf8rHMIzgg2ZYIBSYy2H8
vElbX2lHIFt1cVRFM+1iyo9YB0z9AS2k71auoV4+GoDEWzLt2o3rlWRtzqYvrzTOIq8fDUxaL9Q8
L38C0FgfRw2/pX+KtCTyyj+rrkZTSBWZlyDWcSylvYfi/Pv9Cb7q+M2fzk1A7kAUTWi5GDdvOttQ
nJK+Qd0GDTwUpf6aMg2z2bzr/smaovvjEoXEnrQn8VQIDfLVNLknoSimh5vhFy3rM7zTCQ53ozZW
zcZ5M1ttGj1ZaZHcnCP6Utxb5IDALC7nqM46UOmt2Z2GrkP4DGGTQ6r1qCRQzfFiLSjAViMibdV2
sRIS3tjt3JQ0mHm1aQ0u0YuqlQ1Om4ju1PZa4iH6QWpHCXdllBt3MrVEWJkCFr9OOHz5fZmWN3ap
Kv2pd3CDQiwZmLYTTR34IIKqVxzMQwc1rDL806CtXeJh64/Rym+Y13uxDzloNB8BJplcfMblb5Bd
m1RozpPO41R91AY3OgSjHp2trLtzk8r/lDa2/mllE85/6XJQwl0K/XQskOdblPNUQW+pC7TxFKku
dJFmQxT3RPr4SaebP5YqOjvF9y4xt2CqTwVXe6LNcEi5XfkdN5ZZEJDNEGEySw7E5cc3ZYUsVBCQ
8wzNcOeEuvngqq55nwIf2+QGarnYN6IUXWjFjuSg8jILq5ByVJDCb/16l2Lx6QHZMXYrP2wOaBYT
RKbLxpsvKLLexQQllQUnJeaHoVOJDEseItRGyaWUUX6sda7G0mqAzHZB/D2RwtkjvmV5TUYA+/4P
ubE7OAUgPeaF4jpfTJCb4w2kzEl30KNNpQ5Z+zx0obpVLZwWAgMRrUIZi7v3B10YAJEREsLO1yL8
Zo4+R+RyWYSVyMLATPqEVhIsGDyk96KI60M/Kf4dULFsg5bDx1JDwc1UTHVTyYTJoFsAB6dxzmRZ
NvrxmUYbPy4/mNJCWi8KmgdARsq+aif7rkOC+efoRj1aZRhUD9COkCLXzPtONb+Mk4F6GeHo1mXl
NzzKCvhjH/bP1EMrybKUWmeF4hhutqnTxDsaislWy0bj0UQMbkXSexlsv03G3CGGbe9YVxlOjTwi
av3adKpHRKyQqcPnpqjSbZi6gyf1cU18dZmPzuOZKi0OofFQ8N5fTn7Z0KKPW5+tp7f9KRZocCVx
2OxkWOWH9xf6xvEjGqXkjKYFG/2t6v8X1lcJTB5hzBROsaYJLIhCE7M+rDD+fRSK2jSXdUBmKJ5c
flAEgFLmVqeeaouIVs86+4glT77ynl/VNOZ5Q5z0DRJLs/WtnPbXx2STQdheh9rJR/S9AzEzB30G
QfW5E1n8GgxD99Vyw7C59/nSlzzAVcQrE8su90psqqWX5BWklX//durBM54alIGzZFoXvh4ZWuiq
JyyZAZOgNORF3LUro9wIKubOI3EM1Tl0J5ZlqtxypBHZmX6KrQkp7c4NEAtX08ja4FsRfzFyGX6l
ggtBzQ+C8iQ7oyVFiyOoAf1UR//RQjSxbGzT7IdwwvrJwKej3tjIgbqeaSqBs3KtXW88fq9L02rO
ZE16V5dbQnaIZgNcpcShjjyrvuVstbFrVp7W65NL0R90HjB2C1WOZchMou9Mos31E9ajqL2hbkKy
ZTQfpjoJj7Kf0BZ4f7VvDkhheH7JwZMszxNPXTCN9aSfhO+EWydCXRYwk7ZDTxqZxQhNzPfHewuD
Lp8pvvCvAed5/mvPUyLQsrI19FNmjBtUNOXWMab7yLQ/yCJCkrPPnWOnNP5Oupg9pzUKrhRsUEho
8/KFeki2DbJ+vM/r8vsQO3JX0q64y8Sk7AdrZTGurzV+KiRYcHvULFAGvvypmWlJUC781Fppoy3P
a7MpAE56kd/EK0PdXIa/hpqjn79mBeFqB4MwoSNhnTZb+gVUmBJT24h+xDUslWth5K3dzOlGbgO8
gUp5/HK8wBwlyVmqnwzEZu+CSOWrxnzNrfQ6FHg72ayADaZFLIkZfoH/FfqgbC6rFLjBlfYpE7H0
TGKS/UAFYAeazP36/g67zgBc1eL0qIg9zRpXi7s7U7XOTZ3YODWTIby+Sf6oheV8osctPtRqQWLu
dtN3P1LslRvi1hraaEwJd4YgAm28nFND6CMnTBqnwSowag2bcUv/eXoyUxQZ3FFv/x/jOVxInN25
GL2sD7aFZbV6MBgnpUkov1pK9IiNQ+GloTlClUrzldTqxnFgu5BzoOYjyEIXFTVq3tE4tOl0Iskh
iJMjpsqt8VsWQbwy0o3dCa4RpDIwJcZbFgv9qBv6yKqmkzRK9ZCF9iM42DUw3Y3PAQzssFIMQrdq
sVyZMZiY7xEktW1SHonJwu2k06HxcbtY+Z4bO4NeDJhr0gZak2+wvr9Pt5tqFXK6Eyvl6M/NkBuP
cSzSfdKO2oFSYPLvtwmoeHjgtk4AY199WujnIzVd9STlZO4x2Gu/lkn7n2LY8dOE0utKO+JGbcQl
iGEL2kiMwddZHLkxr7XCioR6EoU6Hererc5GmKrI4/vqntMa7gOn1FC6drq91VTZfd3HykoGcGM5
+Q1IwRtz3AKh6PL0ZVrTjilP+Mmhor+PuhwJISGNg0GVdWV6b2xPIjeVZMOwZ1GaxROGYEUjBMjb
Uxfp/sM4wP7GYVNduceu+hSQjOYmHrmgCxqQcOzyi/Iyd9JujjhG2yl+Gko76x5jymVlvn5fq0n4
gPB6f6/je+gZJiRfVLKVvVEI/ZCLPL1LjOi3UhjasR+LbJ/FwF7ev2lvveXUO2YW1gxQuAqTnUo6
Y62m6ml0W0jCdh9+sHrZHaM6eh0gch2Ag0X3SYLtVpBlH+wRRYdioA6MOaL1VRlBjjeVA46iAyde
Ymq9U7Kq2jZZTGlpJdC5tT9YNYQPDcpYtM4uZ9PBQQySt6We7MaBK1m06Utnm3N67q/RiG68QHOn
klodeE5QAYuhdFRhRGIF2gkTcNT86T08DlWSPTVC1sCCXW3mbqm8EHrz6/0VufWRvAho8Fj2jJle
hBF9pNehxE8Akgd6Rngv/1dbvXVMpNbt3h/pqtU/706e2bk/gM+Cpi7Om+M3U8zq66fJKZ5yOgEH
LUibHzwNGa6ridhQI6phwCfaf9qQ65+tOhmPhh2t3D03QgzuOVJdVUetBCjo5bIO2BDkU9Xpp0Cv
UG+azKesd8S2pVKynSTNLD/QPr7/6W/X5yKEpbfOk4F0msVTOP+mv67zAm3HePAt41RoUTVzLsLk
gzlAs9rQvsSCgNvtPo0EnDcHV0cdvZPKslEgSLKI9g1CyFlp/aG/WIVbnabKzh1V96twFfFDIdBU
MFsPkJJyogI0VGvH2R8pe5zkU6cuYg+RoRQhK3Ra5c6xFQch19LVv2ltOj6N1tAfprFRxKNp1eG9
Xc7aKGzzEqWBNH3w417Qkp1k2dCksApMBHGFQIpA6bsH6Ekd7Sosk+CjqWGSbpFznYqNpSkI+g6h
Jp4Nn9bZo2aPGkAGEiVUunNUDT1htfXgJbhNKseGrXKwbJE9qLg3/IQwJgT2hZHyXOsCpBpUyvww
UTPEKLRx8q+G0qv6FiFwB+3dsOi+FhNq12hgyV8+0ugFYr2BNVf7Kvwn0qCYpZjcHIUR3w/WoOW3
NjWIIUTG5soJpNLFlTvRiHJ1WRsn4DnP9lRoH9B4nz5P2dD+MUe1v28gMW5ten6vmeorA4D4on7S
pjw5vr/HbjwxJELAzHi+0Stenq7ejBVF93uDEmsW3NFHhIloO8Hhn0eZj7AO7ZVcHNXiy42c2TWG
HopvnHB4dPa+LuId9Orv/zjILM2pgQhSkY0V1G4vBxlwUBjUphGnqOnLXWkKdztF0dqbfHXzMYpt
uEDzbEuHmbIITlstNAfV1+zTIEWyQfEcIU6SnGNpm2tX39X1TjOLkz8zkwm7iSAvP6jH3ACtk1g5
5bZEFzopXmJ1bDBLyZT7JtGbrerilOaY+Rq86sbAhFguCQZXLxTVRcRqyWnCtc9QToKW9Nmuih5r
zrTd4aDwy1GRMJDx1MzGy2u78f/KABdXHvj3GegCd1CfAQmLK68EfTopBsaADobSp7mqE+4xj0ge
21qJkMI3JmVWkK+6R3qB8mjVVrErognccQrh1AxUChcCe5JnE3mhn2ku7S/R1JbPHRKopocWdp5/
orASIXQUj5m/14Je1HvCn3xX4lrqkzyGZY3Uno60Q10P+X0pdL1EPx3YzZbr1X6ONbtpN24r8hIb
h9pOkeQJu2M1FUGBWMc0nDBiCfBqiJPoLBS3OycpB9Ab8y47aWXqPqGsk3yXuYYDrlO7KKIkKaj/
GHfprzIctQ5tsr7/LaqpnZDDqfXfmu0PKK70ZbppevchRL+ofuQWldqh1srxa2P1geG5gB2CfV2j
F74hAhh+Da1l/EqrQP2TQwEmK5U10iczotRFCDaC9xxaoX43WhFKrDBO699xmtwp3Exc/4EPo8do
2AxH9NL7D6N0zY+NNSl8ZJSIY9lPAtNxMdrTrnXjYGengBQQNLdGlNAbo/3VhdB2vKjvkJDrdKPb
o4+W1Ttq5tFRUxI9QN2ypZjilPTt7YxKup+j0qIGyn+tkcRf01nrlrXJXeXtq+Q91T3zRKFQfjWd
skb9xcfN1Wu7sP7WmHVZ7vDsaE9OO8m96RbBXenG8WtStQYA0KI1nkIL3ssmJI3FhwZcfLASsF8F
CfPupQpB14g1pi6wOLE1JVNCg+is1mGAsIeqYM1e59vWLJpdXaBNVYhVI8fr6i4dEBsuIjcsxi1o
4F6OqiqlmYnWic+KpBFn9WXxBfbg6JWKUhz1sZcHp8ySQ5zTiA/lpB8NOrrTFGsPdi2if01B4UST
slCIoY0LG3y+P/+KWaRged3YT8/8jnCnm76xlUNvbuoORmww+u7K03KdExJLW/QpaUIwJgyIywEx
l3dNGdf5WZNxuzEwvj/IGM45Tg7189Q544MaC5XZT7UDDvPjizbG+uu/Pj3UK0xSe9aBJ/1KmNlR
QsfJpH62Az9/cMakexB6Oq5kFldvNfITpD9ECzOJm+7E5ZfiYl+VAsNcOpO6RehjiS2YqrUK4fUD
xyi8a9ROkRrUl4xfbi7dBppmniyzCh5t09c2SYYuk4+QwPuzdv3MCOqNRAWApt5W7/J7LMzKJrWK
zdNUQwgJaXuM2SgPGRIcu77LbUqurcGFLNx/5IfPOh7EF5R+Zp44qcXlwNkYAiaNavNU6W7lYQJc
fw+G0ty7vTvex6Lvt8je5DsbL6G13ToHIZfvG5XuGdlOxReStr04HrU+WpiIp9bJT8cvY9yIT3Yr
JBhSK7zXZkGuvBzvuFzCrTBz92nQ5J0rkkOjhD/en/y3W+Hyl/DIUrehuw7nlArD5SQ4Gm7ilVHI
czjayhbXKEwm4lT/NuHIdFAzJdgWjaMdC60KvMDxi7vYKG2gaobykTfH2fmxNI7CiZ1jpLX2bmwh
CGt+0Z5tHIXuG2McdxCdTmgWxS5gN6O+t2unPgqgEfd6amtbmaGZhAvJmk7mrW1FfYbclBvYvmpK
ikKIxG0t61T7XftsTZQENkVX6Uc1UV7ZVvBpIcekBDHx9Pn9SZ0jsss5pSYLIQpeJRUqoEKXc8qz
L4s0MqwThIrJc9ooxatnCO7SMemf88p5kPiG7DB4xbmNROv9wW/chIwO44d2IsABQJCXoxthZrty
IADuMNt5UrOoOHbBWD9nve38Z+cxAsRmbaKUGaXlGeBRshswhVox+70qQXK2/v4Riw3u+nbbTVko
6PN0qjdgcbAPemoEVoN2BqoB0e79r76xj3EBEDAmIcwTTy7hMAOMiL5F4+VUqakCdE4m8TdDyPS7
xVv3YhVgb71GdZLAa4rG+EZIpNVbGiv4zUf6GDYeuwGf+ADh52Tf9jVajQLg7TdiImB/OLrjA1gC
xS02MqrjIxG4BQ6EpA7ORxMp32pZ4QZf05c+JpqG5VsMTPfnUBG2vf+lV0QzuhukjMCxwMTAVbcW
u6vMB6LJyhGncaDDn9eKcufWlfs0+1rtqVmqG5WeVmhg2FXo3bOUgKdtfmzRhGgOa7q61lu9Xmt+
EPnJXG1WkQdYbLhaz/uuz0txAvNXnbPM/c3t1R8xR3Meen1YayFev38Mx+amD0GAQRZ2ub8j4I5l
ZA3ipOEl88HK057KUxferUzz9f3BfQhEHAERetPQ8C+HsWasOTezfTJLxfoBsJ/6xBietUh3n3U8
rDeB0uBgMyr1py4Zh0djkA+NdJVfMN9IDPQ0sHaB7jvxVtVT/+T6brBVEyOOPNyBxhUExnycLm+c
+cfCF6e9xr2zjP3sRI2K1hnFqbcDPAuDAHlJcJewHes1mewb88LdMifWb9Co5UGLRdGLqDDsU9zn
0yHAOumgTBWqo8qQHG0KOSg49+626hx15YzfGNkiqJ4jS3jeV2V/fAqbSdphcNbGaThSdxr2QZAK
BO3w2hxD2BhVBQvXD/s1fMaNO5V6OKEsbXIudfA+l5uhFhij2YMIz30dnmdvy13aldimuU6xxafd
3AxTP21i4tozCr6vBmoVKx9/fcjmX4BQIYEKxUfkxy4C6txsLF3NrfAM0IbMEDECjwZZu9Em0I8t
GOh/DuAZj1wCpA33DM2dy/FiNbWDETvxs8Tm6WA4dXoMytT0uspBYokFX/m+Oc643MEzeAi2mOCp
tsDRX44XAoZOxoo6g2pLxCNSBVEXeVcMbrYZEwxakxD5+5UjfmNMizou9KUZeAPF8nLMFrg2rXYt
OusoMX8cLcgPeN2mifkYjErYen6WFJ8ghYJXjvUGg66gyxN9E4JxhOQUBBhBmnrX9xsDw8dzMwnj
dxriXLsVY50+S6PK1jQrb+wCWk3AguntAeNZXkrCRYg0d2J5TtkETUXpqYsik8TbjDYCDcf3J2ie
88Wa0DEBAYxKHeHxG6bmrySussLJapxAnq0E0VnAVnKrWzUmAFSVVyLi20MB+kWCbs6YF0uRUFRP
tcmJcOernA32bvJDroapF8R1vbKzr98PEidmz6WVxm25LLp2cakE1VDLszGVwQEyh7JtTESR35+7
myv11yiLqp2ipdVkSUYJjcr2WjUBJei6L45aantoNWtu8jeHozcwR314qyy3sooDs+10qjzbo2V+
LNti8rpxtBH0VNx7TOnWSnS3jg4MW9tw0F+jH7e4jsJKdcykg4Ssg/nbwylttnkh8BrRCaUs9Py3
Y1SK7b/P6dxeBhTPR1JYuDyv9pgGLbwHeZ5JM0dU1UMPEQ2xwwz2Z27ItUj6OowHh04RhzIOGjhs
hMvhwsBSQrPp47PUsGO0jeyhGZSPaWn+0Tvj7A7yg5laT0OZ/asCCI8cXR4ye302tgJ6uBiYIomF
PW109lsud7x/0ZlNx25lNheyw2BYGYbLj4o/2j6AjhZbtMn82g9VylRomsDngFDVfM3g0aibPiYh
w1pZse5UopktDWiKny20zmDjd+gMRVifIVHXm+rvdoDKNk19jiP3VFs7p5fTHjXyCSvNrI+Hfz9X
cDw4tdDhZwHPeWP+dScNsW9NvkJl2O6xOMdJozxEIo4O8SSFN8LYXBnvxsVEVDUT8Glw4hc0ByV/
jQddMBkdX1JVq7rXiHL4nay739Bi1mSfblxLgM2hpc8wIoacT/hfA5WD76ZFZ6fnIIigTOfS9Brd
HlYW/ca5deY+8SzAQlHHWjyzIh01M2/N9IzkD102VRHbHuqalws33mXoOG0r3XR275/ba/DljHwh
9SBzmYXqlpOYDtXYKW2QnXutcjwwlXPIMmA80GEb7QAwOFRh3p/TwQRrn6PYJhPX+l6g/b4lhUZK
2Ufk2nWl5kUGZKiqdconc1otIt5Yawy5KUZRkOEVWkJR+9ZJsV8fs7NM2vjBUSdq7Go/wBx0mpV1
uLHaLDVFQppVFCuXmI6mQdLJhpp/1tF68qpMQeQ5QUz7/Ym/4tNyxCFagkDgVXgLHC43lWr3GtpL
cX6G0GQCGDesex+buG9T2b2dalop9Fw/TDLoDhR28n0R6+UjqqTUDCyMUIupgeKjFL+rIo/2gKey
XeUnwx7jq+hOdMkrxrxQvfVi+onjaO4lChy097/h1kyBUaA7igQd0cgi9Fb6WRmyc3ICUVXjFq4F
OhjhGsfkDU22iHVmsRwyvpnHAxrscqYCKICA/NzinDVmzHaUXXRATh/JN6VNjWTbGgXG8DFc4W2p
N8YXzFMLe9Pjifyd1oR27gZ9+OzrQfExm4T44WdjXe9du5Ln3NL9n1DqsKYVRJsVXIBGKzax46cr
5+zWVM1V8Ln8/CaXePkNk1saZZTHxdkw81kIofGxeqhT9/X9FblRgYDxhIIxiA9YksTtl+MEriiG
AYOFs+H7yCv0OE/TTol7umE1Ff56Z7YaJq/IcU9W7bVDf1f36mM+/Zs6/dsDRoWaxihdFsqo6jwf
f12ZBloDLGgmzwLzJg/RueFOWkbnGdKtD+7U/xkze9/6TfXZwHt4BQlyYxYIVEmFHbCJAiniRXig
xaUqoeRl58ro8JZvtOGLEWK+AKdIHCQi4tjwGtijWGoePvaoke4K0TkHSKvSE2Fl7TLTyFd0Om+8
6VxfM28QvhSQIHfxPMKXC8LQoLBnG0PwvapjjHMNUFyvo+iUdKOUeo6ZyugEaNeZ0YMsK+NoGrDp
MBzWVH8X8X/9SGyNsu8QSeglTTn8wTkFAqvMfJVGH349ax2Nt8Dt8vABPqeeQIObpgPSLZcLKf10
SGCXkkPVZvVilKH4nARzCS6gQYFuFIKT+Zb8w/VxyrPLO1akOKBKHSleHyGD75WW38b7MmvNH7mv
ao8NH7fXs6HinA1KB0BH4MG8G30Fp7SauxAao2h1oPujHp86xYSdYxdK/apFKX8GT9Dp0Wzt/F2M
IcmzM0ajsy2Msi92GrzoeNu4cny0WmLELVXOAW5P4EAdqN0s8zq/UMTeKIHn7nqnxs66rYyk2E5q
aVOrAq10p2AOrd4rU1gfKCzouJijgXUWWmWCF66mCtOaAA1FEAXKlizQa6T9hKrRdCp6QBqTNYmf
OSox5cY3lepT2+ht7Olq2H9XK9uMPdCfeMgUdZz99P0uf22SSeBgojnZsXFQY8FowMfVYqBdnHim
0vlAiQYcu++jPhYtVcy8qDyN+x3RXt8Gd1KmmXVuYqvUqZAG468Y/lHpjW5NB1UioyQ2cYIS5aat
a+fPaBY0Zd+/c9yru20+ajO+jYqnoPiz2NiGYlrYtlvTWZQxECLuA0Qjy7xQMTKMnAQG8mQTALaT
mx0UN+nVzxKg6x5DcFQAQYpo8QM9waHY1Hll/NaHwf9kdY3f0nORgVfhksLpQA0RAxa0e/8ruslv
PFh0/QO8exXCK0vwEmEfbu3awNRfI6cJsbafKpjiplFh/Tdqw4M+NHiS12FVMnSiY+YNcO97lOnT
l1xNODhlVxbG1k/U5KShsEWzqRnjZAeDN/G9HIOoYhfjxvMDw6JO3+a60+jbnhNPDOSOPRSNxCG1
s7vCeB2irL5rYnQwNghypuPBkt3YbSrTpA8zJI1eYSGB3pVdj+C4cqNzrb3TFp22UWBMNBDXZw80
O8zUXZaP6Vbq0k08o0SLoQys8JdfBHkEYDIIEy9NNBHew+1TSACkEf5Rpyb4isKn/KiFLa5NZSVQ
ECxmpoJpzO6FdDfcXZ9O4NP6JEYqXjHS6SGGNJ3teCDNV3RtfS7LNgi++2UACb/XO3hyvR3OLlLA
yz1FKf3HME7j/CloYr3HGdlSu4MzgjvbT1Wef3x/j13VF2kIzoATbo8Z3aMuIo0w8mUStU197qWT
eFZR2PemXp1rNcBr3EKp1Er6H/VguCvF2/l2u7j9qOhDLqNvTdtiFoy+vP1GSQwmp7E6F3FieHmL
pHIe6Mgw+mZ5aLpVttmN75yp65SQeMTJaBbfWctMGxzTZ7zEf2gT2m+tbziAfdOHtsoO7C3MJnXj
n7NaolC+kUiTViPdz8Wwugg0Z9K7+hzOjOhZKH6XCIT531/EqxietoA9Q1HBK1EGWcZx9ZRyPNW0
O2ulfR7a8Huimu6H3qz0ld1yYyBCH0HtEMg0+2b+87+CD79BFifQ2/acI4y9JWmBo0lLYB+X1VoY
f71BqImCwWKLUOKn/nc5VK+BWiB+HM4ZwsMed8K0g1rpPNhjYnvDjIF/fw6vy93Ue/8ecJH0SiMH
tNQOw3kyB23nwhn03BEqvhHriF/wGh6w7LS/WBbPchHiLkbhPF8JZm/Mr4UGCAkZeAoX3aPLjzYx
Oasrxx3OrpH9yV0rfszGSSMKUJ2VFP8ahsnnktXOMTN7hvLC5VCiknFpVcpwHnQtPyip6B4qrLN2
ldmPD4AkHK8MevmS5X51DPjRHuC0dquU1tovufXNbyLbFJxIQ5Y/ZBglErll05Odm9Vm6EtrJ5ow
38b4Dm9X1vjWWDOkEDtJuuP6EieJFAzonaQazrVlHOIk+K93nOi1LMuN4/sHow23sREcxqG8AwXx
ALD6U8M23BS2oTza1ajCJhbH93/TjZ/EAgB2pJFIEWSZV0StETlTOy+5GJIDApL9s+xBOVY6haV/
vydmMSvyYkzqKfIttpdbJt1oUgM5V1YDOi2WzkfZ2whIGghIvf9Z171pCkeCHiLGGBDTwLks9hc4
KCUMTO3cg+Il/1PtTN2bxF7ZpnNduH5RLwvFw2+TkDedlQ0/q4qmfIjqAZ1cyZTpm8m28lPJw9lv
xtbH74J4Ws5aqtAbGj81dqAAxY8JouhzEvH4etXQ/xmmPP7Jq9NiZtgr0x38X55mewCb9jj5eDau
nKRbC8ivm7PDN9nR+c//uhPNIe+MYBTj2TJyA7oIDlghZa0XmgvlSvp1cyhnloPgrFDFXJxZpWs7
ZYyV8eyO3bjNZuW/MMV9KhjDce2ozPXWyweamhyEqrnxSO3MXqwfWnC5PgnGsprI9vIGdx5TEeie
Z8iaG0r4CENG2cYw64+sx4ded/OViZ1HWPwCDNW5odhCKMIsHxs6nNZA8D2e6wTYP9pfKjFagN6p
MvGfKMa/JmqebYgz07UH9cbjM7/WdMJh/UEmWzw+dLkmK2yT6WyR1+AcSg+wEn1JdoQD2Tho/34u
abTCeIagDvZ3qTWHA3DV2faonl3YPXakl5+N1Gjuhh4q+vvH8sa1T4dz5joRfZF+GouApMXddiqS
xDpPoCk++y49felimeqVJdSuTYeQ712ugEPA3zpBzsWd3EHfBkUMpqes7S/v/5zrBGdGxVMCZn2p
Cy7pjmYZdAiI2t05zrMYcnHlem6v/zNWA+1yoIOz59Rcullu5Ux3o7LUS2qoZhjv+67im3VT3mkN
Xotx12grBYkbX+VQHLHmeAwBwSVagHo8EhxBZZ5VRH02fUYRrMrdZv/+3F3v0blqB9bL5RmfW9aX
905b1BUF81qcs8rK7mPIMMc2MMIDecRwHDtV/Vd0E/fBXMcGFD+v1FJj26/LZBrNUZzprGheSly7
a9Veel2QuMemxA/w/e+7Pv6Qf4A30axB/ZJ/X35fmgVoQmihfdbcAcYorHT4MI1yF5QU3LSpqr0p
c+zDpIS/3h/4bX0uLx6e4zegIpKzJpfg5cgibJARqZhZnLL6P6ZJUB0oCZ5krfKZKa5fCjrl26h2
QN2rCaScAptS2rzmDpGE8UkLrcRzpfGjJkJE6C/Mzg56xnu/sc1NZFvZceX3Xu83Xh+SKG6sN5rt
4gWqY6y+htawz2WiZDsBXciz21q++jmybWqPeqTr99GWdGv8kNdZQXYcRDutKZRtbYtiE8LC9+Ie
lM77P+z6d4GiANUwVy7o8CzhFH7HdFjBELz4OmB4YmndkwhWrj0T1y8VFHRuJERYGAPPl8vlAp+F
KzHN7BeFyuTZLUuFTHxoAVFoRdN/zwffPNsl5QNvoq/i7GWArJAXRZqWI/1X9Tjyxnb+nPDcwcTC
h/sHllStfu9gmnTMZOAeQinBkjk+5OzNUESYGI9BXU7b0XKb81hauIuJjER7o1qywh/WstIvyIxP
D0JkVYouX+jChgCIvpl7j9PODmV8lK7bpa82jg1IXbQlxsCJLZIdRZv8q9vC5e+qMH7heU5/2UFk
NkcUqbLPZWW6cpcVkf7iT7a9J6NJv6tlHlZIdvhDuhV8zG/wBuq04RaaXnUjxr6rbka0Joy+wt+2
aCt/12uldgfsQ/6KCk2qvGxJHHhOalYlEnaieKjbSv4piUlRONeD6WuZ6+JZlm0ab/MpNp5SHeHB
g23jgYMm+NAFmxbZPdo6fhEmh6TPOi8JE8G+Kim0gpsamp2O3fgHJfBDkFqFie9vLUWsreyHOQi6
PL2zOP8syQNoigKacbkdENZsSztpohfZIEfvil7fGqndfKtNBUkXo2vuK1sxdnlJu2tCT24lRru+
thj+rW5Hh4vG5iJ0iCYcakwfY6AsNr6lQwh5JYyFZ/eRoAhrtycaJ3jvduibvn/a5r/44rsRWiVI
AlVODoMS8+K7RYRnTQuI4IW2TvU45Ha3rUKh3UvKYnvLl8EjQb+ycsSvJtsiMuf15uSBUCBjvZxs
JeFYcpz0l7QKg0/CYXYjXMd2QZWouGXH/r7AjGyTxUX+C6ZuufImvYUri48GG4HEL+BI9BKWlY+m
0rWeX2C+TKEAjDa0jqXspG71z4Mzak+aDCn2+rlaGBthBi2Q7M56NWoT8WAnLztU9Ku8fujIifp9
l2XmU+X2KDll6aT224LwCKVJjBSoKrp+tu9lUAOoRapng9peG+xAZJpya+amexeTzxCMTkjubzUt
K5AnoySOszLu5xSbohK9wsBueLbeX/arMICp5/7jH1iFoZmzyAlEI6u+Irh5cSnTAtZyU6oj9bQv
qj7bYQQSbd8f72p/zwW0tzIa3VXAFPPv+SvdCRDfxihSGi+1qOJHPI4oxVq+k3wu1fxTXKn6a5n3
1itmiPUKdeHqOZlHRnFwblPzLC97T5Wh1LWujMb/2Puu5VaOLNtfUehp7gM05VG4Md0RNzPLwYOg
f0HQlve+vv6uxNG0oDoc1nT3UUuKPqJIHsJVVppt1177qi063od4FlEAb6aU1tcWMi4DGCBYejGZ
CLyPJjRexF0rZbl85fduuvQXEXpmqujPHYcIPAXV4IL6Twq2Ihb3Ue3De71SfAdU1VMcb185e3wc
cBLhQcMCQn721xMdZUod+G4tX6Gior8W2iS1FxlyfF41c28/X9OPZvbyUiNTCwZdrCgQl1exjthk
l81iCrNoCu34tayAew4DHME8EOgCWvLrG/LnogCypVq78npZNEPBjx0gx2W06OwTu84ycelKMlpt
CfWw6UNRnJCPXwf4AGpCqBvwA2DmMZ8jO8FXWuh67aRcZUqnG4EeW74XRESp8hWArA9NImzLoXFS
pdg1c3/q6nwOfy2pgN6BvQ5XWtWQVR/NcdPOZ0KVeOrVMHTDpg5F+QBWXW/ThNXAQEPRrsIoS7ah
LMSPaNZ+k6Q+J7ItgilrkeuB0UBg3PJ6MSwDYv4jPVEu6vkwL+LZlVDAeyDivEUiG/ws1a7Ac3st
RpdYkiddJlMdLHfvrVvbFYQsKkrbsqdDlfkiek0vgufPN+FXB0/h8UgUeUGZSMCejdenDF0gsAEP
O0h171qdoK51t5ftuZLKKVrnxP0SVL7lXg0BncmDeIYoRJg8la7sTx2H8dHj/a15jAxqRYFpOQaJ
ifPC9zQEmw9JJuUeK/tZFhqSB8t9EeZhQlFsglSFCiqUYb3IZh6K+eMcHG6usqjudbz3xDrws/dA
sNWizAZZj3j+q1V8oxhAzkQEpdQgNoEMBrNoMiTr0zxq56RIw5ldRIr6kgOJv0ZioS1QE+qXDzrU
aE1QR5K1BKTlzbNSD8rdQsj8dZ4KSC3I8JYWNE1Q+UfjgkfMAjfsbnW5rwDpDeIVGgiq4NcKEonA
ZMskVsB/mYHFJBs6xHajJEB0BdleInaxP9We6iueFe5FwVBAtSZgrl8TAQlulYhtlodHVwkLyekG
QG5I5bkgefQbvZQI5H341oRSdI22QSXidUNYHaWqlm0Y3dGzLwYKAMkIESNYGCxcj4KQF7ELEd13
3if2IZcDlwcEY0WjEQAJUOsOuNLYn4gGNS3jAGNFgS44LUM9qmjT5KIVy0JtKZKXOp6YxpYUFOGx
59yVwF40TGzDkCLqOUWqIo4PLHq5IOkC5Akvy4D+G9lYYNr1+yKfSccZmomANN1GSNoQtUdPRxyj
1ExO55JqT7EYbNUBM5c2ttKFf6dVjUGgDgEtV0GUg4KLM1/HhdoH04paqydJOEZprVGUYmIFhl6z
Gpjby7gUcpJlXvvYgiMaJJ4TNsdXQCVYtYh6nuvLoJUhQX+tOqq6Uk9zLZ4fB2nvR5tS3KVIyupy
zUBVyXhjNQXsvEFwpVULdHK771HwJSsZddVNPHfyQjeURCQL6S5IAkuIC2Niy4xd0PP4AJiEfOfj
G7dE6/S2m4ViND8CHmvFhu40hk46wyOHzy80VqH8OiCqQPoCuxNRvNE8KG3WoX8Q5iEkEgUrCm0I
ilDIlI33lSgeX2dk5PnyKWtaDfcjUJGU1GMghGRGQAAN+bKv/vOl+7/uW7r/cq7Kv/4X/n5JMxCu
uGjk9+s//7rxX2Blp+/Vf/G3/e1lo1ftsrfkWBVvb9XmKRu/8ldvxOf/fH32VD396g8jqfyqP9Rv
RX/1VkKpnS+CkfJX/m+f/OHt/CnXffb2lx9f0jqp+Ke5fpr8+PNTzutffuRcUv95+fE/P7d9ivE2
mr6k5Q//sXp7i/zE/T8/OGX0lLyW4w94eyqrv/y40H4CRAhRsAWAk3Auefa6ffv5GR0wQUQUkAVB
QQc2RJIWlfeXH2ei+BNy+ngPIC5A8vKSadBBfXlK+gl7CG8AvxZSbwjr/fjfA/3Viv2ygj8kdbwH
EqMq//LjeXdfCEwg4iV0/+EU9EDwAuw6ElBoThBEHVxxS2tiojarwLX9YgUWtjh2qoJp6EkAvqIE
MXsFHeAEu6tsTV6BM4z0iYzik2UCCygC5SMBfVbmg8/XFloqa8tCRyMQQ0NcTaFlxvLy2ASWPLNm
J7sAcndO1XwdSxx9xjwNHGzLInHkdn3SnNYzTjVVI6ZVVtytMnQ9SM0TWLP667gA2Gfjrea35XX8
Ck759+4J8Bll2wMgHDz0ihOfpuCc/Lx8NkMjn0KCWV2cPAVkfjOjfOzf5nfpY/4oaVS9E94aj8yf
xYzNn9PH9LF+SzwShmR47oAvPKIa5GTW/VvvAxgDiUfSGrVmdhus6uBFCwFYz61g2JQy7QOzT4GN
AUcUKFsfotk7jGg0dPBIF+zbfkIkn/n0PrklfeSezKOslE8uFr2d32fFQY9sQV+ps5tMQgUw2Q7v
s4N+X6/j6+E2fJCNWUTCBzhreUPRvWGRU7Bhoow0u2pPpAeNVoHyaiLjjReH6ue9erk3J4c5Mrt/
p2EqExtknPj/E2yQKakwLlz595MKH6w5eIZgzPD0P9weHtC7MKliEcRCWqzJlp/kOkGJY4RGFwjE
nzQW9tVUPcLU1UZC+p+82thi4zoB1KIgiUJ4CmwEY4uoUIbUVRoQC9dUs3qKbqg0YAHDoacLAyKe
DvhSqc9QI89cpk6IJ9jpX4vcywGMDdY4CofsBJpWS7FaA8yH6CZUA2ZKygh0UkS972m1Bo6yQnXn
tf7UvZ7QXuYGTgl4/fFzVgEwSMJldkRlUI4iyMFCiZ787C/jjqJlNM9F38Rv7qFCKkyjLjr73sy2
8pxUK/9GQHHkHIkXAo/GjoSf/1Ay0s0JejK1AUBTKPcjcyNMCWLxYWkEFalOVLt219W7F7PZzWwT
XLVow44UxdLduw/DU9aBS4cm25Y1V65CTxFdn0i9Lm61iGYRWc8Lot2Lt+Urqhp2/V27cll8lROU
S/pX4AFAKkpQybVsdnCmczpENEXr2YC2njk8IBfqMfCy+u8enn3PXpKX7KUISOvy/+WMaNtXYStD
7fLmIhgwlbMbBPeBIo1CC/DiAiRKaD6CthiP0spnpY60J+Fxz2NlnVAuDKDCCkDqKRLW6WUeyffv
y/xnXOYpaTLuQf6tpckotfJFmHEWTlBRSog+c9l6IanzphN1r48UK5Pct1ZSwEKR+6Sal+jVBbo0
OpOVKX976pIj5fAtLjn2+r7cJqojEZ4EvhOYgl/fZqhKYQ7goWIB2U87VtLrO4Aut7SeiCVMXmhk
Dv/DF5I+Unpo4gOnBCE99G0ZzaIvpZ6klzn6V5xOJyrraUuSOTqnAf1hS37XmWXWufZ8gfoqGfSY
5gyRMVJoocpZFXSD03KiM0UfO73sZUsPTU2oAtA6GDy93NR6SN5im2fILGs6RHJwChN2Cq87SYlA
+FZNFcKPMXXnBbq8ndECJWWo+YUfKNZCpjH1WnR+oQO8poHk4HLSadRQN2GRz6DMGpDdEeG+Q8+y
fA/FcWoIYmfzbpM8RTGZA7xLp5Tuh8f0cnyjdXXjSEAHB4yvh2XvgK0wc04RKLRocCx2+r1m67Z0
n8E30Hftc7PprGLjT2QEp5Z8THD1J19ydaTf/tVLznfcyAuEbfe3AzZGlKZenAjSDGZe/pSDHQbV
X09lTQAOpJ/7cVNba5y1+C221tS9jvJX//C9nrmDxpPK2xtIQAPy/0ZSq2y8KBjAgGrd3wt0t3NJ
RR4ebo7HiajEeXE+u85InLh6Ar5Cfp1+6V5VDjCARFieLNeunOfMKRyUFxoahYHslKQj1sySKeiV
CGy7dbZNyNPTkhkzy1hqeBCZ9G1G7hSikYRs0YeLLCaNemkUmT/Lv8uJGcuXotP9HEXiVopcwBXk
3wllZoeF6e1FzwhpnlLBKQaagG7okC3zXSFQtBido2LsZu5MbMiJsZyzjRc2Adg0frOxTG2Ys769
GMs/umE+1NsX8z/m/1c9F6HIGBumMUFrpi3LRwdKJrWUBUgJjElWt6n1PmdGLu6rDfJSQJZSsSrW
vcQdW+yia5A2qED0eMzzGfQdgB3VnAS27NOFfB02CB7SnKFCL4K7NIW1mDox54W4GNDvfmImV2yU
MPhnV2zMxzo+oWMkc6nViyb0sUOSmKaWALeYnmxFYeK7TL0QvVDZbIqxZHKXjMTlb75LJidhJFe/
xSR8FEAEGhjEeLyOb/FVOY8chOLQAlRnMfaYksfMbK3NIyiT2b0ZMPLmGqRkJdN3D/RQGjKxj8ct
8vukZ/aqp/c2s28CYn8uIoGs/sA6uBiUMooRR3Wlg8AagxIsJLcZFA3VDirpTO9as+qeNMxr8Fe5
TFflEgf5Xtsg331ApugFr8zozO5x9CtTJrcz8zW35QeV1XRhn2huo9eiod+c4JwcTsbhFqX/e81A
zyoi2w7KKKnONAeBNNrZOvOtiswpvo2KWHtkTc1u5ZlvoAsyBlqyzHgrVgoaB17vEZqaGbCd39LN
iSn7irzNqOWE1txoMIEaocZDRUJ8fEj1V529RdB2Bi3IEryKpvcMVf3sWqWJ1rR4MUh36cte3ZB4
vdfZ3FANZwENNacZxqGxiBilWRHBaegcDyt4BdgTqG+d1smdj0tqTL2ab3m4TLQE5y54r5a1eYce
dkvcz0tIXzS2fmjZ3VYndwhv0bv9VUwtdCldJyR1wOQKZWzd4Skw7BN1uUROEi+XlxGPvQkmGhuT
5fZ4OAChSgARJJqxKg3+dQ9OcbJ67XZogmDWtGClUbFVTV9vJYj+mIACnAX0VcX7QDluFCxZx6Qx
71c12UQOMM8MCoK19H6zCpyC5QaiQztvvUrW/MMyVpie0y6b+xwdGkiWkpb2y2AdODVArBSZH1Iv
A4pmY3sJ4cNg3S/lHb8sH+GJnvB9iybE+ArJ6/ZBtU47nTzZ7zW5vRUOwDl3RCAkX4OkEnOcGSUT
7o2H0KkMjTRG6jyUrGYtG5atOd9gmme0I45LrJ70xE6o3eL+Jk4CNw2/srR+OZ1j+uKsBjwRBY2K
pZLSiHCnuIGN6aSWT3abjg1msm4Ntp9bKOxePpSOIS4xRLM3DcomrL4pSTGugfuXSIqp+Rlhkooq
zyvwFvD54ZvqtJnvWmMDalGkuB9FNrAFienyqV9TQ7ZwBhIimO5+vVweDxPTMy20Rmb+d6H1XWj9
ewqtke34Wx7KKfkwCsD+lvITLJAfCHOktdDeilOTfoXwnynVafBAvgPdVLCCCRbXj6XRmI1ZG7Ux
mAN+x7ed2ZnIPVH+XL/MoSWr8+t4Roo/ByilmT4ljmiKpr4cmERFppqS4dHYCA3fCNjMaOz5VWM3
9oxqDAYNW+C3D4taBY0BkWo6L8zktmYd1ci6ZkZjqMvGeHLZgukG16Tg5HFaY3bsoUWBUDNbPIrm
hQx5GvjssBgiWDWQptuAeOTmSaZPGR7nLj6MBustpvo+hXa8Cq39lcIqGEYNuUrpWqpJuF5s8xfZ
GugamjYh6/367kFDUMAjdgTz4TYlCzKctTbU9OvqVoWtgHjGnMAC7KlKDjV55XPzzgd0fIf6xvMt
nudGxevrK7KhSxoYoemakRXDeFVIb9ZmZvBpASjzJme9qZkxyyxuFKDmiUXW53ob6zmx1iNT3geR
WOIWKSL/WL0as1dTHd985WWocr6Sq4bxDCdfRmXZGpmTOLqVOR3rDdkUkHqUEETJYIX7BrqEma7h
mQH+ShBfjw0UnGPBZTY3PSw/fyy30IwUwYzA9I2SRngerzZT6huDHVshnu3scAOfF02ShF2cwqQR
zAEmKKiA1v09WhXjf2UnWoXRmqUzGD2DpX8yJCKZnYEKAVjTGWww3Ay+RIzKN064DQ3fvQHrjc1h
cedGTeNVbsg7zRJNAYGgyGnMjKFJDCxwFdtex8qkZkUlO6M0AZ7G8GySXwvOsJUP6Tp3pHVlUc9w
GfCyNCADhiMuE9snBOa5kVuJGRtm61TbaiuYAkuW+KTNgaHOinpLtK+j6CaBLcxNT7T7oREMSRiG
1L9t8HdkpKzDJzbIJqPPFkWTDVYZFaZihbgTDFD05zN0Q8P3HDcEo50fHgQG7Pl6sfZNewHonHbd
72qT+I7rUHAjWd7U9pkUFaOA1XdR8acVFagw+1xUjJ3dU63MQhTN8+BYCUFRGgDHQuB35unQ/awY
TjhLEmQEf0a9B+EE5IPIBKPHCTxZAu2BkkhYYMbWjL40cFixaQ3HBz/OfQl3oGaDETMf+3mOQxjR
yFqyZFNtWke777CfFXJCHHZY9jvADhhOhWskJuDn3L/A6e0pkv/4SGUnkK10711VNFounMqqLBw+
U7aAvnK8beogqU/188mBtDM+F6mgtJiYp1FGo2gCVMO2hWLJCAnwE11TePKblnL1WBvqy2A2LINa
HEz1PnIGSCX03mQy43KSf2nApGq0tiIGGDQkpmJErLQC08O8ufg3SIRs1zgxgPDx2zVSy136RmSW
Vm6Jz1z2hpCsCeRrwFLLO/L3xUCn8Nf6Bx/KF5A6lm/wPshe8Zl/gmgHZo73ewxrY8T0xGaY8GYV
W/xVX15ZvvFXpPjyTP7TXUamvxTt3MJvXNE3clpaMcbtY10iE63l8TPEyEIjNjITY8I9JtACaMaA
EXCpf2Ie7iO28L2JLX4/PHLhLgM22Ckfj8l/Y5y4kxSv4lc+f++4nuDvg7DdNnYMkcvF7hwGxBwB
BZ/uQyeGzbBGR0DYDxFZHNRl6URXwZVynzoQ39Ct1ba8Fpct60xQ+Fn12cjp4NlzYwbFBExktZVg
FRTq0RBarjagMSC/QXJkpWcZnbJqOxiQ7pRrFwnr5dp8P3ZYAwGn5GRktKIFFRg41a5UKiKhEDLP
mO19MzQ9wzMY2KRhnMzYDOqdq64cCqEwT0ZvR5YLldabPYvxXGUiksANCgVjbUyuqj2LxynAZAMl
gKLZq56JdK2b2bsKw+JEvQ2o9VhP1D1yu0uXHVOgfiy01aSJpV8Fls+g5k/QaycKo6TH2TLAmkJV
zCRSMgtEgVIKXhhLpQsrd8p1uZ5bx00OVVlAjW1a6FAJAy9oyO5FU8VNl5ig0siw7fn5AvMgwE+h
KVMXQKiVvVo4Lbnld6hjYjBkDJ/ZtY18LlRujQOC0bLCqFmK0FZmzA+o+MC1FwaB6msImSNqMNAb
+wQ9D7vMRijcKR15Wa5FS7pXXrSXkvUvLnZmycK1vm5sB351SgfuaANRDvMrJiuEcthmMO/Nxpht
sLSwPF0LKLX9bNlZkUHfQQxH398jenhFOp0eb7ZPAbm5ackrrL4TFozWdnCjbdmKW3siGcgVD7GU
5JpfJcc/UlxrAfMQXKK44Ovr7cIuGMIgjG+z3Gjtxd7FCuuYqRz2dI+txZdUZTpeXpiIN1mtna5S
LAyXhXy2TliaHPugBxgeeSFYPWsArxDea0156dlLrCQ3x0HyhV3HNxOy5dhCJwqOXfw7wBvApwcB
m8POpHMrdeaWiImTl9r9DKGhxMJt0a3EVNpjYtbUs3l4jxgLy5CNeOfu3lOA4wPrhL2f4Au4NtwC
F9QyHl1gCecMrN34mNlEyEI9w1/G4aULj2Qc0lEy9DFtuhJ5knO0Ljeks0/CDyy3UPmhQAbl7J90
99z34Ac63UL5mK6NZsfmwIpr1RSZQsW1CAFbb93VHH9XjmDIPnFthfKzq9ENN1PVdWY+i6S+gRRj
ye5sqUKqcTkGi9VMzHBZWznkHazXQ39TW8URXLKb0hIJpB1eB0loiSu0KLW5ZA4ggVPoKi7rYPki
thlylCC+4GYsQAi56w7SUTr66/pB3KqbcO066ra5S62OzPCuhcFDpIis7hfwDbgs5HIYrbvYWcpC
M4RWiHOrQRZ++ewZ/nLXCingMSmwYbFtbNfUccj4KvEAI2zrlWh01LttTbwK4dwG72n3DdWcbgXJ
bEVH1+BjrGwEbBkCd5UBCza5cVkEGxtx6bv2rrBqlsPu9CHfQnw+doGBjnQQLwEOcQ+lPWA3PRWU
wqwusD2xTlhBzyqfIzg1GZMO8ONw/rkLFFiig2godiHCpdy6xe/G5CtdINTKVScXzTy6zv+FMCNU
fg4gT4FgLLxTbETYDJa/6xHjnOETEwuV0fiU85cBelbIJh5WhezCZHjY1SLi4zXMagESdmG1cLey
9y2wkOZ8zYO087MYc2G74ylUoaT4CXfD5JZ4jRBrh1njb++MAb7CAj6HTPgR5sd1AYG9gJvqYkYi
zDk4GPfxHcScc6Ix3BmsFXZCDNHGHV44nkCM8gRGhc/n7k7tCIRCguM4zc+q6Dwz9gwfOX9oVzPH
w2E+f5nRsrEqunCSrQCwZHLbLNUNlosH3Yn3NDtAkRuno4bkALbS9sR0B9/nragDrvpFoYIO+y7E
ELgToW51JuObK9fw5uTMrqCYV/FNY3crrphhPJj8E8BthU/kRgWMEjNhvs2dwQGH6Bmed+mUKH/w
CfQQvvhqBBDakrmWzLnxwjeyD6OgtTy4gDA6MAXxGmWju8yyfTOhNHqrEajWsbo1EiE51m/BfGzl
ykJjsZzQV+xjTBCfbeXKs/iu5h5yfsdnG1oRzg72+jVXQ7Nr/lr+qE5Lm/9bdQJLuuKak3uDngU3
Ct4gXk2x7SYMwkkfe0xc8N3H/u5j/1J8JE65E6NwPWpNUbzaIhoXwPjliqOEkffExaS0mQJlTjsv
fDQXAIDvzst35+W78/LdefnuvFyW/14W6PEI6GeuyyizI87i2F1w8Q2oAWLSjjWHTTxRBDh1jRFA
6B+6xrQTNkoVfHfCvjth350w2F3fnbDf3wmbtKJHiap/yoqeT8jjcYmGIORhvOiQKWmpcs57ZA5P
nCdreccTqxw5hvwjQbAC2V31nEPM4JvOETcemGJIyGOoiDUNiMPw+PaXqBFwejp7eeNx2ZC+pQsi
vN4NS4S3US9pqFaLsAH6XtAOoMeUuYC/8YAMj3l8ibOuuH88hfuavNNRruPPe6eT6a9zJv3CM/o3
TX+BaPMjgweEiZzJCmyNYwh5WzSg+WkqvvkRrUO8jsfcbm9fb3v6jKAqyNjJLR7IGKLpK8AEW/yU
eWidx/sQh3IG9nw1kF2Ol5YUQfXrGdkBSrBMdsmutPR9dSft5a286Q7KdWZkCGjnQI7Mka4qEVoi
+/3+BaRnZI+oZkT2CEUNy2EpOMCkLgcrZypC/bWZIjrqmSJNnR5g1hz8L+CzgXPtmQTvbsiwfIjI
/PD+fvTIEWkAjHXGXn12eEcOQMY9hEjsoVUMveWwzZm5ul0h8L2uyYm+vgYU2A9k/hD9vy3YLVIb
iAuq/IYB4QQqpOa/+TP87g+3mIvzHOGT0Wni/AoOKji8fp6Z/DiKfrEyI98+8sNFqIe1Aqwy/1oh
5UMfW6NjKbmfE/MahTh36EJMrjpyfa5ltwBeJsaaAP+yBoLmBjUyBlrFMDQWIjxt1yC5YiZIXgWG
j8QE7iVAzPX2FVCb/jxr78C+BMb7VGupM5z0K6P64k5GRnWHBt1qJyEfoD1m96c3wKytdjk/+k/a
Aexqh26Pxk8J6Tz0ryYofRQWBJTms4HMN/oRxYEKunoEvJqme05fNCT52AxY7ICWJ1R4URQOSgfN
aFrSPHy+AvKI6epcPQBA1d/OxshQRyc1sPSecDZAouwjT/vGU6AxfQEHEWEu8TdoK3UTm7EZGaCe
P4ZHb4POxMjc+cgI8Zg2xwd/PqZzgd1nczky69EKSJHDjOdWkKFSKDJRSIXIZrXWgePi+TwAYkhp
n7EmtEIZv2ikQAKJd625BHYJFVPIbCILWJ6TMqADpwGGCkwMckQtUpjRBjkjWE2JpT6gRHUCeQwu
oAl5w5+/kMsBmKfn/gzj59kCHePlSVrkDTYc8tMjZcuzAzw/lAC41BruFYcvNcjEnW6R+wEerdpx
NFp5E+E3T2/zJPMJ6WeeTudwJp7+5iB7vt99GiP7bhWZ4SpMPrjXxWKVKywHmzwCz70dAH5dIoNZ
Mn/dIUr3pO0Gw+aQH51mUPdI/GIVdSROS+T9GvOcTkMQmo84crozLGnBQuDXlB3HKzSGvBRgIiRI
FL9nVrt6fT0Z7+8367fYutonIUkSgvMHGeUz/PBwBo/vC1YCocaj4zzmzfU+/9ki8o28NRIFtc3/
5lkgHitHehHB9eKcT0bK9p/cXtKoRKJWEv/Uy9jyMRHOGATU69p8etsb2c4Jz575xKM+RAkE73IJ
iXHMaE8yeiOQm5jd3BxTFpvnO4RMPLy+Jqi941L083PwsYX4y9k8F2he7COhS/xGrjHQ/CraKehH
yYA0sxor5Sgwq8AiDWvpbuKiU9ryXPtzcdXv2vJfpS0n98MIsv9N9sOUMJZGwf7f77RMid0zMvBi
434Xu38ssTuykP5gWn3KUDoTRVzsrn+FoTRldEojQ+mPYnROmf1jst8/rtk/59GEr0xVcLNzRjEV
dvRIOqpp7oJ0BKaefnhsgNzZpZ3t7JJjuRFtgLzZG5AURkTewo0LSw7YA1bfAEZP/SXMCzteAttD
APaBe/fSUdUqgSUDZ5WlmcMmRSQmIADqNZvwjKtIKK8y8G4WsLz9kHqHzEIvpuBQ5OQQwdNDseaE
KTt5eyP/7E92e9qHiWww3IsiqKfRMo2XIlycaT0uYx9EtyiW7WlyXQMio9zN2T03zTkWtmMwxmlx
DfcDDkhohyvtjBXNab3hONDA5GUiaIWqoeUMQTfUiOP2ePEAC3YAWZnxZgGXn0OOamTIOeASUB4q
Y01B+W6hHSxJRdJqliqai9r43JCbvLmRtfCnujn5Q+T3xcqNzl0vhG4igYDYQphAJavDLeIat/fw
o4G9ExAFsay9gohLQ8/Ryb21P2QolxEp/JEJd4Krra8kwMVIRkckP4HJKFIxkp3pLI+fr+HkbY50
5m94myqf0c/ucxQoQKc9X6sLhGpyg2NJw+2AII3pQ3o98+DLs7OVyNPD2nJRP+ovnS1CNmCnwTO7
Z4Ad8bKUIobGwwq98ShbpaOY8V5aa7a20u346KILgf357PERfTbikXYcTot5qncYMbhtzRUCep9/
/LlN5GefP3LzK3SmS6U5pEeBDtEoBuppePvMi8nEtUIF/E6AwFRtjtDkSPSIibYprjhsnHvwnumx
qxLs4u8FqvIRsWjXMhUhHE5EptHVYBQE4DTStMbp6vOBT8zLYuz/dpow8wbMS3x4QOnYYcrB/lhr
/HIkxn0XsrzzKjnHBVYVqogHoELBlkVTxPYQQp2Ra74zBvjez4irmg6xUMmW4AHVfEY7GfKG/9/2
4Lq5KcgDOmWRgmCUKGjjEUIPXviyIFfQhShwOiKO945+W4DlvU+srsxn4ZPVHXckm2XDLBA83ASk
So/B3y/IfY4AMI8WP274Iw1D3ybId14EtX7gizezCsI+X6ypc7cYifE//rkbNx35e8/d1PYdCdz6
m2/fkdD9c27fkbj+rbbvhHYcdzD8u7TjlAA+R7IuzLc/jACWPp4VJKLmaDXEG+RA9lwMPAlnYqlq
rWI9eyhPKq0UxD0INt5B1tEjTJQbyDuGWgqepJqoXBAFLjC+Fmy/XHyUII2GSkpncof62pjm2wAV
RQNqYXtjc2b22sWGbCcA23M4/wLFVB3IpoDzPKoohHpeFUcXXbhzggaHJZyZHDVdXMKDU0O2G3Z6
ACTd3G4F3IfE3gPcRWPpKwHp34DEqMpJmUyPAv7ZO53FS40CBOx9U7DRn4W4qCJBkoYHWgNDskP4
P7EZGDEg1ngS1R8SDGiJCUxiT9yOzvHE58IWvJsTkzPyCPrcBwvlCSvD5qik7lFMwyX+KoXq6WFW
8j8FiP7No3CupuG1Nag2xiNzcv/fWSxehd2htlw2uY5ICa8NeFzgnTke5lYTr8Th9Yj80x5zgue+
fHl7/hrwB8MpvEYJGED8HOafIZmBlKEhITmoE1Qb0g7lXTzLDsot/jfg/qhIQln4HBUDzbnAAp3U
8IyRkIX1Bb0vLkUoqA58NJ9P2f+gn37ZTiP9FLtiXKchtpMALyknzy5xcnp1jT4x3DQsScJM/gDf
I7GROI+Pdz27kymY6zIYPU9Pr2CwgQ4PyOvhfelj12fUw2aI2dTaTm58buFenLp/p43/IW2Urv+y
iiOlmhenpMlirOLZnOeRCv7FF42bb4F57Vyjhgi1RCggPxv9Ptb3+vkZ/ZnJ4f32FtQDb286uJ9C
+MMnh1t4qKddL9/f31FLeLTp+wzpWL64S4nw80yPKNHzUaKToQ4vsVDgxvO1wfLoGT2ZkHmTdzfS
6H+uu5sWWiNd/11oTQqtkWv4uwmtSUth5GN+U0vhQ0N7IQoiGtqIknwOTlzIy9NJ86O+gy6ElkL7
ZxzpFAIeVHcDWT5pJjr+Lidk9IeUs/rFJUe360uzSgskXNKbi6+doIOVQi/QgKV6VjyUnzZiY8WB
WLAwjGMzGcCRqoigGlVCghZa920Lov08Tko6E7J93EjPmYd+TUlfWOo8LMmibYSpEX9oMPwyYmVk
ysVBGKqnEoITTCQN6nAByfFo5sik3yA+WKGw185AA3LzxEEJy60Lfv4JDXyO8n9l0F0MYWTQxcUc
LcIVDAGONRfRV67BC+U4nV1EOC0Mrxt0gRM6wLo6vkfAQnxuA0jcKvpsBCOrKe7qMvRyjGDDvePX
w4YTIu5McPpVnNXmZhmQw8Qlp+Z9bHZ8+3k/M5l/dtcje6LM6qqdzXDXopnDkgMuLKeIfSHUkQNW
kFsDzgsnRgCTD+8ZtkUdHzcNY3JIgCbwGQASvY0l4davirA/ohwAKb3ffj5TH8u6i+0xUu2d3sxm
UoJh3kJbP3MLE1YZzE6ENLhJe8+shoKPKCN7TrL4ooBYiNM2WtuC+yG8sNu2r7klwIfe8ngMRSH6
7e378f3zkU5uZL7mFwLn22/kySUdadLfaUmnxCRve3Y5Ub+/mJw6rSO5Hruh3IYZ9mBMNvv1RJx3
4sPH2Oa/78PPjSY+OeVnfMTFpgw6WRVOLVQSTkuJAyyCpgTEJDTcBHcVWfMqeJ9G2xSQqhqUY+DX
AN1XRrYgZ+CIp1eecXgwPj8pU2d6jPz9/c60OGFEjEnkv4URMaGNzpN3sWLfQBtNbpKRjI0HX5uj
+zc2iUBBJeYCyAtrCRqgpJz6luuEGXnsGHx+SwWIrkcAJDRPW2ARLWAZj6jNpxOWyeSYxtL0jzCm
kXz9lofp53aU+y9nedT/cvTnX/9fXVbFU+Q/JT+Qunh7qn9I3384Vk+VX1b+S/knaH3JRcD/3Ppy
yxtUvhXJD5unAjf59FHvS/4JX3pfior2E/p1w2bQ0Vh1LurQL196X4qK8hMeQsMatMZEf2AVm+rn
5peS8JOqomu6IIhocamhY+bfml+Kyk+iKEnoTCajIbGm6Mrf0/tyJFHw+ZqKTuK6KKKTG7pgjnSJ
iA7UaXdSu304K2QmzMTHeZijE0wizNFDOxmoVyCtdjFbP2+Ry5JJbspdKAFccy5p6E6tS6qoauJY
3malPk9ktFPeD03dmL6A7plejlabn19l3C6dX0ZWdCgUHV2wF/j+tV4XsyBqY0ls9oXoJWsviO3B
CzoWDYrEglnXEK+U3E3Yhk6X6EctylxrYgRfTa6k6iLvwyzKvCn4OSt2ITtTvan7YeiLvZ5W6Gmc
hYv/z96XNLeNdFv+l96jAjkAiVz0BgDBQSIpiZIsaYOQbRnzPOPXvwO5vlci6Ed0Re86OsLDwmEl
MvPmHc+9x+lyTXNU2WK0ZaVFuyRRkYf1PeCOi5ZulQiEaiyT8SYiJUYJ6+Vw0/gs2pOaeDdem3vf
md76Cyc1dxVVlU6M0ZQJMZGggsrv/KTU0eehTnh6F7LUd/Q0hAudesq6SxNtM9KxRbQ3VhwEBcUh
UAC7V8f8lfh+aCV8/FmDMvdHSmt2CNWy2CVu3O99N5SbmIrGAfM6W+eeETqghs43XG3uOn3oXggD
x5qhyQHXQForqtX0TQ/708IVzAqP2JpBcPyfxOzgQddnEWWaDMrQMh7faTLiuyIlvSVGLbhVO6+y
ZBmrVsPL7sBBe73y00F1UgnihesfMTmQZ/KOIauYaM/BxE2pBKPt+fFmld5phhZGd11a05s41r6F
IDtfsU5vnEEc5eihUq2XS9MbLx+AZkhoD6mCc5dTMUc816qsWj1NvLtODL41GuRb7DcYCRRqiu2G
ldwEtX8SroZqghdVtlK2inl95/NYFg1CErpvIuSCnpMGn73BlMgsDfVUHkFaVa2FpwBLX4ziwUuD
bmWANH5NhhP3wmNFB9QrwKxaBaXrkIYitQ+qlJuIFb5jtPFwH5XGxg/AWp4qGDBXk5c6plaNGUhi
lAv91hcKSgOhJcpJlE/s6Zo6M6xRzXPwYVN5LAMpToPWtat6KNwFv5NMz+pMLvDTDYbzMbhGwIU9
OxzaZ5mXCWM8BmGy7b1GWfcEQgqskdlEWuiQuuzfWc6/Bw0GDI36YCaNIRaU8Tz8UVWdYGlDTPfD
Jtq0c+lUotJP22ykx5S56kHL21t17OPXtpZoxXJzME4WLCK3FLRYuhmq7XdNK3TfbnJhQHCKKHvV
tL1fyS6z6kgF8srQSrpNtbIyXRFyjLqti8mW8PJtbEr2cV3C5i7x9PmGAOM9JQYMmSpmjpmXcV0r
I6ke/US7LZXAe60YZCsEHT1GR5GhBRywkeEeVCzZXgRcuGbft+5WtJrKHO5H1OSDT960Tq/2gGG4
mNXEBm+fuuq4ZA9msRW+lTKNCFVDhxB46Odjzqjso6RK2/rIwqR4oJpWr7vCFXBrI+IoiofBt20q
btIh75+SLMcBJiRDcqM1oGqLsK2siKd5aOZJWB8VwQrHT1PZ/n60/8qF+3+T0XwiBPyf3Tory6I/
unL4X79dOYVo4i9GCdgFdUPTuP6PL6dAx/1lcPhqBqwoSj/qP86cYoD9XEUnJcOVU10V08X/h8qc
kr8kBnGrknNKGBxE+m/cucmU/KNSNAHbrWvwNjSmwtBA2s4fs9B6rdFLlz1UCkX+MvJKi/uZWNea
6QInCfE2h643yTguGNpzlfm5sBA4HjDmMvg7ZKZFEuRMtcor+QNoCDM7Ez4K2WJc8lSmn3K2PXjK
8H3B/c5Q68crOt+elrZhkzS1ej8qbK+I4sMlCnqLlH4XdT89HqY7QdQFNX3+aLGz2ZozLZ1VcZn3
oareV75rJr6HsYpVgklyqndn5OXCYuce4+/FOPjsVYrWWpiG2TFmSuJC8WIxP+1UW6KZE8S/0WAH
6Fg9JWrnO18k/O730X11xWc26HNBDaoTTjjjIL6fO8ltU7HSrQW9L73ogbq8ui3dYptG0dZTuseS
D8o2oEjF8I3bHLR69Bc8hFkbzucHCE0jRICcVMLsTsf/1Udm+VDKOqP3WIrdNpweApnl60LpxKbL
GhS29QqjEduM2rqf1qfIaWmDBGueht+CIN0q27pq6/31Y7m4cwzN5/DdNUNFUAQf5vyjPFhJkseB
uBt5g7bNahhM4NIx7zMX48boiyUZuzwFLKgZhoCzYSAsmt972eqVbhSjfpdq0rMGIziVRLkhSV44
eThg4GdNx8c47XvTLxRL6zA1sOtA9ZMP+ZbC1tpqkp28Rix5Bxf6BN+F2QlMYlyMEGCPPT8IlfZR
l8hR3GUqWhhjbQvugLckbIoVHE+y9nX1tinHcDPEpFyoM//xTCTXVV1n0IrGfKxeGXuialqsLbzq
NhHhLwlP/ol4vYOv7b8J2Rz9GnNNR63kK864t5WoaGWCIYRqh+FW9i61/71cSAGQEeIkIY1PUMQX
YVUo9KtXUFxTXkZ3qiELq/aaj0jhr2ll0AUpnB/+RKBoGGzSdQjRcfznh98FrssRPWkPhmzeZUG3
Za44rVI89j1988f6qQ8wSj4dFx3TuTKXMG+MwIxJxITgC57dehf4ObqYR/LA5SkQmRkZns0TZno7
D3NL0RuBYb1NbWqYWuxyMwwCmy21Un8ajK+q/vMbKIe1JTCrEL3zzWdeyfjYUfLQort2L8C+xr5z
6jT6QSstyMIvoTt9sNEVMMZaeWb5W3c0Q/5v1dP8M2bqKS6DIfYUfIb3S+dO+YM0GzCNl62liJ2e
Wm5jhhiD/a6XtiA7vlQLnHm3kLHpJr6cwkwE6sxLXHXA8h3m1pGNRzdtYI8BSICPnbLxnjgx/dIq
x6cY8zlf0viuQrPwx3Whn8WRlx8xE4cmTFJEdip5aPTE0orXlmLQgQFftf+Rqvc5BKSUSOcPfCk0
mVvDz92zKT2GCF7nYmZ6W7UMvCGI6QMHo4hvcXUiC248S+/X7fjgeph8zTYwDWbU7cOqN8vubcwO
Kd8NndPFjwJ0rhxIOnbyGzvJdwHfJpHl6XtKN9eP6NOvupBWvBcGyw0zxudioilNmUWMPESl0wM8
1ppHvbeN3sowQBYFQJA9gHsiWqUnOPHFj/ZXtdVSjArv4ZfFTp6ui+ZQEJNKM8WcBVt1tOcqsxvf
aoTJiSWbDR0XRHsW+P2+Vk5UKBl4i4acO1O5b7iJwlr6EKGRP9oM7yW99VpTSV8FJtInVuCZYhNw
fPyqCFcYozB692P31IO+JLWR4lnQdp/F/fkZfv2e2W33JPPTTGnwPWB7SazBs8TBaPceBuUEji5W
PZL/0b7ytqyy/d5JiqeQbciAwSLN0XtLoIji+0S90dSNGpgKBuyo34LOLLMVLXYC/HclRyv/Og/W
OvIHL5FxH7sbvTTVB5A6XheH6UFc28lMd0m1rhulxskG41stN1I4MTAExnszPDN2d32tCw9OcihI
HWYS8QWyFfMUC1d8TcqUkwdZg5yQOQnm6bsbuZdvAgyy1xeblcogM7PFZjvrwBokfAE5b4CJZPhl
1uUq0FHMFiuR7bTElOku8tc8umlbi7mWAv+pHx8C4E3Aghce2+aAARNqDvqdAiOOM1O7V2/HCNyr
ZoUBMbHZAIR5Ck4gQi2AAnjhDpq6In0f+gGI9hSTdY8V24zt3g9XIbeT4ZZ5Nv5z8EPPbF95oOnu
+pYv3JDfW5balMpCyDe3+fA2ucLTgTwMawm8amElGDT+g710ulVRxw3WyI+3wg782yKyymLhlX7W
W89kaTpxGGH8BWsAB/ncDipdzGWY48Sltw4xiR2ToEd70sBaikktgqyG8JBq6wwpD6fXNn5s9T+R
qOkMuyZmmu07JAlcpwtCk4bP0xiU2HSBnknu09bmeGvx7Vg9G5nJT3SDPkgWrcqPAoO7kxeZPXiK
RTLHByjIeBzJjZpjNpqR2ekiBep5KuxvuYJHhQiYonnwE0n8xbGq8kqK0cMhx5gdPloREL/vKrTn
s47qX241ZF94Du13KerBh6Y1a91kQO5WTqjbarVGGvD6rYvzvPHlB80Mr1u3JKn6njwYgxWg3kif
Q37bgdnhiDkybbwv6mMbHFt914Q3RN+hhNEoJj1ppemjL0s3o9Dk0J+eXbl2miJ0sXtcSmp6R8O3
/MxqvlfP4kduDw/+vfauu6Y4QbrccevoQCnHZmaY5YPhuC86NdkziUxPN/kvmBZDM7vn5AAfQB7l
XYheoMTpWosqFsP/ona+U35eP4sZjuPvs0D+FhGaQMHpIm2l6qhSKR15UE7yqP0If0pmad8TelPz
rUocXXEaqOvbcqd9lKPphWZxxN6Tdzji8gXY9uxdIXZyqB/YKn9OHout9qs8QOTUxExfGsOqYXR+
BA/prXuDBLByDyKKbbYUTcxDus9nLFVC4dca3FBnSXgq4qzuJTaBwy3BfILWsNJMDgrm1pfrXDNJ
tMG1iY8avKwpogrMIL9+jJ992POXPAV5HBkMxNyfIvdFxrtKKonu+/TB/5kC8P/kY4r/OmpsiRly
nYmsTNw5sXSgNLXQUl+oadxUj+kDLrTZJrmdcjPmiGz29VPnmwbaDJT19S+c8f7+vmhN/yxXIeBC
FHWua2Qiylw3cEYgsQW+ODb7R9h/7X4VBlZ1V6NX+v9ywZlyK+OkUfRJstISoYSpf6Rg9lLNAZQA
gznuOUbBw6tLF/zKxX3OZCGNUtdIJllwn8YfNTW7Q/NhPJL78L19l8/xgv98EcZBdX851XkJStGT
v1fznl2MEgNr8Tv9qfkT0XewCF9cWmxWyvPGWvcrDaHbAIbcfssayxuOWYbOgQENE9mLLxLAPGMT
/lQGDLrqcMXKDSeABXYfG7HJ6J0cN7l7UDXP1Mpnnu45xK1F5KUd3eKU9Uszyf/owHw9H3oudX6o
KA0LoGoLEDL49vCUZpsMlBCByZD7/oHyVBouCd7kp1y8xX8kXZ8lEtOujnXPx5ou7oGYw7BSpJNW
J/iYirtiT4qw04fQM7F17c7Nlx7an8wd8ioqRXUfkdN8ZIPidSlvxoQ+uL/Ud2/Yua+SrNLv+Q3h
plIfg2TBt/5M413s958F55Vo6rVpJbOCPuhyRQ27jyxNOsnwmGLvWmG2eO4BWLTojYCfFam6Q7OF
I590x7UvmAlmW8qKM4Ett48l2J0b2wcHbmAO0eN1nXLhe0/uA1SZKowpoznHr/le2fWD66qnrkfM
WJpxsxsKp01cM/epGcjX68td5ilm6833FTWpKAOsFw2r2Ng0yapu1zGoHXVrBOlfYteJTYv7WNgR
guen9r4Cq/UqiBZueGnbs0fUocTodi0+wyA7AwQl4CWqdsR7DVIrMf69lpltevZ8tDAbDdfHagpq
+BiviBGDlQMqdFUzPTBx8VWrH5O9AfiesfL6rfqaxibz9jpDNcKOXBO/PJCyBLaSWaVuFQQpTaTx
rZw616/nM0l4JnazL+XnykWL3NbIM3xpDPKY2vLyWx+kSu06RKbw4FdbL7sB7mMAsdlosnKd4kH0
LTW14UfBDzyHj+0GiIATm+VIJpT7DkynxSFCpzL4bxRq9SByjG/RAI4a+rpRfUuD4dKtXoktvQBj
DViZlE1GMktFoFqIU9L+vL5DMp31xQ51wjhDshpln1nqQVP8sAkodtimx7dcYiQtJrDp2xK0MuyV
RVuJ0H68i3ur1pfs6IWTPB3ul6Xn/oIRSNVXsbTPV0Kuww6HYDVoU0cjJp4C5nwsdcNfGovZkjOP
IQVu4O/7jG8zdatafbtrpaPqPwUgDuqeyZWoFtS1fqGusSgFFmvCYWkqgAHnQuQraqCr4UBOyMLV
xZar6wKwFYbkjKP5pgRWNTaHZwWaU9o02IWRI/w1QSaucyjGZtSwmtsEhEigFMrtEOM0FcsVKxra
vDO1h+5V7lWQ9vAfytvw6kEWPfzo2vZjE/ExZlm2DyUq1eBXTCy5NwITacaKwGGdHNUA4zmNW5k3
Zs2/GcW69nZGaXUJAoiFp/RpE+eCRpmO+h5lQJPMUUKxDBvq1Yp6CkYT65UoW9+2vzDEZXSEe5SY
0pDakAJutf73BnDNwMbzKb/1O7D7StN4VB4AbooNHMAeDh73V6qxYZXTGJvg1XuM9gnepdlrq8Cw
43btA/lUOb1h6rnpgVKqf5LKquG/GmUH0A7LrK5xxtAMDJOukSoacZjffB3p+A8XAyARoyErHC64
8BfO1acc/HMCMyVby0pWTQh5r+h9nSOMWAfKRt++Fwk6SZXt9Yc9416FCZutNlOyvmIMSqrjvJFk
2ZY/BK7aAKNSAf8xQ8dubhlgFfyIY7NAE2C6pnCad4gxEVf9KN/CyIShcb9HSxmgP2gb5KOneRQo
f6CT6fwpAOumBtEYkhPQgqwyW89CXHJ945fOyrRxTdUFfjwWmmdc0iKKSVL25CTQHgECQvTzZmb9
M/7uUTN0rbqzR8z6yc3U23jfrq89Ayz9fehf1p7ZC9Yz6fMEaweVyZ/FN/XDyCcR1L613zrgXcJp
OJFAOP6KbE9FLO+bi5zKJsJZe6a6gEP6k1H/ehCzbJsn1awL+o6c6sQawXN4n2iWivGjHqiBru/7
MiSanfnMiqRyHJSkHMmpGtKNESGZh9doq+BPJbcCVl1B4OIo6n5oFtTK4sozIxIlg6+iSRwSVdhI
cBXodgWxMwjhEKEAmwMGRcPUwBy5GAVOV3mhz75c9cyUJFHIGbBd5KS/Nc/lK2RMfx8NM0xN5Vn5
8FWrKOy4N+GZLJz1nyz212ud1MyXRIBWJaEhIpy1xh4YOAtb2yvW6gEOJDsO7/yj6dc5w02PC+I0
w3n+R7incjvQZijqznxVGYuatZ1KUA+xQnDXMksZnNJda7K2hzfdaM3Gfyyzl1SMJg9/BN5peBrz
XcleC0LMhNx1ESowqMWiFOhiSDa1dDqYLCgtRitUWFbXD+rP4v/P5850je/mpK2x8slFEoBbOexM
tXXJM8qPTbGU5v2jjZ+SW8DAAao578+sY2Ui4crJKa1XhY5BYnlvEQygnqAGt36umG7g5P5uMfXJ
Jvm+EMMvC8+koVAyI2+0DLuE2x6bsIEoGxWRHdOVgdHW3GxaO2nt8RsKIRF1asXSG7Rs2mjMlJj7
w1YNOIQbgFdtP9oO/Q1FMbxe89Bh+q0u7lt+8jCKut223U5r9mO/dqsFhf1Hs/jPDuZdm0YaEKVK
CogVt2pkpkvIB7KhQ/ha98Bcw9+J7OuScZmSnNSVDswIumkF5XOARkxGnnU1PDJfbNmomWV4W5EG
8Udq83hLG7sCySM4PFWr5JuhSpweMSBhlo7R26UTp89aso/jPZJuFEPsg2M/7g1qtYrNqFnm26Lb
C0RNIvtWqq8BmD/b1Ri/xHxbpltqbGLM7IjG2zyJzTwuVmmIfDlFToU8+O5tUJ0WNnvxDlAAYICi
6EiPA0Y8hzgOgRb4eg9HQOb7DK4dN8BOWSPNbKyT51JuRX0f5ke81iS58ZKtCJ0xRln2XqvMXDfd
yEpzqwts+VFLDMgiw8pP7IjaDXw1OGFwHg6KsiqRaE8Rt93U6zzGNJB4WPWlU4lt90IxcwSmFwdS
YyZfen99e59V3LMHMNvezAAo2jjUbYXtcUzeaBAhWhXmW70blgJy7xYjyDEXBdNNyntkkQXFwa88
ccM1JKQcDh5lzcyxN24ZoHOmK4xdkd2vEKTFdNXgmNg6062QWJWyznOAjVdJgvnUPD2Vqsljq6s2
tTClYam+rR0SYZHQwtGUhq15VjI6evSeNKua7pFirwK7oTYqtmViNmhJLsygNwEfrd/6wszfEL6W
1Inz0dRdixtOqX3L5e31s7p0jaazQjMJV1UDeaN560RJAgKkjQfXiK8G6qh+ZI71XerlZg1IEJrL
uVU1d16xGyffu9/p9UIy80JbzT5g5pSWLe1qvYD/Z4Qbo3jK64PQLUFvOnfhiV/GtbOV5p5YrjFg
ouBsq+6qRmg5DC9Ev6diW+Rmk+2ku4nKGxHYWWZXS8PuyIVKmy0+87zUhBW9O8lkgTl0g6XHtoQw
9Dt1aoq4rdqt5jtav3LdXVCuSXjwyrVeWhKcBDCLS6mzSwDG7GtmztlY8pS4oU9OSXpTi42B6kSz
4qfsJ3B7BeAD1ZJPduGhzBacPUkgeng5UmwfAMd0+Fm028TwTJ19U5OHdLCL6r5JXnDqcF3cvtpe
F/LLwAe4D6oC2CSFDsTsBfCronGfjjw6JUCjw/k2UpPXSbCq5fjqigwD8NDDg+CyefMK6d9EU/hV
aayzK4FoKNU0bT2U7qErk9Tiw/DLoABRE6J8lLX+Bp9vWLNk+OF7Tjt2Yg+L9ThWZbngbF14l9gE
Q7iMfi8NrVXziXdTqV6wgESnMp1AFXrRr3qYrfX1s7rMhyAcJzoyp8BvoDz3+e9ffMla9EwJPeGf
CkN/7bNkBN11DYBvVqPEFLlkBajyrYRWAzwNldMGRXXWLu31Ui19fgXgoxi/hR4bY5Yg6Usj8zx3
8E96j1JmVHm2UeihlTaVvuWlnRmATUnO0GKjW0m2UZTbKqQnUZCnpgvGBemdXsMXe2Kg5weoKQpA
BFBDaH6Z+fVF3xe177reqccidhHEJ7+vhKnW3q+uLBdbXGZvZVpO4xJZsAnYD7DobLnISDV1lBn2
3rJbnQbEIaz2raKmT27smXHOg01NWbnK0+S9iBBJMTVTbip1fMlaWPG8FYrJ9bxYeXHyAwVQr2m0
TdEyRJs9Z1YAxUI0dKn5uhYveL1zDND08VMVAl1yAC4xdd6PPQwZWsKAfHigPUofY4H0YUlS7kg3
2rp1vNcUQbap19dmoSS+bXiJ4nglakh5ERWm0LPnISsiM1DpluaGt2bGje4Pih0KELBoDcg5NLZ0
v7MxLnCE1E+YFQWuRUWqX5t5zN3gNi4VnnrqdXLwE9XsCh7anRFUN2PoPipBpNzTZPRQde/FJvbz
dJVWVF2HRnfQwry+6XskCwEvvR2CZNg2jFi5q+0D4LrNQVX9Oxf7tJpmhBega+3BV5sOfW9qaGVJ
OFrXX/Bc22E3OgBYUgemGPwx+HUeDdZ6E8pAU6tTG0pQb/s4fU+pAjgXqVhpZQAgVvgidNI4IMTx
LdcDkEYkEVBwGXy2Mm36naJ0yEahspxGlXsIA6TgvFF3wHdhoZW1uK+pyOAEDRj+1uagD1NK10b3
EV2IA+a1EEClARZFwxfenxQTmvl8K2rXy1YmuXwI8zK7UYLuicLVTHRx0CBIVqbnlRUHzUYbkStl
vdYdEh+AFkaMaBeTaNV0SrhjcWgiUM1swJ1CmzKY+88T///9Lf9r0rv/c3+L8/Hzo3yvP35+9mJ/
VFNX9mefT/pRBe/ocUnroB62P//358/5u3lZZ3+pwDujlga9DngjHKG/m5eZ+IsDHsxQRcV9azou
++/mZaL+hf4FxgDn16CH0bHx3+0uBP8CswgpAaSZALX2r7pdzp3RqddF6jpX4QijU89Ap965vAUs
zBKZp9FerQKLGPXKixTUMlMzTqjpyccvp3X324J87ZU4t+h/r4ZWM51ItJqhOeN8tTEYiDKEbbTP
lHZTNmzF1QX3/mIF9GgSPgHuddhR/umVfjHmfVsUeZMmfI9OPGr5SYeEfxAv1VAuTg3JVdhr9F4T
4PkuJlElhlBazYjrfa7FwOE1GnpMyqRZd03ur4oxQ2K5IHzBHZo5Kjg9xOv4A3phWhkFhPPTq4M0
yDNDVvtKNMotcdNfuRhiO8qkgai6G+ySAMGvoRPZHkb0hKBcizxI2uqLxcvzcPrvL4H4MfTFIoia
DzoF5r1TZM3KfZ0GhpONABi6rCQvSiS8jdvV3krGlDs8YKAxkoowvQTlnM5oM7tQW7Lt+yhaDTGL
boTmCrMNKIOTXOQbr29fspQDt5t1lZ0WjbEmidZCleu8vdFJ6T64qNb5JlqyaqtwDf1WdTN9IZ6e
xS7/2R+gisgV4GF85k6+SFFshIPiYZzXvvBl6TCt+5ZhwgCayamwM6/2nLDP2X2TDYaZuMI/aJAI
NNgU7tEN2RREB8NK0OHRbYzspSz4cOcmUW3DtYNXA5dlwd0/d9emz0XPmITnCGcfNYW5NU/SYWgS
aJg92lT1dSdQVOuBCLdK1knYP7aEw7p8ZIJQRkAwASsFjNNMELVYptEY8WCvBoE1puCL6Gv7uqaY
GcJpT+drzHxCVuvdgPg12FcrQPVaDOOG4QOZgWJBLkx0e68o4HKZrZpL0n15moIg8kDrMrqtJTpj
z59Zriq616PBfR/UDvrvboMUI/2N4WZAH+/1TTJo8S9+9u9NSiSkJicb+mqOTKW1H5XRQIN9DSK2
4CF8lMf0Vt9B3slLeAs6sHV62x/pWji5Uz15H4Ak3x/yQ7alR9RQeGNpvzqMtzwGC6d/HrtfftfM
PcT4ijQoojHYs+5mgFeRp/pKKWuA7EYnDITpJ4aFGuT107iQKgNN/nDjAKWHG40w6Pzc+agU1G2C
fl8X6S8eDWvNzZZ65S7u9nMNwdDRj+5HuD/na5CmytWUYboCEjBI/oGyDN0BLb/ro4Ukz6Wynq00
Xf0XFRKGfujqJVZiJvrwd9omtH9oINqojvmC+3txWVjps9tRhyVHVXmKrr6s5A2JGuvTxIiQF8CL
o28DGRcyvLfjtwBZ13iqCImFGuaFAfhcE0EbXBEDCKyZ28Djkbltmvd7GYPxBQlrVxgr4e8Neapi
QFGKBbO+tN7ccVBqJluC9RCVAlWZ7dsxdTzyS6/drYecLo0WFvyTME5pQiQG4G7hr/NDVWkr+kLP
+j3p/H7bYRCLJWJjqYHk4uow0wLevgpYPCbZwOM/X8WLsybutKo4iBYjrP0KobZhS+AbMz9BEOtZ
RuZve/S7XH9pF6f5uSw8P/h8wM/Ng4wxThnvw6I4KDK4V5XIqV3ocVGtCpq9yRilWSA6ry/5h50i
4YpyN5oQdcRrs+dQCIVwd9op5oesssTdaow7lSacUS0tlyb3jZbuKrm9vurFc5e6EDDKBnwmPIx5
F14SoC+2y/XhEHDXHviwcsu1QCo7zNMf11eaD+qGt45RPEgAwP1EYfDCJhpZXHKfjWzP98qR77pD
tNPBl/HowliBgWOdr9IVF2YD4IW2cJ1zb/T30tOiGNKjyfkAoj5jA5XI3qEyBWpS+IFaKM0BsOMK
HT0lVry+1T8uB+MPxDrataBxzoUWg3cC1nvoHvcM0FV2d2jGXcfdcBMwFNcKREn/HV/9H0QMn3v7
stjMDdADxMhB/rnYjaG8kSXukfk7p9gDR18oxARpPAweON8MFXnNAlVX9kXngoA8GzELbQAk7/ou
JnX4Tz7NgHBwPjns+I3xNUhlnq/CCaoONMm8Q1rI1kmL6i2Lo3gTDgFzrq/0h/1gFTjgCB6hV+Y4
qwxQ2WT0x+BQV2Gw93lq2K3Plurv83cFra9TyVBIwxQqJL9mp+aRYQw0ZUiPvsL0dewb7HFsc/I9
8NFeUajx2/VNzfUVlgNITmI4CaSb0LlHxss29MdYlsewlzaGJh07dNKqA7GHip66nKC+u/Cc/7BB
hKmf14W4HB7a+YXlhT8WYdFWR8ZiAGdIt9W8EUPgUTYrWvFwfXsX0oHtwc+chk2gS1vOp2dWWYb0
oFtWxxrqGClejB3nYpdIbaGB40I2YGw+p2jBbTcwRWna9BdHwY3yNA5YVR2bOLsJmptElevrO1la
YSYXQx2FEYo+1bEQBqCERyONFpTPH85Ksuk5QepQ3JjDvvOsFbT16uoo4Lwp6o5WWyXI7evbmBXO
8F6nk/pnlTnWOyEVSGMirMKf8qNQzfFblFkKRnjdBz8AC4s/UKvLwoWtTYdzpiRmi858U9HHQ5Zk
WDQozRrtl2TlMhvwa23JXvzhOeHtYoYKiuH4Y24V0URTVMYkbxmwlHqf3XFX6YAwwHDdtFwpNSZY
d0sY27n9n05UAC8DdQ2vg36WP77Inu+R2K3kWB7RDEaR9j6wcFMxM/eAl0G9dUELXgTw03KGiomB
qO9Cccz7rfTRHSKpaSUuUNvkd94I6hB2M96A9nA9rqMt28nd+Kb87Awz/8i+XRefP72Cr4vPlAcv
k64cWyyuAt7DsrtIlAsC+qcbRMHBmLTwNJhvZhUTN+vaNsEKsCe2jzboKAHXtqeBz5GPB3dI37I0
WFDCf3gU2qSiMAwOQ3iQ/prJJxJ6Bm2Z0h17QjBLq73TJQVkpLIJSuYoaiN1iPb+6K1Xo5WeSbPr
0JmdLnh0l+8fc59UZGUwawtgDnU6+y9ypJRpO6BZYDwSkloCSfi632ry5/UL/NNWYXHQVGIAk8OR
Fj1fpSiNPsDRD0dC0VxuSmJxZtIfxkt/6Mzie/tcPqVLVbBLk4OdfVlzJjUViYrU7TzsLAURY+ok
SWImKRIf2t3C7qavP1c0GnpEkV6ZppZJtHjMdjcGyGjmZDwmUDSoDhdmYtj0p3hrUfpN7OqWPY1i
dX3R6WdeW3O61y/35mJ+kxepw/hf7H1Zc+PGkvVfmfA7HAAK68Q38wCCmyiRErW2XhBSL0Bh3wuo
X/+dYttussghou99vQ922C1bidqyKjNPnrOLANdTh9cSTYLXLRzi3GsmpOuNaLSPUkPlO4JUEdlU
d4OHPnvI16kbZa34FCIgdAmKPFp4dF0vsx/R0n1ycv/6Z0wNVLoCm6YMESQMfOdG9EYfVrZVToSm
hwf22UBFigQ6r3ixyihyrttJR4aG78YbNBhay+Il+tbX66jwwCjBlumj87jV5sqD+hXcGsqD8hBv
65fkqfLdObBMm27iWXGW6kDpAgkV3UDtFmRERK4hcGRh7crM1F3ygqwDUnPlXEMX+iNRPPvLVEh3
8WweW5OWOSkzvbVVYe1H/80ka7Nauo3XAOYvyA08E6i5VUEXwUQgIjWxizfB6SilhSWRY3SEwW72
g+7NRbQw/GRt3dub6JHeRhteeerrMHFUz/28sOmCuAZPX9E+f3pqVGTNx1CBTfWHYd8m/Spbp+QR
l/UkBcL54wNRA1w7FlFwFMmqfl1lFri1rHE3vLUL+mE/8a/uptgnoG7aqM9oNkCLfo3NBjTzW7f6
/SODepCGkg3SIERm/jCVwHXpGIw7rlveoMx0PvVqvPAeEMP7ZUJaPNtISxsQg3Gn3pggvR4W44/y
Nr/Vl81Nvo7XxjJZVcacbPN4TYGNmnjZXfIJx9al63pkUaZndcR3KU8VrxyURdWlU61EF42AqlQ8
W5H1kDuPnRSEW3nd8Z1i4DgAZtxUr9fX6dLdCyajfyxIw1CyvlLKFH6nqV84TTbpaK+qTJ3YDRfu
QWSKQNyE1w2yjIb0zKC04+0o3Hjnbt1x0bHXOp9rf1Wwvw7/HX4v7n96y+NK5IX9bmGz4xoEUxh4
4qTbljtVXMRjwLdhaGzHcNHFz3nUPoz81lWMibvv/O0rXksgFkStUNDISh7L4eh7it3c3OqxO9P6
6Hlw1yrduEGAAiVw2W3u834q5XDBTwpuVLxdsGIEpSxptaoxaeu46kCK02mrkvP1CBKVwFHQ/rMe
7XaetdY8zfNFX3/26Gc1HB2RTr+4vmXOFxMlNNvENwgwESi/Th2YFZHSqRN12NIAFRR9tBfI/UOT
pGqeGkeZKltIjRDw0WipQTUdCkEEBI7Ih52aK6OkUdigh7sAoag3tMa8UMJ1m6KdKQ2WEfJVYxC/
q3q0dsJ9X3fz0g0nniFnhwTFIwgUCUpwVLhtWcI76NHYWYSGu6WVgzNolKicmGDeMJKQThSEL5py
QTwkLieEw9IKk7waGMVjfRuY3JynKRCeahOg/aJokt/dwoi0kVGyAdBCfgLFv9OJTYdWpV2ojjvG
AZhHJWiIvtPhmZvxrZr1ADyBR26ixHB2aoRJEedjOUWFTHLZRkX0GkCCcddUrYfs8GpwNZ8a5B4Z
lNmot+ux4UvOuon3m5i0k8eVyPqDTFgTmS00kElP/4KWdgqSi3rX65U+G5W+37hpAElD0E54caxu
KSBT694ai4mjcmHzClgyEsg4soZ5YD89fiKj4lWFTlo1sJwsC2qvzBxcBxrC8tCMPlHYmYexuuhD
Hxtv2QeO5lm9NbF7L4wec4rrAxR9iCzlvrG0qYcxsqt6l3BF7QECMZI5WBvLGerJzTegsACXakvt
vge3+sQlKQHpxOEFGz9SYABjggIWUebpHjN7gMSStKt3talQ9IRaSgoqwgR8KXaR34HPetzYbsQ3
Yz1ms7KrY4+BYM/HOJC0sN1hxsbodVRi4vN6RF9O0BvARVl8QYsY3Y11N6yT2ho8u8yq5XU3d3b3
ik8XLg5EcyioyBFVwHMe1WlQ7ygDezPLYuoPiuVOnAgJxPxzhpC4Q9iLIgOsSDNkVCUfchcZojh2
8UxqtXJumd1bksTapnfQn2Bw/hDmKbpXY+LMY6eufrNGK9ZI9O8C/oIqztlVxmkeRKDTa3ZWX3Zr
Xqf5YmBOOjGd50cfCVFxCABgFolKeZwuIAtOQJpd01gGelx59sGC3J1Z48gekzTpZnbU0RU4zdm2
qIx0f301Lx0CnEOQ6cPtiKLA6UasDVa1XWY1OxYbon2pIn5c9KDgRzFOK1m8sHqA7xRDGSeOgPjF
ku+BO4eQBZhj0EMl57kdJRiiIGHWNmlRwemgFbDUG9ah0xnt4FD/JivQdH+9Ptgzm+hBBV8qutBx
YVo4f6eDzVDV0iI7JDh1n4pyR1kw01TV19IXFrIJ73J2YUm2xDE6SgIMEENQujLQdy4gmYljbCCJ
sAHR8YSZy0MSlUaIDRNiSe+tgocASyeGvjNM8OGEyDYCu37XvV6fuMuD+WVFfMXRYCy3b1s1xqup
r4ZVUdgz2t9EIZ8Irs/2omgRhkcEPgRQeKRQT60gNkrAop7oO1YvLL4ayc0AKeN2rhX37TCx/c4e
a0haqlDZQIoPz1Tcfqe2lHZM1dQeMKK3zJqZ6Xx4Ccn6+qydHW1hAyzJKMgCwQhI5KkNLWFu02Li
dpEB3YqgSZ4TALgdYEq40cwCrVC9ZgT3fR1O3Ovn1+upZRleguRQp3G3UhEfgVCvK+gK76SZwr/W
Gd0Xqg3StMbXLWXe8ne3U/0xJhNQcTF/J8dbfAF4jID40YCdk180uN2dJBxKbefa6cJWwnnkvo4s
nnfZQxuSiUNw/v4X1oSXBlQQ7385HqzxOAUTTaXt0kHzmW0tIeYybyLdZ238YgxvQaq/RcWjyUqf
KeiB6ur1CD6j68t9aUuJPl0MFzI1QLOeLneeaUUSR7q2A17Zb5p3koEKpPmmNsrE3r20r4DTwAtK
KOIgWDk1xBPXieu61nbkMe4XXf1e0U3xLQ32lbEDxOf3RwWorIZ4BrcwSpOnxqiqjU2SaGSX987e
5uqGDcldW2dvdWJPnJcLXgYYjV+mpDM5xHSg7qAT1Gr0fWiBQ6odAL5nE6fj0tYUQQtAykISSU7h
VVndGbEGBQs3NsDvGrtvQd9RrzW6F5KwVWWBsOL6HJ6nZBCb4pUHFgQLu/OMr7vM8o4mGkgAVZo5
b+moQTWizvgN0aNxFmZZvYY7/J6qCWgxE6OYMzRs9VF/a5YmWP5UXFUBzXwOiZO7MeXRXZk0Xwst
pUtqNv3rxMeeL4MIskANg64uAX2UVtxMQKOMZo4WtyQ6Agwn/1K5bTmHJpE5C2u4ZANP0U2vu4oX
qa06T+2yn48VOG1AGwUK2oihqa3LFK9I3SmCnvO1AyEeojMI1Wh4NcjkaDWuB4Y+WryWegfUVG18
G9eR4ffmgE4mS9k4QTzVVi41D2MqUDUUZOtAmwJIijDp9AS4kd4yKvCuLBjt99Dpom8sadPHkXUK
lNZpz96HjLjFjPMs+1J0lFhor1QSpIVRv3kcKoduHXCCNl4BNGntjVA7ek7SWHkvK1XLEPbYwAUr
o0vf0QHGS49hk7homdf1hzhqQXuoRjq/YXFrPhilrjSzOkyhhuTqKXQ+VDcJnhwDelzeOOg8n6EH
pdnmSol0pqbR5Auy52MMTm7Ffjcg7/uQgAM38dqyY59jY6Gy22dx9gR6jQp43dTqXwAeyT4Z60B7
mFdZuBsYyhkTJ0LM2fH1gJIsABW4gNEtJKjspdeRWoYNkCNWtYPr9sMBzamhR6J2prHl9d0sb2bZ
kPj50cuFKSprSAVDnaP6rdLPnHTngiDguhXxudeGI22RHHmeos9hxVSBoQVTbQE65usm5BlDggC5
O9xx0N/R8VyW0j2Go2htrsX9Ls3QPxpl6566sefWMVrkEmTXrluTB4RSK5COQg4K/VKAJ0vTFueA
sJVp3+9ohMzOqKITp3GA979u5ewiQ3oVCRbEV+hHRDegNG29ZQ29plCANKJ+XjeCOLC1923FFqDl
98aeoxzpQK+XJr+5KxBnwTDIeXWgyIF6lAIBh1lDW1QZgktw3xYgmLMr6vXOxPDEJB3vioMVVOeR
3sB04vo83XuI5wBiIzmSHErv693O0Sh4aLTf3HuyFXmpaABiA6tAmBqn+Txzg1fUHtji+kpJLZtw
gmLGRIiI8SCEknPIncmZGjkx4sQ28NPY3lUF99r2O+q4s4SX89gyVmATg++C5gc46D1ChgE/YatS
mToK59sGbx9Uj1F+w3ehXHQ6r2OWdsVgBNG9oE3LXesmKUqfJ4BI6e0sMI1F1T40ujtxJM6uHjS/
gNIW6hboBgALun5q1RhdY0TpiN5bKLy5CzrcmHwWgiP+9fpUnx89XG1IPQhUuEjwSutpZHWj6blC
71OtVRYqt1AaN0FRcd3KWX4FERbCH/3Qn3TAHJ4OJ7RSm6ahjpuUuINnJLoGlA8bQXtheCqzwZRW
OQbSO81HMyJioUU5BayTB4ovOBQ+8OJThfaiNNCc0aoDgR6YkQG9nhVjxkBOkBUTj8opK5KPgWIl
8M2F2u4GN9yZGQD+NjpyJvbGJSMQ+TjMKXLGB5qoo1tmYFmaDsjh7kho4dpM1Lx8VrimTpxC8a3H
DkXMGC5LKI2BzwHCi9IWtPHocQp6OIR2vqgYrf0sUmo0Zzp0UTVVNb++Sc6GhSeWDqQGINRwVKjq
nO4RaMnFZk60ahdaoEBuf1Tm83UDYolPBnQwALQyNgL8sXyS8Ta3CrU3q11qh55L8Y5BiSh6+feM
SDfnUOfYARqMULDxxNUr44+VXf/uDpBGIi1Nnph1CNq/aqcV7wwwSsrHCT8vez28ZIS6zj9zJd1Z
WRVZ5RCRaldUM/ADgm8MBzVGldoL2jmbKmZNrYzYGkc7uggGJwXIqtpl5ElLSq9gGyQwJiZNdqny
kMRHHBnRSjLmsVj+8ivGw9eV4Q02IvQJM5e38a+Zk1yAk0F9Bi1J1W7sP8E+5dGpEGFqssQ4j8ZB
KPpXlcGodg5y+Up2b5tPmvPj39vF0llMUyWjcQob4Qg8sPNBshfwM/17NsQWPBoHLSyIsPXYYjG6
5DsN0Kz0NZ0sR08shww4ZbyJm9LFSHpwwRog7a5AQXp9IGeO8vSsyPC9tMEgykqvdrYWryqboS1h
x/RyTsrP64Yu7mC0B4B4EA0fyCSezpjaBhHAjzj2CC3mDmo1Jnu3RwJ6031gTpRELu6yI1vSaXEo
2i/zQoQytQsu0Vutf7ZAsnB9QFNGpLNSg7s0ZbrwY33ppZDLcaDp8K+Ef+gN+DVt0oFpWeLWzcGK
Hs1KE3S6CogbVTrr8t/f0gBQoryBRCSK5Qeh9qMtbSk6mKQVFc7fKmcGeEgRL4MlfsLKBd+MZBLQ
RAhoD3p8p9ug6po4KOum2hEXFWME19Dc9HSwwhFUVWfOVLh5YZFgDi9yYOKQlDgrwVUkQD2eYXtX
XzhSVwmBwpK9uL4TzpKqh9D5yIq83wYT2sMJrFTZXEQu2/I+eYhB9F96Te9VX/ld9DDJ2HtxaCYg
FHidoqIhdyMnLdUVPeqwXm7qBwH7boHPzkinZFoumjnKP0jXte0gQ45KBB4e8ccArFeqbJPu2/UJ
vOCETnIc0oWtG1rSmmDy2cXQbFKNh1p7huD9koMG7rqhyyt1NBrpOJEmZn3bwN0xEBvoKOd53Bnu
aqa/FWnoE3D7Wn23REF6b9rlDMy8N71Nlr0e/r7bPRmxdEfZRYK0KhMeKm7Bw6n7YLbxgHpYOuVv
0nGiUiRlkKS7ChwghYYWlWrXgES79vPAa5+avb1KQKMzI5mPOlgBDtRFkE3M9oXr63iQMpdgoilp
woRhLQa9M2Qo+vFhYj1FACs9i09MyC/WDrKOyFtUO5AduG8dqPs+QZ+TtOg5891wkZkTQ5rYqTL5
VKhBNtgFFGIHkhU/Ge90mgBemoM88l/yXL92qgy9pGaCZBOFJapXc4PeVEm/0JKX6/M3cbhd6VLO
si6sm8MK5cPK7DYExO1qPOEeL9z8J2skecdAaXSjIFgjNWNLra9B4x7O9Y55SrKttXB5fUgXL5ij
eRMreHSNaWVNFVPMW6/h9Q8+/KZYlhykN8az3eLMo1O4g9DhdaNT20JyKz3/2yhw7HAru4g9O8Mr
byaaLeSy78+TjJoZGrtFh7U0NhAo53nX4nne5sUiMVUPqWjPAsjZdssF8nTbjr9eH9hlizZebOLV
Bvzl6WxC2DmuspTj/ixdSNvHt2U+znKIMqmms09cF2xcU2CjM+D4z1H+sindBm1IXWZFiKVzSKgw
8jaAcd8h/YwzuigKEC/oa82dk+aGTDaxnq0juj2BTARlFCpPSC1Jw4Wgs5U2umJu2/ILgdZEi67c
wix8YOvnvzmxkiVpkK4bOwbLQmtbq/dBpa5JgwHGCFVb+tyWUKW3puJUiYEb94BkUjrsZLSYpQUw
aSx9/aZ50fkMNbMBLCqNByAJNAnDeTZDRebFvBmtPfjw4w31p+oZZxW+w2cAwIMWGk1Dz5CUk6yU
nKc9x2fQl+aD/QC5+rrZ14/hg70v5+lHt+4ei3sYRwnNnyx/X1zgI+PSfTEOjAeWDuPWHSTxXPCH
aB6JZ6SZ9RsQLd8Py/S5ANnk9yn6kPNdLWZfYG8BrMGTU4ZlJiQjTuNG1nao/b73XOjxtH6tzGk7
D6D46ut31sQWO/O7kkXp3lfTcSRJAYvV6D7o+ZPGKaQee78OXjjoTa/v57Ob5NSYXG5U3Tyqokbs
Z3SBOfXcsSt/cNUJ5z5lRVq+VOF5UCcYElRRwrjGDRJ6hfb1+lDOfJ40FMkJMCCTSWaJDRplS72F
pFzurkg9zOsMZD1VDYmweiJgvbgtgTjHxgDpC2qnp24WAtU16mKBuU0dSKFDUsRMfCW9iaaavC7P
3y87kgugaar3nDvmloZoeyLbUl1Cw/P69E2NRXzD0QXMipRrTeHChxZPkCHzCVgYHTRY5ebiuqGz
SsvBkxzNmviSI0s8UEnRoF4G1RhPfXC/to+56tFbfZ1+dl/ZG8gzHBAKT71qp+ZQuuuZOQxqjTr4
Nm/AncxAmyxEAp+vj23KiBQfkEoL49LERWQo7tyh4BnPvoN0c37dyv/hlH7tB8lFKCpgOK6OfdeA
odrYQcXS/XC+IfKxXhXV76AOO6XQdX136Krk/YsGCG6EAua2KpbE3aT2U4OGg2QKRzJlRnIUfCyN
KA2xSGZYzkBpCRTwWw7tS7eemMKz5+bBWfw9g2e1LhVtWDEZsVDgyoauL/yRaAxfgrNEVYQc5fUF
mxqW5CdaVVGLxMHstcbXwDJuyuoT0f+MQTPkuqHzQBkoJmg5IvVkoW/orDM7M3I7b5rB3A7o34v7
WbYHdz6S9d/c3re8R2jufFy3KFzPSSQnDIr+ffSDoNAtt3sZI2DkNWrDW5fMR6gCqDi71y1cOFOw
IOqEuIFBuShtdhdYcaIosKBGVYCMXdosxgKkfHZiTl29E6bkNw7kKHsjQpPRNhNkvdU81qHkQH/8
W+ORcQ6Ok6q0AoZlq+oQ6m5q32rKGZQmJ3b41Fik61CPgWsiPcZi25DAQuFBpR9FP9Ugc3nDAeiC
kq5oNJTTWZbLs7ytVHMLMu5t8FINYIpANG/40P1C811deXrrgSrnX5nDX1YlP1vwUS3IAKuFgCY9
teabNUXDd+ndjX33y4a070QDFLcLbm6BVLs1obwCsXJ7C637x3Th+I3f/4g/zCWZZQv9U20990vx
OUW7fnkN//kEGeVqBIBXaNVobketQ3zq+ghN0+L5+lxePsG/jEg+t9CqAPqfGCdTXsbog7dffu/3
g+0bSESAV4GtAA7GEoM8uu6TSg1aGlbdfRPz1Eez4HdlUKf6DM/6TYRzELhDcMEJ3mkZiuIAMKil
jdbfJ0quCqX5QHl3nLp/S0befTH0vIIgltXVr3GaIR3aRQZF4BBASCTpwuGFMg3Q8jHV2btmleYw
AwQDyn0lullfSUmreDYgWT16GQi2ci9TmlZBt33VTrxh5be/GAWQvjqUnvCgBI/M6Vy5HSnb0Ejb
+0hP+VOfV70X11WGTCYImnMtWwsaz4mzJL+bDzZBHIL7wgVnn3y1k7TLisol7T18ef9dYzGbAQFL
vZwJWeOS8C+J2j8PxFxf3xfypQi74EQWTJfARwBvIj1qYdLUKlVl93XAk1UUjx/RyKA926GmAAqz
aCIGuTC1YlaxA8HMiGhO2uZjCjwl4yYDmTUYR6Og/67gQBlEfWoJvwu6tP/NS1+M79ig5IBjEyS8
FbHZPWon0ZylypObWczTR7RiNU3wm6EIrIlUAXhBgRCHmpH0xNCc0opDdWD3bhDpkGio470VsJci
tYNvTd1PcZZcWDxAd2ygs2EPCAppo+Jy0a00zNm9aYMViIyQ5wtBAgcy+ySAiGXlTKze2ZMXLXSA
0QGlCkQbSkPy+Q5NsymhAEfuU/sHJeHeBH9nUhqrRMW7LRAyJM5GZ9ldXJW3RjyVjD87I0DQgZsB
DCLAp4D3WfJhbu2YSowuu3syxu+D0YTrUQ3bGcvbF7cklQemYNuLyykGprM2B4z6xK5YhiPfyQKL
peNAMOpYex1GYxGZZMMUHf2opceL1msAxa2bYB0zDRDYgaARJ5/wD/L9YArOFHSgA40m+FNljEyd
OqpCuW3dm4nq+AUxc4814+/iMQ9WsGmQroSkOloqTkeqYXVr0aJ2nypBtcwzkuKBh/6N6z7njNhP
kOqi4odOUHBum6rcgWM7BemKTqEPw2B1z3rmQBkxYIG6c3mQF9COz62PPG7Q2JDSIoIEedo6YMO3
8/IpBEPmg1rTYRmP7TpsimTBQxXKMrES/7wG/sPI/ocgxfyHMdD/aD/+YlnffmTf/+ePZfeRHfOu
i//6L951w/gTMQ3In/B3FWEGXmN/8a7jJxAVEd3/glkdJ/Nv1nXyJ3oRgO1yQKGA6EF06DRF10b/
84dG/oTPQmcu+K6xu9Hm+cf//r8TtoFG+vdj9oFDp+ZxDAT0K4g2Dh8HunL85tO9GwKJq+oszHbM
LNsnJ+u6VVCT+BNFk9rxQtLnr9SyI3cFbcd0zTirICc4EPBqx7HZovF1rFdUv6NjVAzzqk3Cfea6
yp6oIwVQxdVfx0GhT5rZBO9hwcgcSEWv7KpkiwarsV8MITDxY2I8h8rQbYDTUPaKjjZHOgTDMxod
YrRkDSS5jWq7+hqow8JJ+vaBgrUbj/Pa6KG8avRFNGMmd24yvRyaRdEC+E8Zq27Bkq07Pz3Kf7b3
HwD7X9vfq+8f9bf/WjfpR/7tv8Rfd1/9Iv9I//6z5njzH37Xz91vkz8FRBEdYFAYAI2G8I4/d7+t
/ymCY/wQzZ4qeCFwc/21/xVT/xONoGh9hVga3lJYqX8OgGKSPxGxA3GP/aqi/QMIC2nHXzsB0vUI
3w3PLJrMTRvNPyCFOz0AlhGyoM8yEDOZXbYIWtAk1Hb/jqdyPWdBWiw7c3xmRfd8NHn3P0/YycET
b7ajg4dOI6EzIxSR0OqICwqTf3w9ui2H9rEboNqPOPq+VCHpjmdrULzCk2QfaR4p+0Iri3lvB227
bo1h7GdQUNCSWW8lUAgs+mIOicNN3FmQN1OR4djQKE+1RZ2qxRvwomHkg366/E66zihnXTnEEPyk
/Y/IYurTyKPqhxJ3SxAoD+jr1bpxHmtJd2eVWvg1r7Pn2tDKDrJpDjhIOXAfbxCwBezZpdDV7qDK
YJGs80C21qKSoFbx4EUKriI7pfHPmfrPiYMrh7f9v2+UDa3p50dLTw6W+F9+HiykjVQcBDztcKZA
Z4ij9ffJQpfunyboG0yQvIJDAXCEf04WLhwRtgCijJ3vQi0I5+Gvm0XRtD9x3Yg/Pkg7iJaP3zhY
0gMQJqARAYo8FJ80gYeWqQ9NmuCFGLb9/WgwfR4WgOYn/fitTyn7VlVoUETPnekXFjLoiWo0fgzN
nhnrLGOjgylmfjR1F86bFGSLr0H5GpVWhNc4d/jH0/OmDTTNIkRr90zI+tUKudHULH0ZTLBpKEpe
rzItz5F/1rJF6fJ2XkYa0quau0IB6J3EDEXKxsl86JM1TwNJ62VfG9XaYkS9a3FZ3ea9+zZQ4L2v
f/eBwfaXn/j53QgnUXOAJBde75KfGOKg7exeie/R5rNOcxDx55AHTLVG9eFyk4ei7sO1w532ptV7
9z53tHAR6Em6ZKXJNl0T1l+7rG9eyjTYmsNNpmnfr3/hoSVT+kITpGDg8DwEwzJLQV+khjEk+MJM
S9W9kZX9DxrkxiyqLXMOYmBzA+IEPPlVqCyD917xK24nCwua6sjKpX7UAJpnZAZ7yMOi2do5L5aJ
S4nHFAaSDzUDswPt01XhhOoOfAjhrTuo49xijuWbgxtM9LkfZBePhwPXiIYH9HKhnebQKny6UWgX
23WilGAeIRYEOnu1JoY3Qlll4ThZ4IegFmYzM+L7Bj3xaLVs1c9Kaa0dbbSyRe/9WKJdNUyXdlrG
PtSf2q3ZJiABCoqunlW8VL5mseIEswx+fobQeqkMZn7PQSTxPQeNcOxFXW4/leYj6UGeXTTObVXR
dsm5Adxv1dYa2mg4SWZgwCo2w0hU1JxKkr6iTRxwKoWGC4125JXHg/EEEhcrnxWQlXM9RCn5e1AE
HKog7XesV6V5aYt2aSSUHHeLhLye+25LyzejHRjEN/ugu0mpVk/sl9OYDG9NC9R84HcAbwhwYqC3
OJ1fNTGrJmxo8ci1UfNyrlmL1iknNWrErzlaxjMz0sPWIFlrgrS+eGw5LZdKzKNlyms3AjgnDDxD
c+5KLXrHDoxmYGXJXvJAzZ9c0j1lo/J2/YScyQKD4AvlDNAVIYWIVJucNjdsNqBiY5V7nnFt3hFr
2CI5a/uWUzi3naYBAmG79ZINkTIze6b9GN1Cuc3gsjZJDZ6j3HaMG6NywYVgizkDotCnoM4CQLKF
dLBSkW8DAoalbrBVFjKcldpqNlqWaCvLaI1ZSJzC9PKar1LeJq+R2g934TCWu9oB/NWO4mJllo16
76ZM2+MvwGNBOv0S0sJZXZ8KKReC1YcqDDKq6FsE4xlUi6Tn1jBaJGijIdiXRPeKkd/FmIcmTpF6
d2eUWTdW2c/CNl5QVjxWYH+YsH+2+/BcRB4GgB9HpAZkaolSp63VGomxD7hR3ZgBJIFym91YKTq5
qmBMV0wN6CNV8n7OqOWg92owPJO0sY8/B52NlqS3STKyiRTYxc8ChAzcjpBctGXYPW1NvSPNQPDm
G1+tVte20Ak2JrKW4qo4ORJi7LiIQbQq6HMPkuJHGZkxQisqhTLAPqQOWVo68wbozq27up3gAzvN
sIlFBlW5wNmgGdbRtIOkzpEhHWwkjQEgyJ7HWThTiiJqvAogCr/Jx+ElK/Rh4pY8fcQLg+B0EMph
aOUHy5yM9K+jqu9SjbT70Gjmag/yyEabtZn1raeJD9k9H9mxbMLmha2M4gDypOAhAsWaLWNN41JN
HNfsy/3gph7j9WM0gmu87pbZ0HxC3AGCU/a8QzCrxtEPXc8m0ornYwZcDAU9wainAdokOThqZUYT
GWzYMyUKfTQ4jw8J7cBF3Lds17T6Jz5Jv4G+dD91hqXNita2g2gjptlGFyRI9U49uAEp0LJLCDit
Wc63aklnmaIVNwxaZdCy6cfMSxvK52VQFAueZMGrEYX9AmF+tao6p/vAdVTcx0GlT8yIhPNC9UEw
P2PvISUPPgCg1E8/LOkpTjZexDur5eND5/TmTVYxfZZlTfDIWeNZAyDBbZAQaDu7G7uB2HMysG9I
KoReZed01eHRsoiAv4M/spmfqdhHKHjieighWT/hi06RxPhcEMvhJYqvRfgrkuCnn6voyIwq4Dfb
IZibNST3lL671cw7l4y+DrglxE8WTIFafconllDaOw7CZkSe6BwHtZzgXkZ66Tj4DMI8j2vkbnZj
3npOO1orvYHXTxkwxWWqmYui4vHKRUX0+pAlD3Swi0Yc9Csi9CQ4qqd2tTQGz2YE/lHCKPWbpmhA
mIbONSTC2onZFUM4cnbIqIG0D1lv0AGjJxib4dRUNzKttamV3INLSNnaTLnNOaTREbC4swJ0xNFo
DF+uj+6MmRdU4Mh8gCMFN9yhmndqM0PIBfrYmu/B58c9khWOT5KG41UGTbqVnfJsHvZQdSdVZ4M1
0EJGqw7RTp9rNyqvNW9gSg9MfOwsFRUNZd71zzv4919TAs158KCbIPzBNQOpVSQ+Tj/PHKI4x/01
7lH2fi40Ib7e1XTpOKN72/XAnerhSD21U6O3mI7sNghps6VdV/sJ+o42iO2LOR8g6kchZTN3rDGd
WQ20qyA230RfjL5J1oLjwoEw1yxAS88202N+VydG5bWD8dY5XFskBBqnQJ7GU9741Cn9HBzqOdAr
RoUFG01ySrSxASYOe75PYzDaugSyEoQxKIbxAeQnVWQoixRyCjex89mhycOIymHmumA8wiZ61seg
IeBA5d3X63N+etDwVSL+BWUWtqFOsC2kg0bMqk+6YNT2cZuQb6bT5asor+wZ6A3yeUSV4YuTFfVC
C9Spl87ZfMCyuBYd1GIBbZB9oWoPRmHmhbanAUie6kgJZ8PoahM3/emBFuNDuQ5JMyHei6e8PL6g
DS2mVU69h4vrlzUxX9HpbPvgrZlipT89zz8tickEVhqvXVsuuRILCSmDFPXebOPwzSy0bm7m7kbX
AIFiQ+PRyEVa6vrqncH9EKpgR4EFGE9GvN1V5FGO/aRTlUOP26Dbx4glFpYS6fdWBa4YvVDaxxjO
Zx6BCfClAz/IXG36duZEYFgAt0TmQ9gqXKGpOfaT2G6mPI0wfHKUDx8mzjBQ8iC/kY4yZ0NOmjLo
9iBhxgOE6to71Y1uEwSEr4uxDDZBgkZn3Gmpp6tlfoOrJUbqAD0qOZIVEaKwRWqY4dLksX6TNu1n
ETrfjVxJZm2OvPz1eTyAj+TPFYwQaL8HCgo78nQe9RzMcgop632tM3PBKzZkXmGp4dKu+oVTl9UN
Dmm2NOwactVON+z73klAq6nz6N1C6XSG39msNQ0iiGBjDLeIstpPs2qzpenSYJOFZfFdz2l2E9Zg
RUqqEKTGJZIEvdGioFya7m2kO5C96mi5rQv1XUX94AWOoTZA8KNBAwRkPSuXs3obscDd923pLKKY
N+izNRtA3ozKj0huzWiXRevrc3OmL4k9BveA+0r4Zmwx6dHiWAN6wvqo2pPAQp/9WASrYKyMG1Pp
xxuLFuZtA3KPVc+6e7Pg/DUA/9CXYAQ6xKmzBTwvOo+QAvZ0sx5no5uM21ExohuwBuSf1z/19Fkv
jiBe18AKg+NXaGKKesHxaYghZ9vxSCn36Wj8f/bOY8ltZFvXr3Jiz9EBb6YgaMqQqiqp5SYIqSUB
SHgk/NOfD+rd+xbBimLUudPdk45ooySQC2n+9Zv24E1ZBcNMR34+ZlbQzta8fX28y0+e8QySwfFs
YO1cy0NFm1l2ZIXVE9cM9XM3qX7pAXw0iQcMM7X2jWc11+LhLhc0IgxZp03oeos14OrYkDsuYE0T
1U/lqNGe1hM9iFtz2vA5q1e2rBdeJzEbEB4xDlpcrFavc8TR16YdXz+5uVv6ihDRqRTpsEnitLjN
ujB983i46Swpf9rilALKez59Tm7HMWeQ8glRgPJhqAZvE4XxREw6FmGaIqorutuLvY/zuIO4HvtU
F3h6TZ6S2Cs2SZ+AeuDnf5i1psJeMe53diJtv7JRRYkKR5FG7a/Z3F/Emf5GGRB70OBbbrzrbYn+
uF0Jm0dNPGX4MtbJ+L3Sqvlju3if15axB7ZVdylR9yelTiyETZV1k0Gt3laaQlRFoZeB2xc42uoF
0gybgCATP29cMPY2f2wwjl8VjU0ndGVzKExD2dQm/CyIONGnDqpVVnhiw6ec7IyaZGIfVHA4ZEPb
3eHJfSWF46JiF0Rl8a5bTho4LK7W1qoJMWfpKaMozqTv1mGyy1k+OeBm0+GNH+RqqNXxPeymYg41
FgC3UseNksnPVTFDNxi8T21cf9anVrtSs7+Bj7Odg1sSHS/AWG4NONcvH9EzKMHsNVHak5s9Uarq
7YjTVrfJMq/8bJc1bpL4uW0MJy62zaA/1IQdBSwR5UnN6Qk3TR5jaemyDyrurN6Y2bRV8irbK0rb
7DwxJ7tqMOynUibNXW2MhT8tGdCz0v5crhVbzHUxAR2buSrhq8zirnbnoB7d8rbNi2sPemH5wyUe
6AchxvJnvwBhKFNVlm6XPilzv21ZDe+1aZw2PbGUO9xqx8Abzfdxb7Sl3yES9s3x4+uTe7EcLT8A
csJvkgKAwmrly4YebJ4U4KdRCWNQaMU2f+aDOew4rLd/TkN+zedrBaAwl4y4WAzTkKFRxFX4fG7V
ggaQiOPsyUhq+9btw53BTdcq2ZWLQWsOkVKap6LHgbUyiUNManP2rXi8BotdnvL4HUs7GYgUhBb+
+fnvwLHBASqJsqeGHMR953nxPjWdUvhuGM5+J3+i4IwPejS627CXYcCeDJreM01haj32YeN+i8W1
6bj8rOnicYWlWQXCAnds9aOkXhBMYBVPWmK5n/BJz4J5sJOtlSra4+szv+qN/Z4I0HguhtyXwU/W
QAQBZmBZ3BeeKkmCbunGaAomuiz4vcvI2PZJHt12hlnsNJcvrC4VfUfiY3dLnoh7W2iV2FimYoAk
FCLda1okfcIKEb1KHRSubeYbZznsbbrUsg5h6F0NU15Ou+eLBDkL7DXs179921frkqkpIeIL8EbT
RV5fjEWyA+d0r6xFF3xx6tUFpWExIm2SS91KSMJqgMxv6MunXol+Jr1zGBL3U1kb08ZKrOjQWUrr
l3ESPhpKUvtK2Gl729KmP1NAnk2m6tdSu1/6gCC24WwB/xWj/jXsGc60xBKvKJ9ozTs4DWbelhBv
cZtU9gfOf/OxILRASOXOqecPej50h/7aReQcw6Is+WQWBgenmIXfuO7mRAoSB6Uth0cN3GDbtXMX
mKn6K7ccsc0d2ewj1XF3RtF32xwoK8/7K8j56ibED1isYm3KF3NhGkpLbTzbIAwRpXTz1Oapant7
U81Dhr+j+FgI9VskK0LaBRakwq6BZg3tGk92VXh/D+6R0rDkeHN4X53d1ay1hG1X8ikakx+6Mpn3
gOH5h9c/z99U+WflTc1x9l3eMQ+J46O7qjvbavq5GuzuCWjV3RvmEO1mutI+01FiLAp3nZOUXd5p
elTu2iTG1gH+01aJ4/CDXc3pU1q68zdblOmpcMW4N7Q0/Dx5VfQlkmqyxzot3unx2O0KyLA7t20J
lep04gpymWNf0o2HdnBpkBfEmYQDuGnXy7sxdtK9o8WfezvL98boeFt1ipuTnU6SO+agbCcxeXfz
PJbHeKwz34kc8aEf8Y5UpZ7tYl16flj3JnHT5de63pXTXT8lct87Zn0f7V5/hwth7vkSwTs0VUre
ZapARdhtzssk77VUGqMxP9Ve8pcxucMGi1z1Nsu9xMKLYtaXOz38U5Howz6MpuprFMsvaQde3GRp
8r0q8/bYV0316MZtuI3IyN4pFUlnvXDtu6ro3MDKy+GdFU/exuutIrD0EG+jrpz0o9HD8pUYwx7m
er7mO3dRgyQTgeMCBBAxSVtnVR1Grjj54MbqE3cHSLViVB6LJA4f3v4CabHYNO7o3S4qrfMXaCfq
4JENqz112RiUY7KNJodAmXJjx83O1dr3sWsf8NnaJyx76VD4fVE8aPm+iD5G8l1RQEs1pqM7kJHr
FduoPWRN+yFNBp+4iM3kdD4fm18Zw0eLHf8KjvPC7IPKYppKBAfL1QV1dpiIM7S91n3qnBL3kTLF
PcstOdqb+pjdzAYpp002SUx5+9KKfZ02od9EojyatTR92wTZ6ScXNyQxzJu6H27n2P2r95xqb3WW
d1vTzn7sVRoMrqJmP/BPinfsQr2f6KSkWJFFm1PXh0MpvOzK3r2GDyhsjo1YRS552+4SpHg+L5ow
hyyONeVpTI1pFxplS2s4eiAWc3yY5746NkrsfZQ20m9jwIB8cNDkDHU/Y+pIZzgxMSdU1an261nH
+50lRdA9Gu0gdZMseL2IVmcafite/mzUS5cG4PB3/+bZWu2kpSPJJdGfSkRxAM2ld9NUc7JJFV25
clV5cSjwQm5/yAr4Ns5fSzQNcxbB8XjScxFy/6qzvQcZYptSXk+vP9X6/Pj3Y/FcxCLwF5vQ+Vij
1WrD3FbGkyHm7pCakRbkE6r32FDvuP/6cVMmNxmW+/tJ8z623qQfPDXE6iGJ5kDX+DpUUb7tNP/7
NxG55YLKwhFjXTj/TWbp0bybG+MpiYdfnKWrgqgeO3zMjMG5Mquri8PfQ7EJM6EAQ7S0zofCFCR2
LDgIT6OW/6l42MumRWIHtqKiTC2j/orY+4WKZwWCNAmPwKG3s+6VR2ZJxc+F94TkqPxuK1iCaJGb
BkVikhvqwnr4jCu2IwP4kAcyIZUfrtW7s58U45z6NleOh2qKtiZULiTHTngzJ0l1owF+0nYji+3K
F3q584B9LPoLi0LEtHl1Px/6MQdPnMX72YiLQMGD6S8Dc8UDHCFihzO9u2mK5Jod3fpoyKSwy8EW
A2/lVE+f+HxS+qqfPa3P6/ey0+0bosDyLfqAajflyvSuaWGBFN1ofGNZroK0JNF8zuN4a8J8+3u6
/kvf/Bc8sWcLxYUggM7YzzPq5vKf/0PdhKDJAggFZZkn8HtuLH+TohX2pz/AzJY7n0oCFiFu/+Fu
KpqLkECnI+EtsdJYZLOq/Ye86f1Bbs6ioVsOwTRInLeQN1dXwoXNwC9jleZkwfUCEPa8fmYL09fM
U6o/VaXKU59IrCbejoZxm5FYWPnh7NSnFpqf7uf6hKyw620Bw0jXkNjb8+BPySiI18vn6H5ovKj3
9T4ffsD0d2w/FtWfsVoPDZtwJY8wj+Lv2POnf+OP/628f0FueLXyvnVNd1Z6y3//bzGKbVNDcA6A
miAGM8H/VB7nuj/4p7CyWFxpVi66uH/o+Oof7GpIRchN4S6Cq+GynvxTefxLMk3RJHG4/rfK5f+j
9Ki6JWcW7iWkZujIIGLnpcemlhEXU4YPRMabgR6LRXP4faqb6VC5+sFIdfSrFlfqxo3CIP3ZKPUH
RQWYaJ0pKGD9+FIZnY+auwnjZLxJyi7dqCGGDF3/F8vv99+v9r9V9i9EFq9V2cO3qvv2P6efw//s
u6T4+e2s4Jb/9d8FZ3l/mEyitiSoLhX3n6WOVL8/wP7oscDPWFhMZwVHZVJN/MWZFu3eAvz+U3Dw
1HHn51ZvknC3oN7aW+qNX/b8ZgjuCBcFwgZ/A0DiwzgvtwEtvjLSC7qXMBaF3xqt8qtAenJ49nIe
/r6uPxd8LFX77BK/DANKgM8ECC/XKGd1IM3DuQQwr9x7pa2yPw1VzIHZ4J/WVEXxCRjF/IRwSb8x
tFz9hJu0feXUdPmUhOqA7gGUoKqBEnD+lApbvCTGMToW6tzutRQqez4OV07CLw3CxrToCkgeBRM5
HyRWnTYrtSg+grGGG4VPdpPpjdi8/iZXR3veJEJoelgY47M9omM4H0WZpyj0piQ+IhkmWZ2r5XYm
mS9Q3Pxai+6lBwJco8WOLpmrxKo20q6mrJsuPopJdH95pYvnf94Y1zxCXxoG2B/4mbYjYQ6ryWlj
15q8jica+7zdxmR7+5i7tlcaResz4fLicPFj/pkdF+bX8mKfXb+SXpaK1qvxMfLK6igNQiJKQ812
Zaj/HOSYBY203S16IXdHgmUZ9ONc4kBle2+vRbRdYFl4ki1UML7757+jh1gYKkAWx1gCIsdubgXd
7GRfXy+T1bXk99MuuxgHGM5FoAfno3hTkYcjGU7HOlV/DIiEfc+uHq0Kn7dJ5377+mgvTCE3QOqE
pYrEX2dVKR3vnL60HR+Tzuz2nTCkn0Mv3L8+ygulz8lMXVqqOEX83qKfv7mQfqpNgLc4GvMY7uGd
1ghSpp9wlt+Y/0BA9MJgg0q5ZEUvnKrzt5enjZbRQ82PbZGGvc/A8hB6UruyYlxMEuAi7WFOwvhe
wIxfrYphy3XNdSpWjDlPAjvK0x92VLUY5+fuIz23/q3TxHh0v5cJgnyO9O/8sSbNkEMj4+QYkhse
QHxv4ea5+fb1abooBiSFtKCZc26okNFWpVdn3VC7wsyPI5yPm1ngJFlWqXFllMvv+fcwC12BT5qT
+qrmyoWJ2Dhhfqxss/Cb0VQDodfjj6QovV3cRvq7ae4fDbeWv6q+Kd+Feo8YZC6n3Vsf17I4skHC
WLpn4PDnLzWxsqnU4iI+mrE5beNO+REqyTWK9+U75QGxcod3wu5FJsX5IHhkll2d8IF5CKK2YdEk
weTY9Zvr43yU1aOUMgplZkzxsdVTbxPrRF5EYN9XRrn4jNlSlo+LcwfsQhSu58/iTeQ3qFqZH3NF
NwModNPXLFa6LUwG9+H1uXl5KCBP1CecmdZ5emrpDm7pqPlxyjX7vWHEfYi4Y2g/pvDdTP/1wZaF
++yMY7KLsQIiNgXquGC0zBj7TqVTlUdsah5wtbBv6tHUicCYNprab7JaRc5dDNcI6ZelwbAAXXzU
yyqyDpg00mns24g+A9o3BdptggMvMWpvnjRGgc8CesmCSLmfT5obF6JCk1kea7Qt1abXlS6/q2cZ
RpupBcq7efO75IbPJ4wPAFpOY5nYZ5u1I4xZ9nNaHR1JW2Mb1nP2MYvtLtzlqP1OkTO7Pyals49j
RUjXlYm8XJY5jHDmRv31m7m6GjxqHOyTR6c+lm2rFUE6LhEwWdGIL7Trja9xpgpt8/rzXhQqJx+u
e2yfCFAZdvV69XQeZR3lEmGSJX3yX6OHGY+BjRVq18Cxi3phqN9hAGxrJvvp6umIMhCOXZXtEV2H
/sscEg1XSokJyZufiPMNSxatO47E7moXGKZumrUi649zp/V3Zp7muxw95k2khOHn14e6mC9OHtxO
ONLxjTvuujZLL21MxWq6Y+PmMqAfkN0OY61sUG+3B1Nr3SsnuBcmCxEfty8OrIC+66ZrVLaVFXuy
Oyo6D0RgSBsUDQE+YzU6V+5NF2vK8mgLoMXhgEvi2jyH0mtGNe26I6ch7dugZmKjRH1+P1rOcCpm
oHVYgb29dfLIukJge6FOeJesKnSNYJavKdTzrKdxK7XuOKSFuqtNQ/taGPF8hUK9ILFni+bygM9G
WRW+XSd11Hl6dzRy9UtnFiOWFol3yJUy/CBENmzmULwxeBGD0mVMztlgiVDG1uQSozCqWQ8Zc3BT
JzAT5XMtYsLrw+la4/XFSnF1EKdF80f3+nwZs/U5grPkdEevymk5Geh6pZXD0bW1a8eQF4difYZF
Bdf4ohlfDOVIk87ujjMcjRv8RdTPKpHVt4k0iytzttK28+oWoYEBOIvwHlLImnlBPEo/RHT3jq4C
4Q42oytOs2Knt5phR0e1G/XiMFaORfwHbFXTr6Jc/+nUTfEOHZz22MRWpl9ZQF+oVuh5i2kMjRhO
t8u/f7ZhwMirVTbC/jgNZUPRDEhG+yS8si29NApWNbRQuQ8DYa/mc06gx80to8w9rXGl7kbIk5q5
ffN6xr0ekAR4h41o3dNGYt12k24NR31gq03YAvdqI+obR8vqz52U4s3rGU0yi0s+NAvcEdZmHAMB
C1Jp1fk4CEvfCCZq40il3syaXgVvfTSKBnyfywF3A/52Pk2TJCZozkz1KNSGZSuXkKToe4NnBEo9
OOEmE2N+LcvrchGF+IvXCp8hrTO6xeeDRk6O2k6LvKPZjd50FLDak73SFllD89sNqy3ahaLH3QPR
5jEDeHGuFOflIsctD4M3dgwoTxexxV2sq7XWJcrRdhsXpSDZ43Si5D6XNKl8KEojJB0ZJuaVcS/L
1QRu45PAZgCxr738rmcfhRVbIVtzGR5nqmxbpI30mxIy3+tzejnKsjuAaGASCca2Xg1UPZxQ0rrh
MSRDfjeZerx1kvIaGAVcyK892ypQfdBlVvGBWFw91ncgq1LMbIkeelf3vLDH0RkVcyvdwXIfI69o
xt0Clur+WM/afB95jW7e5k1RwmLF323Md6Kucnx1tVwO2zmcVbv1dTzSSnWTh1UnTrIzAEYgGKnK
DQJ7LH6tRsBxyY1oFIHV9eFHxS4U4JrJMLNDWoWVHjTQZJlILSKpNayrWgbdmGhjYKoDEWKeVwrr
ayPmfNpUYT5/ygoCTB7SLuEb05NK2ndFKAlP86Mxrcr3eBeQAQUj3bB2TZ934luS9kO7M3rdDB9i
LLK8d6mw5C9LNlrvx16mxPdFiYHADSqTrn3ssqiqg9mKcrxbaztTD0abq2kgzE5+jvLZcYIc+Vh0
77ph5vnjaOTk9Ekjzv04s93+PtGy6l5Vx+xj2zqNsRUgVckHe7IS9hROzN9GA6/NU5zKKnkXy2yc
tkkxu18l8NInRQfI2s9e2sY7aQ9ltCcTO+w+ZWmdKvejGIVzM7ohzNbtNIWh9oj5nVVDQMJv8t1s
9sqwU1mqvhnmpLlBnBduelMWsqyDcEQ/R1xaNcx+jRIvChLR647f0+lvb3pTJDn9t0G4uH8o43ul
H7UsqHDm+dy0eRX7Xufk5VaabFUbAzJnHkRemHyrYhW78lq1CAdvQXRvlDZKRaBJqUq/GnNF+CQY
y+8huWNP7TACEHKc7JN7tTXLeFtVpvezbzN33rhkLCSbpOXGsA9jSOnBbCuVeURKT+JtOjsDjh+e
5Jy4jQEsHMILFbvd1ErWOd/ZD02Bt77TRbQRM6t2t5UzG8mmVDx6/LMrv9tNWekbpU2zbmfKIUof
0ybRx9SPc1X/OgLLxT9nxxv0gwJjttxnoZrJLfqtyvHjyI67HdpFZE+OJTL1JkRB7O0kEVraxvVS
B9YPoB2SSBer5vGW7pS0b9LWsBTDtzK3M/3EQ1hNf6k2yKpOVSUL5DzU00Zi7tHekdjqkRufNU33
dZq0Wu68YTDgoaKTTrYw9arhFtlFLSWEPWss7lxrWCwHFItyFz2ufXeNLLL0aNlKq/0YQjkXBPfi
91kdO/Q1wwYnkJ60DFmH+k1rqXayt8g1U77ZfU58RAVBGPK7rpbZvpeJ127o39qPdBNieEsJwC/R
LWEdWTc2menRDneSstnPHYZXN0nK/+xPAsLPdm5wWNlU7QDbnp3ShMfRZ3XsT9yawu3QqdWDjXem
7TsDTY53smmwNmn7Snc/R1mW5j2sRLcpPs4abJMfM7HY0ecJ4dPQ+GMWjVVQqGoedzfQEm0D9B53
N/mtymqrfUr52qd7peKWs0+dHPwbTk3bIhPBL6Jqgjkeyh9JX7QkEhaiVFmzdmpRSDu+nS1jojE4
/IpC5Ts5nP0m1bJW99uuum0KXfsZa9aXtnHeRV6cBZjkkg8/Um8h1lmysdStY8n8l+xGYpUK4nw9
8Hi/6I1TrkQaZtAGqn7ZytOs658KaVJKSZTABtPftYmCQ7Q1p+LPiSOKn4Ct33ZdtUdtI7deCNqs
diiAjTCqTmGtDTtvNk1f1FO5E6XZ+bqGXl4b4/pRhEobVGQl4N9IBlNltptucJSD25XFKUyA7ZTJ
+jVGzeBbiX0UTdRtutBSnvK6NG8y3XtnFCGm+gPCw1kzvk9xPwSpo9wbViu3blFUO8yOzH1LeGRg
TLSepkX0gGll/9k22oPjigr2Z2J86Iby3uvFvB2nOrxJZiEOHGh7XHz1h9mMRdCRdr6f+vRORTGx
/OPCL+Tc7F05yXeYFAlOxBF0EruojgTWfzVyS9tEUGtqBx640lsST5+wvgPkiD6Hg4C8M06fiVYG
btNVooa5mN/acVbsm1rsZjf/aZsIFocwPJitHU6xt6nqUZN0J/ChOGidUVubxs5R3Pg08LAOwYu4
VgKizrryYciFNx/aLDWzR9NuLA/HlERTblknvQ7rj6hPDk2UI4C2m9gt35VTOBR/jXMxjw9TUzhW
oCpN6Y4boSLo/Dk1U9n/SpNJ75+8tIzakxDmDAoPSmLsK/h2+s9cV/OpZR+z5vnDoprpZ19VItnf
1prqNn9l5ag2D2qZF0mg8kWLrayQddzmU2ewSupq9qRII3H22TAb014TXZ4fNKFxZeuBjKxdK7Oo
/JXXOSzzTcxeK1xIZ6Bk3QZPCAPttmP+hQl44n0LWaSjrS3VutvaBXxpv8QlahB+kyatcRCEE01B
yhdlVZsqtvRsM4ZOb/u6O9qf+0zphnt2Lyf03VjEhIToUUoYykiuASAVHXpH9t7HPM5dNlxFlj88
r6h0XAWUebzzcolyYyxt8qPLcXCtLbBEbh5irfdUuvhzBVs2zh2mTVdjbkuFav4qWjT0/pBbOBR1
nEgzHIhF8pUt3Wh8CHh1samULr7FdZXkg7Q28BLQ0Qjlu3rI1Iexaw1v49adyZN2pWJ+MNs4/qvO
BzgDas+ucl9rXsE26LJRBy6yLPXUWkWWbdwiKWTAe+HwNrkjvnmOjKof7SBDErhRP1b+GE30x0Yl
Nu2HYszn5uAlU6IVm1Gp03YXZrE37bGF9uL7ZoxVLKzKRjPGe9E6EeB4iQwvyPVGU27cEeR3ozYG
UUBFbzcpCdt11ppLGosnA8AvjciUrhZsYHZuWY91M4poE2ld8VR5QD7szGo6vYtzjm1BWVvSfOoK
N2oemjoTrJcJvLRAGAOifpZ1WZ7w+x1YrZvB49Jv1XZ9SLRBC/eDUw76rdPEvfKYG9WY+XmtVl85
FdgPcUa/1S/0Abq2iMYu2WYc8r9yylfz25pPkgu9boj2Rwel5x7Rc+/UiLEzfd6zWVhi03Zp2o++
gTnJ4lwVWsV+rPXW3pR9HJr7tOcIuulJAdd9NuAOvbLmFpVvjJJzuuIKuLSmow12kDk9toi+JP9L
vaNFNky+p9Ai2TWsXL+mXhfJDf958h4TmPajbKqxIRh7XM4ScTNW6QajdSXcmGM56jgaWFQNTsy5
8lQYde1tnWliX6ijsM9cX2qSZYKtpYLpXmTVD2s5aN70PRkVcMRjQcNljHBYC3Q+02FflxrsZk0d
YeBXc2HM+5AubrfXc8RTvlmINt/kAggwaAa7Sm+8Vok/Jk7emL5Rls77YlYT16/LmowStwu9H0mi
YQUm0UszeW1IyxmmbPQN2KQuDhNn+mKXiVRHaYNZ0jW+9MVtDcANT0rkotw28IpYNZZkPCaulvTx
qYjt6CTKqmRt0Yp3bGThNtfbafJNrM7fipf+HtUDuiG5AHBhNSqH+rQppy7GAi4sbhqrSLYiIXIa
vdG1B7zAS5ehkKsAMCxUuTVWAniuYdY2xyePjwYzQDU9TrCbEj/Hj3vT6GVyxVXu4obIgIAmBna9
mFTAMjm/hzqkOJpWqcenMTecz5FraV9SzyyvwCYvjkLHFmKggRxo7cSn1iM2n8ghTyR91vKgWKhs
33nTrMa7N154eZwF/sXwmnsgbZHzx0G33Ddp1SYntLT1jZ7JeYu7eLN/fZQLQO/3KKCTtLuhuK8l
B1UrYwUDvOQEdyU6eNARfHsUxdHJ7GsAyUsFQTlAKV7a0fQgzh8oayYO68OQnCyURG3msUwUaepz
1PtCm/fz/+G5qLslVYIHW/dLRRk7DYyPhDinzHynRgNxvXIkrmXSrwH1L1UEqA9wL+oHwLTlFT/D
P4qsyErCjwAnNSNik236UH5UPCfuP7z+TC8OBPhK949lA6j+fKDMTJLC4GR+CsOi5aqhOPZHA8lI
+38o8YUzAJMJOBkbo9U47AoQtYU44dbffXIme2yDcq6y4q2QjgtdCjSHz4i/QUU7H2eui1CfOwrC
ia0uiGJN302OG79/61ujy4qXAuI9tINc2s5HkS0ibdXEDdttxvE+q3v1PrdxmHt9lMvvCOONRQq/
YEPMzgpyzHraMqrXO8euzNRNCGEGLRwKRfC/a/Fel2VwPtSqmaFKoiqqaXKOztBpx1ot3Hc0p675
slyOgoMgJ4xFLQ1KvP6A3KjKa5OMj2MlFOem7nDvCrnyXoG6L18bNAP6n9QA1aav28q9h6+pljXR
qerjYTOVuc6V36yxyMpqT3x8fY5eeCRMXulGwk2B1rj2RXR6R0+73ItOShapzbsCrmB+pL1r7l4f
54Wt/Wyc1co923PuxUoen3CLddFoKVtN/lScsvOd0Jp30o3at6/i0McxAuRIxvPZqy82HVs3WQ7g
J3cyM6KA0iG/xX1BTw6DNcV/vf54L7xGE0oeVU7XFS+E1TI06YMgoFGNT0nuaCdHa1OHU/JY/Xp9
mMvSAC6GWob6FY6++9u099myCvipeg2n1ZOMMvFlRl60s7qSuz5xkdc0ptfGWkDhZ2MJN8OC257T
U5/o8yPcUjMopTpsQVuuBRlfvr0FVsYcxMFYnXim1VAdaF8YjWNyanMj/AgwgJt4mThvbbageFi6
dLSpmKeLZkRuV4aJJ6M49SmuXVvNRhL21MBqw+A8nV3jymf84kMxVVB80QBSFefvTw21yLE6g1PE
MIAIjKPctFp3LUJ4OcCdQfOLxTVbLDvTwvxa+4rqC95vdWy0YZ+MXAahkNQsSlZ/aFS3vO/cQdwL
JVZOplkSUoBUitjNNxclkhHIbeiiFiOJ1exZUoADTbU44ajXE36pz2Gy6UpRftIi1bymhl/+tIsH
Rvm9dD04oK0FdmZkVkOsNOJkYly64xZEk9PGANk0U3Fri669iwqpH5rFyfn153xhQlE1LS0dTrjL
X+cTiqUMAYR5LE5iyrLAq7Vk2w36dKVKXxoFwSicNrhMKAhXK4nljqma409xwqW9/2Tj4ZkH/MMk
utKhWrb49XvU6Dsur5GW57pwQqCO0Bp5j4oxzO/xpq3eCycKN3bIrasC//WuDPjCeoJVN6sk1HoI
x+vUw9xBGhkNSnKqJMTbycVyMJOKd9vCF3j/+kxdbjZYJrAI45MKkf/i1kNot6iFGSanNJLdjm8i
gkN6rHpd/VgKpw/E3F9r+L34dMuEcaoiIWV94B1A47NEScTJ6jVzl3OTvHWUUfEbw5FXNraXvoDF
dgdFOasuzs7nddgkLbyNkXWsS9rsvR3X2V3dKvnt0BZq0GuWsPwmrLxbmTr99vUX++JToidYHhQ4
ZFGWPd8TRmBx0yI84oRJlfxqeK1AOSDRoNJcIDTlyqfwYoliSYO1JesLK9z5aHGc15PLGCe3I1Ao
rIwqiOc03Ra9VtzZ6mx+ef3pXiybZ+Mta+2zHS+vGoAtcK9TPiBRFk72M+qU1M9HIW5pXOX3mFjm
VxgdL73RJTFhcaejUb12YTOKLB48ZUE2w3C6C0XsDojeuuJLiIpXD15/wLXZD4IWmzbx/xttVTrA
TnS3hC5OWiMrMxiLuvNp/oUPosOfoRBFTE8RIHhq3c7xpWMUn5CPXDtZrA1N/v4Zi14QIgvsyTXO
Q9za7A2Jw048DCCeReYUP+o0Bk9qHQPEtke9m20Km6YhLSxMPhpMDR4w0YsOeWWIm7FR521sF1Z1
ZYl/qQIwk4Tqyylk8Uc7rwDXlYMdClUs4ZHxNi3FIHdYlwIQw2Po0v1QON/Z7KsrKM2LRYBPBKQ2
LuZop1fDNhj+dB2N8M6i11MWxsdZhOq2zmzlytrx0u7CfYxT1kKzv5Bn167ShG7L2mGMNIf6sBCB
PfXXrCFeWqEAtxZzkuVosuYLtKVMC9lN4lRCnCGD1pbvs7iX97o55E+z03p3RoiTHyma0RVXlhff
JIkVzB0OT+i4zt+kSaB5JQtNnFIvJQRCzvU20nvjFs5JfaVWlj9qvYFCKNGJ6lykR2syNRtYl3AM
T0/z2PzMPUq1lfX8U9aG/gXsb9rHsTt9Kd0y/0nPU17hCL74DRHhszg0Qej+ndT1fLHK1Kjm34Tp
idwdD2uxvEXSMgtiBfSxat6nVdJ+cnIro2s/aD/G3PoyFb25q9zOeN+oCt3f2BrmL68vMC9NPGoU
IoZwauTsu5TfsxU0naYG6JgjElGzgKcNzpm7sJrbb/ow9UB1WfGVroJ8UvB6vPJCXhwaxhZ7Lzbw
eBOdDz0Yae+VKnQ4pwwHZxMLR9ACEfTJguZ/OTuvHbmNrmtfEQHmcMpOMyMNR9mWTwgHiTkUM3n1
/1PzAt8vshtNjKAD2zCg3VWs2rXD2msV6sgEvGHR+NXUzKmO0K94/c7VuuU7mHyXE9JQxVK+Wf8A
xQhjkoE2DfQl014E0IqvzBmlz9qkREdGja2LB43avBNV3XojwfIzw0IJUd7ptVUPBSSqb3Ua5KVZ
R75VmZVsXsXKy0Cl/NEoNeV8/xvfumJSwJpcirCfqdi1xWiOp4yOVho0hiZQGy+g0zjmk2KFvpPk
+V60c2tbkegkaZMAeCKPtblhCVWo9DyerLhxsTOKf9osArfjxUl8HsfR+xmTaX27v8ib28rUJKVS
+gIQz6ytMjXT2wnDkkE/TPRTlyhHdUqn5wqJEf2Vs9Fr7df7Jm/tK5kpxPYkRXCzb/Z16tJqTpkE
DfrJKF+cGKGMY91EQwwUHb2d3zBmMaEmWx50KzfHJoncpYODneTeavJvVg868Ay5Tv5P42Q00O8b
u0atEnZgTLUpZzEEvt3NyStbAb0UQK+KPEaRZKMKOFZYEc3lYGvRYchN7WOituXRSfX4OC8O7Z+o
dWBQnOK9Joxc29ZxA8rjhQA1RbFhc6Jkmap3kiKj99pn38Oi64KsiilOEu+4gZFN4qXvs9D2Dfqu
7y2XJsDO03E9QSU3BF/FQC4vFT58fbwEY0TCUvgJTdaaB09r1en9MljzMRXJ8lK7npIcgJ186LTO
fK8kjuarsdYzlDCOe3ngLb8JQpo+ECkZhVp5E35x2UOUxsKImixIzdg9U7iCwdJcIvGur9353Pex
9685FfkzLJF70vE3w1GCUTwX01uAtDe3rG36OcqVLA/KAnSqj9cy/+zctP9Tgd+sOdhz216MAZkg
fxnrrj7kpZgswL9MVO84tVteRhI0UYMityf3Xu9COhZ5li098pD9DLwvaegvHZC7pgW9zFT8zyhM
hj8VJVeXndjvlmWHBp1OmiOJBDdPZse6SgV/JjE+muNHdanCHqp05qe8B5rgN6CPDr3VzXsl81v+
hsli2fJEm0yqGa4+vDl5EDGNCi+HVeXvtUkgea+W4tOgJ3tMPbfWyCwnR4zAjKVu0g7FXuIEKAft
BsDt53DqIOunFP0I7ld51xbxt7Qc1J19vb28/2/TWC+vtVxggXWZBSqVsXfjHH0CS1C+C6u6eLzv
3m69FVQt6VlDhggmX/6SX25QBcRPqKANgrASzgR5OPLpF1H2vXdw9DLqkedWmp1o56ZNhhJRXmTo
DUj82mboGYwnzXUWjCXteN+E/1DxueFMTmWGd6oGZ+/Zv+UnCChlcAWrsrWt0aKminqqoWfBlIBb
C4saNJxehuJB1zP73egkMSRwvJJHxWv2mm83zw8RFWUVGW1vqYbjAfTWoHN+lKh5qtQwsNOJoQ67
/6gkYXuci706x03PBG/E/1nc7G/pObnmTinEhTr4Wdig1GNbi/AEoLx5ctpuOC5O+b3QJ++id8Ny
SSAu3HFJt1I1mLRoATJaAeBxcz+p2QKGRe8m0IvSuiSeCo21HQ47NZabn9VGleUVlUDVcX2Q8iU2
FkQhsiAuEcezqO37bWa7CMgN8fsByPp56Ga39pUZ7O39e3Pzhv5iWn71X+6NHbskUKFGM4PusOJ7
dh5/FS6YR191JIj4vrWb2ynZB+SlAUCw+aJIigyN2eY5LPULbMvuMBBZ1WKc9qobt5YFUE4i5UEp
oOm3XpbeUZDXEpmYubVW+altTR3gXw1S6KxRwcTfX9dNc1I/FvgKerLbzlOtQ2SXQkMWlDYdB8jG
cvEHINj2p2KHff4bZ5LcTramZafG2ISN+ZTGCnI2uLo+r48teP3DUk3xzpm8uSRIoCTMl/bJdlie
yQC08rwkDzp6GurBjMHGXowy7j6PreO2v5FBEQoyEc8MEwQfmyBEaemSe32TB31lZJ87s5u/N4YX
/wk9i+keWkoIv1FlImGTSBYGf8hVN8FGWGowwjGME1iO4hDjF/Vl8BAN8nOg6YcKhaAPImz3SNRv
7CpErsh6ywI8hMWbm95ZYe4aJcGWuRgh9JeOkdM8BJ8GeWSr7+QXtyJcBlxfk3GYlRitXd8CPHZo
NzrVnyYvmdsY7PYpMfP8UczlfLGjRj93eli8T0Ge1b7VqOKomK3zJ/qi5c5pkuvahPvQS9Exgn8B
N7dFVNhtqOR40DxIB3OqUZ0LJQFsoYIVbZLF+NKVTfvX/Tt5472Cd0iW55nq4ljJT/GLZ2tKBhYG
GIFBvzTtP1oFASszA+qpUAfjhZGv8AwA3hl2PMEND0fZUs6rcjclp/baahvXXtVPKh+4XGbl2MRO
B0Zy1N3sdH95t2pPeDhmmSnySLqdTWzFEKKjVIg1B1Mzm9lJazwacLZe5V+XriJdBtKfPqSDOKSD
lZ4IG4pjLCKmq2FfeQ7zVjzY5aR8uP+rbn1n2TWzuMXEmNuRq6XxQkEGXQSAn7RTJ4YkR2SlEhcG
adRHhlHr7/cN3goSoJ+WxT84KLnNmxdaD8duKBb8FBFQiH5N5x2WWp+ZdFBHOVWhHjIawD0jMKBi
VXbsi6pk5c6yb501XCWhJ/0YHoHNu0Z/CXiQx7WmrLp8ScTyt6sgwKCYg/O5Bq9/5rjt8S3Ik7S9
UlBDUyeXCkwIuq1P2pTlqFLQdQ7cwpg/9ZFqL+9qyvfNwaOmcISo6I+MltQM0qePZh+WK2P5dn/z
b31twkFK2cwV0tTf+NB6ZLDEmrjVkzY3EPiOpWkdLdLDH05TDt07b+nhCL5v89ZWm1T2yNMANV1x
WTWNEduZaedBq+TDVzTGlMdCTc1nZx7qY4fc20PMOOD5N4xSrqfUTOMZHqXNXk/WbDRdVCCUi/I6
A1zKRZ0T5oxzVTwwuNB9HzOl2zlUr0d3+4VBPlLMpBzCyOjmaCt5F+adYhWBkSbVHxR7k4PaOOO3
ZqnGi2pE4uAmKLdX1uIrZhgdbZidDrR04DNduvjkNpV5qZB+P97fjJueByZKCvuE3JRwNp4nrJQE
n60WEIozQjAonXcElgeTswsm4KBozH2FBlNCA1zER1NvaYKWs88EaHioxNxQ/kVw6f5vunUSSUvI
pAkhIKTZ/CTYxutRj0UR0GZ2kDYdGEVld3o5hJioDa/MMO/Kdty6gbLtILNp/rmtV2hdFYdw4xcB
8h3a2WqE/uhJtl9G+MUZbXGpPKrYh6GYQshw63HeOyC37gKsn1SBCQah3tm4ALTUYwTBlSKwTcgm
EEShT+cPhsEYAXj25eLNsfXM4ToIJjzhsqHwbTN86eNUoN9UMvGUts38M54ATaF14lb/oemGgrWq
j/l/9z+QPKvrs8ytkxmO7DZCE7x5jSEIasw0BCLa1+rYH5iW0L4ipG7u6WpeB1hM+sp+Jp6RIue2
A5GlE3wqsrfWCap2M/9p8QjWffWk5Q7jim9eFZOCgATlscPY5tiJpfcYV7AB8+amHR1FjHTmxYwS
Mb45rGDfQFOoeAFJgCzP/y/BjFGXhVkmdMXdDOymEUJkDrnCHhXddR7Ka6JJBlmQvLIzubai6EbL
aikv0ABHvoixp9o9AiNJer9MjPhboZQFE3QtYBVfqF42/H1/O68vFPYhGZWpDeHxFr+BoKEFNCzJ
ApBWzgePyaXlVOqDGv1ZK01NLZLR439bxUl4WrqubU+jUs1vnlaHQYUapMSXQsdrbYNmEdORSJQx
C5xkzk95ZncjTfikQntM0WYQT8Llsohc34lkrl0YDxrgAwmi5o5sQycnSqKKUIW0rpn08AAv2hKd
ptYt5otVYP4YD2b9dkQoRkG6oiECLAiqzvUXL6GFrPWJL96Y+fIf5cDl4AzWcDFzQ7wnMU/+FN7g
7XzmGysF/E6DjkaLJMPaGFWUyK77nqKnbY4edV7CdzhB8pKxS2PyEkahctXdCRtu+AUZjxIpajyp
cJKsF5rGeVxkCyWWRWUc+9gXg5M95MIQBqThSv/l/kG+tUKaGhJNicNDnWFtTVANqEK3ILm0R4NR
4ZL5psWdlK9u240B1fZuTyHzxvroQMJ1iMbFK7hrbbECSmHXXpgHmt6p9uPSqWI8dbRf6m/wPTRv
fm4lLTRYcYg6KLduO/yLmfbWrBsl2okIoqlwLARD0TCeRinrYtKl+Prm/aQoD5k/tGQ0arY4OSjT
stJ1cyZhUxsdjc4w/MLT5x+l3bbToWOWdc8VXj+tcENJMhCJ7kLBc+sK81hLk6UvAwYrdOVYT+FL
CHGHXyB8+2ANvffOyzVtD55345WkPIADpiIBQGfbi6FWEQOeXcoAB6R/VRiY+0eIeH68v5s3rUCD
BREoSPorViWticw+BZ4fVFNVnWKjHQ6uglbpfSs37gB7x+gO+yfhePL///Jkwd5aClNMFdAM8uGz
mYA38sfESvXzoruxfm71Wct23slro1IXgLeSbgpr2/ZTjDhqkr71yiDuEuuTEy/mZwPSgR9LHFqf
86q3rZ1VXu8lE0pkfIBEJcx9O6aUlpKPVkV1rrdt5dTXjIeHQ6fs9FFuLQv6VqrudOngDtycxjIy
zTS2XawUDpOJes4UeFGFTN82lIoX3Tjf/3Y3VyVhHEBAZMCx+XbpHDqdC0tAYCuj8YzmTfxgVPPO
M3B9xfj7pXITtPWSHHrjJDtFocvWZCIY8zJ9KsMlP4XRMPDOFjpw2zaZ/gwjN9R2jsi1p5RmKZ1A
iMtkzLbXWodgNSfDqwMIVIYXK0q1J1rjEAKgoJ0pbz8ewIzgiTJAwwAM2Wxk0pPD6VEsgsYe/u3r
or/MqK7svG03vhY9PYl6gaEQOaDN6RCMhs/egH5t2ovS8Cl9iz8RGG/2mpU3TiGhNWJ5cEBxKrZz
cnNYmlFOQSvQdcbJhtqJnlCg/qnndRlMSr0H9b42hweWakPAbAGTbR3IXJmQbmTLGMRVhIyn6xwU
tf1oI+dx6PJ5bwjwOvZ99fevMRh14S3fW9GJUoXbYgq0SrHBq4VqfQhVlLtPPN/e+3IoYg8mL1GI
01h6414b/voy4CwZn6K3x8NKRWftLd0SaH+ZiZkbDgF06TZ/dNryLQJPdRDW+FLWqjjfv+NX28uj
BtRR4lwoMJCYrS32FiJ5hvCU57hBLqWZzJOiQ2sRly7v26K9NWJ4teZw7aQUE9D6tTVNbZlBQ1/1
Ocl19YEErWMELemWBx58G0kJ/MOOxat7LvUMgMDJRFCn2bTZ0WTq1SoXZJxQuS32cUJ2qPOjUHf+
a9R4sk73d/PqDmKNd1smTSyOWHq9PpqwBigKOT0zzBX6nL3y0eznPcDhrTVJrnzIz7kQiO6trUxj
E0mt8iQYpwV6D3fWjugHK09KXo5vDRJYkBx9475LYvytU8ljK0VeGiy9qKb6CSRPfpq1Ud9pocuP
sCoLYAWiTZnPEfhcjaji7cPBgosp6CmvfKkAjMLhmqQUE7siCst/xjLJ1BxNh0iL3vVGOFW+kzW6
t8dsd2tjiWNpdrF90PRtNjZW1DDKJjD1lBzD6tTromqP0DxYw3Pq2f1vHBbgmcSz+FHKivLX/BIa
ee1g9Y41kM2XAK2R5qySY1eVXbfz+txaFS+CBNARidGSWNsZm7mYwdkAqMmdFPbdPnH/S1x9OWgh
zDW/ZQzsCAU4UrstfjrsQo2JDowBAh2oGnhpdIItoPm0FMW8x1F7fd1wIh5qOIR4MPddIS7VaCri
iIL7MNfmKYHMA0WDxXtr1+p173i6gQPKN2EToYzw+XT2qNADLYTHRJfVoBUHtjj9l9H05EW3i/TN
t46vxXNHn4wKCKos6y9W1FCmUB8rAroVcg5odErl3BUVHGD3/dW19wexgmdkiATXyrDM2tCQlmFs
NdQum7wbBFw1WqH40DZV89EZ6iTyhZB1jvtGrx459pM7xvciUWWZm1tmL2SpiSiiIKpMJUhURT0r
cGzB/NIUD0vdftfb2NiJMm8slF4T6mywYN9ok6W0SNIE5G9gpugWdk1tfq88MX7i5UiPSgjz484i
ry8dJ1JqitBwBQG9lR6o3cqbppEGRTZR+zh6yN79ixra/KVRZthh7u/o9erohdCBcYHuAX/fKluK
SjVjG9xcUEyKUh10vVHr41jPioCDx0HJObEKsafBcf0ZoS8AESNh3uRZWwKN1DNz2y66PPAWK3yC
uxmKsHw2u0864aPfpVMEGVqfaDtvxfWdRwPc4b7T6CNC2oKfYDHroRij7eCNC5hULwWeOTnN+c07
CiIUHCQhIF27LTuuXQLHWxw6mJmz/OiMOPmZl2X/zTVLARiVFvrn+/Y2x4UeMSkdrI4SBczE+fbG
L6AhW0Wvpmd8anjQZP/OhVnpGHfOHsv2ZgOlKU6kTvsK2KvDhM36zquAp9TatefnEnb2z01S2VRU
l2Qn7rplhUYMWjr8Ysptm0veLfBEld08PatmS72E9+eUmka+c/BN6Xt/iRzkYuSFpkoMNoVh0M0b
aoXj1FSxNT/LeZ7sYGip0E8l4psFWuHclaM3tM50cIQz/4w6HRl3oC72+4jk0AhGeBm/a1HlfKrU
TkyntiwM3be7fKoOpt0myok1qIofgQhDgKoADvs4qlCMPZlVqnTP7cANOVRjIfIz3WdzvOizUcVn
NQ8L+6VvRjEcdTP2fnhOYc60X0ZSP382nSh6n9pOGz9ntduWJ6+em/EQqY3KTpkkbw8qsJv5sfRE
8TXLYmfxw6Y2pred8de9A8pP1E+Fiyu1+USLrtWQNLnqs+jL9jHMa++kFTlca14qYFUT+tsGgqQ9
iubAe2jJkOtvqzJakSmmUozaszEK86AZtXWS4Ea/X4x071xcHwtX0wl3eLVpEm9DHjoTgz2Hi/as
Zl3n9xGoh6WN9l5PuUGbw+cCGqfbyBGEXHazgaYDO13WTMYzEiYKDIvNFJ5Hp9VOkZYpB33uf3ap
ZlfneWCE7r6/uHG92EgZYDmAl67a/oYyDkUy5dOzsMriWCpl9FHVc2fnhGxcPF+MsiaYKwp3NEMo
Ra5dhQF/pj1BfPIM09YXO4FEa3JVX5TxjwhaGX8O9zKb62WZOjdP6tgCoKCFuzaolP1oN6WiPafQ
Bj60afl1Nuu9kbibRl4JPSiSyLBubcSr2r5DDVx/jjog/H2kxWf8xXK8/4WuPTq1cZ0KLhUmj07a
Jmrs8roz0CU1ngFBhNV5qJfW8gFXUx+HjXZ3mvDGp6KIxlA87MMAc7eLcpxOhHM4mM9T7Gnfe5gL
Hw3G4p9ALETPgtH885TN6c5bfGON4GExy+gKIKstXZdiae0MUZ/5TFKs/Ge6Tfh1GRMGvNBPEW+L
wjmLgLq5bVL1lXnQbZvdGmctaVLXfIYkDG5zxcqOZh0zXQYF4DGkKbdzwzYx1f/syQac5FKgLiJP
0S/ZWVbYYxRSkHlOw2w8TqFVHJyphUOyGnofasnp4/3zcv0BZUT8qvdB65HG49peUiUMDsKV8Uws
7AyHcDbq7tFBj7x51LzWEe9a5nQA6+dFZu3Eqtd+zDJorjHTYDIZQGFmbbpDQtkcF816TqAkPYST
Gv4DEBqwFDipy9RE8yeTacbDpA17JGI3NlmiSoHmUgFgStRYW07paEezC1cQ/dTxWKdhB6HkHMIm
CxVeWU72mz8qVRM8tUUjQr4Om54jA9miZhCWapcTlT4j5NklW5L4YCR5NvhimIef97/qta/BHpzn
JMIAaEkF1gucvSU286RTntl90++6El4QV+y1H7YQTw4rZhihkguj73HFUzQtZuZktvJsKVZQmtly
bIf679FSf1qdEflu0n1OYrc9Our8MmrWg5tO084h2tRw/vcTGF3hkrJa/N56peDGAXwS2QS9affx
0Z5Ce/ycVSQDUEd6bgcfLLwCxQVu7zj80WsarJGOCpnijt+9vkeAIGnEkHOR1tJFX/+OxdRFnCVZ
FHgi9Py56WuNPn1b/23XDODWKZOLZjyJvSLL9fKl4iHJF5VKkqItvf7geBON0iIJKnu2HxgOaOeT
WRe16rexbs+wW6r234Y+W5ZfIzb/tdSE+eOtZ41WBoVVQzaieKw319hxGtVJRuBpMSRTz22mpSer
FOPOib6+stSSZOkfmSUO3BZjlU5OmOXghYNS0VV/TMcnekeu7w3KEziCvVrB9f3BGvUx4BAI6BA1
rr8mzqoTadQVAVI65ffMKM2T66Xjw/2de81G1pGcNMPmQZIHy9e27h7DJW4uulIFSeoutu4Ldi/z
m4bC6KXvteRHVZrqcvTKsYZ+VIEUfXyKYMQYj24JW6Vdq4NzsAsUkz5D8+b9F9El0XzNA358SFtV
VMdZ8yLjEY/jpDuzG7e2iGozry9tA9k6WG9RkfZOVfZeEaRabx9o/isHJNf3WqrXTz0AJ6mkyMAR
eOOrYuWEQs3shWXgoFeGrqdrH8cwtw81MOjz/a9xtSCKeqC3gPEScpLabeKzPlzsunTCKug0LzmM
Q6wcXIhid5qpV34CK9wVzhQ5EP2/jb+qwrQvtXysubBFchaNQSjRzLbihyFiOz5g+OHc23q8c9Ru
LE7yWRAvMa7NMjcH2jDG3IbJBOVsu1sOrdIzdWtq0+nNW0h+RT6MPi5Vy23JMi+mJJsRQQjGUBsO
XdtFpJ11crxv5epMQFInvSydQN5TdFPWJw92dysRychaoAB+WGY7fc4JbY5UfvaajtemIEh6jTWZ
02XsbbNt04IUzOAtdbCMrX1pe9M5DpHN2KISv/kBIQBi9ITxDKp3EgG3XhWVmMyA3VcEvTbpf/Bt
MlhQkB48pWKeEl+MfQjtzaK/Nb6VZtHvQjbyFUm4WaHapaUe140IUt1goK6bU2jcw+V7mMXF2Sty
5Y3TSkx1YhDQAqE0udZV8TzphKxElCJQ3bx+cEFpX+Is60595ryx7fdqis2U2E86xlQN11s6WVpv
5o2GqUSrH9QUqs42MftTRm3oXQqV68f7B/P6ksGpQjBE5Y4MD/mXtT3TqVNPCQ0RAE+2T1VhledC
U94IMv3fqqgQcgWA/FNCWVuxRG8m+eCJAApS9Ri5WuHno72cLX2ud+LWmwuiDEmbDBlbhtnWphwt
s8ducUWwWFr4N0ir8UPbzctOCHftEtm2X6xsPhMtL7QToF4KGBOxDontdNPBSPUGXQxwrf8p1vhv
bw/p19/4WLDSS1/FJ9smdsIpLY3B7iZYIjd6GiXjuoGgxdt3kOMOiIU8Eo6FrYyzZXahEjd2E/RQ
+3KVU+RU4mR+s0ckIpHQZkk9xtjh5i0OIeMXjctBb8M0O5jQxwauiKYnB3mCD/e37YZHREmcBpqc
O+aJ2JxxgIsRg2uLCKLBiz7nzaI+zlr8LpqTYefJummJmgJwWIm93ZZyE8p2Vtk5AvZOtT+6rZv4
Wpy6hzmhv3B/UTfOudTEwu+ClpHw7fU5J4zpjKFIm6CbIuVQ1Hp51iPj028YoRIpqwl0X7cRbKHa
vd3GZRNoMrPvimX0u1nbu0xXcfLrSSD0ldMiFCE3/rwZ4Nmv+4EDx019FDU8/2JGwoRgTTxGRbmn
Pn3rK+kSKCOjWBRs5eX+pV7hJFS1vH5mVUk4pcSBc6+cSyXpXvrBqvqdM3HrQ4EcBI0mSUQo2K2t
GYyahsW8NIx/G/UliVTEhy20f+5/qdtr+j8rW2xY6DGaBsdqE7RJ0hwp85cHkaJNU8XRj/uWbq2H
DgJBDIGZAQZgvR5mELuFwmQTNEoyPKbjYh6idgpPv2GFDJGPxPG7gjxHellBROg1QQ213bHR5n+1
AlWJ3zAiyXLohhCxbyP1pBGjEo1ZG4R6jLLw2I2XeLbeHqQTPPPy8XFACF5hf2EedL3erdoAwIT7
l2YMlvdoItSpX35jNQzAyhk33vJtUosUVWcvYdHCFNssi+9lk2r7TVmKPerUmycAWO3rTBnNEHkW
f7k/nWd1DHQlbFsxz0dSA8dHoOzN+Sw+W0IWANlDjsWbt7aS99aUDCbUcmhdGaewbhGPcoBivHnT
yNEkqQ5UVMwx6BsrA9hoq7EhsMsH7ZCmiXI06v7tHo5gBDyJVNeT/9xYiYbURkLUYmoAKYoPepKo
/zIJZ3yMli57nHBCf99flYynVkk6ZSXWQ5+PchdV9c3j6pZD5UwuYOzFqdX+oYo7oXwe47lfnsNx
rsRzOYWhfU4c1LofaER30ZtDdCqHVIINYiRJ1b5Z8Fiw5ZM51EHWtJRo4yjSftQ5qpIHpsOUPyEY
6vc84PUrQtaDRcmXzJnZBhSml6KVNZtcMyKY/lCWilmcwTEsF8NCDMV39KLYKwdf25S8VxK0TeWG
SGlzE9SeQdEUmFwQzeoYHz01F/Yf+WIM0VfFbBTj7zpLo50ihvw71992bVP+pl9uX9SOw0TNtwu6
XtXfZxTHjnZcdH/OGTHo/WN0fdGlO8HV03GX0sybr+i6S2sqcDwGTGwpx6kBRZ2LqN55IG9tIkcV
LndqZdR8NgtKBq0b1Fb0wWxk3wqz7X0ktN73i/7Yp9VecHtr96TaLT1uxo9Rh1zvXlVpS0ZJtw8Q
mmufIBT7B2TzfHEXhMnvb96VJem9ONHMINDW4olZW1IMKn91N3WBW9XKMYUtlIEko/WTZW52TF19
J/wWLzJoaZNw5mr2ophFldjoPAdhCetXlnr9Me3qvQt2Y0FEgQDAgVlJ9PTGIbdiGrQEYTOYTxKh
+1GX/DdlYYHguYX8+Js3j+q4DWCBu0yjc3MmTBSzxejqAyAku2JKvWZWFQkkT6sPAuXKvaVd+ctX
RD3oOLIR6T82p4K4yWrawhwD3R15BnqghuUBtQy7eUCNzKJtPLfoaNGqG74JUr5+JxC53loCUcnG
yTtEsesKOzqj3sEnVgM7z5PTQKnl0GphfxkXa49v4SpzpULMwWRQj7tN33UTbANuWmIxFgYoX0RG
0aKryE7c9Iw0sxnoeeP8kxth8tbuJw0zfDNvkqR+JnVe3wU3mgSd3MYJepfZiAsdoMi6wMmuIeM7
KPMe89L1faDqCv0yZ4duGT3Qtblp7Ics6iqX4eZBPXSxZvuqvusdrz8aLHDEJ7RYwb8Spq6tKAb8
Zp6RLkEeM1p+bNyO0+l0rVui/Ahx2M4ll9dr5fchhqVvRTOOkQKJ0V6bq7VUCjTMRoAUuXmMKyBP
9uw2Z92aVFSlhX5o+4R+MkXgh1boe2/B1bmBdPCVP5tmIF5mS29jx2A4it5ZAkjemujsjg0mWqPt
8ne0uRoLYVEUKZGdRG/mfN8ZXN1OTAMaAZtC7Zk0yliv3NRi9DXDSoOl3K3rczoYsXb26jjWT9zU
YTry7FruwYqnfDnVSmu+kWxHIqZA0rH74K6lMswmYRQ2UVSlDWaQLqjPWZnnftBiYql4bLXPaLHu
NVmuPjWwMzA55Ar8oRO68bRdX3jJstgWM1JK86ArYWY/WpWV06bkjTxlZYJw3ygcoBFmp6N8ZpIp
G6f7u351ieSPkKLiclrLITRe77oCSqKY88yiwADxDi4pf1pKS9/pLVxdIkYAoI8mX6HGqgPLXFsp
2npxBxdytDHWqqdxdrJjTd3/2Fu7MvQ3Tcl2K9B5nKy3uUB0SkhaNDcMLK8z53OHhkxxiJAeXA5m
Dx+s/9b9g1KYKjV/CIMpIa9X5hjCKaahc4LJg+LWjqBaFklS7yR9V8GTJLcj2QNZShXlihq71j2a
TZnrBAN1uhfHbfR/HYAsj/WINrlXlOpf91d1vYkcCrJlcJdsJB9uvap8UIyl610viGc3YwwFOoQD
Dd38ow3t2ls9Hq8TRXfZrZez/Fstkka3cmQ+2zBglr6EZV2Zm6NSN/VJbU0LuVAkfoFKKm6hnzQl
tnPI781lZ39vrJfmEx1PSfsumzfr9aa15dJP4dBUcL4/VFrfH5Oick+D088f72/t6+z4ysMbRL/U
rHmdaTuDiV7bso1cTluM2UsTaqLzY/SP60vKhzdeMlX0zclOcLhH5BTRTGmIFLqz2jSNeamHeVYe
8Ig5uYAVtUxijFIfNDXidP4Kx0vZnJU0GUNfLzs7e9csRjMc3cSzfjatsCq/sgZtRkg2L4bBt0UN
CXWceUb/rZkTEysQojfHtM/77jjnaQVB08xtMv0sahirZMqrDL9kphmOD2pWuZHf4FAUf9Ts9jJT
oA4P0AqZxiUzu+lFKzp7/Bh6dhg+pj1wuffaqIjmWYtE0xxbr4ZPYyoT03gsdatKURk1uwIAXW4W
fzDfNi/nxmzC6TCny1R86R2Gcy9NpEbRKdW7djmqFnmR7+b29Df8LmV6UA0uxCkpCggC65TB3ZNb
RJPrj+5iiI9Zqw/IPDe2pTzAKhwOB+7ZGJ3ZV9U8LRl0PR/7ktZd62vzPHpnNXHa5o+4z6Dt9nOy
MQMKESE686VRRvG953sNX9OhcYu/Jr3viw9K0lAHjuooC79MAoU0ROXDKQ6fXCMp+w/hpKvzJ8+o
2hlMSqJFj8vYaLVfQ09VXwA4WcS/RJ72R4CzbvVw/9Bd+w9qu9TywG3TmCSWWZ85sKctSoFF9kK4
afw1CrF8iw1EFozaLc6KWpc7keD1W072SoMLzUV6M3CAru2Vk7ZAxDTUL9WYW+80XuzhGEJv/gfF
5/hppFP7DPRq+NFO2rSTOF9HMDSfSMmQD+e1YqxibTo0zHYeFOn/7Vw/onRUfWlUyHlPZa8gu2O2
pWdRc06HP+9v8fVDSumc5cK4xdExtnN1UEQkDTpI6Ysi0hFZ5Hk0/dgVdrmTRFx/ShoPsLnCYE8j
jw7wen2iyky151F7GbOOOzhUev4zZ174G5cDmFGTa1Z9ur+0a++ISVbE8qhsAl5fmzRiHYE3YWQv
SrZU+llHbj0/lUwMD++hjVjcncN6vZNkQTBGSp40CefdPD5JRQ3HVeFOKGC3PuXDrJ3D4q0j8UR7
wAAA0ciIk3/xNleinMZoYRgyDDLD7C410MlPVb8MDyqUeKcMiET/5kgBg3wwSSgiGwWb8FI3UzNF
NCYMmKrTL16KvAViUW/UaJTLYtoSEAeP2Ssz1/pbFVSoSttO0hePW/ZiLLF9cJTI2flE8v6u3zCX
vF0ylTJlJtW11layPCoQEjbFS8kE6/BQlzkktJB4LIj8zIZTXWaIPrqnUWP47LLQXdpBzl8fEeyT
I0gMBN2WLTH14CQETJVRv8SIXJxaZDH9Wo/anXN/bQXmEKaPqW1yFkk116ssrLao8z4fXygs9h/r
whxOaazvdc1vWJGLYD+B+wG5kv//l0pfHukLVQN7fDH1cn6C6zr0CwozO1/slhXI7WV6JY1sIa1h
RhHftvLp5RXeKQol+THV9bLHD3LtKqg54CsIGTnj0JWvF1MCGWMiaJhe0qZ8F4eKc8i6KEU6h6Ga
+07pVf1xfQYltJuMnNQFdPC2mrMkpjAaI51fUHFdSpD4UfxJ2DOC2k6+6OVx0MfF/VC3UaOeiD8s
8WHK7E7zR0ZVxr+jQqF+JsaljPzU6hX3ZIXO+N4aI8X6z4sRg9k5TDd2Rs4YEfMxNszv3Xg1xckj
jahnfiEAkpXIXH2YtK5/cR2imftbc/1EwP9HfMnF4IbSiFh/hMhQh35hrO6FiHZo/Ja54YcyHof/
KtqvXxR7bNrzfYu3FkfEQ3oHhRCPxCYLMsKsGTMrXV6GrB+eGFcsDjP1xaO7ONrOPt44yB5ZpJzN
h2YHBM16cWGTKZHZZcWLOqvaQxct8YGB12xnC6+jCCIIfCjM91RCSb3WVpxENRaFYdqXXgz9g56a
9TcmJq2TQl3Q92CzPOZ9//8oO48lyZGkSb/KSN8xC05W/pkDgIhIjsgsXhdIVXU2OOd4+v2Q07tT
gQgJbB5mpEuKeLrDiZmaqtq0UU65NDUo2ItlOnZFZ6nr4ggfjFbLoCVC/DLKM0cGI906OBc+FkwM
EC2MU3jM15FKUPddLMR57kUlcIJFIeMAFyl3BlFJjuo0l987jAAyG9HYcPDr4W4U1eG7GgfpXUqf
xnuq5/UuKKC56Wq25W5xtgaAlYu58sIZQYz3ZrL4222ItfIkT0YneX2WAxJoZmOLgiHfXt+v56Ms
EDrUUNg9YJbrE0JVDoFZQCPecIKzO0eJtDPh3W9s1bVTJUcPCJ0wdNEjLUzU1S6KyXmLRG67p1TO
Jt22VCLTVyweuuYhmLVKfMw7UtobStITkrzZMMtDKpizeVcFeSA7fhfH7Y5O7PNoj/rQA5/MU7Zl
7Ha2HRZXJeJudjmgI+zP062uSxQJu7runmRBruw4UuDZYepjC3Iib2y982VfZAZAbHD/wYrXYAks
AhIwdNxPVFJqpzfC4qDEieW+9+MuR5YRlkEWM5vTCaWYDdO3vOqfRrWBY2LJ4QH0NHtvOLcojBde
Dkxj4MJ1c2JRTRoJLr34NAu6dFf0SeaK3SRsbKGzq/xtFNQg4IR0p1xzmSs0bfDka0YhibG7WPvZ
KfNNUdF4RveDrYat51sBEIuNQH1iKdKtYTptiEk+U0UC67b8yFYS5CBaUwUg3any5fpXujjWUitf
+lLR1mR1Ngq/QcKJ3eWTkMe4i9eh6hQC74alA/heH+p82zGtpaUOrmXQWNcJBf3y0g4TBulpaAPd
kcTAd6O52qoSnz0ZfCq4vwiIcSDhEl+9unOSDq08s3j0lCvcocsn8JlO+NAqSHdqpSj3kh5ticAu
Tg3kVlwywfNsd9TNsAE6lJ7maWr2Sg4mGCbdFkR3cRRCCjQk8Jt5509PlNS1QRMWqvQUKnrmdE1e
3StdsNXY4vIoUGgwJ19EGys8XG/Haazgc9LXqtUcP46rW0FothRWF0dB580thIDijF2ZaCEWnZPJ
vqsN/Ptj7uWqFbaoIBc3A/qtRfpCyrwmI2ZTkus9idMTXaRmR84iTxf9j2mhfIyL8rHP/fe16uSl
YfP9d7w1jB+KsUZ/HL5QXLbf84BWJ50VlK6Wd1ts8LOqxTISiRc1b5Cks9Y8DfbJnToJ0pMy0Iyz
l82bKMhvjBAjEKWaP1Vz8d3v/Gf6PbzTQeJtjqwmSljwAaqay5f9LTRo0lpr44j9gRGCf5C7foJj
bOU3KRjTe+NZJrnQqyDXkF4AgJ8OlbRsi3lmk4SdJTs0yjbtwlJAI4d2K4+5tB+5cCGC84wQkazu
QRHAuaFcK9PW06IroZUJdzoq6sP1K/DSbasDxS00OOC/NTUpGtVOm+pKfqp9w9zRhufVhx7hmkGy
VWRfN1TjM8EIAtimrgulhKLF6doh5mhKvyvmp1xJQvxLR7hHUyk7aWHkh4F2Fl43h+Nj10v9vpRa
fw/eWd7kbTAAgxpbTkrnywtJnDgSOw6iMURapz9NliuTps7q/DRqweTkqYXZ9pwr7w5sSEThYC2c
Heq3a8dpaj91gM2o/JSzrG7Q9t+1sdqyJzifCtci+xHTHQoIZy6YlHwTUFxlegqEUthLQU8fNLNV
N3bKWcSBdQlcDMrdi+Ccx/l0wXw/7KTQCo2nqNIfJlN77JFy2iH2XZSftzbL2ZQ0qi3YUqOQhBME
JeN0MGvETrSPG+0JSy3VHTKVtjeZsmW5eWkUZJULxZDqDt/odBSIv31sjb32pNVaZetyb+3VpNvS
R18cBVQW3Sp0BBgep6OYZg0ZB53AEzL3CNGwoNDhPvA/XD/IF0ZZvCmWRxJbAApmp6OU0C7UGZHo
U6AUs0sjeGnXt8LoXh/l7LqgJIcWBpveha99FkKPk9U2oxCbOGQ17YcqpWoUKUn7C1+UbuPoXBoK
bycEmnyehaJ5OiEzwtC55gd5yro+t4tZ7g+GSpExsuL6vVVoZgWhaemASkxE9ns6FLhoipNURqVR
SEKX/qt4j4j4kzfZvEULu/CZaHi0qEKpr7PtVkNFRdFmQkNRMxBp+Nr5Uvcome303ld/mRDqIUBy
Eh0qtacTqkPwvkiJmJClfotoC32rdBa2A+b4XvRwMW6AmUQLOWJNDA5OB8pbfFyiIAs8BbehnVnK
vwpM6TYyKoR4/DMnkB6ZAEg8uRt43rkCS8yJpWS9M5+Gup4Kt5TN4FjRp250OmplKjRnuTA8HtMq
dcMpGYLP0VSM5rNBj0j5LqCUMHxJIzHJd1NeYa6mEz6WDkVG+amsk97/Ig1DOduh0lIALSSh12w5
7nXlttQEs7ZpFIBUxW71ZqRhMp7D+YHGp0njZtY0pXZhioHgyvTIGZ1EJyLe+23a6LYkx4O6K8Rx
UPaZNbTV3pKaITsEdEcc77re1KuDZfjZPsJOzJhs6iej/DJlxTx8hexGgVWvRvMuSEK1usGE1Qpv
Bysp/ko5g68EsIq0n4fYDB6sPFSj/WIw37X2qM5i5A4lfJaXcSRuf/YTNQwP0yDVYDRCNNUP8mBq
tDsAlaVNrJSno600vvW9yDo2PAGqJSL5pwOEHRV59kEPIYA6Y6nKiV1gFpw/8JSP9b5S4/lFTBvj
WyINacFPm5ahO86C+t1UAQ925pTP8ge9V7T2JqIhruwg/RJkG3eICnNjwy91eafDYCj/bLIueYYp
IknYgBB67fNWo1VuVtNBy4slfM7uprochsPY0G5pn8TIwm98skMMIDBG65+HSOq/CaC8cGV4C7XU
sULBV1+BHwPR0ecxnf6iUZshOzGtSFonH7OycVI99o2XmRDL2le9WvZOnvVzf9CkXItvWt0YkeNn
xTQIjzyJ6BnVWg2OBUsU/bSMwU92IqhZuK/MRPkaarmqOIj70nJnDUlmPIvJlKL27v3wJRgEK3VK
vSkFbJfEqnJ7Ix5ENkbXy+4whiG9RNFuq/dJ0ifSXTb4U0SiOFnxsUWlPN2odZ7MNh9DoAzfGJXp
ZAj8J4difxz+NU9BazpWUGe//KDJX/SArmO2RqzVOGUwxC/dpIzix3TulMdJHFM6H7PTJAs/Ml2M
nSnXhMKlnWox37atmLWu3gCQPGuzmsZuG6pC5ElqKsSHmNwyOMAS0cPdLBSmvJvCtoOVsXyGL1Up
NfIegEDWHDGOh3I/FnEpHuCIdLIjJUZY2RS8rfFAfSie7DBK5++Y+On90vKD82Srla+mboTPzPde
oluR28CJKG1E+6PsmkolaW5JS3htV7eNqL9KUpWJTqjUcgI/w5KPlSJG+lESi6ZIbBRZzdeEcys5
upYEMuyxVGr3RaOKv66/jOcXO9cLTDFKy6jnzvDJrgoiwFWJSvqQv9DtNfwk4Lz58s5BeMUB0SUA
JoOy05oSQ325i/pkzr1epJRcNzitG7IwONdHOXt5dRClxRUfqTJc0TVgIQ3iMKRCUXsBENa+tcro
RosE+XPdYul7faizVVuCFVpYQGIiTCZ/PH0/6DyihXLT1J5WtvpN2A+Zo/SS4r5zFIp1FD/RNJK6
LRzK01GQ/fuUA/rWS6ze1NxsGMR7bbTGd7b9RkGEEhqUmo8ErQLI9HQcuVHGqUTnhUkkUsYyCfvM
hqAYf6KOoO5G2Dj7QO/yYGN6S+J0+jpS78J8B7rg0spnrbZIo3D024HIvDJ6/9YwfsbSQAexoEEA
m+RU5MNWt+W6E96t0YEfiBSb4jVGxXjxrOYbiFgmzaWuP+WlNB7UpWUavkMfrn+889kRlZGYvoXo
GizB00WtlVnJFseuJ8X0hb0uqMp9TC3O1UpT3aeJfJ9GGLdYzaC8O7YhHiQ1xHWSAIE453Rgpat4
WZTWehoq1i+AcXXf0BBtI/Y8T6ugnJPpkO2QV511+iMHqapBF6ynuvPjZysx4r2klsKXNqRsjUfA
/On6cp6Nt5y4pd6L5wHR1LqqnLeUgGkGX3sVmMAd6o4a9S0ZPzKMPU0A/rw+2vn5hsAHns8tQm5K
9nO6hpVg+WI6xJ1nFcOEN59e2GIgVrvro5zXUxakE79ZlLeL+cmaoYug0ugCri1vErJ8sCUhp4FW
VQYIzf1Ykjs7MRUz3DVJ1mV/Sta0+Lgmgg+lLhmK5iFPk2LcpxXC8cfESLXOpqO7v1XFO79W+SGB
0XkZF6rVWqMplfzDoW8NHrevSNRSx25MKGyH3bjVN/bCUCR4VJeI/ln7ddk1CNix4Sh2XqZNvYsv
XfIJ10zlviyEbqM2eXEoEGZYi1QMkfqffmEhrCZrCNXOq6NgNBwuOiAdLQg6YkWxrvT9xqde7pST
yw4QZSnOLY1iSD7U5ef5DeybyrQV5ckYvJavmHlINwXaY82phiOkSWs3p+n4a7e5VhuyXSi9WH0y
VXr2wm4sYwP7bykKbuiITsVkkMJoC4s5y1T48SBt8w6wDZd2s6c/njkIbQsvv/cMQYocZYiJWymj
PUSyRclJq5BnjsJWheHCKQOQRAWE5BxgTV5+qN/WJFRw+ZgovHo8EF1o0/FGO/qsycban3/q5Syz
oxYZ43lGPqX4bibZPHpyR0nYUYRi9mjDakVuN81qsBEaXBjtP6oXY6Ebn8GFUxbNEtjZ7CGQnG6i
qIPE6kfRA1qgn9f31Pk3W5SSwKxLtowp1eqFsQoa22aTP3rcVsIzXo2BdgtmLrt5ZirZHjuYanLS
ZKhD590DU2wHRebqevOzPf1uqRFAOYGp6gE/lC6QumCHkjC4nWgVnlRV6c2wxPPXBz1/AKCZEXQB
li+vt7G6ko0ZU+6iDyYvTyfrJern4D4XNAu7vqh/aLIER/nrA174kICTJOhcEfR5XbunSmrXkBnm
DMjiPwZGjKcJnuCffL+NDteHOj8IPNjglHxIsH5rXafUc19SZiObvEY0w3s5TnAhzKKtTgmXVpCI
AL0wbqbnUFuhKoFEdjZ5qh9Onw0tatxA0tKD2MW+2+GQvUFqu7CAtI/EQ0zmJLBTV4FIO+sNNhK5
6EmppdOTtex4qWlmF9fjVuOcCwvIUNjcLH7qC2XwdEfSiqcvoqYSPSUY/B2W5uqNqsTvRkQBcjht
QJXUDLkrVxNSsjQNcwyvPW1o1dtksKZHsJwtn4cLc8HjD7yVixhm0Lq6O+RNQ3m6lrzGgC2RpO2I
snTM3Otb7q0T2umDxAxAdzGA5eKneHi6ZIMRBYJp+KLXUzNUXL9UIM8VAC+YCBaj+FMYTSjtLazj
56kOK2sP9b8JAlCjUrBuplqUE0f2rfHzZIzT/EMe8tTY5aLRaQ7tQQfTq+VcTB1Rh2J4l/h1/cvw
I729K6qoNz+Ri5Yi3mIRlUpFC8N4P4W98M728KRnVC+WNs2w6VjONXOixZ0t7fNK8tQsMp6I5/D1
T8poYSVK0pfrC3rhdC1iR44weSGo3mpzjHXGJRKLkpcWIrptSYMVa6OtU44AxXWzq9NY1jeC8POt
wptIYRk0bOlBt66Smi32ZeOY0zdGSOSDbEbwmGa12dgqy09+ulNAs5FRs4yLXFdezSyRpT5PMGnw
LL3of6Za0+/ZuMpLPoNrTWOtf1Hp630rTaK6wX0/v0HITCGSkmjjQ8E9crpHO1+BMhSyRzHRKB/S
epI+dwkM/2ECxLz++S4sJUNRBwajQP60pjPy4LRCUzCUr6TDo8JWuYvkzri9Psr5k01EADKBopQL
BB+w0wkZLZ7VtIFXPIDf2s21QdtnY24+jnIdfEgiPf3Tonf8/vqg51PDkRtXNTisKD+h/p4OitNy
Whe5rHhUYSxHr5Pos2mF2rsD6oUJxVfCEp4y+rpD2lTG6lTQOsqjqWP0QGdejro56I96ZWxxf8+3
BbALpFMuSYJq/vt0QtloWKVAEdSzxPBnPVvtrdiV034Im6163oVbEjc6CNPUp7Ar5MI8HSrUAZjV
StE86OmJQE9jBH7xLokxfrqVVPo9upE6lKiPaKok3enhPDdupVeFJ1qVWe/kaCynL1E0WjiV9upS
4RpVMb4JjD46VlMSTO5UC9Wf9HwOomcDnkhwI2Oxke30XIxCJEomDZ+lLossG85K5SN/SptpK9RZ
Fuz0hHPA0eHhEcceIME+nSX+7Lk/mIXi1U30V9FWimOo3W3pIwCSo+bH1Ie3U1LT00zYCGEvbM1F
xQOIQEiyEMJOB9bTZh5AvWVPsQr9YVYF4Ueq1dLGAXjj4a3mR6WdRwBPFsZZw3U9jiz1bNaahyTK
dMD/tafU1Ds3iNv2WTKaxhNx8T1MWlc44zSUR9oORG6ht1t94s537tK2mDedoJJypLTcD79lPCRx
XYQNgekZtJ2wQSsFpx6rAvR+TnbvPfWL8m85jDyAi9vW6VCtXgSZTy3NUwUz2ik0t6AqQmnk+igX
JgSlmJwR6JCGHWvu7TQnZSmYqUZIBAaeaVFw6OWZjtghe+f6UOfPkLFU8QlcF0T0rB6NuVtidWWj
eVJgCO4UdO0nXUp6J6hNkA/JDFEEjtIUu6OSlhv6r/N9ytiA5Fzc7FagqNPFHFKxjESZseMostw5
UlKSHTlyr8/w4mLSzwDhLZA4XtWnoxh9Sseapte8aC67Q0DT3oeQRGxPM/qtXOD8xDMhYyGCL60a
YI6dDlXVwkhLVVHzJiiZeIfyRrxYUdZ8Cdm2bqIo2Z9pHXdffTDOwA4C3dpyML002aVBL7uGssPZ
e6FGatizdzSvROnwYRTC/hGvxeCLnmlbWOWF88+Ti1kfGxQm9lmvkqJWsarwZd3D0Kc3bvy5Fww7
qXQLdaQRx4ZTWOHwuWiiOiN4HdP+IFpNVD3qtUTHqQpCVr6R8V1afwJmXjEyeOLU1YZSk8nAAbTW
PTVoJrDFNKPsOn0sm2qnFrpmN770s7GCvVSk7zb6hSuPbhLaiAQMBTP/9NPPtDwZlg41HqGz6fSR
6MNID+pDVLfdxiwvfePFd4U3lOVHBXA6VEPhBHg4NLw+H2UbTpPuCa2OR0niqy/Xz845TYtpYVzD
hiICAe1ZjdUO9GSvgsFgP7W94CJ9G17jtMKlMROy+XmQmmmyjblLvWlIotFFZesn+7Zou5cmzvTx
oCRyuIWULIOePjxLSk/gBYoAhLjmUfV50DZVEZreINbqU9Fn/eMIm+zj9blfGIUcBwNH/FCXFlGr
L6pHQYmGpLM8Y+hGOCd5U3zvNX3auIAvfM1Fx4AQiiybj7WiHelFaHSzkJm8KFkC7WiaXgZNGvZS
qKsbM1oCjtW6cQ0uS0aMjJHy6p00YnU2ul40vdRs+0+9Fvr30Oso3xqpaIuq331+9wpiZAMdGPkI
1U51dfPmQlHJYFqmpxt+apdtirLXbLcaol9awLcCxmKzybu8WsCub5TAMhPLS7K82/lm1zlSYWQY
8opb7a0ubIk3xRqkoMVabO25qmmBERhVannNWE3u0Jalg+Pdls3ApVGWbgvw+Fg1vLBOz3dY1+PY
gf54WkvvkxZzPTcG5rl598eh0oTd9cKRpQ6xuitHKcyp1iTBkVdRO+TF0Nmi4m+JWy7MBTIVu4D9
xv2xDs10/ISx2cASqhyU1OkiI7lNuCG3MLGzKIZz+mbyS9mY4GzdINWMB8nIaKl7VDOzm92JS2v+
JCVNDi7WjoJ52/HW5m6MZ5PsVI0sIt7VW5jd6WiqzTMu5vL4QtNMyBcAA3XqEJzTfXuxmRBiW+Oa
+xaJmK7YFT1sLZd2Txb/nXS5cJP6gFWPpjkUEDpEI6euEmla9qnGyOTYcrdENNzVW9G2ugEbLtwV
pvRnQcfO+rEwsFSwpSBIX/Iu6aaPQ45HfmLLeqyqDlNQmvuy9uEEKYEQ4bBAP0/LTmQt/jUk9Bd9
iWKtLW5quZC1nYqz0XA/4mll2KIEUvxtqMVoxrNKmvR7QY0kw4ustKhuIxop+MhQBpylcnmyKJrO
zTzZdMPoS1vAojSp3QC+oPpTaunF8/rOjWdALX4D2Ln0zv21ekIA3EIm0+sIAFxdyQK3zbCRvz7K
2V23jIKwB4XcEqCsQ7FGECQZSZTpmUUXH3XaFdlZH6j3qTKOO39Im6/Xxzvb6IvnvkbtG2AFvc/6
GrfUyir4XcmLu6jYVzKWtWGtau+e1aI3JMgEdwDa1ldXg4ZoQ8R4QvbqwKjdwojLPYo04V4rR+FW
k6st1fH5KpJDLupm2NESj+5y7n7PrGJR6PS6UTz6L6lH+t9ZoR3C1f4c+IoQ2GJHQ+fr67jM4OSN
Ag6DtLzYFixE3DU4NTVWWyZKTwhXZ5nhakZZvarDFJYHPef6PVSaMGp7mi6M+gbU8mb3txoaWQ6M
VnjNC7S+eq5gEy496SzLy5qxm57K0Up/JUaefK2NIQn2RiJ332k3RCUvTcZgxOHRwl2ls/zutWyz
Rri1UlpH2YqeCpbLnjThDSpUnz+FutnIBxLGenajSDUQUVZjW35TjCzASK6LJ80pk7qLdgVoT+12
kVa0Hyxf1//y5d74grhU6e1owqHQFmEi/ugbSrf76wt/FjtTqdTxlEGwv2RjayPkIG2p3s64AdRl
PLzUSdA9xdagcevogvBTn8VPudm7E7b6v+qib75dH/3sEV+gO6I5kB4o3sR0pxutDqFy4algeUKc
RIehraWairEcJM7UJskGAHr2WpjEQCB2izH8ooFefWh/UNq8qRvLswJIjAPpko1u9bs+ZqqdC9Uh
z+XnwOT6vz7HsyuCnBClNawceCtIwJbD9tth6pUaCQrAlCfLWbtvG1RmWYBc5L2jAITAfAAJJa3X
z1ayNjJRS6L4OERF93UQitTGx1j+fH2U8+/FKKglJIgWzGQN7GrVTEOvJI+PTS8kByOTxId8nJM9
4NZWZnV2B5GyMxAgAWABQNr6DrKGJsNgDcgltegjoY/fxiQwHB8xftv14cb9cz4x9K0LrMULJWO3
sBotCPOxCMoyONZDXzpgB9SY01J5krLu3c0IAT5gZgONMynwJPl0P2TjiD8e3SuO8VhQ3qnqbN+n
+MFc/1Lnu45ZYJ8ILAEOSb54OooATFfIecUbWPupQ8QR3hZxYB2uj3Jh2ZZciceJCjZA9XK7/La3
q9AojGQIE5YtUQK3LKzyuzkj5LXjJg9F9/poZ48E5RLeWGZk4A5MLeN0NM2PBj0beNdFLZhtLcNT
zaqEX3XZ3wtxXxzgkm45Ll6YIG8gfHMcZ5a3dzVkx42kz0mbHCG4l7e+1lL0mloh5XS1fr9xG174
ZtZSN+GhXzSIbwz431YzNMZAFYMSu6iiCR4tbKk/xmpW7K6v4qVRKLvKvO+L4dN6FXt5AoxKzeyI
SSymWk1r7Xpr2vpWl0ZZCq84VnKsQKNPv1UYxFKOZUF2lDvT36NM0X8EoRZ/f+9csJFSIUgtFuSA
wKtR9IZ2GMrgZ0fdHxNaidA9LWmxprw+yvnDwSgaHwWZGEaW6xM7G+IsF02eH4tUmQ8Zeq6dNSXz
Hi+p9lYV5NGucA6/b6tM3yLAnG95ZXEi4EIiF1mkHKfL6A9SCXM6zI6FZPTDi1xnevyEKkYejzVJ
ZP5xksvup176Wvxui/e3XgwK/inUC8G2lh/tt93YlGkjxUNTHNNQH0ynKC1a0NFe9/1HjLo55SCC
Ir4g3kSn46TR5BuzGRRHv8epBZ1A5mgZtmdWqhvvvhQXswXeL14uHFvXUaYSZwXc87Y45uXc7cFF
9GMRt8VGRHmOkC6eDoijMLkheoFhczqjqImVThDS4tjHyXCjJ2qyDw3BP5CFRTt5KHU3y+ACg4yb
zkjLqV1vDupTzp23cT2fv6Ho9TnqVLSX2sV693C2UxBKoziWNNk5DFWu29kQ5jtFqH1XSqigXT8o
54ee8VDrAxgCup/x34tq0iotiMujX0QxIq1qoptwvhWyXpoV6SwP9mIGclaCzeVU5frqyiO6nsCZ
FSt2cstHTSr75S6bxebm+qwunEEEgpC5SVCgN66zIZKWuZ5qozxyVBSH50nZRRS291YKv9GcARUg
Bwc/rg96YSmJDxa0c1E8gd+d7iHubR9/xcWXyJctx8cHU3NkIlhz45NdWExALcBr9Fs0Z1ozLSS4
2qM2idWxaHPxr0jPi5cs0fPPDb39dnIZvZuVikgMoRZvKVwmPPFWcYkp1wM3tlkeYecqd4ub9l4e
Vd2JFfXr9RVc7o2TvI6RuFdAIrm+iFhX4X5dV1A+A2YGAKPsmiCtegezMDRWlZxgYRKlmfhJn9Bs
W33Y3tZxWWz8BBc2DjgyUjVYaNyga0Sv6eSqn+e4OXLHFcqO+7qWd4o0dNmdVUhldYurgfCSF6JW
bGQDb8rl08nDmqE2yuOxhIBr8/QwjGLoQJ12TCtaaBg8UFqJfyq+B2Vwh/VnFd1aJZyohxBv8/qv
0hhn4yAOWdx8yI0Z8ZydFPqs/yXpTVHdC6NiTYd2lKtmUSaJ+e31T7XehOgx2Ap8o4VasaRop5u9
G2Ba97OUHnsjb9x+Tu4CwT/mavCFsvF7M6VlMLg3oERLNnhmsSpLRScZc5wfw6KRaPaa9rRfFd+b
vjAKrs1cUguLiVxpNaUmLeU2y9v6SONC3dE0wTqw1T5pVlk4kCTajTdnvdmX4SDrkcKTWVCeW1b4
t8e6VCFtmubUHKNSMA6tyhuTWr20QxfWO4M5podmGsxdXeuBI09VuHGLrG8rhkeVR5BEeMQ7vva7
SduyaQm82qMi0HZGSaVgL+gI7K5vk/NROMdvJg/cilzJq7tDb3D+VeagO2JQYz5WSN6ymzGrhq0I
+a0i8vvpkVG5S4Ah2CEAlevrOEFvUiG3um44AgzRQEdW4tE8NNYs3mE1O+f71Jzjb6omVNJzWOM1
Mbsol3COhRTQYpNkil1TgWDIqHvTMog+xr0izgfUefHomP2Au8zUYzSDUNSKY7tLdHM+BH6m/0wM
MfsY+WATdlaHMU2WzcD6OmEDi6pBFD4peqPH7wyKmCywAXkvXK2l5eCqkKIkCBbHKh+PhSV8l3s1
PIRFrG+c8DN1xjKKyS2IewBDccxPN6hSBbKZReUEJttL0q4etVa1K/hukzsLOYZP1jiChwlja2HU
G4xBfkwVTv8h1gKz2dPiOsaLpQZGtEdsbQSXGpMyvDM1WtousJM5ttR0QVFW2V5ZmQNw31wee8sk
2M4k40nIOmr2b/v4f/0a/3fwWpAFwLPPm3//D7/+VZQTooewXf3y348ReFlT/NX+z/LX/t8fO/1L
//bK1/xDW7++to8/yvWfPPmL/Pt/j+/+aH+c/GKXt1E7PXev9fTy2nRp+zYIP+nyJ/9/f/Mfr2//
ysepfP3XH7+KjquLfy1A+/vH3791++e//gBA/e1IL//+37/59CPj7x1/pD+6sz//+qNp+auK+k+4
6BRy3vAlAp8//jG8/ud3pH9SOnjLJDWQhkW6lxcIDf/1h/nPhYUEzAGtTAEuIj1qim75HfmfgMFA
Hzi4qQRu/IE//u+0Tz7Qfz/YP3KMmIsobxv+3ZNYgrwS2g9QFBH4AlOfAeK9jBF+URjTA7SO1qUN
Q2OHqkntRIpwfi6n1i4VOlhHcM1+W5+/f5DfB1523H9vomVgjaEJA6HNLc0wVleeWAaThbC6fjDD
ObF7PdaRXMj5jTQK73Ml+Hso4h8qGdgU8wadntA+rWgONeT1Q+EjUk7aXt+Pmh5tTOjN4WU1I5yC
oaEu1rpEncsl/9tLFQVN0NGsoXswEeDbYm2G+0bU0k+0Be3v2kgc9lqSSvKurUeQPjnGUnHU1RAp
t2oNPyJMQXaD2ui6O8tVfRBm2W8dXSrKwpZnQ/YqpUPJPKhi9a2Ikkf2W9fZeTtNn6R+ar4kfTX8
2Ueh8M0QlNTW5srS7GiM+6e+Fgrkx20yfEuSovshT2N8J/iieUP/tMGV+7GD2uOLVW77SjZ+t2ZJ
eB9U/PYJlliBeJx8GGfsVcotS00mo7xtH5LB6PbWUGSu341b/Y9Oo63/jMKhYVfxP3gBqy+gxyI8
mcFsHrQ5/NxXrtI90Q6mPCi6v0UEfiOKrL42qD7u4gslEX3osr9/+9pNF4yRVvrNA0L2fTWJjhxk
buUr+xg1TfcriPelrNGnDn06ZkOTVu+7viVWEW2zxYGoBj76kYjxbVQVr4Gg7sLBBIDxlGa0B/lJ
ayw8hCYnHBRXyz6bdOnpqsweZmIe5UGqj310J7ZO2bz4YmyH4nc1+hL3d03hpLkjYHMQGuIuSOQd
3X8cM+72Qh/b8XyQwpJN96XxvbiYnmnzS4PIh5jIZoyfJ/3Vbz9Pc3w/RC/cRftUuvNpwFpi52VM
zqDvFTPYyf3Af/4wlNTDEOMm717quHav3w1vyMjZ4pLeL2Ah6f26jw+tXmjy1kjNQxFG0oFf7nUz
F/dxkr9GSTHBDJKiBzmMUwwGguIAlSf8KCXJU5SX4l7zQ8HNQl+/L+pssDNftHGc/Up1dd+rr7zR
tZOCkLhZn9fPcSNGRx93MjrczvejEKW7NlQUR2rGyDEH6c+01NrbxND6e6vojUddbaqlpiK5Naqf
D0qil7fJGA18pXw6yHkZbsQXbynC2VqAHy2mYyD55goog0QslnGntw9aYyou6ohozxU03c3lrDlq
rvR/WcPIrW2kvY2RofIVfwT5NscOwQ4GS3d6X6/sSIolV4Nl5QhEhrYk9paDB0Tn+NwvN6Pf8C93
SbZTVUrl1z/mW5i1ngASZ7r14a3Iw7UKkIQu1MKW9j4PGebwTtwGldMEln5oy0ndNeaQH1JzSu6J
5Ue7lLovqFOnDbjowmMDIWTxcQd/BlRdZcxDrvZiIifdg2DCfPItIb7H1F07mJq/ZWx2cShe00Ux
Q9i5fgVyNayqZu66B6uq8QJRJ2mXyYn4LaS0s7Wyy322XllkWuRiqEUXZu3pHZQpcP9kyK4PaBX8
x8zMTBckUHke+na4ZzEUOwln0zGGOnkIJbHclV2t2gCFEDq7Qt/Lbdw8SU1bbNQj37Ki0x8MkQvv
IHRf/v9McdLQhlEueVEeRFn4GNS+vGuAWm1NF0MILE1pYutBnzEjMDH1aJWvfhUpboJoao83d3bb
6Xl8o6fDfAPYONhwT/Mv1zfledgDmPeWH5BdLt5tpyun+v+Hue/ajhxJkv2V+wOYCy1eAzp1Ismk
eMEhiyQQARHQ6uvXUDO720z2rTz9dqfrdPWQrILICA93c3OzJAUzTal2fOqAC5UNd9Nsyjf60pS+
MadZyKDasZPQWP1HpR7OKMAlUEwDTwk5AiZWb8rnOhGl3kjLcovhFNM15qxyEjQS/lHps14FGR0y
SPyDuhLFz/fnqwarGuqJqdtCbCZPLCheu1EK3p/f4o/zFggABJhQHiOVQ6C+2VZ6IupLPg/Ltpgl
X6maJugXEciDZNTQdvmPOuE/Ki7+WDZ8Kzf+n2XI/5fFBT6f//vfWfyP4mL/1rTpW57/n7DN38qP
9nudgT/6nzrDkP6FuR1QpVHYQ5dvrSb+U2fo4r9WNvy6IDBZABDhf+oMSf2XjtY6MvB1mhDa6dgJ
/yk01H+t5SLwYeiBA+KDWNk/KTS+rxVsMQyOSOijAmpeeRm3IsijVOTFKNIiaiaxsaVaIotoXoZR
V0g61eadgP99f//7auitr+5e2jqXe3Pm6CwZp1yoigh+2JlXnOUlOY4Kw8h8t+dKSglwfhr85UP5
m4rmb66JmI+ZA7xilDS3g6wFi1O5L6YsGmbjOFEL52o3+VVLXXHghk/lbEute8Omf/Naf/fbUT0C
cv7xWgd9sHou5XkkL9oSDJ0ZdpP11AkmhEP0eyL0OFS+nTh4r9AGBW4PAH99rzjgvscVZPilyXJR
j0DmHDyozSjUMbMPcSLSlEBy/4OClV6Wz31ykRioYwezOyploGWkiW0xceTOXqQ3ayHrLHH6YSYf
Jn+cajgOncQh7IYvRQ1N5sKKqUu9nD2o7VFPtzmmcTSXDraR2k3hm+3L0iWkTJDLNrb80Ddhmzrq
jp156s7Kx8wf1OGSltBzPi7GC4zklso3TT/WIsWAvNpZVCNTY6SVEiDmMggz504UfIjj9UZA/UkO
hATejWATKpEZh4pvbBR05NOCQIbNui5veuoUWmfjvKAv6lP2Lld2JpwW7VcuFHuqVzZGYmt+GjFo
phafpvgymxfNfKvRyZwHFG3VWa7fwTl3Ws7g4PE5xK+Y5yOlRZLea5Vw4CUUyXMoyz7HyzkuHYiu
iSN4m/2AJwaWND8bLCeS8iTQbTNtdH0h+VIRS9qKFZR5SHsqKcZuMW9m8ySxE8vDWoAwbpNt1dgx
xpdesHXVh64b5SHoW3/eCDcZ379XCU621R72N2vxBnirWdIkBXLPaKRFbet6rMKAaI4djH6mWAix
6pktVXblWINzINQPvFPvzfT+2BfYDGsDHSRdkL9+IKqz0YFmNetq1Jlv3dyldje2i61Xo0WAhMh3
MrG/uxo4FKshB/hQaBB+3xaaALV7DnJIlPfWY5xWKTH0Hlzqge2mJu3uXO1HoAFb5LfaNnIryCKt
eNJfS894NAahV6b8YULGSwBxOmpnPBpVHHZjsdUt+jg35T0w9Tez+X9zOnyouCrYDmi8AP8HzfWm
4J3jBDZnmZE9NLP20hlBWmBA2+pQXVEzq10JCRNpUn2CDs0YgLWLtVylD7QYzvpYmqTtTSUsuoy7
aNugL8GiPy+63y3fb/cHvAwOvvCIgsT+CvN8fytU1jBvICfWpaz2Ru/j0zYUuzMDTXYs1HOUqGIw
Z4HkTaE4ulUMhTqSVq7wmWERWqB+kgG0uUsXMMFmXrFvttKmDrWNAXib9GC/1ra113s8o40fbBqC
PyeNTo0hbhvCP8BcIGHsiYQB/RWJ8CHs2g0PtIroh/Y9uaQbedu85pvES31oD7gyuMoCkQ0iMSeO
tJc/v43fgfjn2wA/F6kZyP23B2BSoXc315l1MR/H2VZ+oehiUIzBFmgA8Nnxl7Hlj3lH5FO+xYuA
T0AsOhVUDy0Cs8jmCjseobbrS7Uft+yTv+M5jIoARPjzff62q/nTfd4AQ/C2GwFqpNaFhdVOnQn4
GGnYeHzLAyEoEUa/JLzb5+ywePF5eJaO5W7e9K5BYlhYyT6a4/E+Da0APQc5UkJlNfz1KA+s3uW5
I9ROnjqQbVyyHVNtc3rsUqdUyFiTqSNaa+MEG0ySAX0hRmBs43A8SecpwuhsZ5AKgEvtTIDRUqfu
/VwnynJUp+2ieW28t/hphgQZf+m6qKxtpSHqc36ICffUAM6G52rPjxA/4Jdmz/x7mffv1Pr2vQEV
xhATQM11NO77as8wZlHAicy80Ku4kY5SuBzZrj0UB4togfCkXltSnPsaq5VkGUkmokELs7WhASxI
qMHt8bWYXGBFJrfbKWzGU9PAhAPTH9Dds/Hn8sbvUZ5QD1VyWsP2zDFHm/bOzFA023FF+hITsq6U
2u2ObbXMKV9x7kBkW0g3dYVN5+Wv9UXY9KH5xF71J2k/HOC5d8LBo8Bu44x+UQGXQgSPSy8STb1Y
Q5hqDvZDzQNFdQQOU0dYRDvW4MLrSuxIkRJ2Z15T+V5AI6YhZqwCzFDrgIkBODrf3+LMkOMUyHku
8T7e02u/UcL0MbYrJ9/VqS1OriASzr20tTGOBk5ZsdfD3su35Zb6tWOdeTi5sqd6YknkJ2Dl+f6e
hSE6SLiHv37SwC1QzqFgBN3MgnzPTdytVA57gLiez7np08Ln0oZZBNbIOvZjksuI/9usiklruUUS
JsmmomFunPXhzMpQtDaYoWirF9V6NLtNC821ZK/Ntqg4cxwwate/KtNLBgKqUPc1H9PYwfS6ci47
0ohEloj6kdXEesO4y5esuz1/TOZnszlKk4vvA1rMZ8JS6MPbZu9qhj2O0Jf1Gu5Q+bJwp62dedxw
dkD3oMmdmPp56kGgqjNK5DapDe9jYimQwtgM4iM4t7C9PCzZvqr9lK1BFtkfZQZZykOnUrs3LEcu
H3UFPioONuYAmrrp1Z0PqJNFkAPt39H2VvRL1m+Z7PHsPAi+Pr/PyBX1EnMj4LbrJakNxc2gI9VA
3ztX8Yi4GZWDQQC4ZmR2XBABMVLRbCzRMs1AUIfMDiwHNUdvEwInX9IYu2KKjPQ09PvWpN5gXqnx
AI0XUjC8rXuClbfJBYaNdKBX2Oqg1aKEutnqcSG3UOVPxQheoVDrnVgY67Pi1rHcYqbGuHNy/Lga
oDq0l8DQgewiOlY3yYVYMFVHf6GJgM18tA1SNyXLGBGh+YnjUr6HFN3uQPRKAIKArrCWhysF8fsO
RFtEb0E0SS5ML2rSSzUmCsryF5oIa56/gR2saFMjLIdB2SWQlQWBw1GXpIEhrLFpuHLP8+O2nbty
hVBLoVBFaoVe+S1pTxiZSkWoy0UwU35qxlTzkDgCXdV3idKDHJvEfqfgUBUKyBkKkIs3zprOC1Qj
4tmYIQ/w5wPyNtfD7SCtge4lsi5Qw6ybzBKxaUogELlEcKTyVciQw6OtgxYx1JbRpnGWgsdk5Xfd
OZe/o5jQUdFWuXWkD6DYgHJ/Sz+dqNIZGDQSo55WrStmrWgPUtJCJhkr758+4dqjR5aCSWO8+Fts
VkhyNU2gzRx1MCQhPHa7CU1IdHBSVJavisJ0J5NU788XRXJ+G1YxSgBHptVLD3EfTfHvC29q5Epp
qkqOsgwKJHbBwlT9sHLFzvhhyeGQEvTWwUjeoJhMlMFC8wRBQTyY4l6zMlLxF61+ULsorq6leJqm
bTld5uo6t+91h1UyXdJ8N3bvVN+q3Q7ZclZuIddlzkFZ7+clAA1CUtGcSVHEtYSqhf2M4aCuGGwW
GnWQyRzBDxWeeVxAGliChpGpOhsUu/5U9ntNDwrxRawRwFXhUC+BOu8z4Yuj5lggTdzKlEBN1MDR
qz7rSdRbkcGvtYFKKDBwI+ZRSDxZ+ZXzqza7fDq0iTPqAc64wTjnYmhp26ZwpPLLMhjygZ1uwa8P
D104AnTA6EAGeKLNZBFcS3gy2aO8HOQ0QoVt6E6MZ6J4i8JGVj/j3teGN4nDFONM64cc5S20nZjk
p2PlDHPI8K4EHLSNYwg7ir5YVYDKY8aOou3hvND/SrkAj+Q3ScI71V5hlwANaFLpfi7ZaQu57nM5
o9gJmnUOMazA61ND1M+68TD0Dyl+lGa63SiXdrYn89pbnqS4shIAo6AxCuc1VreVq6DjdU/n5sep
jbRsZeRCOwvoK/bT9+VV03JM4NeiRilNchTsMBCqKrMjJew7yawJjU2l6h4L+Ec2DYIH3HXAC0Ag
xWVvc4V0SdbRblGJFv2jHMC0WWD74Yp1Qky+zeqvVjiAD6aitdUnZ6XbJNBILX0p3qv1tSs8BJR2
ehFMLzf2xbSHjiiVoZWunU2UAtp5ll7jxFZVUgFPQNLYbMYcTUbS6JsZgzMqQ/cBb3be1NwbLGfY
yMauJIXyiKxuOcWxrVtna+hdMSVrWzPxBsWTMbgp2K25gbsDqcRNKW6m9jMpPVVzu9zlH7Hui3h3
4sY6D9n+sCikGY8pe+azRrS8ITWFJkIPUZhzZXBiNFdD2SSDTZtjrnjGREp6R00LcgE/QgdY6xgX
+t1QAuJ3U7OYLbRX51KRI6ps0NtFtjDs8hCilG5uj18DNPb3y0CaZ9WAJo8dzxDGIKvh0hCfxWUz
8ZqgbanYk7Gv0l2uvq//J4EbGC2uaEcVg5OXZKkcWYHQmg3pduEyH/iyYcY+LfdHDqwts8W+RNas
hirOZmX+nAZowCnPvYlXwPEb+hphIVUexuys/NWibzPbW8B8QLiFSy29pKBrT4HwXp2kdg+dFCnZ
JoNT6td4fhz6wTYTCJnPb4l6VqoBhdIe3vOCfqwUoiAPEKXCLkYEhOY4z28mel1cRMEUCRQz1/1u
cHhtx10kCsDsuA1R1tKUQYlyEo2AUdbofqqQInloNe7G/buE7ikTMqI1D7CoWl/ZjHqwzwIRx0Cz
l1FcM9TwlIDhV2cT0Q1nvkq7Xt7Xii+PRBcPKo2atxE6hacRQ8tLT0xhn+sqSeqjFh9iNjoUqvfN
h4LYlu7lfgpoB2n9UduVzanVrlISB1mCcrw61p37psHBR+vf+aTtoAUXQoGUmFNNqgna005hfIp6
iqZURdolhfSGXzbQX609o/uFUUqjiBHXPbgBr6VQDDmkBS4ADWJmNhNBfSiqTTyHE0wee+B6fX9K
FCji6O9V/qEpDzKBd70w+VqGrjdy5oCtbk84C5Dme9wkj/gw/fL1Kr8LlZdiZCP2RNFhkfDYi470
AdaBieKl9kAgs7htZaCj7bPUx3kwnLvDtKAE9iB7ASqqzXIfek3Miw2fi5Twwq2zzZw71WOXbQGr
ehgFWtwJrLSKKEkoOpgb80eI38JOyE3aPe3d1PD0wHJaF/Ehfcmg+veabC2PH7I34VSnpJDIEE1u
H44BKCbtsQeWqocGcJcofU1KMglEDOoLZbi7WcVZZtOw2rInlYixPZ8b1VGf7nm03/Qm19QG2qDr
8MA6v4AK+gYn4sjliwzmEBFrQAQfaCWSCQRqFIgp0RUVcq+S5TKxlLFBgWslee9gEnoLLwWVwBzo
AK2dx1Ywdq2Y3aG6/siFgR+C0/yb2A260q3MFRrGBRVAi4lYmvd2oskcPdHhnoroj4wSjw47MXBw
dBX0yFviitLRuDbZLEYMGs2k0vqrmIon2NKjyF/eOnE5jcy6EzOhSnQbM4FVArRcLTDx5tFD+H4e
ghskyIzNUlSAS7rYouEUYgAgii6IBF5dOsC/JwWTI0EpH5jgp1inyzVHjAUKX4Xmp0Sdd4Sfqlsh
iz7fGlKUMOhwge9U1/Y0HKiGmLGd089ePy3jp1Q8G+1WzN+H/oRhQc6u5fC1mB6a4gOzwQGBslYt
EHQaMuZAjRI5pwQUnhi1hzXAUq+c7WYGedPlyKTYhjZhaTgT+FK9nVMbO2bEaPRM0HlI840JWNkD
HSOQtwA0AiQi59ZFMWkDL3QAXfmSN9u1O3itmxzMc/zKv+LH7Kt65q7m8C36KPg5dI282tXd4SV7
Kt6ll3orhfLrfBbwu3YaYQ4E8pCINgrMnB38KpNgkbxsiQYhmMtQMXbTeC59Uwmq4n3Ifs0FFAO3
4gDyz15kx24MhbYkkIUmtAoG7cLQn+fPhVPWO2zwRfZovZGyrQUQJwlzGpSKZ2U+WBk4sOEXDb41
/j1E4kP9AsuK4mUGzM2hAUfQzBNUhEACqxXjhb7/OVdHoftz8YD3gob9ioD8rEbmDsxFM++XKJUc
pQ4mPWBsp6qeNHmx5SKpxNdV3ZFpiBYcESsbC1t9tWqnUd2heiiN954fgMWby75DYg0XDskfKKlS
N108jZIE5RsjSWW3Uf4iPFeFzQ+tjeQaCEFO9EsXu6PksMKVj/FlftZBIpw9zol2Vp+Hq/SVRuW1
wGo4J7sqwA1t6n3qZfgLrNd8dCZMfu/iY+8ZLu4xLK/Vm3YdfBiLlUTQ7OyCcP+lNQQcK6DKsI+m
ktNXhOIGg/RoBHlFxDdMDxiBHlbwypMeIMrkVZv0tQTdSyW524bdF5BAHJwSaV+0fYZb2yt7zbVs
wS38zNed1kt2OsFhYosehvwyIrwxADTYUMxWXoG1iJd4Fz+II/AOoD7ihxwmPgPGw0AfI/Web8aD
EgyB/tEiWrvck9/lJ7aF3Id2xviF+lCDafWMPVVWLlucLHPHeaMBQ5XcpQxE9KyGj8o4z0M4K5e0
Wnxt2lmpx1ob34MUyHoolMSIxJfyKdvrL/0I21eS7IvHuib4ZVQufmG4SxcCnXtwPJE60up2mtkQ
xhtxuTGwVgOgrTns+SgCrXtu5w0mAwzE9/chMHyzsLsFqL07pj7oJsMZ7DfpcfzQPoe93KGLQRr8
TSYp0KPMXCBIwhA0up0ndgzLvsxvNV/uDlkO6qVnqA5+mGd2qZL0M8WYPRzWmD0xx5wdsfdibRNb
TsO2cDHSJC9WQknyTL5Jx3MGiDUJ9P5LpcinLgpaxENAa79V9/D/UtrjiNKEuV3n4Iu9QeCOzLnT
jQh1BIyvDE5+kJUjMAKYLbTv0Im8U/v/hEBgYLh2ejCBpqLfczvdo2pNgSGtYomK3oBZwIgdHtMp
J9mAfgem7jZdFknNTpf7U8ldcBNlR8D/bMzpA+JVsjso7Q9ECreDYwPOb6v+CRpe34+ORmkmiPmk
UiQ9W6U1u6IGmaKKo60xmXfOKbT6foQaEGeQGVirYxqggRuwTcxjBf5E1RJNThHUm/4w7cYraJSe
5Y4nbA1aw1LKLtJNPz1UmY2xJwkQ8aN8Uh9mRswTUHI2nCAnxoCYC6hHUAl7kOVsS1umvpkS89fy
CBKorb0VcIPRiN7ZuUFy2H6ZXou1fZINt+iOeWuPg2sU6wHVM3fiToOyrCPiiX2tG/04v/RDoLCH
RD3Mg6sgPJ/mU7WVX5ogCYtd5y6bxKe+FWW+4Hbb+aQ6mQ9s9Qk/d0R4v5Zv4646yN6IuKQcQAqs
2cHAkoydlrnaAjuLzUz9Ltsv3WnK9oWK+3DU08RsIL5qvYbDWEH7yxWMs4QjR7JVA5+NPZ6ExzU2
7sUTbj95hdFX8iie0F8Tn5UvATEy3wInNhISvyyLgz4MCiLEGP2kRLqjO9yWiOYtO+S3nkpw3jqy
t3xhBEW0iPBYvmMoEtZWuN/sccS+M0n9iRe9hppg2ejPadRyQh/4A0ohYVOd8xobdCjXU9P6sE6j
YKsS2GcEX2/fBwQttJIyFBik/+Juua+P9BmwycY89Bsr0CP2meB8HjfNLn/Qfs0beZ+9Y1wYYdc4
ARTG78K0YY+Kgrayo/YooUknbTVl3aogkOXDuY23ZnsYLUfwMr7Jh2CeoHt77rsTVfeJ6lEwg3VH
UJxK8qiJoIPw4OSCb7W+pThCHyzUh1cYJm6AYqiVrb8CsNZbBG6naG2NYbWQ7MkqycosEIjuzt2p
6veyHMy9J8+RrO6z1k51u8Vzlzuh3+cd9PUwo6PtLXrF1FzcEuMOrvs3exadCpCQVs0JDETeNFbM
Hj4S8dQt0bIU1VFQaLkdCmki8TCpbt1p8z+OEaBgQ48LHMjVC+m2Oc24PrNxFLIIpja63VETEbOp
N1zMPmZTuMfx/O1j/K0nA3AHOQcYdpgNQ5y4iRIWqxT4oplZxNq4cuBO/67JZX9S4ImF6ahf4MDF
dEaVlHYcA/VgXKRTCWZ2iSMVqr92V2CyHqeVbs2CjwEg2H9a4FtbSfvrz6nT7ceANw80aEXXIeyM
ycAbkLOeMDLQsYJG1WJxtHZ6LFNd7xwUO/Yyyn3458v9Htr463tZr4fhVPQkVxoEBE6+h+qssoql
anMamXQZt3k97yYWm17Wpi2EgpZftY6KamYKdWdzQaMlNQ0P0HBpczVvtkODmhHP0xCBqXEArbUe
sF5l7GAweueM+006/nanEPWAWBc4bxjAQW1y82baQqihCqYsF/m1x/UkAvZ0/iAcVV+7xL65KVx+
Rr80vSQb/qk8IdSjKUpf88wWCuC1pAELm51U7kFiB3BNDgJEfygAuFBPoF6WOUhJtNiRAf1IFOf/
pVcP6hBYUcG2ibQtY1uDj22F8VWbNQR+PgpEoKCzubiaOUCSKoRhUd8gifDQ+rRG5NdOXexLGeDt
WYijEek+c2ntAhNAIjJv8Z+KQOg7d+czBgVqA8M7a5QAkjEogEhsinQJuRzOo6cO0Q8cK8PGKHvK
nAZJIPSaxjuv+Dfp5fYVY+IDbZ3fImLqTQzIdMkA/JqLl6VqdhhRyhzFmDQ7T3FQVsIkE+zat6HE
+VllyK4K8ahK8ReDB2SIpsjpz0vzFrPTYUMCe63VLRTSIJgr+L4yUQqnOrZseZFlKqGLkx9VdRz8
mP6CgRKy1sd54AEbJ+sOF+oWB/59XUxWITjBugkiPN+vWypw/dNbWl4GS/A6CaSuamILoXpMCpnK
ALP09k5D5cemx6OuapgomNDhgA7y90sKqtS1klIXF8bZ4DbGdsb8C4o8ZPOsyLw/v9e/udi6kaCp
hl469CpvcG7Ihmm00jS8V1Y/07REgq2Yn1zqH+ec3stMb5Mz/PUAEUBtQDq4His3maAC80OA28l4
iZcMkFvZIteW0bL58yP9Piy+L1xIWgFHR2tonTu+nRtlmBptpVofLlDcB5jFMR3zkDIy6kRcsP2R
9Nkmil4amPlJgzuK6EJTWgOhtXzsacjLLUsjwTpW07bSXBb73NJsLfdyzZULzNO6/eSM9UFpHqrW
yaHb3vqT4Fhq0GZORzG+su0keKOFpbVNVBczEs0SWLFraWhRO9IXykl0reEngswRLr70oXiQrsYE
Cw1XoXZ1QO6F7+fXbCAiJ3XqSrUNVTZ5sPvO5mgZ5geM7HcUA8YHZkAOfy3iMTFkCjYE3JvaqxUX
unRs2xWBGPvZ6A/70r/nf3yLQuGjXPly0JRGeDB/jEmoolDAHFPsL2K22JY+HNHjI4slT/bQNc+9
xo9QYLoXkdaI8/2DhXYn+sxYRutivTX6KI0U9iMYQrhgZoGhDJycuTBSF3Oz4HYNrepgwB6Q0DAF
pdAlbs2re+3ln4+9Cn4poGhjHlk1fh9Lf5kaE5MF9rjaVF5yQb3mtKB2o6axzeqydjsmyw7jXzB0
zO88+c9dihAMPubq2gjy9a11Y9tDl58OVXOZIX646UxfABdPSzW7kBLB//P2+cH+BKaIHADzADqm
EFZVwJv404l9PDYcFxvNSy1KAVRLGVoCX+l44kIJRU4J0mOLhRZSXvE7ieDfXB3M01VSCCxAlK63
w54c531awgX4IpSihZ7F4kBeea/0Wu1olO7n3VgzhiZgckVn7vnPj/7zNUN+DxOOEMPDtDVC7/cn
l1VaJYNZNpe2aLdQZV0H5i3Ei14nk9XejVM/VjOuBlgMKkorq/8WyLZGsQHFT2svoFZ0AYCssQsn
zP6RXtavyqpSjXG0GQ3mzLyznH5wQUEBx1PiIwaQC1aKIn9/0BRPYwgVOmAF3KjkrBEfUvChy/7S
d8K2bKABOMhoSU+dIWAEEmJAYIiamCIOdSsBBbPKRa9bRM8YVf3Sos/+54/hR3qO24MyioLTHo19
GDncHPasygWQcRMxmmu4BifT/JUOdevpvGqJnKG7j2TAAHUdrUwLUz+oq1FE1+lTR2U0u9RC9Tqz
526hI92rlAgSNb3bFGC8VezOrf5YMaCrQpgAgkjYmMjUb+50gDmOPpV6dbEq8LeXFh0Tq6olyOJk
v+A92N354H4coCsnG2KKWKASNJhuLU2ttm+lMjH4BW5MCijl4K3kcZ/f2YPajzgLeQlQaIDboBEA
Ju5Ncj1qjcJbOaeXGmQ1SgpLflGkKWrTJUxryne6CrZaMi9oAqt1tdU13Icl5Mp+6vVjLCbWCZPa
0F5cQO+ZDG0zwMjyUMHzfZtBFpnoy7NqFmjtNkw/WqkA3tDSwy1c/mWCyCuk8buVpEKI2wBaClBY
zqeDVWtAu+HRZsMfCGwDEYlKpwobIYt5ZBWQUlY6fADLovqVIbbnHuho3JnDeTHcHEJFEWgFM8SJ
T0YNP/uO3klPf1ZOeGWgIWI+BscTDqcbnk9LYTHXtzm7LF3B7AQGOvYg1twxconb4gLIj7Iu3vR9
dkIwf8Dwz0g60foUO3EPeShXmdThCfYJ9tIAB2hkq/EwKa3eSY1uhlHhQLDeJm5xlepf3RhvNn4t
l0lvmSW9aKNAfWUclKPUccFNhk6GfCCWUx9zsAkqlEQcwKmC7qLYYO+nfS04lSJljtAOYANCA3rJ
Fhou0KMsDKjNZWrvw7Sm3alCsu1iSQ7+HBR+nLxYiJgHgJrCqqiHHfc9ZCl92QipNg4rr8vyFSyN
HTpsJBFBYDcxkE5yEz6x//yaCJPQxITtFqikN9ccZQ08XXNoIpl1v5a8/SzS/CmPs7AwYxyF6H4J
Yur9+ZrSrUgbPiNk/bjYyqiDz9LtuQBXjkbW4QcXldRRSkwsXwwLzifTtSzh89uTRHrWij2mkbp6
U+hg7oChSQneCirVBEq+tUspzDww1TMXtojJDGq2joJ6rZ3BLogXkiwgZMjvRgcS8LsOWVmubBvA
fpgAkofjAAnaXA1YCQf2SJ4OAzg+VRbE86nLHWN2ywwVJ8qha5vX9lA9FtL7WLstmni9FqqWZ6Vf
IP/mKfBB3Y+Bqxfqo84D86nUnbF8VpTtiHGbVf3abk+a6fYz+mGg/aBZqrt6b/8Wnpm+hCqCgwUp
aqecML+9V/Wj0TzGQPH0JzVXXTM7QouFNBHMbgbuVQksdoDHHubKmU0ivCD2ou1FtTA2PIwzYlNB
GjorMWKBQx10SF+q7gTnn2eBhTIUGlGYDgUH85YKmYvzOPc6dNtbRQF/YgLEGdNDAnItH4fsztL8
t7LHt2QYy2TdCRbOBAiK3I7AUq0oRFqrY9Sr3iifuU7i5di2+PDE2tZaV8sBF2jPhvlmVfsYHyKP
L2n3nPabVnlR1E9J/ZxGAF3VKak+c2GfxqReXDV7WnroHaPjto1FdGIeJfNxnnsIEj8l0KrveotA
CNqjaJYJzO5i9DVArRjAHBmzMO6jMd1z2U/M594CUar6kNsGSnhAMfAJtT21JcgEdXWF9fxkxZs5
bQg8hVCbafZcAl0HnjK1XTikgquMsBCxR9Do1LEHgDICmgO8nHXOPIAkgY6axTHVwKCKPwOZFFWw
hKFZVCREUD4l7YMKFSmlk/U8oaRqMP0lgM5fAjNInmte+ANufQaq3eC7MgaZxlgEynoFN4aIFGYt
Lc6UDG3u4UV7xQDBCES+Iew6gLKU27J5bqqIZR8qWsiZbAEVCE3MRlvJg5WcafPC9UgEbyZ95mDw
6NsaHjQLxopAdytYFONmVCu0uN9XLyBRgcw8ObkCDgVWbO/DPtwEOx14dB2aMlmuHCefHafEsmyg
Leim9Y/yl3SZUgd9cEkFxSvbyZhXUG0DN5y6fXUWzugNDu/KFiIdQOmpz0tbbVw42AOPghtuC9QG
HDbZ4eDz4agUncx8H+WrYLk8wcQ7/hpngNdr5iaKDVUuvfcNFsAgx0KFHG8oyIzjq9UCmAxlI6xn
jzXeuM7kzQ1oIZCkWL88zUdIb+EN4+vTk5jO6Mq99PxlQjcXXNwxdYzr+LHAiYi6veljxBBt2kZ+
sLINpIFLeZN0z4kZ5st/sXcuy40jS5p+FVltekU1QeJCmnW3WZKiqHsqJWXlqbOhURILBC8AiQtv
Y2M2m3mIWc+qF7ObNzhvMk8ynwNEJgNSSpkZ6D7otuapk1YpqgKBCA8Pv/z++1+d1XCHZLYoYWlh
dEjGOhn3pugx5ITcaLsfJL1m66S1uQQVjyrkH391Fdbup+Cjpud4Zhv6U86AD1zNk95kcWMDF/Gj
x6lklTedaXTuG59MJl9bPK+MT6vZ/WBzPyHlGNHJYHPZCs9t7vVg+tkfX/uDm6bRb7j98fzCdPuD
ydU0uZjMLpaJOPnN3RkYSX/30fAvbePEN0/n1t12/YVyvubqcwLlxXkSfNy2+hvzdOE9hFMKBO+M
5DYh/T/4QquFzm5zbrV77dYVcPa5dQapDjQQY8BQFzZpyfc4xUy58wuKxAELh6cH3TlG3wsbNqC5
brxd3e1IA3ogTGeTuOPATHO6Ner3k8lsfb5b2uuPZrw0O9HchVibnlgDiC374zqxlGXSIDo83Ugn
CHBzyylGsLNqxl3HnoNmmA9IpHSS9uqhNfEf4oFkcRtBb+bUwUAIHMwHshXPx5v+cuMSh1lBAbKK
uKZm7fq0a42/QDBgdBbOfAlmFqJEjBF7GXe9mQ3qcxf0pysAWu/cwS8MYCwj6g7FG6RzE5SQqrFR
W1jRxBjXZveNQX19a49XJ8umf9IwB6vObmVwGa8oaWm5j5skgimo7r7XUcl4sSdMQKoEpQJSfHCZ
4EGcwUqMlbOzrNk9Lpx55S5uiQlsTxex+acXASCMY7iDZiEh4nC7WXf96e6Z0nEyTwsE/e21kN1X
pENmAkdOgyQQ3PRplPhgJuvdbNyewUtyv5vV/3CtHXf3Fr8rwODt2xDdtNHrbz8xNatePNKmRQ9A
fgsnsOCG+/MmDQMbJgHQaB2ftAJ/3Y2nzlNz0W7dzk2X8omkcW6H/hxUbDToDczwY7hpPDS5DC+W
rS24Pnv+2YXPk/LBbYgJ5K+6cTjttBsjZ8OlRQ305p1VSrFd6pypNRCuL0x/kGlFw9rbDbzp1ltO
AcMhHyvDH/dXm3qjux4kqxNj7cW9xWy16zRcnCYbzC4M1+5tDNDCJemY+LPVqem2jf62Xk/6jcTs
WEu4gKZ0CTl1B5F9avlBu99ypBJmPgGSEcVRPzIW9tk2AHsFqebT1neiq60x76+3jZ+kzGYjhA0e
JUGxFcUcRcr2aLvYDAJzN71vUFrRgaDpYUt3y3d2/YWBX3hIYdcHrjVtNKYD4DRRnXQHjbJPPSNc
gKbhD7NF3Z/jNqDOmRGQncH+ZUftvyyTj/5mtjidOLRWotlF16AVyaZFldB6BfCL3FO3DqDhZAf/
OkYsN8OGCqY5nLMg+FtnC9OlOGFRc07bJ+xu8z1T/uUplpB6g1gWjdgALhZO8cJr2XDn7Gp3dgy8
CYbnXW9ZXxEiaLnr8/ECp0V60yXulbWRIK/rhhTXtmxgWuvWOwJa5F2VPSR/YQOZlETGC8bluG0O
trhJtbtkOetbcXPVX8asYm1nngdWg1KFBr1Vd2DzzCl8vsa2+bHtxRgJVEv0XAsjzJqTb5k478EZ
X50Y7caEXYzoJlQVqqrzF2t/MgvD2t2yvd11Y3d919wtz7EPZifoNkqA/fiPVTI42QzYw/m4dlkn
mtB1tmClVrQ3hHVufB/MN395RxzFtyscaE5zg5PMvuHSF3y/MIHXcesu3PvZoOXf7PBn7WbSH8xa
68udPzi3B+3wZDFtud2Nual3TX6ra0cL+9KyjN6kdrkJrprkSs06HZncKJ5jK9h/+u3x9nS59eu0
Hw0yYfspdpXvcqYozCpvcrBUkF2l0eT6/T67ykOyGs6SQ06V9D/IOFVqUAccU0dBZRrdUemjI93c
96Qqjn1Mu3BCaUS4IDpqscN78saadUwhOmmqlISnLbwrX1lVakb9GEYV7iahN6OrevNnWFVS6f4m
ZgJlhseJAylQLbKiZkHMIsdcxNbCijEMMXnnOJCXmyampzVPzDMviVrnfrSZ9203DG4bq+biwlwM
Fqezrb27jZqb1WUync5Iyfp91yVg3AqW06t2O14+GMbGv3L8OnhUmD3OzDDaXXrGrg4+3IoGVMdS
owRnRfjO3S2H9dvrwKIqsQtKwUjRkt6jJ4Z6mOtmaMEW0TTv6Qzlnrhzv9WbtFpPkF/Uzg82+TYb
85B/snBdZE+CDAwcR7tNhW3hSck8ak/WdIq7b8xJzI3Hm9b5bgPY2rcWc9ytsX29SIT+sj0zdu84
+q+8JE8EdCCcxg0q0NSXHLcWwaY1rw/uLY/qZupS3cvZwMRMs+xt7+23fPEohIxGxtQCwe6OqBTe
coLcrNqr+fKhtrbj0/HWHs7tcR0yWuO9Tl5pzF/ZOuqUIRJCDMntYXIWbF4nqNvu3N4uH6D6PZ27
0Tlc6aetXXzlL+u95WZ+CsdQx2qe+/RAWplflvXaJyNodCfgIQZDiipMs9UNa9HZeB1fbOe39RAH
cmWez8356Xx2byXjzxsaKDTnAoiNLgG1XIYrTKAxtQ1Jw3gnHiuTVV+GVsVNjifGMw8u2s+tzXZi
jxuzKayCa+DfdYypzcBvdObbOACuWvMz7Yve/BEaVuSefJkUwlJ1SqIOyVBFYrGm1mCyDc0HTHm7
vxtsSPnSYfZyPR/454vNuv1pWnO4V2EVfkdC0ESFNyWHBBUrJ487HkNDfTJ9bTckZTzzIXHsNRwx
Pvi/xmD+zmkr3tK8IIEtSllp90YQtl6kqjMWBo0zAX08JAMDoEVtPD0zp7Vdfzp3QC23ZifESqPO
wMUBdkPsimgwtjuhCdv0ZB56NxTLNHs1CBaT5fDtE/JCD1CQQF8awqUEtKmvLSjQxWY5S4LJwP3s
DdygO5jFyUfHIDQ7WBCpMQh79lYG6XwHlOPbD07BV4qMUX7B3UCJNdwq5NMK1p0BfXp9bFvh59gk
NEQ4yhqPScav/U/LaPslbK4eJrPttuu47XpnO2s+xvAnrZuUCczNAWD15BZy0KiDHTMMaCoyTRoj
12jGHbC0jzDcY/Lu+pvFsrehAODtmRdzrDD+0wmDag4aQwO2I4KoykwNR8p0d6vt56XVuB7s7P56
tjgJWu2bqA1biG92rdjveDXzi7FHmP2XlfIbavNgF15wwH2B/82LjqB/OzpN4sRHyjPeaiGnTv/b
rwaLfUz0v0H2ucAChy3TOob83TZJEXBR5MaK0TwWuwYrFWiCADZRAXsKuBr0cJLilSYh5BRA+Rg/
Y60UtIAlmgY3kDKgOgwD1F8XRN6F/NfzjHr8eZJMiLWGzfnsZuN79C21aBHbl5R2Z7Jx3Wlvt22s
HpdJCFFDqx7hiTft6efBMl7ezDbN+Z2xhXY+cprhO9pQ9Oy3M5lOELI4fHDpag0+Q+7Tw2gFvl89
bNnx5+UEFC3QsAug3DT3ns6X5jsqUVW8+0eBRxMySJRjMSEVr5w1Pusu/rytbaloWoduz62PJ+/U
lL0wEOX2BwoGb5vJcX3BZ7Am9FYLCY/9vgJE3zdsYnBzgBibZUCz2ChakgVOwP7F8YDLbrZt3eyW
tetpOLsMxwPQ6YbrnxvJdNeDgcK6n7dY8ZrRntJ5djs9dQZ3U4cE7nQ1WZxN3EUTZPZ40CfXZ8Hb
0q73DyT+FZOtADuQJcPDw7JGW9Ihp1kE52+xDMPtPBr/7ji18bPDnXC7HgMGx8iCIdhbtIl+Gxcb
k1L6xKQv0Gq267rbaf1kTmGXH1J1MovmITiFB8tcTXqrqetlm/pf+uk38DQwzOLSiilJ+1lcj4Pd
e6GvqIFbLEZhHPh71spDffXqWLn+qrePwSxiQ5ILs0CJcblkDheeU/sYG4JIRBMEIHkJTu9eieFU
SZMtIoygyfC65Rrf6zC+IhDawJ7jDEi4s/VTKiwVsgMVUVyGViHcDUjbS7zEnJwn88uxOek4xmi+
Ih8DhrdGCZOxvSHr01jTs7m73X1eupAD9fD1J1avRVXx4GIWdMZA9Jwu134wPXOepnbHpC7Zvlsu
6fZ2s2v3ofMxZ2fO7gul1RPnWYqofcIVXvy0ND8Z5tXAfVgNzsc4SE6XWnDDGnrj+9b0ppbcOIuL
ZeMyov1X68qc3K6iyyl/XtYGlzuPLt/QIAJEH1wKCXbDu4EZnrKzXXcX3zhCB0hp9/TR8c8GIIzb
v1vexwB6tNDvAF4OYUGL2kCVqYWaXc/BPq/ObeN0Nbikitv2H6DJmja7DYhfJ2eN8Hy8HjZW0E8F
ILoHUXeS3M239+Pmw65+Xpt+MXZ/XU3PnfH1IDqbx+f29tJd9+HgtdenNpqEAFP7yjYGnd3s9zak
UNNuvOkE04+bbd/2Tk3r47h9Zax7k9lltDjbjC+a6+vt6paqmmhALPNit/pDMsjUOmL6NCe3gJAG
zTOHaq7dX6AdOKNiQ/4JTnfml/HmUzJ9WEBEBSf0HIS1dROa98vofjC7nozPqM+bwA7W6nm+lHhN
dyfxpL+1L8LaGfRLDeppjNPGor8cZw3Af0qPPARz/vkP0BsDVYA+AMMJZww+DADr9luq4bPvxaPn
o/t4GI+io2uPI3z0MYlnW893X6O4fXX4vbZwrGPOtQGY0gDXiHLgls05b+1jWxqyUDFG0DmNC+6V
RaMlBg9eHf3igQoSlf6qLGroEaIyvEwdU4XQAKxbP6Uu1FsebBeaTAh3iWZQ0E11impQNBISXivP
dv9YrsDErMKxdWdEk5sF4ZTacjlaLyg02O3uB1tke9qCHt2c9+LWMuyQB1j3Qr/5fLDUr9yhajpm
Px8APC3p1QrSoBB7WIeAnrbblfvHfLpYntZcGwIW+WNKWfBJbQpt4zypf3n7mQV/gSWESYlrQ8rN
WXV0uroIUbPh03feaz5sbVp7G2FvPl/Tcns7XnbicDzrhcuN2fWXFMQt/fHvNoVKb08A8Tuw6kxB
N4DAwU8BcSy2XWET5mM/YUk3rbudte204a8ZL8mGmRA42rXzOrYGLCHNG/Ieu3dsvJcPtuS2wv4S
YiP+p754GLlj0OzN5l3DrlG67IDJposx5GeD1X07Wp9G4B8tY3G2DMw/3n5lLj/lpZFgNph0mzQC
g7yZ8Lj67MnKtHxaLc0/TTvTDtVynevrv56fz7tO1+2vOoMr66bds27is9aJfW6fexAzhJeQM9zU
ehAvnbS77R58Ifxcfm9xFp75Z3HnNjyL+dd2r3HeuI07EFHxi0+r7tOtfUKV7x/hZbtnnjh8PXlc
/7GFWxIfFD5F69o9X/SMm92Ne9X+vPkEEHjS2d42zledWpdkcXfVcXph7+mWQZ+eYv51001OWKeu
d/LJOkm6lKSfDiinh2iu1+xQJtkLT+r9ej/o1fur0/B0/ufkHAT1ybrbPmufWSeTfnAGWxuVcrvn
+o1xvr3bfNx8rF1Cj9pzrhrXtbN6n+pgSvIpMWI0A85JGb/Vs85rp81O+2x3a940z2WkpDPo/nl2
GXRgAek6J/Jr7ZPl2fIyOpt17+cdYDJdeAP7lPScQw/Rbz9EZ+vOe6S6affaA7sj209qlWjZK0m0
ot3hUSE2oFn87NPpyccHqEcvl92g735aPXrgluLOuAVytEc1EvyUZ26PEpOe0aEO4HR3Rhv2Pr/a
I5ZyOurfXGw7AEa699vO+sw9ASPT4Qe9SW96smXWM5bcl/9fb43uuvNpzMXYgXLM/9ymbx1UmJ3a
yfqsduKe+l35b8/O3hbcNGJdeE/YpemjRdIEHVwk5lqY8zUNiJvzT5tZ2wWRtW5dbFbLCWgXv7/2
KCQLthOh1GkREImXV9kfFOSOk/n4PP0bDeH+8N1V1KdxAP2LHKAdnr9ddY3NAg7QFa2c8WuW9fOB
se6GjU1wkf5hgNEbN8hGOwknlHQA8ScH1cAxMqnIWH8c+JP6xYCDd4ENuP/DD2xQowPXOfn2s/T3
KL1rvaPFUtL+wsrAy0a0mnuNy6sYQxvs/M1kC2nHJ9IAFzWzdmX647tJPL5qzUe1OL43BtYJJVc3
zZpx3bB29xHlpJIKc9u9HYG0BhRC9Wd3DPGyuX5wJv4wCNqflo4H6UP7MpnHXxL4hgbRetbxHz1z
/Qdpp7MAkBA93qlSTW7agd33jN9bxq7Vw9G8pTCov1xsKBXejfs2TOBwl1xt4in9ZymyNwe9YPyR
OD6l7IvegFKWwKE0016dzSBtADZxYprx5QQjsznDSFzO7pq+f7+GiXINl+7bQlW4gVJlSH8CUOuQ
zIGdLUb55pNW0qZL/fhTfcpVE0+cVYdqSfhH/6zH0IR4cd+wboGHnW7c9uqdh6sRRtkxNowbUNhm
2lwGhdunBc3QdhMbgx5lUpvusr32upPdetExKT/sWVEc3y3MMSikifOOwKi3T2o2cfdBgS1E2JQl
iG1yEMyw1mEr2oBx+TiJGqPpHOMdGDy4WxcaCzeyOpO4aVFzA1l5exIZ/XeWXH06gSS8degDpSrX
FCLJQqxnYSYwRidW/WFpTKlFNt27ybw1vTQSoGP1QW12Cg8jxKNWcE0LmnNv5yXXUwviMAO3inQv
uFV/aJo7/8SNdzMYbBdPNIyOHuZO+F6M5PWZEsuEXQSAcLFzq9+qe8EM++EhMbw/KLigLKYOo6vX
dC79yPsjmVrAVYBJzHazdyvaJKD07UwTSSW/QPNtWro1paNxMeBkrOdhqwF5+KeZn5zM1utBb7Ha
nZ+eeM6CnG9IYRld+siCTHeQ+3pjaFccahX9WXLp+gI6XCbtKydA40Mzfrkyjb+0tv76U7xuhP0w
pO47/asdQOFrmTAm+FsS8HF9+zlxCb01rfrH1tKcfHLixeCzGd/s5uvt1cS9aDvj1X1gjMPueAF3
8MSki/p4Y0260dpfXex8v35C9V1857iDm7q9sk7cbfNzKj8leED/Lsno/TwlrtErdhnMOh6S2JFv
08Z6D1ADFFoR/tAvHbb8eDnQPsL7TmdCTjgtbJBpJcWdjpZ2RnxrlNmQWSfPNDA0G8c0Z2qTixCg
Fh+01Czw3f3XjfoxYUSBomTfSh0rzztYpZfTf9mS8dd+560X+BYDxwHUXYLmMZwFoDUoXkk/vOPB
EhgN4uryc/zD9FO9JRCQiZYUWA08YyGbBe+QflQpMAjN4WKTIci+rZ4UQHSguQRkPOTtycnhpR5s
v6RCTAooucoxwdNP1Y6AuAxa22+2j6lBa4u1kG0wmaCDJTCsY6rppFotPQdwPVRtBSR1pbUCjeax
lOHVhf053+SDFWgTSyYiDaQUbK98Mp1TITWIjtZcApP8IQF4cn37U14QAvOYCE6TT1WPgSGZdi0p
MAgQUibJB28r/SjnoOY4ZEUREC6K7OvsgRUSAxA4umtgH9PMmigo4cv0o96GNW4KfLSGREuzTyZ3
VVoDCS1oyYGFwsODYp/3a6AeBZTFXuVW6q11daDZ4haAI4EiekXsuf25ACG0ttl4+VRO/UPoo7nj
9LwjKeCAc8heUYrwDvQ/wPxjvDRwe0SFK7kEjq79Y7H7RN0c3jJbAlUIGmIDCIAL3GL2SVe8SgdA
0sJaxx5LT8BqXPTqu9da9jFYMaQfGyn9ZOJWoZfHedN8edOiiSQUiCl+WXaYdzw4AQ36RZIWS/FF
Fd1/K7uJMuzlVxf9Z3xhRxADWPppHpCNVsWA9KHEp4lqVU30yfjo7r55jOJH+xMLyLf3cPfrx6hG
XAS5++VTvStA8iJap79mH8vLA8vehwEKdwA422NJdVsSrks/lbP+wL9oLoItx5x6LVoAZe+oaoG2
g4mAf0DANJOD7MhVSBGaur5wE11PJIQCTrEA5aPoQaMuxh9gZuo3RN4q9OoAozR33+IIgK4SVHL2
6uq7cwfw6lgIQj1RrXdvSL8m3eNvkQkAG7FXcYXj37SO6cNE4J5AUPqp3C2QtpDTWgM8AFoyQZhC
D7D0o55+2z4WzjapScw+2Vmr0hGo64qB6QhUmj4vGAKvLAG+kMQIwRbtv86eV6kl0I6HY+oLjxaJ
y2wJVC1ANNCmLo6AU+W2nxpVTS1AJNQEsQO/2qvb3zSOsbVaEN1WVQnsN0XDCAb5X8cUlIBw+kGc
DixBw8EVAs5F48zK3QHaPjDJMHrUS0mEqvjk1FNGBy9o5S79pq69wztDDEdZT8HQweGHJcgmO565
1RVScfmUfl3Ia80G8X5yfikvxYF41zCByITiC9EjNhf/apk6UAbqKjmDSww0DERwX9/xYA0czDxg
8xSP7nVg5fS8bqDHNEAP497bubNbuOEo/eYDn2lVZWCvfH/9APCGxLOEHj6TgMLhr7WIBwhlLoZO
VU092R/9gwBKG3TDd/wd4xgOP8zdPCJQObcHpj/NJWg2j0l6QlMuYPgDJWAiALBSAiDeIwIq9+44
a5rvjhrI6gDyNA/veLAEdvMYSuHU30kfVKUbUHZLy9XDlzeoC8TVUTMd7DtQeWhL6t/Sf9W6/6R0
QevV2XabXRXTRtlvXp1SMfg8KGZJP9mDqrTt2tZes4WFy80OP6/y7kQ3aInYoFfI3urPzlal3l13
35ttMts0KKEeJLvTMOYPjrvF13SZsyhw//p1tSRfyMO0JN9qHkPTIeQ1317xYAUazrENcx2VnnsE
SOWiu1DKaS4BByDVeqCUs11Wdb5TF5QLTPkYPtXUAdqXHjREwklMA4bsDVVXFyUIoRa93/MwaOU8
3r0/+uu2b40oDhVptCpofAviHRyDmoNdACcIJ6Fyrq/utW9S59gGw0TB9Ff5Pnh1op9EvlAR1l5F
Vs7qg0BLVwNYx5Srkul09nk+9RoQuKeJZ4R/nD6oQlcgjoruu1Mba5m0QflOaLfp4BeCAKleaFcw
SVp3H2wnMLk5KHdV49daLfK+DsZP9QJdgK4135psZsrABJ3kV6Pm4LwbXPnQJghfbOWMXQhsNV8e
nB7VNZLMVX1bCCWoehA8N/9Ln1GlQ64d2wHI20KFwyq733PVzZEMtgS2CH9WLnmlrds55Ph25C++
l8AEuArGT1qJySe7Tiu0+xKH01NzZOegk6tjwSneTQ0Ie5OiM/BL34K+FXNvtK92qdXAtW3Tw1h1
b1FzxLjI3+zh0RXacZmp1o4LsajA8puQPalbjruXmXFpJ1b0f/aoCr08pbmabw8mj2wtRK3ZgU4r
Mw4uuFqrfgzZBV0Kc9BC5Y481Gp6AkDYipen2YxqyNYcspm8uzAfZXd/9e46iUJpCT/FeQAV6ERm
5wKgHoEWmD1gy6IUsk/l1oBko+4a2MSpOf1Cb3Ig+uQG8PVsVGH13jmbkYYLDwyhntLo5kAMNYNX
A8fIkSCxUz2Vp7vdtaa8GxkrcjaZTKsRnPTd4WvHztkj+SvnyIKx05T5GmBsFgHGt0KxCrAFodyB
1TZznSp02Wn7MzUOtHD6pAwgBye9Blc5ITtMXnpIpZ9Mxir07lQWau44kYkWfUQcmNNflXpLwPlU
Lwp8P/1UTuoN6YiqddvV8GihFMOj/U5xHkU8YgeAUq+czrd1Xx4QFlFLQnNiwyvSj/1L4g7a7m/1
+xXzbExd6W8BWCFiSX3269IPNFe+A860/75y4RxpBqol/IQ1yNhK9k7d/wbViXDC2jlic+9CV0n5
aZdlIPvpzhK4Lch+I/Xq25LVTD+Vc2/gV9fc+Kbk5KTNxQHy/uD8Yw4JXyPA9Moqft0VaHC6qb8i
Qr2vPOJ0H6yARXUW9Bwk9PZrULmrD04tTSEAr8L2ClXTq6X5hDoQf4Ar++BW9Qga8mTirzs9DViQ
yVOA1sqVvCIF5O5Sxk00YaYKMqmrkh7cJxk0lkBC2yLqOYCh4PJi/kDgAHq1qmWK2mVKNpkLQWvb
r9eo1trCfotnSJlipg6r5wDv0w6/LgXk74VgDvTqqwehBksHXK8QvmbnIC1lrpZBqK0NxR78PoCZ
wB8fegtkIlDFcl1pjallDoLgh9URYqb8PlAjQJYwOhAYhAk6W4TKucQpw6neEkgiD2pJyjeUm4Aa
JrYcBux8+6t3E2jrQXDLRDtSALvy7gAZoSJvWtSn7U9/KmdVugX38Vg9/SfdXU0BwB/YgST7aY/A
3ZiT9VXODqSwUvPYt7nehJ2I188+DHiwBESJ+EhHp/3X1YsCluAMWHSXpExxr97RbAcrgJUIsgl4
U+4PVc4ASFveaCk+A44qKdXOabjE2j9YAixhcsBwOh5YidW6/9N2a1pLUAPFLsccI+eboXewBhhI
IHsghEYfVE8DaiqBGlF+DEBAS+T2so8iAKQ88YXqBt5SFhKs3uUvDSu0BAA0OxgfizLdV7HctTbh
UsQMurp9EVvlNKF2sbZUorPV9DrYA51UTSgBY4H7SdIg/VROCmjMpikF0tKEUn1IifbnQLWCW1hJ
0m0Q9rbs++pZgtp5Aag50YDSpTr/qGLggIIhJIJVWFXaHmjVdMVAalewe+hnqyhCG2yrkHYCAqno
EZDGOFp6UJBdlgm/fs7cp/pC4H/A8UtvsMplxBqSyNB6dyGsw9gtbDoLIaBeLj/pw8gDquT8GJlP
8uvOT0MyHlLERIlK+imcdkmFEwLkasy+rpzGg2hbd9sl5yMFmlzphyafAHuFtooeevnKVGv3G9pY
N1D8NkYtJGSqyU/AU3jsoafKa/arJ/mZ+fHrkk+PMhI8BH+hItl/CgKAPjAMVD08nrlVXC0BwFTT
lf0Wlj0FOii9vcXz4gxg71DNse+MUCHdp03PBtgRHGuzQWeXwksLN7dJk7f9jVKhl9a+4+hAQbQD
IyY/2KqFS76DrBfVnHnmr3pXnq1r3dVYA4J6gJvsV0M+FjaQXHh0sMn0QqZpKiQFpu6tj+6DeZgm
SlLdkX3UwJ/4gjSYR06qCoHTxgBRmQvnGoHtnLOlcAU2hcKVttJ7MuwKbb92lxrSXTgw9PHNU3rq
xQcwUrqzEO7b3wkVxABJjkbP2Kc2V7ipC0Qt2LvUNNG6Iv9U7vDvsYi/bvhg9AlDizS3z15Svf5q
nH3x/kHHVM3o06YrIMgHBxNkfHutJhznByY/rPRC1AgIei/4mXlVoaOPM6or96L6AfJTpaq8u9Q9
OcS/LYjcvpqC1TJ3tdmZQHYJEwOVDvvyFnUJuBG4ElqQle4Pf6ZjKrT9+qzcxDLYXWoa80h/gZje
EDYfQl+o/6/KoWJSoM1JjeFfx7WtO4IgPzj+3HuwVVLgtM8mVGjj4U3TPPc14vfguqlfyokaVLUv
ZTDi9GD8V07t67t6IDopXaeubX+yC+8u/dps0KB0rUs/lTv4VOBo7j8pPqlSV1L5h7IvgT5h46fA
v6LqnypzzTUw4CKhkzzRXOXcQ2JEvJviPuCw6ad6QU5tFgOpdWlwBIhq5JpfWQMqADF8KXrA40k/
mbxVSAVirWpufw3gNxa/FD1wwA+EHwQknhBt3p3K7bz0+9Xyc2rcdg0abZC3fdXch6EKR5D6vrzk
t3JLoO/qEe8BuCEFfeq2Q16G/0+Tlr3MV87Xy9Emv+7sSayLxsik7FRXpwb6HZlv2HtIB/ZeKmgV
OvCGdoinRgdCOAjJ4EiF7MGBp/iJm8A2Gwegr4pZudpEFjQgkyAO+Z1MoUvV1MESEOPhIoCdav9t
9XoQNbSTm5xvXr75VbVJEfPBEtRwdoSLmCho5bLZ2pmdmpBTsvmwk34z6A5eHmBjG5IuyqAqF+YB
ZaR96aUoFadRh5sv/RQMfqGyQv7NgyxItc4/zch114AdtinpQMepLw/ICUNQ/Ps88l05za9r6Iu1
i8sMICxvv1hYAsoZQHFJ862qvTu2mu7GG8e4Mrad4lUOTjyFnzSjoogjr+mvnLmDvtJ+d3w5ATBR
w6zoeg6DY9otk657VdvxvdPx6zYezOrUsjrc5d98t4N9B90LqJlc3kHwo1rKThSUlpNDh2FMWQ78
QZnewQoIuUnairFye088TvPVhZ4QAj4aS+wRe6rcSwtuqBm/ljpLuLdam0/MQXMJhJ2Ik93CnFfO
vJj/BDQEuf4t5lGxl3d0r3kL9x4kAzAW9eVJ4NNbGPKenMkru1Or5N9pKz445onawNUl6Wr5qLe8
ZLSg7aQFadVkHgSOpszz6vAWCVXfPlfJOx5oPGFubFC1XN1kHj3PNJeA5nLceS38+z1aX10COk+1
UYuwk2ayUT0H19C1dqjMYocFuaqefQEukuekv9reu6+cpbenE/t1m8cifgH1qlTtfY3ZH8o/JEY0
JSHF900zVEvzayf0UPwtescKJWEm4Gpwk7J9SOkh8MpDXNWTf0hoNFWA8JRARUrmYh/jUFVADYQn
5PsEgfIoV+WCnOm1rWX7pj0IUHJ5A4pC9SZxIKFrBdlQWT2oz2AhBiDHAJqK7CioNjDF7QaBLgI+
3zIg1VIGxr47wq/rQ+oXuQrh7n1BaUUwACSrk3dgqZ4DsDfPNN5d/Dty+5h6ihEEYysXBIXNEFql
n5+wA3/ATo7+5Z+yOXfH3uy558de7I2iT8ko3N6NomQWv/sL3x/gaCTDbc+f//k3MvIt4zflVx+2
i1E2ePZr8vd/eQoSP5ZHu17gp0VKB1/KTA/+qvxu9OKX9y+fvtf+WYc/6h2+qjKx/Jv8h2feKByG
T+Nt+sV2/1Y3w/non3/rDv3h8/C3gzcVFotvk/zn35RZHtwUb43aD0cjfzb0n/OhZAnldOkOfD3a
eE9BPo6MmnZU0B32fuj58dEt6xSOjpj20bW3TEZYModPIoyd/1W249dW5rPvxaPno/t4GI+ifLhU
wATupPseXQYIh7OjD/NR6D0p2wqOWIipv/sEJvP1Anxra7vD0Ht8HA2VpeFSg76pRQjhnfFfE+Cv
tXzfO8G5HP/89/vpyPqCNv1PeHw/zFx2WtnoEsTog+8GM2XQEnRCJ4ijNdoml5H08JYx7sj3FGEU
fPJ3xfAHpbyThIn/7OUDyVwlF6g7bHc8VFSisAXojnk3WiSPM+/pKPjzKB6PjroBu5cPKxOXWLvu
Q05G8+ApHMY85v3nlSCBXS6nMFD1rwARdN+jG8yDMFAUr2B7tIdlgFTv/ilq1/+6RvnIsg0WGV7t
5wwXo6PfR+HzKB8rHZm4g+7IJxPvMUhiReKFZEV33J67XcT5MDJZKeTRHnSZDOMAvTc76ieeP1J0
il2CmPRCLw7VYZ0SjmovHnvBQlXXgqvSXY8Hjn1/OH9URxY4he7I/eGjeggF+6496LhwDUgplfag
LwQBo0R/2O7f/m88Onr+h/NV4IXKqUvZ33VnfTnyt4r0pvBa3VGvvMeiVZBCl7XHHUVBPFYulxQh
oT2u91hYBSFV1R31GsfGHUZPwzAfS/RPimfTH3obxLEqDgJi0B93NlwrOjhF4ZQwbGHQEk7xNRfp
U8EXkxiS/mQTtK+XKJc0MaOyRh76qppM0Z3akw52on9xGvNpprIm4WXdoW88TPx8mHTUMq6MdNTC
QgiPoe5ss/u41vGiaJjkw6WzlrCQ7uh3f/vXxCewko+UDVzCIt/hmahhkBQBpDvf+9H2aTyazQqu
fr2EGd9jrY2PPqQG5+FypG1o9Oftj9zhTBlXAALa40qEZXh0NQp85aCkIFPtwYP5cKaKNPVEJUw6
eVajHQR49Ud9CFQvLe3up70Ef/vfwdFDMP/bv6ZRrNvwb//Hf/IW6lo3S7ioHjiGUWGtpa+r7gs8
DP1dUUGTVtIf+LP74oBLPZvufIkTTD1/eHQ6jBSzCDCI/uBEaL2CTU8Vgf64PeIwsecrJkFa16O7
Gn994YNQ2aA/379688fh41qVYgEp6s4306H3L863wIF0x+544dEDxpyiREmP6I/84XE7UvaOSnLh
wgNH7VBkAX30+/7U3y8OC3OjoZ9IOZz/v1lupDMchyQG8h3LbK/8b7+eAuhuF6Fq3ZZhNveHuyFp
hdBb5DNM5ysFRbqifB6q9x9VXCUMGoXDkXI40qY6Jcx1mU8uXQDBeOkOehGEBRPAEOZF3WEvk/XQ
U4JjaT8V3WGvRo9Dv2Ajl3GFfpwXxKAMFfxpGBf8c0mN6y7B/TB59o4+hMPi9Sk8M9qDb4k85sOI
jEHZn//117XCPjEocz7qzT1i7QWnQboN6U79yyiKjzpDf5oPlU6/jMj0H6P5SNGUKSG67nxvgiOE
7h+io2IumcKZ/BV+fcn7JLn8o/vk8dmLUJxPylGEnKYMtYyh/Hh0Hsn81YAGSCHDaZegnD48JkfX
SaRIpOCQGL2ENfpvd7373t3vvZP/fiTCMwpZsKL8A3+ltLkprC2AnaHueT9Tc3h/9/ZAhn+fPDAQ
faf+Q5lgpuUjwC9wGSqII3giF/7O7ygQir8T0ONlpEAy4gWNsn/lH0ySfvDR3U/kBFXZo55Nc9yi
Z/lKUPznZtpLwkD1gqlIeJl8/blBb4JQIjCvQC1SrJDe0iZopBfRDCAcmku7jxq9nHPKvKG3bR/l
JKg3o91stUxwbybYR6oAm/bLy/3n1vwWc8ENik+xpdgMhBaltrQTdeqCvvvu1YMa/iGgCzIzLAgi
nCWUt7QoZsfLopQJUtoSHtQZziSv/hISBP0ltIh0/aD3rQXAHmKcEh53TRJnEcTEFpRjixKHeacl
DSkh4ICTD7ib/iJeD91xOHrMRxJzAwpvmhcgDlDaOlDhpL3itXfrKyzp6GYECiJ8ceFKUykgyibl
1kgIIbw38zWZkPz9bqlMPSnAp72bq94+ys3yH+EWmuGbqIJXgiP1wX8OiCsfSlkJEfYPooPVuUqt
yHdF9Qf1Smc0c71kng+UWuBvHbUfHTaIWNg07Hs2CncjN1gRmFSe8pb2+NGnjGbDQvBC+KC01ySZ
ueAKlek2S5juycifD0PF25EqV93pnocsgwpuLSPT14vi4tWGqao92+5u9DRW17aMTN+p9wLhK6WE
umt7OgyD0Wse05v30Q+K7ymRrKdRPkk5etLBW3fKfe8RW60Qx5D2J9oDg2L3o9E2H0kmXIZT1x+F
uNXqsGWsA6hvdXWlqEB3EbphQLZCUQ1EuPXHPUt8dI6yCClBke58z59eKIe0uFp73Hg4U2crnRJ1
R70YhQUBo4q9hGEJrFwPt2pIKCW50Z3w1TBeFaShjETelRePk6JpYrx0EZNv1R0/qHPuZ8FqOC1O
uYQ1vvLQ6/HIJypTSFKUkXy8SjajOZDQ0M2lQbRPWi+su4XXweyZNVHGtV7EIn5+pa8Df1gEJJVw
RK5FtyuTLSOp+R03xSgj90hkYj1UdUUZV/OtxEuflZUoI4B5SxwlKaBN0lI8XTm7AxBScDaoTMzn
/+txYznRFB0oMtEwShDg+1Rrhp6vYgnK8DruF4VMZlryqrvC96shDl2oyASN60pY4vXoWb08UrIG
7fmuvXiXBQfyOab+VxlX3uepJIsV45I4Uf6YX5e2fWLo0vPd50B1G18GcH9eaf4uRR3IXZdCx3yy
6Zq8GR/5wbsPjcwFNXJDVaDL8GruR2ExuVcGRJ9UzUgqaa4LuU4Y+koIVGQh4+vh0+i56OlBIVCG
PXcZRMFKWW1Il6Dcaud7++uC+Lf/Ker/NdeMfq10ZW23QaG0yMw1zfcf9/cLrWWFkLqhtcP57yNz
hz/qEdb+WoesPCv/Jv/hW7WWhIq8XUGj6O9jN4ji4dFdIW1TCrBsdnQ/nK2GROPyaYoqcUq4GvtU
/IzAdyqX7stE08/rv7PAf5ZI/+GESZ/mf/3143LDAodDN1FmbLxZg/uDWvWW8pm5Ouz7UYHXpPPf
J+MqrZ1+KOF6sHn/EULZr2Y/6eH5nuj8/XYCI/U/5U786VJRBoZDvbNLcLE/YCw+Dr2JOnAJgekP
IXAZ1YMoIXYKssedDZ9H0TiXwdSSK2EhrrdDiaQrw5Yx4XFS3LQS4pAdardVhGyzhLlSkvwYPKt7
Vkbk6T70jq6AZCkKvQzLHroENQFURliI69I9upQ/7j/cHYqDIYy5IzF7tr9+Z56TyPNHhaw73V9L
GVndOlrK6o96MVyoqsEoAwp4uQ3d7a6ozkB46084c0Aug0JxM0039MfOsCWvjF2CYFyCbp6OXy5J
Cef6aqjyAaTtfHUFGRdvGLw4ItIpWntkoXcolDkZZRjvhDmfvZUKOjWk+6D2jLHat8UzXQYNwM1o
odaowTSuP91brHZSOK/5uUarlPGnL0wVo4xs4S0EWN5iQQxKcWbextf8oMtxT/RpuEBt5OubGhbS
9F1XOh7GQ68YVm4IhbD2wMOJ93KlKZUpY2iPetF8nMzGKmPGFJOJWVhUc7RCzZ/161fr593j6JXl
EM5S3ZX+3RvFeKT5QOl6lKHqPoK/CVZH5zFkPIujfzzqwfkRxMn+ZB4+ThjHS3iR/QMvE38Yjanf
+sej/F+91x4KlX0JNsT9Aqz/bPuavgH+V4btc+09PxPV7A2j+HDRskqs7+8+WuSHgJL7Vbsfe1Ng
hT6r9vVfM+D74UOJBYAuLCEayXU13A7ZoNCb/b//8b+iqfytH24hfWAGZ/CWzIf5rin6EBAt7Zbe
9dIzUsG3onMPHlxCtStBxR++obSthQQz/9Gvn9j7EU7BNBf36B9PvGGwxV/yjj7BTTVUg7wwTjac
Eh56EkyfAxbwYTjFjfTUMBMstiBRS9i8y2HihZ6CyxKGaJqflWAr3g5rM6/2BOSpFkVJvg+ilfbP
KGHvydS5r4xcgg66Gi7iccGsyZbm3Uvg7xdYeg1cmwe4u8LLKafgJ7kyD99m/58f/qinRti/+1VG
AqpMRvlP3/t+rx8z8dmzHCqj/Zu/WqaJ0mXMZ55P4C319CFMHpWYQgnOBxUfHhHtFGXaGYaPVE4f
noIS4vxQDybeTA3zl2FmymzJSyg3QRn5NqHeok6YeLwydBlhgO5wC37hNbugDKOtW5AO6falawie
BHNoBdRyoDJMpHzc14n1yvBRIawt8uCWAW0ha/UMjWyi1h6VwYRzRuWwl+9YppxKuP0vkOPC/hll
1J1eD0MhnCjSI5VBvSgQg0hYZRTb1nizVOYHDdtb4LdxIJlSxdZqlFF7mjEOX3pxHKXa9Ga08lQN
UoZDkz3lKnlSY5+NUjQfOCXveficTv8heKQu61AeG9LRUFehPOARZ+vTRS6D6DVl2CijACFbqN89
0OEQQQvMQahUM63wIqBSBjldRzjOovHR717oeq8qeYpq9Rfw8/2bT/j/3F3BbtpAFPwVjonUCxQK
vVQqDiRSFBoVmkq9uZYbXBxcGayK/FH/obf8WOfZ3spvvcEJjEjEMShae+1d73vzZuYRDuwhSJeW
M2KHUfD3UJQHhmoeQQ4qMBKcqa+jok6fkHIAHlu3RtALgUyV6W3MkFoUqxMhzHr+8CcO7zbVp9Lj
GHNhAlc+rqBZd9K1jJDUFBMoToHWSaHCOK1OAk2/X3Ph3CWONDH48eQ3wow6Sn6ACPlsMTWDr4tq
2o8kXjiwQbQE6sAQ/z3anbe70gGq2TfXlcEehqBTaL/3Xc9bhKkvZXmQ3koAoovgDEB1iAKcJUJh
sEOHqX+v/cKk/fi+MZR8nxRAycA+vSRObL9pBuQ/CpAxafbgO0JiOkZ6F8zFLNxynmaoLcZ+vHiU
GUsAS88zkG8UzgIcc/91MQVyjqqNWhpthshSCqgAiVSQ0h4QsoHrMM3MvPOUt/mj2ozif0kz+2bR
xtdcZnf0/ga893v0kFEvDvYDTSO/3DHgMus4wkOh8D6BjZF/l6iXw4ijh1DW2qAoIY2byuc2caaJ
DFaQl0hufXIZgm++vD11ZdmMnDcnH4mDFBIB+RC7rsPQAXpJYmIylYv1GisozZ+LcfQzMltYvkEM
xskYWifxezNtoXL9SRSkdSrc1g5LT0S1yrMQYr5NjWrHYKeX4+dsMHnZAqb8d4oSpqM2QmMcDIBZ
Ffug7jKUPVu2exFC11au0HwOV8EZoI7Y/KZWFuxazKLY/cS4REn0OwAEM1J+xDHMmr15Ck4JKhSO
RKXNsNmYhL9bnh87RE0Mpdckslz1GTqvG38JRYkOJxhI0MQHWUW9QcaelQf8LQTjwZLfDt6aS+2+
7K6jdQAEz3m4wOOKcAH/F0qGMoV6s542p+Af270GCNsRh9QKhXg3EZChPCpAsYswRunpTevjCtDz
Cr0NCjxddiyKfyCzeNlyruIUWI/t/1JmyQKxqVqpaN3KGBdEQTNMDtoyqMWzDEJj62YJK/MrXm9U
1BfG2RqsL3XjjIpoLcjsMOgznvA8pTZlNm31vnuAUvt9eJ2h3SooNd0eQ/pfipCnedtKdMdcJmnr
UwbaGuJFZxiHnvBdtHvu9gZAwaTz8WtOfBz+gfsmPtU0rmSIVH8aHZ694jIvPOwsdySynIcJamRq
bzJ42J+zlUVK7zBYe7OHv2gJsQmrWxLWlObPx85p1+I4DPrrcpk87Lpwzb3SwFndjNo4z+BuuVwn
1cDlJt2CYtc0qdX7Juzx6nCOaYI+J/8RxEhMPvwDAAD//w==</cx:binary>
              </cx:geoCache>
            </cx:geography>
          </cx:layoutPr>
        </cx:series>
      </cx:plotAreaRegion>
    </cx:plotArea>
    <cx:legend pos="r" align="min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" lastClr="FFFFFF">
                <a:lumMod val="95000"/>
              </a:sysClr>
            </a:solidFill>
            <a:latin typeface="Aptos Narrow" panose="02110004020202020204"/>
          </a:endParaRPr>
        </a:p>
      </cx:txPr>
    </cx:legend>
  </cx:chart>
  <cx:fmtOvrs>
    <cx:fmtOvr idx="2">
      <cx:spPr>
        <a:solidFill>
          <a:schemeClr val="accent3">
            <a:lumMod val="50000"/>
          </a:schemeClr>
        </a:solidFill>
      </cx:spPr>
    </cx:fmtOvr>
    <cx:fmtOvr idx="8">
      <cx:spPr>
        <a:solidFill>
          <a:srgbClr val="C00000"/>
        </a:solidFill>
      </cx:spPr>
    </cx:fmtOvr>
  </cx:fmtOvrs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497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solidFill>
        <a:schemeClr val="dk1"/>
      </a:soli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3175">
        <a:solidFill>
          <a:schemeClr val="dk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3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3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3.xml"/><Relationship Id="rId3" Type="http://schemas.openxmlformats.org/officeDocument/2006/relationships/chart" Target="../charts/chart18.xml"/><Relationship Id="rId7" Type="http://schemas.openxmlformats.org/officeDocument/2006/relationships/chart" Target="../charts/chart22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6" Type="http://schemas.openxmlformats.org/officeDocument/2006/relationships/chart" Target="../charts/chart21.xml"/><Relationship Id="rId5" Type="http://schemas.openxmlformats.org/officeDocument/2006/relationships/chart" Target="../charts/chart20.xml"/><Relationship Id="rId4" Type="http://schemas.openxmlformats.org/officeDocument/2006/relationships/chart" Target="../charts/chart19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45720</xdr:colOff>
      <xdr:row>19</xdr:row>
      <xdr:rowOff>514350</xdr:rowOff>
    </xdr:from>
    <xdr:to>
      <xdr:col>21</xdr:col>
      <xdr:colOff>259080</xdr:colOff>
      <xdr:row>21</xdr:row>
      <xdr:rowOff>861060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068E4D5-150B-03C1-C51C-AE6402434D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297180</xdr:colOff>
      <xdr:row>35</xdr:row>
      <xdr:rowOff>125730</xdr:rowOff>
    </xdr:from>
    <xdr:to>
      <xdr:col>25</xdr:col>
      <xdr:colOff>205740</xdr:colOff>
      <xdr:row>55</xdr:row>
      <xdr:rowOff>68580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1330D55-D35D-FA6A-AB43-6B5B44D0DE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76200</xdr:colOff>
      <xdr:row>67</xdr:row>
      <xdr:rowOff>19050</xdr:rowOff>
    </xdr:from>
    <xdr:to>
      <xdr:col>20</xdr:col>
      <xdr:colOff>76200</xdr:colOff>
      <xdr:row>82</xdr:row>
      <xdr:rowOff>19050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86A4A15-A23F-9FA7-E037-E8A05572B9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91440</xdr:colOff>
      <xdr:row>236</xdr:row>
      <xdr:rowOff>87630</xdr:rowOff>
    </xdr:from>
    <xdr:to>
      <xdr:col>10</xdr:col>
      <xdr:colOff>83820</xdr:colOff>
      <xdr:row>251</xdr:row>
      <xdr:rowOff>87630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4BC77A6-AACD-B7CF-7965-7DFC03D527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15240</xdr:colOff>
      <xdr:row>221</xdr:row>
      <xdr:rowOff>49530</xdr:rowOff>
    </xdr:from>
    <xdr:to>
      <xdr:col>10</xdr:col>
      <xdr:colOff>7620</xdr:colOff>
      <xdr:row>236</xdr:row>
      <xdr:rowOff>49530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D4773FD-76B8-1FFC-CCCC-0027AB499C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264</xdr:row>
      <xdr:rowOff>0</xdr:rowOff>
    </xdr:from>
    <xdr:to>
      <xdr:col>2</xdr:col>
      <xdr:colOff>365760</xdr:colOff>
      <xdr:row>264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B7B6F5D-BB9B-4FC3-B1AF-0581C44783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2152650</xdr:colOff>
      <xdr:row>43</xdr:row>
      <xdr:rowOff>49530</xdr:rowOff>
    </xdr:from>
    <xdr:to>
      <xdr:col>15</xdr:col>
      <xdr:colOff>240030</xdr:colOff>
      <xdr:row>58</xdr:row>
      <xdr:rowOff>49530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0694662-0729-1C53-40FD-BFCEDECB81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1051560</xdr:colOff>
      <xdr:row>34</xdr:row>
      <xdr:rowOff>72390</xdr:rowOff>
    </xdr:from>
    <xdr:to>
      <xdr:col>19</xdr:col>
      <xdr:colOff>270510</xdr:colOff>
      <xdr:row>58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4FF432-7BE4-20DF-B7A7-226C30686B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152400</xdr:colOff>
      <xdr:row>2</xdr:row>
      <xdr:rowOff>129540</xdr:rowOff>
    </xdr:from>
    <xdr:to>
      <xdr:col>23</xdr:col>
      <xdr:colOff>304800</xdr:colOff>
      <xdr:row>24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EE9B9D-5197-48F0-8871-5CA71CA7D0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144780</xdr:colOff>
      <xdr:row>6</xdr:row>
      <xdr:rowOff>26670</xdr:rowOff>
    </xdr:from>
    <xdr:to>
      <xdr:col>13</xdr:col>
      <xdr:colOff>274320</xdr:colOff>
      <xdr:row>26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AF27999-4589-7898-D139-E4F455C682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1043940</xdr:colOff>
      <xdr:row>90</xdr:row>
      <xdr:rowOff>179070</xdr:rowOff>
    </xdr:from>
    <xdr:to>
      <xdr:col>9</xdr:col>
      <xdr:colOff>792480</xdr:colOff>
      <xdr:row>107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7FA8E17-34A0-FC73-B801-3C144D884F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579120</xdr:colOff>
      <xdr:row>248</xdr:row>
      <xdr:rowOff>87630</xdr:rowOff>
    </xdr:from>
    <xdr:to>
      <xdr:col>6</xdr:col>
      <xdr:colOff>533400</xdr:colOff>
      <xdr:row>271</xdr:row>
      <xdr:rowOff>175260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C0787921-88E8-CEE6-D085-B07B8FA4E26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9120" y="45639990"/>
              <a:ext cx="7559040" cy="42938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606462</xdr:colOff>
      <xdr:row>4</xdr:row>
      <xdr:rowOff>66338</xdr:rowOff>
    </xdr:from>
    <xdr:to>
      <xdr:col>15</xdr:col>
      <xdr:colOff>495299</xdr:colOff>
      <xdr:row>104</xdr:row>
      <xdr:rowOff>22859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8DC35EA-9528-29D3-0579-0A242E6159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384138</xdr:colOff>
      <xdr:row>123</xdr:row>
      <xdr:rowOff>1345</xdr:rowOff>
    </xdr:from>
    <xdr:to>
      <xdr:col>15</xdr:col>
      <xdr:colOff>502920</xdr:colOff>
      <xdr:row>151</xdr:row>
      <xdr:rowOff>256540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8CA924F-BD0D-D188-111F-3541541A2B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1912620</xdr:colOff>
      <xdr:row>159</xdr:row>
      <xdr:rowOff>76200</xdr:rowOff>
    </xdr:from>
    <xdr:to>
      <xdr:col>13</xdr:col>
      <xdr:colOff>449580</xdr:colOff>
      <xdr:row>180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1F3E88-B659-CA89-8141-013DD6FBD5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396240</xdr:colOff>
      <xdr:row>50</xdr:row>
      <xdr:rowOff>41910</xdr:rowOff>
    </xdr:from>
    <xdr:to>
      <xdr:col>13</xdr:col>
      <xdr:colOff>91440</xdr:colOff>
      <xdr:row>111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F56C0B-D2F4-02CB-932B-6CA94A410C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311331</xdr:colOff>
      <xdr:row>161</xdr:row>
      <xdr:rowOff>176893</xdr:rowOff>
    </xdr:from>
    <xdr:to>
      <xdr:col>5</xdr:col>
      <xdr:colOff>1373777</xdr:colOff>
      <xdr:row>176</xdr:row>
      <xdr:rowOff>176893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909107E-DB40-338B-AA0B-7D27D94D1A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1611085</xdr:colOff>
      <xdr:row>162</xdr:row>
      <xdr:rowOff>1</xdr:rowOff>
    </xdr:from>
    <xdr:to>
      <xdr:col>10</xdr:col>
      <xdr:colOff>357051</xdr:colOff>
      <xdr:row>177</xdr:row>
      <xdr:rowOff>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2E95A48-1DE4-4C8C-9A77-E270960B30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141515</xdr:colOff>
      <xdr:row>178</xdr:row>
      <xdr:rowOff>32658</xdr:rowOff>
    </xdr:from>
    <xdr:to>
      <xdr:col>5</xdr:col>
      <xdr:colOff>1203961</xdr:colOff>
      <xdr:row>193</xdr:row>
      <xdr:rowOff>32657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6275AB6-D207-4138-9D0F-D7E630DC6F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1306286</xdr:colOff>
      <xdr:row>177</xdr:row>
      <xdr:rowOff>163286</xdr:rowOff>
    </xdr:from>
    <xdr:to>
      <xdr:col>10</xdr:col>
      <xdr:colOff>54429</xdr:colOff>
      <xdr:row>192</xdr:row>
      <xdr:rowOff>130629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C09B5BE-4836-4DB6-8C35-2E53E8CACB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402771</xdr:colOff>
      <xdr:row>162</xdr:row>
      <xdr:rowOff>0</xdr:rowOff>
    </xdr:from>
    <xdr:to>
      <xdr:col>18</xdr:col>
      <xdr:colOff>97971</xdr:colOff>
      <xdr:row>176</xdr:row>
      <xdr:rowOff>152400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2E124A88-10DF-495B-96B9-2DCB4197CC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97971</xdr:colOff>
      <xdr:row>177</xdr:row>
      <xdr:rowOff>97970</xdr:rowOff>
    </xdr:from>
    <xdr:to>
      <xdr:col>17</xdr:col>
      <xdr:colOff>402771</xdr:colOff>
      <xdr:row>192</xdr:row>
      <xdr:rowOff>65313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6852B053-28FB-4B65-BC06-7E1FCE2DB7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174172</xdr:colOff>
      <xdr:row>192</xdr:row>
      <xdr:rowOff>87087</xdr:rowOff>
    </xdr:from>
    <xdr:to>
      <xdr:col>11</xdr:col>
      <xdr:colOff>1</xdr:colOff>
      <xdr:row>207</xdr:row>
      <xdr:rowOff>54429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2676603D-614B-5920-F4EF-437D86705C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0</xdr:colOff>
      <xdr:row>3</xdr:row>
      <xdr:rowOff>10894</xdr:rowOff>
    </xdr:from>
    <xdr:to>
      <xdr:col>26</xdr:col>
      <xdr:colOff>97973</xdr:colOff>
      <xdr:row>24</xdr:row>
      <xdr:rowOff>119743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79ECB83C-B92D-A5E1-48F3-E3D12A558D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148935</xdr:colOff>
      <xdr:row>177</xdr:row>
      <xdr:rowOff>10392</xdr:rowOff>
    </xdr:from>
    <xdr:to>
      <xdr:col>7</xdr:col>
      <xdr:colOff>845126</xdr:colOff>
      <xdr:row>196</xdr:row>
      <xdr:rowOff>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2A8CD48-68D2-802E-4FC9-E32F11A26A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kob Urh" refreshedDate="45805.914893402776" createdVersion="8" refreshedVersion="8" minRefreshableVersion="3" recordCount="149" xr:uid="{00C4FE51-17CE-42C7-8747-7FC51C62B9C7}">
  <cacheSource type="worksheet">
    <worksheetSource ref="A1:T150" sheet="podatki"/>
  </cacheSource>
  <cacheFields count="20">
    <cacheField name="Country name" numFmtId="0">
      <sharedItems count="149">
        <s v="Finland"/>
        <s v="Denmark"/>
        <s v="Switzerland"/>
        <s v="Iceland"/>
        <s v="Netherlands"/>
        <s v="Norway"/>
        <s v="Sweden"/>
        <s v="Luxembourg"/>
        <s v="New Zealand"/>
        <s v="Austria"/>
        <s v="Australia"/>
        <s v="Israel"/>
        <s v="Germany"/>
        <s v="Canada"/>
        <s v="Ireland"/>
        <s v="Costa Rica"/>
        <s v="United Kingdom"/>
        <s v="Czech Republic"/>
        <s v="United States"/>
        <s v="Belgium"/>
        <s v="France"/>
        <s v="Bahrain"/>
        <s v="Malta"/>
        <s v="Taiwan Province of China"/>
        <s v="United Arab Emirates"/>
        <s v="Saudi Arabia"/>
        <s v="Spain"/>
        <s v="Italy"/>
        <s v="Slovenia"/>
        <s v="Guatemala"/>
        <s v="Uruguay"/>
        <s v="Singapore"/>
        <s v="Kosovo"/>
        <s v="Slovakia"/>
        <s v="Brazil"/>
        <s v="Mexico"/>
        <s v="Jamaica"/>
        <s v="Lithuania"/>
        <s v="Cyprus"/>
        <s v="Estonia"/>
        <s v="Panama"/>
        <s v="Uzbekistan"/>
        <s v="Chile"/>
        <s v="Poland"/>
        <s v="Kazakhstan"/>
        <s v="Romania"/>
        <s v="Kuwait"/>
        <s v="Serbia"/>
        <s v="El Salvador"/>
        <s v="Mauritius"/>
        <s v="Latvia"/>
        <s v="Colombia"/>
        <s v="Hungary"/>
        <s v="Thailand"/>
        <s v="Nicaragua"/>
        <s v="Japan"/>
        <s v="Argentina"/>
        <s v="Portugal"/>
        <s v="Honduras"/>
        <s v="Croatia"/>
        <s v="Philippines"/>
        <s v="South Korea"/>
        <s v="Peru"/>
        <s v="Bosnia and Herzegovina"/>
        <s v="Moldova"/>
        <s v="Ecuador"/>
        <s v="Kyrgyzstan"/>
        <s v="Greece"/>
        <s v="Bolivia"/>
        <s v="Mongolia"/>
        <s v="Paraguay"/>
        <s v="Montenegro"/>
        <s v="Dominican Republic"/>
        <s v="North Cyprus"/>
        <s v="Belarus"/>
        <s v="Russia"/>
        <s v="Hong Kong S.A.R. of China"/>
        <s v="Tajikistan"/>
        <s v="Vietnam"/>
        <s v="Libya"/>
        <s v="Malaysia"/>
        <s v="Indonesia"/>
        <s v="Congo (Brazzaville)"/>
        <s v="China"/>
        <s v="Ivory Coast"/>
        <s v="Armenia"/>
        <s v="Nepal"/>
        <s v="Bulgaria"/>
        <s v="Maldives"/>
        <s v="Azerbaijan"/>
        <s v="Cameroon"/>
        <s v="Senegal"/>
        <s v="Albania"/>
        <s v="North Macedonia"/>
        <s v="Ghana"/>
        <s v="Niger"/>
        <s v="Turkmenistan"/>
        <s v="Gambia"/>
        <s v="Benin"/>
        <s v="Laos"/>
        <s v="Bangladesh"/>
        <s v="Guinea"/>
        <s v="South Africa"/>
        <s v="Turkey"/>
        <s v="Pakistan"/>
        <s v="Morocco"/>
        <s v="Venezuela"/>
        <s v="Georgia"/>
        <s v="Algeria"/>
        <s v="Ukraine"/>
        <s v="Iraq"/>
        <s v="Gabon"/>
        <s v="Burkina Faso"/>
        <s v="Cambodia"/>
        <s v="Mozambique"/>
        <s v="Nigeria"/>
        <s v="Mali"/>
        <s v="Iran"/>
        <s v="Uganda"/>
        <s v="Liberia"/>
        <s v="Kenya"/>
        <s v="Tunisia"/>
        <s v="Lebanon"/>
        <s v="Namibia"/>
        <s v="Palestinian Territories"/>
        <s v="Myanmar"/>
        <s v="Jordan"/>
        <s v="Chad"/>
        <s v="Sri Lanka"/>
        <s v="Swaziland"/>
        <s v="Comoros"/>
        <s v="Egypt"/>
        <s v="Ethiopia"/>
        <s v="Mauritania"/>
        <s v="Madagascar"/>
        <s v="Togo"/>
        <s v="Zambia"/>
        <s v="Sierra Leone"/>
        <s v="India"/>
        <s v="Burundi"/>
        <s v="Yemen"/>
        <s v="Tanzania"/>
        <s v="Haiti"/>
        <s v="Malawi"/>
        <s v="Lesotho"/>
        <s v="Botswana"/>
        <s v="Rwanda"/>
        <s v="Zimbabwe"/>
        <s v="Afghanistan"/>
      </sharedItems>
    </cacheField>
    <cacheField name="Regional indicator" numFmtId="0">
      <sharedItems count="10">
        <s v="Western Europe"/>
        <s v="North America and ANZ"/>
        <s v="Middle East and North Africa"/>
        <s v="Latin America and Caribbean"/>
        <s v="Central and Eastern Europe"/>
        <s v="East Asia"/>
        <s v="Southeast Asia"/>
        <s v="Commonwealth of Independent States"/>
        <s v="Sub-Saharan Africa"/>
        <s v="South Asia"/>
      </sharedItems>
    </cacheField>
    <cacheField name="Ladder score" numFmtId="3">
      <sharedItems containsSemiMixedTypes="0" containsString="0" containsNumber="1" containsInteger="1" minValue="2523" maxValue="7842"/>
    </cacheField>
    <cacheField name="Standard error of ladder score" numFmtId="0">
      <sharedItems/>
    </cacheField>
    <cacheField name="upperwhisker" numFmtId="3">
      <sharedItems containsSemiMixedTypes="0" containsString="0" containsNumber="1" containsInteger="1" minValue="2596" maxValue="7904"/>
    </cacheField>
    <cacheField name="lowerwhisker" numFmtId="3">
      <sharedItems containsSemiMixedTypes="0" containsString="0" containsNumber="1" containsInteger="1" minValue="2449" maxValue="7780"/>
    </cacheField>
    <cacheField name="Logged GDP per capita" numFmtId="3">
      <sharedItems containsSemiMixedTypes="0" containsString="0" containsNumber="1" containsInteger="1" minValue="6635" maxValue="11647"/>
    </cacheField>
    <cacheField name="Social support" numFmtId="0">
      <sharedItems/>
    </cacheField>
    <cacheField name="Healthy life expectancy" numFmtId="3">
      <sharedItems containsSemiMixedTypes="0" containsString="0" containsNumber="1" containsInteger="1" minValue="48478" maxValue="76953"/>
    </cacheField>
    <cacheField name="Freedom to make life choices" numFmtId="0">
      <sharedItems count="126">
        <s v="0.949"/>
        <s v="0.946"/>
        <s v="0.919"/>
        <s v="0.955"/>
        <s v="0.913"/>
        <s v="0.960"/>
        <s v="0.945"/>
        <s v="0.907"/>
        <s v="0.929"/>
        <s v="0.908"/>
        <s v="0.914"/>
        <s v="0.800"/>
        <s v="0.875"/>
        <s v="0.915"/>
        <s v="0.879"/>
        <s v="0.934"/>
        <s v="0.859"/>
        <s v="0.858"/>
        <s v="0.837"/>
        <s v="0.783"/>
        <s v="0.822"/>
        <s v="0.925"/>
        <s v="0.927"/>
        <s v="0.784"/>
        <s v="0.932"/>
        <s v="0.877"/>
        <s v="0.761"/>
        <s v="0.693"/>
        <s v="0.906"/>
        <s v="0.896"/>
        <s v="0.869"/>
        <s v="0.766"/>
        <s v="0.804"/>
        <s v="0.862"/>
        <s v="0.890"/>
        <s v="0.773"/>
        <s v="0.763"/>
        <s v="0.909"/>
        <s v="0.872"/>
        <s v="0.970"/>
        <s v="0.742"/>
        <s v="0.841"/>
        <s v="0.853"/>
        <s v="0.845"/>
        <s v="0.867"/>
        <s v="0.778"/>
        <s v="0.888"/>
        <s v="0.715"/>
        <s v="0.755"/>
        <s v="0.884"/>
        <s v="0.836"/>
        <s v="0.796"/>
        <s v="0.828"/>
        <s v="0.892"/>
        <s v="0.857"/>
        <s v="0.754"/>
        <s v="0.917"/>
        <s v="0.672"/>
        <s v="0.706"/>
        <s v="0.842"/>
        <s v="0.935"/>
        <s v="0.582"/>
        <s v="0.708"/>
        <s v="0.876"/>
        <s v="0.860"/>
        <s v="0.795"/>
        <s v="0.650"/>
        <s v="0.718"/>
        <s v="0.717"/>
        <s v="0.832"/>
        <s v="0.940"/>
        <s v="0.771"/>
        <s v="0.895"/>
        <s v="0.873"/>
        <s v="0.695"/>
        <s v="0.904"/>
        <s v="0.741"/>
        <s v="0.825"/>
        <s v="0.782"/>
        <s v="0.788"/>
        <s v="0.854"/>
        <s v="0.814"/>
        <s v="0.731"/>
        <s v="0.785"/>
        <s v="0.751"/>
        <s v="0.807"/>
        <s v="0.806"/>
        <s v="0.697"/>
        <s v="0.757"/>
        <s v="0.910"/>
        <s v="0.749"/>
        <s v="0.576"/>
        <s v="0.726"/>
        <s v="0.774"/>
        <s v="0.615"/>
        <s v="0.480"/>
        <s v="0.724"/>
        <s v="0.630"/>
        <s v="0.959"/>
        <s v="0.882"/>
        <s v="0.737"/>
        <s v="0.608"/>
        <s v="0.709"/>
        <s v="0.735"/>
        <s v="0.779"/>
        <s v="0.656"/>
        <s v="0.525"/>
        <s v="0.719"/>
        <s v="0.653"/>
        <s v="0.579"/>
        <s v="0.647"/>
        <s v="0.548"/>
        <s v="0.752"/>
        <s v="0.561"/>
        <s v="0.552"/>
        <s v="0.619"/>
        <s v="0.893"/>
        <s v="0.626"/>
        <s v="0.602"/>
        <s v="0.833"/>
        <s v="0.593"/>
        <s v="0.780"/>
        <s v="0.824"/>
        <s v="0.897"/>
        <s v="0.677"/>
        <s v="0.382"/>
      </sharedItems>
    </cacheField>
    <cacheField name="Generosity" numFmtId="0">
      <sharedItems/>
    </cacheField>
    <cacheField name="Perceptions of corruption" numFmtId="0">
      <sharedItems count="130">
        <s v="0.186"/>
        <s v="0.179"/>
        <s v="0.292"/>
        <s v="0.673"/>
        <s v="0.338"/>
        <s v="0.270"/>
        <s v="0.237"/>
        <s v="0.386"/>
        <s v="0.242"/>
        <s v="0.481"/>
        <s v="0.442"/>
        <s v="0.753"/>
        <s v="0.460"/>
        <s v="0.415"/>
        <s v="0.363"/>
        <s v="0.809"/>
        <s v="0.459"/>
        <s v="0.868"/>
        <s v="0.698"/>
        <s v="0.646"/>
        <s v="0.571"/>
        <s v="0.722"/>
        <s v="0.653"/>
        <s v="0.721"/>
        <s v="0.589"/>
        <s v="0.684"/>
        <s v="0.745"/>
        <s v="0.866"/>
        <s v="0.806"/>
        <s v="0.775"/>
        <s v="0.590"/>
        <s v="0.082"/>
        <s v="0.917"/>
        <s v="0.911"/>
        <s v="0.756"/>
        <s v="0.799"/>
        <s v="0.884"/>
        <s v="0.826"/>
        <s v="0.844"/>
        <s v="0.527"/>
        <s v="0.856"/>
        <s v="0.515"/>
        <s v="0.830"/>
        <s v="0.735"/>
        <s v="0.733"/>
        <s v="0.938"/>
        <s v="0.736"/>
        <s v="0.835"/>
        <s v="0.688"/>
        <s v="0.789"/>
        <s v="0.800"/>
        <s v="0.841"/>
        <s v="0.876"/>
        <s v="0.895"/>
        <s v="0.664"/>
        <s v="0.638"/>
        <s v="0.834"/>
        <s v="0.887"/>
        <s v="0.939"/>
        <s v="0.742"/>
        <s v="0.727"/>
        <s v="0.891"/>
        <s v="0.931"/>
        <s v="0.918"/>
        <s v="0.843"/>
        <s v="0.908"/>
        <s v="0.823"/>
        <s v="0.839"/>
        <s v="0.882"/>
        <s v="0.812"/>
        <s v="0.714"/>
        <s v="0.626"/>
        <s v="0.627"/>
        <s v="0.845"/>
        <s v="0.403"/>
        <s v="0.553"/>
        <s v="0.796"/>
        <s v="0.667"/>
        <s v="0.867"/>
        <s v="0.755"/>
        <s v="0.794"/>
        <s v="0.629"/>
        <s v="0.932"/>
        <s v="0.825"/>
        <s v="0.506"/>
        <s v="0.848"/>
        <s v="0.801"/>
        <s v="0.901"/>
        <s v="0.905"/>
        <s v="0.693"/>
        <s v="0.888"/>
        <s v="0.746"/>
        <s v="0.661"/>
        <s v="0.658"/>
        <s v="0.682"/>
        <s v="0.766"/>
        <s v="0.860"/>
        <s v="0.776"/>
        <s v="0.787"/>
        <s v="0.827"/>
        <s v="0.655"/>
        <s v="0.752"/>
        <s v="0.924"/>
        <s v="0.875"/>
        <s v="0.840"/>
        <s v="0.748"/>
        <s v="0.878"/>
        <s v="0.855"/>
        <s v="0.850"/>
        <s v="0.870"/>
        <s v="0.898"/>
        <s v="0.847"/>
        <s v="0.821"/>
        <s v="0.660"/>
        <s v="0.705"/>
        <s v="0.807"/>
        <s v="0.863"/>
        <s v="0.708"/>
        <s v="0.781"/>
        <s v="0.795"/>
        <s v="0.761"/>
        <s v="0.731"/>
        <s v="0.803"/>
        <s v="0.772"/>
        <s v="0.774"/>
        <s v="0.607"/>
        <s v="0.577"/>
        <s v="0.729"/>
        <s v="0.915"/>
        <s v="0.167"/>
      </sharedItems>
    </cacheField>
    <cacheField name="Ladder score in Dystopia" numFmtId="3">
      <sharedItems containsSemiMixedTypes="0" containsString="0" containsNumber="1" containsInteger="1" minValue="2430" maxValue="2430"/>
    </cacheField>
    <cacheField name="Explained by: Log GDP per capita" numFmtId="0">
      <sharedItems containsMixedTypes="1" containsNumber="1" containsInteger="1" minValue="1008" maxValue="1751"/>
    </cacheField>
    <cacheField name="Explained by: Social support" numFmtId="0">
      <sharedItems containsMixedTypes="1" containsNumber="1" containsInteger="1" minValue="1003" maxValue="1172"/>
    </cacheField>
    <cacheField name="Explained by: Healthy life expectancy" numFmtId="0">
      <sharedItems/>
    </cacheField>
    <cacheField name="Explained by: Freedom to make life choices" numFmtId="0">
      <sharedItems/>
    </cacheField>
    <cacheField name="Explained by: Generosity" numFmtId="0">
      <sharedItems/>
    </cacheField>
    <cacheField name="Explained by: Perceptions of corruption" numFmtId="0">
      <sharedItems/>
    </cacheField>
    <cacheField name="Dystopia + residual" numFmtId="0">
      <sharedItems containsMixedTypes="1" containsNumber="1" containsInteger="1" minValue="1075" maxValue="348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kob Urh" refreshedDate="45807.363972453706" createdVersion="8" refreshedVersion="8" minRefreshableVersion="3" recordCount="149" xr:uid="{AE4309A1-61A9-4670-BE30-A785BDC47C90}">
  <cacheSource type="worksheet">
    <worksheetSource ref="C29:E178" sheet="Sheet2"/>
  </cacheSource>
  <cacheFields count="3">
    <cacheField name="Normalized GDP" numFmtId="0">
      <sharedItems containsSemiMixedTypes="0" containsString="0" containsNumber="1" minValue="0" maxValue="1"/>
    </cacheField>
    <cacheField name="Normalized corruption" numFmtId="0">
      <sharedItems containsSemiMixedTypes="0" containsString="0" containsNumber="1" minValue="0" maxValue="1"/>
    </cacheField>
    <cacheField name="Regional indicator" numFmtId="0">
      <sharedItems count="10">
        <s v="Western Europe"/>
        <s v="North America and ANZ"/>
        <s v="Middle East and North Africa"/>
        <s v="Latin America and Caribbean"/>
        <s v="Central and Eastern Europe"/>
        <s v="East Asia"/>
        <s v="Southeast Asia"/>
        <s v="Commonwealth of Independent States"/>
        <s v="Sub-Saharan Africa"/>
        <s v="South Asi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9">
  <r>
    <x v="0"/>
    <x v="0"/>
    <n v="7842"/>
    <s v="0.032"/>
    <n v="7904"/>
    <n v="7780"/>
    <n v="10775"/>
    <s v="0.954"/>
    <n v="72000"/>
    <x v="0"/>
    <s v="-0.098"/>
    <x v="0"/>
    <n v="2430"/>
    <n v="1446"/>
    <n v="1106"/>
    <s v="0.741"/>
    <s v="0.691"/>
    <s v="0.124"/>
    <s v="0.481"/>
    <n v="3253"/>
  </r>
  <r>
    <x v="1"/>
    <x v="0"/>
    <n v="7620"/>
    <s v="0.035"/>
    <n v="7687"/>
    <n v="7552"/>
    <n v="10933"/>
    <s v="0.954"/>
    <n v="72700"/>
    <x v="1"/>
    <s v="0.030"/>
    <x v="1"/>
    <n v="2430"/>
    <n v="1502"/>
    <n v="1108"/>
    <s v="0.763"/>
    <s v="0.686"/>
    <s v="0.208"/>
    <s v="0.485"/>
    <n v="2868"/>
  </r>
  <r>
    <x v="2"/>
    <x v="0"/>
    <n v="7571"/>
    <s v="0.036"/>
    <n v="7643"/>
    <n v="7500"/>
    <n v="11117"/>
    <s v="0.942"/>
    <n v="74400"/>
    <x v="2"/>
    <s v="0.025"/>
    <x v="2"/>
    <n v="2430"/>
    <n v="1566"/>
    <n v="1079"/>
    <s v="0.816"/>
    <s v="0.653"/>
    <s v="0.204"/>
    <s v="0.413"/>
    <n v="2839"/>
  </r>
  <r>
    <x v="3"/>
    <x v="0"/>
    <n v="7554"/>
    <s v="0.059"/>
    <n v="7670"/>
    <n v="7438"/>
    <n v="10878"/>
    <s v="0.983"/>
    <n v="73000"/>
    <x v="3"/>
    <s v="0.160"/>
    <x v="3"/>
    <n v="2430"/>
    <n v="1482"/>
    <n v="1172"/>
    <s v="0.772"/>
    <s v="0.698"/>
    <s v="0.293"/>
    <s v="0.170"/>
    <n v="2967"/>
  </r>
  <r>
    <x v="4"/>
    <x v="0"/>
    <n v="7464"/>
    <s v="0.027"/>
    <n v="7518"/>
    <n v="7410"/>
    <n v="10932"/>
    <s v="0.942"/>
    <n v="72400"/>
    <x v="4"/>
    <s v="0.175"/>
    <x v="4"/>
    <n v="2430"/>
    <n v="1501"/>
    <n v="1079"/>
    <s v="0.753"/>
    <s v="0.647"/>
    <s v="0.302"/>
    <s v="0.384"/>
    <n v="2798"/>
  </r>
  <r>
    <x v="5"/>
    <x v="0"/>
    <n v="7392"/>
    <s v="0.035"/>
    <n v="7462"/>
    <n v="7323"/>
    <n v="11053"/>
    <s v="0.954"/>
    <n v="73300"/>
    <x v="5"/>
    <s v="0.093"/>
    <x v="5"/>
    <n v="2430"/>
    <n v="1543"/>
    <n v="1108"/>
    <s v="0.782"/>
    <s v="0.703"/>
    <s v="0.249"/>
    <s v="0.427"/>
    <n v="2580"/>
  </r>
  <r>
    <x v="6"/>
    <x v="0"/>
    <n v="7363"/>
    <s v="0.036"/>
    <n v="7433"/>
    <n v="7293"/>
    <n v="10867"/>
    <s v="0.934"/>
    <n v="72700"/>
    <x v="6"/>
    <s v="0.086"/>
    <x v="6"/>
    <n v="2430"/>
    <n v="1478"/>
    <n v="1062"/>
    <s v="0.763"/>
    <s v="0.685"/>
    <s v="0.244"/>
    <s v="0.448"/>
    <n v="2683"/>
  </r>
  <r>
    <x v="7"/>
    <x v="0"/>
    <n v="7324"/>
    <s v="0.037"/>
    <n v="7396"/>
    <n v="7252"/>
    <n v="11647"/>
    <s v="0.908"/>
    <n v="72600"/>
    <x v="7"/>
    <s v="-0.034"/>
    <x v="7"/>
    <n v="2430"/>
    <n v="1751"/>
    <n v="1003"/>
    <s v="0.760"/>
    <s v="0.639"/>
    <s v="0.166"/>
    <s v="0.353"/>
    <n v="2653"/>
  </r>
  <r>
    <x v="8"/>
    <x v="1"/>
    <n v="7277"/>
    <s v="0.040"/>
    <n v="7355"/>
    <n v="7198"/>
    <n v="10643"/>
    <s v="0.948"/>
    <n v="73400"/>
    <x v="8"/>
    <s v="0.134"/>
    <x v="8"/>
    <n v="2430"/>
    <n v="1400"/>
    <n v="1094"/>
    <s v="0.785"/>
    <s v="0.665"/>
    <s v="0.276"/>
    <s v="0.445"/>
    <n v="2612"/>
  </r>
  <r>
    <x v="9"/>
    <x v="0"/>
    <n v="7268"/>
    <s v="0.036"/>
    <n v="7337"/>
    <n v="7198"/>
    <n v="10906"/>
    <s v="0.934"/>
    <n v="73300"/>
    <x v="9"/>
    <s v="0.042"/>
    <x v="9"/>
    <n v="2430"/>
    <n v="1492"/>
    <n v="1062"/>
    <s v="0.782"/>
    <s v="0.640"/>
    <s v="0.215"/>
    <s v="0.292"/>
    <n v="2784"/>
  </r>
  <r>
    <x v="10"/>
    <x v="1"/>
    <n v="7183"/>
    <s v="0.041"/>
    <n v="7265"/>
    <n v="7102"/>
    <n v="10796"/>
    <s v="0.940"/>
    <n v="73900"/>
    <x v="10"/>
    <s v="0.159"/>
    <x v="10"/>
    <n v="2430"/>
    <n v="1453"/>
    <n v="1076"/>
    <s v="0.801"/>
    <s v="0.647"/>
    <s v="0.291"/>
    <s v="0.317"/>
    <n v="2598"/>
  </r>
  <r>
    <x v="11"/>
    <x v="2"/>
    <n v="7157"/>
    <s v="0.034"/>
    <n v="7224"/>
    <n v="7090"/>
    <n v="10575"/>
    <s v="0.939"/>
    <n v="73503"/>
    <x v="11"/>
    <s v="0.031"/>
    <x v="11"/>
    <n v="2430"/>
    <n v="1376"/>
    <n v="1074"/>
    <s v="0.788"/>
    <s v="0.509"/>
    <s v="0.208"/>
    <s v="0.119"/>
    <n v="3083"/>
  </r>
  <r>
    <x v="12"/>
    <x v="0"/>
    <n v="7155"/>
    <s v="0.040"/>
    <n v="7232"/>
    <n v="7077"/>
    <n v="10873"/>
    <s v="0.903"/>
    <n v="72500"/>
    <x v="12"/>
    <s v="0.011"/>
    <x v="12"/>
    <n v="2430"/>
    <n v="1480"/>
    <s v="0.993"/>
    <s v="0.757"/>
    <s v="0.600"/>
    <s v="0.195"/>
    <s v="0.306"/>
    <n v="2824"/>
  </r>
  <r>
    <x v="13"/>
    <x v="1"/>
    <n v="7103"/>
    <s v="0.042"/>
    <n v="7185"/>
    <n v="7021"/>
    <n v="10776"/>
    <s v="0.926"/>
    <n v="73800"/>
    <x v="13"/>
    <s v="0.089"/>
    <x v="13"/>
    <n v="2430"/>
    <n v="1447"/>
    <n v="1044"/>
    <s v="0.798"/>
    <s v="0.648"/>
    <s v="0.246"/>
    <s v="0.335"/>
    <n v="2585"/>
  </r>
  <r>
    <x v="14"/>
    <x v="0"/>
    <n v="7085"/>
    <s v="0.040"/>
    <n v="7164"/>
    <n v="7006"/>
    <n v="11342"/>
    <s v="0.947"/>
    <n v="72400"/>
    <x v="14"/>
    <s v="0.077"/>
    <x v="14"/>
    <n v="2430"/>
    <n v="1644"/>
    <n v="1092"/>
    <s v="0.753"/>
    <s v="0.606"/>
    <s v="0.238"/>
    <s v="0.367"/>
    <n v="2384"/>
  </r>
  <r>
    <x v="15"/>
    <x v="3"/>
    <n v="7069"/>
    <s v="0.056"/>
    <n v="7179"/>
    <n v="6960"/>
    <n v="9880"/>
    <s v="0.891"/>
    <n v="71400"/>
    <x v="15"/>
    <s v="-0.126"/>
    <x v="15"/>
    <n v="2430"/>
    <n v="1134"/>
    <s v="0.966"/>
    <s v="0.722"/>
    <s v="0.673"/>
    <s v="0.105"/>
    <s v="0.083"/>
    <n v="3387"/>
  </r>
  <r>
    <x v="16"/>
    <x v="0"/>
    <n v="7064"/>
    <s v="0.038"/>
    <n v="7138"/>
    <n v="6990"/>
    <n v="10707"/>
    <s v="0.934"/>
    <n v="72500"/>
    <x v="16"/>
    <s v="0.233"/>
    <x v="16"/>
    <n v="2430"/>
    <n v="1423"/>
    <n v="1062"/>
    <s v="0.757"/>
    <s v="0.580"/>
    <s v="0.340"/>
    <s v="0.306"/>
    <n v="2596"/>
  </r>
  <r>
    <x v="17"/>
    <x v="4"/>
    <n v="6965"/>
    <s v="0.049"/>
    <n v="7062"/>
    <n v="6868"/>
    <n v="10556"/>
    <s v="0.947"/>
    <n v="70807"/>
    <x v="17"/>
    <s v="-0.208"/>
    <x v="17"/>
    <n v="2430"/>
    <n v="1370"/>
    <n v="1090"/>
    <s v="0.703"/>
    <s v="0.580"/>
    <s v="0.052"/>
    <s v="0.046"/>
    <n v="3124"/>
  </r>
  <r>
    <x v="18"/>
    <x v="1"/>
    <n v="6951"/>
    <s v="0.049"/>
    <n v="7047"/>
    <n v="6856"/>
    <n v="11023"/>
    <s v="0.920"/>
    <n v="68200"/>
    <x v="18"/>
    <s v="0.098"/>
    <x v="18"/>
    <n v="2430"/>
    <n v="1533"/>
    <n v="1030"/>
    <s v="0.621"/>
    <s v="0.554"/>
    <s v="0.252"/>
    <s v="0.154"/>
    <n v="2807"/>
  </r>
  <r>
    <x v="19"/>
    <x v="0"/>
    <n v="6834"/>
    <s v="0.034"/>
    <n v="6901"/>
    <n v="6767"/>
    <n v="10823"/>
    <s v="0.906"/>
    <n v="72199"/>
    <x v="19"/>
    <s v="-0.153"/>
    <x v="19"/>
    <n v="2430"/>
    <n v="1463"/>
    <s v="0.998"/>
    <s v="0.747"/>
    <s v="0.489"/>
    <s v="0.088"/>
    <s v="0.187"/>
    <n v="2862"/>
  </r>
  <r>
    <x v="20"/>
    <x v="0"/>
    <n v="6690"/>
    <s v="0.037"/>
    <n v="6762"/>
    <n v="6618"/>
    <n v="10704"/>
    <s v="0.942"/>
    <n v="74000"/>
    <x v="20"/>
    <s v="-0.147"/>
    <x v="20"/>
    <n v="2430"/>
    <n v="1421"/>
    <n v="1081"/>
    <s v="0.804"/>
    <s v="0.536"/>
    <s v="0.092"/>
    <s v="0.235"/>
    <n v="2521"/>
  </r>
  <r>
    <x v="21"/>
    <x v="2"/>
    <n v="6647"/>
    <s v="0.068"/>
    <n v="6779"/>
    <n v="6514"/>
    <n v="10669"/>
    <s v="0.862"/>
    <n v="69495"/>
    <x v="21"/>
    <s v="0.089"/>
    <x v="21"/>
    <n v="2430"/>
    <n v="1409"/>
    <s v="0.899"/>
    <s v="0.662"/>
    <s v="0.661"/>
    <s v="0.246"/>
    <s v="0.139"/>
    <n v="2631"/>
  </r>
  <r>
    <x v="22"/>
    <x v="0"/>
    <n v="6602"/>
    <s v="0.044"/>
    <n v="6688"/>
    <n v="6516"/>
    <n v="10674"/>
    <s v="0.931"/>
    <n v="72200"/>
    <x v="22"/>
    <s v="0.133"/>
    <x v="22"/>
    <n v="2430"/>
    <n v="1411"/>
    <n v="1055"/>
    <s v="0.747"/>
    <s v="0.664"/>
    <s v="0.275"/>
    <s v="0.183"/>
    <n v="2268"/>
  </r>
  <r>
    <x v="23"/>
    <x v="5"/>
    <n v="6584"/>
    <s v="0.038"/>
    <n v="6659"/>
    <n v="6510"/>
    <n v="10871"/>
    <s v="0.898"/>
    <n v="69600"/>
    <x v="23"/>
    <s v="-0.070"/>
    <x v="23"/>
    <n v="2430"/>
    <n v="1480"/>
    <s v="0.982"/>
    <s v="0.665"/>
    <s v="0.490"/>
    <s v="0.142"/>
    <s v="0.139"/>
    <n v="2687"/>
  </r>
  <r>
    <x v="24"/>
    <x v="2"/>
    <n v="6561"/>
    <s v="0.039"/>
    <n v="6637"/>
    <n v="6484"/>
    <n v="11085"/>
    <s v="0.844"/>
    <n v="67333"/>
    <x v="24"/>
    <s v="0.074"/>
    <x v="24"/>
    <n v="2430"/>
    <n v="1555"/>
    <s v="0.860"/>
    <s v="0.594"/>
    <s v="0.670"/>
    <s v="0.236"/>
    <s v="0.223"/>
    <n v="2422"/>
  </r>
  <r>
    <x v="25"/>
    <x v="2"/>
    <n v="6494"/>
    <s v="0.056"/>
    <n v="6604"/>
    <n v="6384"/>
    <n v="10743"/>
    <s v="0.891"/>
    <n v="66603"/>
    <x v="25"/>
    <s v="-0.149"/>
    <x v="25"/>
    <n v="2430"/>
    <n v="1435"/>
    <s v="0.964"/>
    <s v="0.571"/>
    <s v="0.603"/>
    <s v="0.090"/>
    <s v="0.163"/>
    <n v="2668"/>
  </r>
  <r>
    <x v="26"/>
    <x v="0"/>
    <n v="6491"/>
    <s v="0.042"/>
    <n v="6574"/>
    <n v="6408"/>
    <n v="10571"/>
    <s v="0.932"/>
    <n v="74700"/>
    <x v="26"/>
    <s v="-0.081"/>
    <x v="26"/>
    <n v="2430"/>
    <n v="1375"/>
    <n v="1057"/>
    <s v="0.826"/>
    <s v="0.462"/>
    <s v="0.135"/>
    <s v="0.124"/>
    <n v="2513"/>
  </r>
  <r>
    <x v="27"/>
    <x v="0"/>
    <n v="6483"/>
    <s v="0.045"/>
    <n v="6572"/>
    <n v="6395"/>
    <n v="10623"/>
    <s v="0.880"/>
    <n v="73800"/>
    <x v="27"/>
    <s v="-0.084"/>
    <x v="27"/>
    <n v="2430"/>
    <n v="1393"/>
    <s v="0.940"/>
    <s v="0.798"/>
    <s v="0.379"/>
    <s v="0.133"/>
    <s v="0.047"/>
    <n v="2794"/>
  </r>
  <r>
    <x v="28"/>
    <x v="4"/>
    <n v="6461"/>
    <s v="0.043"/>
    <n v="6546"/>
    <n v="6376"/>
    <n v="10529"/>
    <s v="0.948"/>
    <n v="71400"/>
    <x v="0"/>
    <s v="-0.101"/>
    <x v="28"/>
    <n v="2430"/>
    <n v="1360"/>
    <n v="1093"/>
    <s v="0.722"/>
    <s v="0.690"/>
    <s v="0.122"/>
    <s v="0.085"/>
    <n v="2388"/>
  </r>
  <r>
    <x v="29"/>
    <x v="3"/>
    <n v="6435"/>
    <s v="0.073"/>
    <n v="6577"/>
    <n v="6292"/>
    <n v="9053"/>
    <s v="0.813"/>
    <n v="64958"/>
    <x v="28"/>
    <s v="-0.038"/>
    <x v="29"/>
    <n v="2430"/>
    <s v="0.845"/>
    <s v="0.790"/>
    <s v="0.519"/>
    <s v="0.638"/>
    <s v="0.163"/>
    <s v="0.105"/>
    <n v="3375"/>
  </r>
  <r>
    <x v="30"/>
    <x v="3"/>
    <n v="6431"/>
    <s v="0.046"/>
    <n v="6521"/>
    <n v="6341"/>
    <n v="9966"/>
    <s v="0.925"/>
    <n v="69100"/>
    <x v="29"/>
    <s v="-0.092"/>
    <x v="30"/>
    <n v="2430"/>
    <n v="1164"/>
    <n v="1042"/>
    <s v="0.649"/>
    <s v="0.625"/>
    <s v="0.128"/>
    <s v="0.223"/>
    <n v="2600"/>
  </r>
  <r>
    <x v="31"/>
    <x v="6"/>
    <n v="6377"/>
    <s v="0.043"/>
    <n v="6460"/>
    <n v="6293"/>
    <n v="11488"/>
    <s v="0.915"/>
    <n v="76953"/>
    <x v="22"/>
    <s v="-0.018"/>
    <x v="31"/>
    <n v="2430"/>
    <n v="1695"/>
    <n v="1019"/>
    <s v="0.897"/>
    <s v="0.664"/>
    <s v="0.176"/>
    <s v="0.547"/>
    <n v="1379"/>
  </r>
  <r>
    <x v="32"/>
    <x v="4"/>
    <n v="6372"/>
    <s v="0.059"/>
    <n v="6487"/>
    <n v="6257"/>
    <n v="9318"/>
    <s v="0.821"/>
    <n v="63813"/>
    <x v="30"/>
    <s v="0.257"/>
    <x v="32"/>
    <n v="2430"/>
    <s v="0.937"/>
    <s v="0.807"/>
    <s v="0.483"/>
    <s v="0.593"/>
    <s v="0.356"/>
    <s v="0.014"/>
    <n v="3182"/>
  </r>
  <r>
    <x v="33"/>
    <x v="4"/>
    <n v="6331"/>
    <s v="0.041"/>
    <n v="6411"/>
    <n v="6251"/>
    <n v="10369"/>
    <s v="0.936"/>
    <n v="69201"/>
    <x v="31"/>
    <s v="-0.124"/>
    <x v="33"/>
    <n v="2430"/>
    <n v="1304"/>
    <n v="1066"/>
    <s v="0.653"/>
    <s v="0.468"/>
    <s v="0.107"/>
    <s v="0.018"/>
    <n v="2714"/>
  </r>
  <r>
    <x v="34"/>
    <x v="3"/>
    <n v="6330"/>
    <s v="0.043"/>
    <n v="6415"/>
    <n v="6245"/>
    <n v="9577"/>
    <s v="0.882"/>
    <n v="66601"/>
    <x v="32"/>
    <s v="-0.071"/>
    <x v="34"/>
    <n v="2430"/>
    <n v="1028"/>
    <s v="0.944"/>
    <s v="0.571"/>
    <s v="0.514"/>
    <s v="0.142"/>
    <s v="0.117"/>
    <n v="3015"/>
  </r>
  <r>
    <x v="35"/>
    <x v="3"/>
    <n v="6317"/>
    <s v="0.053"/>
    <n v="6420"/>
    <n v="6213"/>
    <n v="9859"/>
    <s v="0.831"/>
    <n v="68597"/>
    <x v="33"/>
    <s v="-0.147"/>
    <x v="35"/>
    <n v="2430"/>
    <n v="1126"/>
    <s v="0.830"/>
    <s v="0.634"/>
    <s v="0.585"/>
    <s v="0.092"/>
    <s v="0.089"/>
    <n v="2961"/>
  </r>
  <r>
    <x v="36"/>
    <x v="3"/>
    <n v="6309"/>
    <s v="0.156"/>
    <n v="6615"/>
    <n v="6004"/>
    <n v="9186"/>
    <s v="0.877"/>
    <n v="67500"/>
    <x v="34"/>
    <s v="-0.137"/>
    <x v="36"/>
    <n v="2430"/>
    <s v="0.891"/>
    <s v="0.932"/>
    <s v="0.599"/>
    <s v="0.618"/>
    <s v="0.099"/>
    <s v="0.035"/>
    <n v="3135"/>
  </r>
  <r>
    <x v="37"/>
    <x v="4"/>
    <n v="6255"/>
    <s v="0.045"/>
    <n v="6344"/>
    <n v="6167"/>
    <n v="10499"/>
    <s v="0.935"/>
    <n v="67906"/>
    <x v="35"/>
    <s v="-0.203"/>
    <x v="37"/>
    <n v="2430"/>
    <n v="1350"/>
    <n v="1065"/>
    <s v="0.612"/>
    <s v="0.476"/>
    <s v="0.056"/>
    <s v="0.073"/>
    <n v="2624"/>
  </r>
  <r>
    <x v="38"/>
    <x v="0"/>
    <n v="6223"/>
    <s v="0.049"/>
    <n v="6319"/>
    <n v="6128"/>
    <n v="10576"/>
    <s v="0.802"/>
    <n v="73898"/>
    <x v="36"/>
    <s v="-0.015"/>
    <x v="38"/>
    <n v="2430"/>
    <n v="1377"/>
    <s v="0.765"/>
    <s v="0.801"/>
    <s v="0.464"/>
    <s v="0.178"/>
    <s v="0.061"/>
    <n v="2578"/>
  </r>
  <r>
    <x v="39"/>
    <x v="4"/>
    <n v="6189"/>
    <s v="0.038"/>
    <n v="6263"/>
    <n v="6115"/>
    <n v="10481"/>
    <s v="0.941"/>
    <n v="68800"/>
    <x v="37"/>
    <s v="-0.106"/>
    <x v="39"/>
    <n v="2430"/>
    <n v="1344"/>
    <n v="1079"/>
    <s v="0.640"/>
    <s v="0.641"/>
    <s v="0.119"/>
    <s v="0.263"/>
    <n v="2103"/>
  </r>
  <r>
    <x v="40"/>
    <x v="3"/>
    <n v="6180"/>
    <s v="0.073"/>
    <n v="6323"/>
    <n v="6036"/>
    <n v="10350"/>
    <s v="0.896"/>
    <n v="69652"/>
    <x v="38"/>
    <s v="-0.166"/>
    <x v="40"/>
    <n v="2430"/>
    <n v="1298"/>
    <s v="0.976"/>
    <s v="0.667"/>
    <s v="0.596"/>
    <s v="0.079"/>
    <s v="0.053"/>
    <n v="2509"/>
  </r>
  <r>
    <x v="41"/>
    <x v="7"/>
    <n v="6179"/>
    <s v="0.068"/>
    <n v="6312"/>
    <n v="6045"/>
    <n v="8836"/>
    <s v="0.918"/>
    <n v="65255"/>
    <x v="39"/>
    <s v="0.311"/>
    <x v="41"/>
    <n v="2430"/>
    <s v="0.769"/>
    <n v="1027"/>
    <s v="0.528"/>
    <s v="0.716"/>
    <s v="0.391"/>
    <s v="0.271"/>
    <n v="2477"/>
  </r>
  <r>
    <x v="42"/>
    <x v="3"/>
    <n v="6172"/>
    <s v="0.046"/>
    <n v="6262"/>
    <n v="6081"/>
    <n v="10071"/>
    <s v="0.882"/>
    <n v="70000"/>
    <x v="40"/>
    <s v="-0.044"/>
    <x v="42"/>
    <n v="2430"/>
    <n v="1200"/>
    <s v="0.946"/>
    <s v="0.678"/>
    <s v="0.438"/>
    <s v="0.159"/>
    <s v="0.070"/>
    <n v="2682"/>
  </r>
  <r>
    <x v="43"/>
    <x v="4"/>
    <n v="6166"/>
    <s v="0.040"/>
    <n v="6245"/>
    <n v="6087"/>
    <n v="10382"/>
    <s v="0.898"/>
    <n v="69702"/>
    <x v="41"/>
    <s v="-0.165"/>
    <x v="43"/>
    <n v="2430"/>
    <n v="1309"/>
    <s v="0.982"/>
    <s v="0.668"/>
    <s v="0.558"/>
    <s v="0.080"/>
    <s v="0.130"/>
    <n v="2438"/>
  </r>
  <r>
    <x v="44"/>
    <x v="7"/>
    <n v="6152"/>
    <s v="0.047"/>
    <n v="6243"/>
    <n v="6060"/>
    <n v="10155"/>
    <s v="0.952"/>
    <n v="65200"/>
    <x v="42"/>
    <s v="-0.069"/>
    <x v="44"/>
    <n v="2430"/>
    <n v="1230"/>
    <n v="1103"/>
    <s v="0.527"/>
    <s v="0.573"/>
    <s v="0.143"/>
    <s v="0.132"/>
    <n v="2446"/>
  </r>
  <r>
    <x v="45"/>
    <x v="4"/>
    <n v="6140"/>
    <s v="0.057"/>
    <n v="6253"/>
    <n v="6027"/>
    <n v="10284"/>
    <s v="0.832"/>
    <n v="67355"/>
    <x v="43"/>
    <s v="-0.219"/>
    <x v="45"/>
    <n v="2430"/>
    <n v="1275"/>
    <s v="0.832"/>
    <s v="0.595"/>
    <s v="0.564"/>
    <s v="0.045"/>
    <s v="0.001"/>
    <n v="2830"/>
  </r>
  <r>
    <x v="46"/>
    <x v="2"/>
    <n v="6106"/>
    <s v="0.066"/>
    <n v="6235"/>
    <n v="5977"/>
    <n v="10817"/>
    <s v="0.843"/>
    <n v="66900"/>
    <x v="44"/>
    <s v="-0.104"/>
    <x v="46"/>
    <n v="2430"/>
    <n v="1461"/>
    <s v="0.857"/>
    <s v="0.580"/>
    <s v="0.591"/>
    <s v="0.120"/>
    <s v="0.130"/>
    <n v="2368"/>
  </r>
  <r>
    <x v="47"/>
    <x v="4"/>
    <n v="6078"/>
    <s v="0.053"/>
    <n v="6181"/>
    <n v="5974"/>
    <n v="9787"/>
    <s v="0.873"/>
    <n v="68600"/>
    <x v="45"/>
    <s v="0.002"/>
    <x v="47"/>
    <n v="2430"/>
    <n v="1101"/>
    <s v="0.924"/>
    <s v="0.634"/>
    <s v="0.482"/>
    <s v="0.189"/>
    <s v="0.066"/>
    <n v="2682"/>
  </r>
  <r>
    <x v="48"/>
    <x v="3"/>
    <n v="6061"/>
    <s v="0.065"/>
    <n v="6188"/>
    <n v="5933"/>
    <n v="9054"/>
    <s v="0.762"/>
    <n v="66402"/>
    <x v="46"/>
    <s v="-0.110"/>
    <x v="48"/>
    <n v="2430"/>
    <s v="0.845"/>
    <s v="0.675"/>
    <s v="0.565"/>
    <s v="0.615"/>
    <s v="0.116"/>
    <s v="0.160"/>
    <n v="3085"/>
  </r>
  <r>
    <x v="49"/>
    <x v="8"/>
    <n v="6049"/>
    <s v="0.059"/>
    <n v="6165"/>
    <n v="5933"/>
    <n v="10008"/>
    <s v="0.905"/>
    <n v="66701"/>
    <x v="44"/>
    <s v="-0.054"/>
    <x v="49"/>
    <n v="2430"/>
    <n v="1178"/>
    <s v="0.996"/>
    <s v="0.574"/>
    <s v="0.590"/>
    <s v="0.153"/>
    <s v="0.096"/>
    <n v="2462"/>
  </r>
  <r>
    <x v="50"/>
    <x v="4"/>
    <n v="6032"/>
    <s v="0.036"/>
    <n v="6103"/>
    <n v="5961"/>
    <n v="10315"/>
    <s v="0.927"/>
    <n v="67100"/>
    <x v="47"/>
    <s v="-0.162"/>
    <x v="50"/>
    <n v="2430"/>
    <n v="1285"/>
    <n v="1047"/>
    <s v="0.587"/>
    <s v="0.405"/>
    <s v="0.082"/>
    <s v="0.089"/>
    <n v="2536"/>
  </r>
  <r>
    <x v="51"/>
    <x v="3"/>
    <n v="6012"/>
    <s v="0.061"/>
    <n v="6132"/>
    <n v="5892"/>
    <n v="9557"/>
    <s v="0.847"/>
    <n v="68001"/>
    <x v="18"/>
    <s v="-0.135"/>
    <x v="51"/>
    <n v="2430"/>
    <n v="1021"/>
    <s v="0.866"/>
    <s v="0.615"/>
    <s v="0.554"/>
    <s v="0.100"/>
    <s v="0.063"/>
    <n v="2794"/>
  </r>
  <r>
    <x v="52"/>
    <x v="4"/>
    <n v="5992"/>
    <s v="0.047"/>
    <n v="6085"/>
    <n v="5899"/>
    <n v="10358"/>
    <s v="0.943"/>
    <n v="68000"/>
    <x v="48"/>
    <s v="-0.186"/>
    <x v="52"/>
    <n v="2430"/>
    <n v="1301"/>
    <n v="1083"/>
    <s v="0.615"/>
    <s v="0.454"/>
    <s v="0.067"/>
    <s v="0.040"/>
    <n v="2432"/>
  </r>
  <r>
    <x v="53"/>
    <x v="6"/>
    <n v="5985"/>
    <s v="0.047"/>
    <n v="6077"/>
    <n v="5893"/>
    <n v="9805"/>
    <s v="0.888"/>
    <n v="67401"/>
    <x v="49"/>
    <s v="0.287"/>
    <x v="53"/>
    <n v="2430"/>
    <n v="1107"/>
    <s v="0.957"/>
    <s v="0.596"/>
    <s v="0.611"/>
    <s v="0.375"/>
    <s v="0.028"/>
    <n v="2309"/>
  </r>
  <r>
    <x v="54"/>
    <x v="3"/>
    <n v="5972"/>
    <s v="0.083"/>
    <n v="6134"/>
    <n v="5810"/>
    <n v="8620"/>
    <s v="0.864"/>
    <n v="67657"/>
    <x v="50"/>
    <s v="0.020"/>
    <x v="54"/>
    <n v="2430"/>
    <s v="0.693"/>
    <s v="0.904"/>
    <s v="0.604"/>
    <s v="0.553"/>
    <s v="0.201"/>
    <s v="0.176"/>
    <n v="2841"/>
  </r>
  <r>
    <x v="55"/>
    <x v="5"/>
    <n v="5940"/>
    <s v="0.040"/>
    <n v="6020"/>
    <n v="5861"/>
    <n v="10611"/>
    <s v="0.884"/>
    <n v="75100"/>
    <x v="51"/>
    <s v="-0.258"/>
    <x v="55"/>
    <n v="2430"/>
    <n v="1389"/>
    <s v="0.949"/>
    <s v="0.838"/>
    <s v="0.504"/>
    <s v="0.020"/>
    <s v="0.192"/>
    <n v="2048"/>
  </r>
  <r>
    <x v="56"/>
    <x v="3"/>
    <n v="5929"/>
    <s v="0.056"/>
    <n v="6040"/>
    <n v="5819"/>
    <n v="9962"/>
    <s v="0.898"/>
    <n v="69000"/>
    <x v="52"/>
    <s v="-0.182"/>
    <x v="56"/>
    <n v="2430"/>
    <n v="1162"/>
    <s v="0.980"/>
    <s v="0.646"/>
    <s v="0.544"/>
    <s v="0.069"/>
    <s v="0.067"/>
    <n v="2461"/>
  </r>
  <r>
    <x v="57"/>
    <x v="0"/>
    <n v="5929"/>
    <s v="0.055"/>
    <n v="6037"/>
    <n v="5821"/>
    <n v="10421"/>
    <s v="0.879"/>
    <n v="72600"/>
    <x v="53"/>
    <s v="-0.244"/>
    <x v="57"/>
    <n v="2430"/>
    <n v="1323"/>
    <s v="0.939"/>
    <s v="0.760"/>
    <s v="0.621"/>
    <s v="0.029"/>
    <s v="0.033"/>
    <n v="2225"/>
  </r>
  <r>
    <x v="58"/>
    <x v="3"/>
    <n v="5919"/>
    <s v="0.082"/>
    <n v="6081"/>
    <n v="5758"/>
    <n v="8648"/>
    <s v="0.812"/>
    <n v="67300"/>
    <x v="54"/>
    <s v="0.081"/>
    <x v="15"/>
    <n v="2430"/>
    <s v="0.703"/>
    <s v="0.787"/>
    <s v="0.593"/>
    <s v="0.578"/>
    <s v="0.241"/>
    <s v="0.083"/>
    <n v="2934"/>
  </r>
  <r>
    <x v="59"/>
    <x v="4"/>
    <n v="5882"/>
    <s v="0.048"/>
    <n v="5975"/>
    <n v="5788"/>
    <n v="10217"/>
    <s v="0.924"/>
    <n v="70799"/>
    <x v="55"/>
    <s v="-0.118"/>
    <x v="58"/>
    <n v="2430"/>
    <n v="1251"/>
    <n v="1039"/>
    <s v="0.703"/>
    <s v="0.453"/>
    <s v="0.111"/>
    <s v="0.000"/>
    <n v="2325"/>
  </r>
  <r>
    <x v="60"/>
    <x v="6"/>
    <n v="5880"/>
    <s v="0.052"/>
    <n v="5982"/>
    <n v="5778"/>
    <n v="9076"/>
    <s v="0.830"/>
    <n v="62000"/>
    <x v="56"/>
    <s v="-0.097"/>
    <x v="59"/>
    <n v="2430"/>
    <s v="0.853"/>
    <s v="0.828"/>
    <s v="0.426"/>
    <s v="0.651"/>
    <s v="0.125"/>
    <s v="0.126"/>
    <n v="2872"/>
  </r>
  <r>
    <x v="61"/>
    <x v="5"/>
    <n v="5845"/>
    <s v="0.042"/>
    <n v="5928"/>
    <n v="5763"/>
    <n v="10651"/>
    <s v="0.799"/>
    <n v="73900"/>
    <x v="57"/>
    <s v="-0.083"/>
    <x v="60"/>
    <n v="2430"/>
    <n v="1403"/>
    <s v="0.758"/>
    <s v="0.801"/>
    <s v="0.353"/>
    <s v="0.134"/>
    <s v="0.135"/>
    <n v="2262"/>
  </r>
  <r>
    <x v="62"/>
    <x v="3"/>
    <n v="5840"/>
    <s v="0.075"/>
    <n v="5988"/>
    <n v="5692"/>
    <n v="9458"/>
    <s v="0.832"/>
    <n v="68250"/>
    <x v="20"/>
    <s v="-0.154"/>
    <x v="61"/>
    <n v="2430"/>
    <s v="0.986"/>
    <s v="0.833"/>
    <s v="0.623"/>
    <s v="0.536"/>
    <s v="0.087"/>
    <s v="0.031"/>
    <n v="2744"/>
  </r>
  <r>
    <x v="63"/>
    <x v="4"/>
    <n v="5813"/>
    <s v="0.050"/>
    <n v="5911"/>
    <n v="5715"/>
    <n v="9590"/>
    <s v="0.870"/>
    <n v="68098"/>
    <x v="58"/>
    <s v="0.113"/>
    <x v="62"/>
    <n v="2430"/>
    <n v="1032"/>
    <s v="0.919"/>
    <s v="0.618"/>
    <s v="0.395"/>
    <s v="0.261"/>
    <s v="0.005"/>
    <n v="2583"/>
  </r>
  <r>
    <x v="64"/>
    <x v="7"/>
    <n v="5766"/>
    <s v="0.046"/>
    <n v="5856"/>
    <n v="5677"/>
    <n v="9454"/>
    <s v="0.857"/>
    <n v="65699"/>
    <x v="20"/>
    <s v="-0.079"/>
    <x v="63"/>
    <n v="2430"/>
    <s v="0.985"/>
    <s v="0.888"/>
    <s v="0.542"/>
    <s v="0.536"/>
    <s v="0.137"/>
    <s v="0.013"/>
    <n v="2665"/>
  </r>
  <r>
    <x v="65"/>
    <x v="3"/>
    <n v="5764"/>
    <s v="0.057"/>
    <n v="5875"/>
    <n v="5653"/>
    <n v="9313"/>
    <s v="0.821"/>
    <n v="68800"/>
    <x v="59"/>
    <s v="-0.124"/>
    <x v="64"/>
    <n v="2430"/>
    <s v="0.935"/>
    <s v="0.806"/>
    <s v="0.640"/>
    <s v="0.560"/>
    <s v="0.107"/>
    <s v="0.062"/>
    <n v="2653"/>
  </r>
  <r>
    <x v="66"/>
    <x v="7"/>
    <n v="5744"/>
    <s v="0.046"/>
    <n v="5834"/>
    <n v="5653"/>
    <n v="8538"/>
    <s v="0.893"/>
    <n v="64401"/>
    <x v="60"/>
    <s v="0.119"/>
    <x v="65"/>
    <n v="2430"/>
    <s v="0.665"/>
    <s v="0.971"/>
    <s v="0.501"/>
    <s v="0.673"/>
    <s v="0.266"/>
    <s v="0.020"/>
    <n v="2648"/>
  </r>
  <r>
    <x v="67"/>
    <x v="0"/>
    <n v="5723"/>
    <s v="0.046"/>
    <n v="5813"/>
    <n v="5632"/>
    <n v="10279"/>
    <s v="0.823"/>
    <n v="72600"/>
    <x v="61"/>
    <s v="-0.288"/>
    <x v="66"/>
    <n v="2430"/>
    <n v="1273"/>
    <s v="0.811"/>
    <s v="0.760"/>
    <s v="0.243"/>
    <s v="0.000"/>
    <s v="0.074"/>
    <n v="2561"/>
  </r>
  <r>
    <x v="68"/>
    <x v="3"/>
    <n v="5716"/>
    <s v="0.053"/>
    <n v="5819"/>
    <n v="5613"/>
    <n v="9046"/>
    <s v="0.810"/>
    <n v="63901"/>
    <x v="12"/>
    <s v="-0.077"/>
    <x v="67"/>
    <n v="2430"/>
    <s v="0.842"/>
    <s v="0.782"/>
    <s v="0.486"/>
    <s v="0.600"/>
    <s v="0.138"/>
    <s v="0.064"/>
    <n v="2805"/>
  </r>
  <r>
    <x v="69"/>
    <x v="5"/>
    <n v="5677"/>
    <s v="0.042"/>
    <n v="5760"/>
    <n v="5595"/>
    <n v="9400"/>
    <s v="0.935"/>
    <n v="62500"/>
    <x v="62"/>
    <s v="0.116"/>
    <x v="40"/>
    <n v="2430"/>
    <s v="0.966"/>
    <n v="1065"/>
    <s v="0.442"/>
    <s v="0.397"/>
    <s v="0.263"/>
    <s v="0.053"/>
    <n v="2492"/>
  </r>
  <r>
    <x v="70"/>
    <x v="3"/>
    <n v="5653"/>
    <s v="0.092"/>
    <n v="5832"/>
    <n v="5473"/>
    <n v="9448"/>
    <s v="0.893"/>
    <n v="65900"/>
    <x v="63"/>
    <s v="0.028"/>
    <x v="68"/>
    <n v="2430"/>
    <s v="0.983"/>
    <s v="0.970"/>
    <s v="0.549"/>
    <s v="0.602"/>
    <s v="0.206"/>
    <s v="0.037"/>
    <n v="2306"/>
  </r>
  <r>
    <x v="71"/>
    <x v="4"/>
    <n v="5581"/>
    <s v="0.054"/>
    <n v="5686"/>
    <n v="5475"/>
    <n v="9940"/>
    <s v="0.858"/>
    <n v="68699"/>
    <x v="62"/>
    <s v="-0.034"/>
    <x v="69"/>
    <n v="2430"/>
    <n v="1155"/>
    <s v="0.891"/>
    <s v="0.637"/>
    <s v="0.397"/>
    <s v="0.166"/>
    <s v="0.081"/>
    <n v="2254"/>
  </r>
  <r>
    <x v="72"/>
    <x v="3"/>
    <n v="5545"/>
    <s v="0.071"/>
    <n v="5685"/>
    <n v="5405"/>
    <n v="9802"/>
    <s v="0.853"/>
    <n v="66102"/>
    <x v="64"/>
    <s v="-0.133"/>
    <x v="70"/>
    <n v="2430"/>
    <n v="1106"/>
    <s v="0.879"/>
    <s v="0.555"/>
    <s v="0.581"/>
    <s v="0.101"/>
    <s v="0.144"/>
    <n v="2178"/>
  </r>
  <r>
    <x v="73"/>
    <x v="0"/>
    <n v="5536"/>
    <s v="0.051"/>
    <n v="5636"/>
    <n v="5435"/>
    <n v="10576"/>
    <s v="0.820"/>
    <n v="73898"/>
    <x v="65"/>
    <s v="0.012"/>
    <x v="71"/>
    <n v="2430"/>
    <n v="1377"/>
    <s v="0.806"/>
    <s v="0.801"/>
    <s v="0.503"/>
    <s v="0.196"/>
    <s v="0.200"/>
    <n v="1653"/>
  </r>
  <r>
    <x v="74"/>
    <x v="7"/>
    <n v="5534"/>
    <s v="0.047"/>
    <n v="5625"/>
    <n v="5442"/>
    <n v="9853"/>
    <s v="0.910"/>
    <n v="66253"/>
    <x v="66"/>
    <s v="-0.180"/>
    <x v="72"/>
    <n v="2430"/>
    <n v="1124"/>
    <n v="1007"/>
    <s v="0.560"/>
    <s v="0.326"/>
    <s v="0.070"/>
    <s v="0.199"/>
    <n v="2247"/>
  </r>
  <r>
    <x v="75"/>
    <x v="7"/>
    <n v="5477"/>
    <s v="0.033"/>
    <n v="5541"/>
    <n v="5413"/>
    <n v="10189"/>
    <s v="0.903"/>
    <n v="64703"/>
    <x v="67"/>
    <s v="-0.111"/>
    <x v="73"/>
    <n v="2430"/>
    <n v="1241"/>
    <s v="0.992"/>
    <s v="0.511"/>
    <s v="0.409"/>
    <s v="0.115"/>
    <s v="0.060"/>
    <n v="2148"/>
  </r>
  <r>
    <x v="76"/>
    <x v="5"/>
    <n v="5477"/>
    <s v="0.049"/>
    <n v="5573"/>
    <n v="5380"/>
    <n v="11000"/>
    <s v="0.836"/>
    <n v="76820"/>
    <x v="68"/>
    <s v="0.067"/>
    <x v="74"/>
    <n v="2430"/>
    <n v="1525"/>
    <s v="0.841"/>
    <s v="0.893"/>
    <s v="0.408"/>
    <s v="0.232"/>
    <s v="0.342"/>
    <n v="1236"/>
  </r>
  <r>
    <x v="77"/>
    <x v="7"/>
    <n v="5466"/>
    <s v="0.034"/>
    <n v="5532"/>
    <n v="5400"/>
    <n v="8091"/>
    <s v="0.860"/>
    <n v="64281"/>
    <x v="69"/>
    <s v="-0.056"/>
    <x v="75"/>
    <n v="2430"/>
    <s v="0.508"/>
    <s v="0.895"/>
    <s v="0.498"/>
    <s v="0.548"/>
    <s v="0.152"/>
    <s v="0.247"/>
    <n v="2619"/>
  </r>
  <r>
    <x v="78"/>
    <x v="6"/>
    <n v="5411"/>
    <s v="0.039"/>
    <n v="5488"/>
    <n v="5334"/>
    <n v="8973"/>
    <s v="0.850"/>
    <n v="68034"/>
    <x v="70"/>
    <s v="-0.098"/>
    <x v="76"/>
    <n v="2430"/>
    <s v="0.817"/>
    <s v="0.873"/>
    <s v="0.616"/>
    <s v="0.679"/>
    <s v="0.124"/>
    <s v="0.091"/>
    <n v="2211"/>
  </r>
  <r>
    <x v="79"/>
    <x v="2"/>
    <n v="5410"/>
    <s v="0.076"/>
    <n v="5558"/>
    <n v="5262"/>
    <n v="9622"/>
    <s v="0.827"/>
    <n v="62300"/>
    <x v="71"/>
    <s v="-0.087"/>
    <x v="77"/>
    <n v="2430"/>
    <n v="1044"/>
    <s v="0.821"/>
    <s v="0.435"/>
    <s v="0.474"/>
    <s v="0.131"/>
    <s v="0.174"/>
    <n v="2331"/>
  </r>
  <r>
    <x v="80"/>
    <x v="6"/>
    <n v="5384"/>
    <s v="0.049"/>
    <n v="5480"/>
    <n v="5289"/>
    <n v="10238"/>
    <s v="0.817"/>
    <n v="67102"/>
    <x v="72"/>
    <s v="0.125"/>
    <x v="67"/>
    <n v="2430"/>
    <n v="1259"/>
    <s v="0.797"/>
    <s v="0.587"/>
    <s v="0.624"/>
    <s v="0.270"/>
    <s v="0.064"/>
    <n v="1784"/>
  </r>
  <r>
    <x v="81"/>
    <x v="6"/>
    <n v="5345"/>
    <s v="0.056"/>
    <n v="5454"/>
    <n v="5235"/>
    <n v="9365"/>
    <s v="0.811"/>
    <n v="62236"/>
    <x v="73"/>
    <s v="0.542"/>
    <x v="78"/>
    <n v="2430"/>
    <s v="0.954"/>
    <s v="0.786"/>
    <s v="0.433"/>
    <s v="0.598"/>
    <s v="0.541"/>
    <s v="0.046"/>
    <n v="1987"/>
  </r>
  <r>
    <x v="82"/>
    <x v="8"/>
    <n v="5342"/>
    <s v="0.097"/>
    <n v="5533"/>
    <n v="5151"/>
    <n v="8117"/>
    <s v="0.636"/>
    <n v="58221"/>
    <x v="74"/>
    <s v="-0.068"/>
    <x v="26"/>
    <n v="2430"/>
    <s v="0.518"/>
    <s v="0.392"/>
    <s v="0.307"/>
    <s v="0.381"/>
    <s v="0.144"/>
    <s v="0.124"/>
    <n v="3476"/>
  </r>
  <r>
    <x v="83"/>
    <x v="5"/>
    <n v="5339"/>
    <s v="0.029"/>
    <n v="5397"/>
    <n v="5281"/>
    <n v="9673"/>
    <s v="0.811"/>
    <n v="69593"/>
    <x v="75"/>
    <s v="-0.146"/>
    <x v="79"/>
    <n v="2430"/>
    <n v="1061"/>
    <s v="0.785"/>
    <s v="0.665"/>
    <s v="0.636"/>
    <s v="0.093"/>
    <s v="0.117"/>
    <n v="1982"/>
  </r>
  <r>
    <x v="84"/>
    <x v="8"/>
    <n v="5306"/>
    <s v="0.078"/>
    <n v="5460"/>
    <n v="5152"/>
    <n v="8551"/>
    <s v="0.644"/>
    <n v="50114"/>
    <x v="76"/>
    <s v="-0.016"/>
    <x v="80"/>
    <n v="2430"/>
    <s v="0.669"/>
    <s v="0.409"/>
    <s v="0.052"/>
    <s v="0.438"/>
    <s v="0.177"/>
    <s v="0.092"/>
    <n v="3469"/>
  </r>
  <r>
    <x v="85"/>
    <x v="7"/>
    <n v="5283"/>
    <s v="0.058"/>
    <n v="5397"/>
    <n v="5168"/>
    <n v="9487"/>
    <s v="0.799"/>
    <n v="67055"/>
    <x v="77"/>
    <s v="-0.168"/>
    <x v="81"/>
    <n v="2430"/>
    <s v="0.996"/>
    <s v="0.758"/>
    <s v="0.585"/>
    <s v="0.540"/>
    <s v="0.079"/>
    <s v="0.198"/>
    <n v="2127"/>
  </r>
  <r>
    <x v="86"/>
    <x v="9"/>
    <n v="5269"/>
    <s v="0.070"/>
    <n v="5406"/>
    <n v="5132"/>
    <n v="8120"/>
    <s v="0.774"/>
    <n v="64233"/>
    <x v="78"/>
    <s v="0.152"/>
    <x v="60"/>
    <n v="2430"/>
    <s v="0.519"/>
    <s v="0.702"/>
    <s v="0.496"/>
    <s v="0.488"/>
    <s v="0.287"/>
    <s v="0.135"/>
    <n v="2642"/>
  </r>
  <r>
    <x v="87"/>
    <x v="4"/>
    <n v="5266"/>
    <s v="0.054"/>
    <n v="5371"/>
    <n v="5160"/>
    <n v="10016"/>
    <s v="0.931"/>
    <n v="67000"/>
    <x v="79"/>
    <s v="-0.096"/>
    <x v="82"/>
    <n v="2430"/>
    <n v="1181"/>
    <n v="1055"/>
    <s v="0.583"/>
    <s v="0.494"/>
    <s v="0.125"/>
    <s v="0.005"/>
    <n v="1823"/>
  </r>
  <r>
    <x v="88"/>
    <x v="9"/>
    <n v="5198"/>
    <s v="0.072"/>
    <n v="5339"/>
    <n v="5057"/>
    <n v="9826"/>
    <s v="0.913"/>
    <n v="70600"/>
    <x v="80"/>
    <s v="0.024"/>
    <x v="83"/>
    <n v="2430"/>
    <n v="1115"/>
    <n v="1015"/>
    <s v="0.697"/>
    <s v="0.575"/>
    <s v="0.204"/>
    <s v="0.073"/>
    <n v="1520"/>
  </r>
  <r>
    <x v="89"/>
    <x v="7"/>
    <n v="5171"/>
    <s v="0.040"/>
    <n v="5250"/>
    <n v="5091"/>
    <n v="9569"/>
    <s v="0.836"/>
    <n v="65656"/>
    <x v="81"/>
    <s v="-0.223"/>
    <x v="84"/>
    <n v="2430"/>
    <n v="1025"/>
    <s v="0.841"/>
    <s v="0.541"/>
    <s v="0.526"/>
    <s v="0.043"/>
    <s v="0.276"/>
    <n v="1919"/>
  </r>
  <r>
    <x v="90"/>
    <x v="8"/>
    <n v="5142"/>
    <s v="0.074"/>
    <n v="5288"/>
    <n v="4996"/>
    <n v="8189"/>
    <s v="0.710"/>
    <n v="53515"/>
    <x v="82"/>
    <s v="0.026"/>
    <x v="85"/>
    <n v="2430"/>
    <s v="0.543"/>
    <s v="0.556"/>
    <s v="0.159"/>
    <s v="0.425"/>
    <s v="0.205"/>
    <s v="0.058"/>
    <n v="3195"/>
  </r>
  <r>
    <x v="91"/>
    <x v="8"/>
    <n v="5132"/>
    <s v="0.068"/>
    <n v="5266"/>
    <n v="4998"/>
    <n v="8118"/>
    <s v="0.710"/>
    <n v="59802"/>
    <x v="74"/>
    <s v="-0.046"/>
    <x v="86"/>
    <n v="2430"/>
    <s v="0.518"/>
    <s v="0.558"/>
    <s v="0.357"/>
    <s v="0.381"/>
    <s v="0.158"/>
    <s v="0.088"/>
    <n v="3071"/>
  </r>
  <r>
    <x v="92"/>
    <x v="4"/>
    <n v="5117"/>
    <s v="0.059"/>
    <n v="5234"/>
    <n v="5001"/>
    <n v="9520"/>
    <s v="0.697"/>
    <n v="68999"/>
    <x v="83"/>
    <s v="-0.030"/>
    <x v="87"/>
    <n v="2430"/>
    <n v="1008"/>
    <s v="0.529"/>
    <s v="0.646"/>
    <s v="0.491"/>
    <s v="0.168"/>
    <s v="0.024"/>
    <n v="2250"/>
  </r>
  <r>
    <x v="93"/>
    <x v="4"/>
    <n v="5101"/>
    <s v="0.051"/>
    <n v="5202"/>
    <n v="5001"/>
    <n v="9693"/>
    <s v="0.805"/>
    <n v="65474"/>
    <x v="84"/>
    <s v="0.038"/>
    <x v="88"/>
    <n v="2430"/>
    <n v="1068"/>
    <s v="0.772"/>
    <s v="0.535"/>
    <s v="0.450"/>
    <s v="0.212"/>
    <s v="0.022"/>
    <n v="2042"/>
  </r>
  <r>
    <x v="94"/>
    <x v="8"/>
    <n v="5088"/>
    <s v="0.067"/>
    <n v="5219"/>
    <n v="4958"/>
    <n v="8580"/>
    <s v="0.727"/>
    <n v="57586"/>
    <x v="85"/>
    <s v="0.123"/>
    <x v="85"/>
    <n v="2430"/>
    <s v="0.680"/>
    <s v="0.595"/>
    <s v="0.287"/>
    <s v="0.517"/>
    <s v="0.268"/>
    <s v="0.058"/>
    <n v="2684"/>
  </r>
  <r>
    <x v="95"/>
    <x v="8"/>
    <n v="5074"/>
    <s v="0.102"/>
    <n v="5273"/>
    <n v="4875"/>
    <n v="7098"/>
    <s v="0.641"/>
    <n v="53780"/>
    <x v="86"/>
    <s v="0.018"/>
    <x v="89"/>
    <n v="2430"/>
    <s v="0.162"/>
    <s v="0.402"/>
    <s v="0.167"/>
    <s v="0.516"/>
    <s v="0.200"/>
    <s v="0.157"/>
    <n v="3470"/>
  </r>
  <r>
    <x v="96"/>
    <x v="7"/>
    <n v="5066"/>
    <s v="0.036"/>
    <n v="5136"/>
    <n v="4996"/>
    <n v="9629"/>
    <s v="0.983"/>
    <n v="62409"/>
    <x v="25"/>
    <s v="0.273"/>
    <x v="90"/>
    <n v="2430"/>
    <n v="1046"/>
    <n v="1172"/>
    <s v="0.439"/>
    <s v="0.602"/>
    <s v="0.366"/>
    <s v="0.033"/>
    <n v="1409"/>
  </r>
  <r>
    <x v="97"/>
    <x v="8"/>
    <n v="5051"/>
    <s v="0.089"/>
    <n v="5225"/>
    <n v="4877"/>
    <n v="7686"/>
    <s v="0.690"/>
    <n v="55160"/>
    <x v="87"/>
    <s v="0.424"/>
    <x v="91"/>
    <n v="2430"/>
    <s v="0.367"/>
    <s v="0.511"/>
    <s v="0.210"/>
    <s v="0.384"/>
    <s v="0.465"/>
    <s v="0.123"/>
    <n v="2990"/>
  </r>
  <r>
    <x v="98"/>
    <x v="8"/>
    <n v="5045"/>
    <s v="0.073"/>
    <n v="5189"/>
    <n v="4901"/>
    <n v="8087"/>
    <s v="0.489"/>
    <n v="54713"/>
    <x v="88"/>
    <s v="-0.034"/>
    <x v="92"/>
    <n v="2430"/>
    <s v="0.507"/>
    <s v="0.058"/>
    <s v="0.196"/>
    <s v="0.457"/>
    <s v="0.166"/>
    <s v="0.178"/>
    <n v="3482"/>
  </r>
  <r>
    <x v="99"/>
    <x v="6"/>
    <n v="5030"/>
    <s v="0.045"/>
    <n v="5119"/>
    <n v="4941"/>
    <n v="8947"/>
    <s v="0.728"/>
    <n v="58968"/>
    <x v="89"/>
    <s v="0.123"/>
    <x v="93"/>
    <n v="2430"/>
    <s v="0.808"/>
    <s v="0.598"/>
    <s v="0.330"/>
    <s v="0.643"/>
    <s v="0.268"/>
    <s v="0.179"/>
    <n v="2204"/>
  </r>
  <r>
    <x v="100"/>
    <x v="9"/>
    <n v="5025"/>
    <s v="0.046"/>
    <n v="5115"/>
    <n v="4934"/>
    <n v="8454"/>
    <s v="0.693"/>
    <n v="64800"/>
    <x v="25"/>
    <s v="-0.041"/>
    <x v="94"/>
    <n v="2430"/>
    <s v="0.635"/>
    <s v="0.520"/>
    <s v="0.514"/>
    <s v="0.603"/>
    <s v="0.161"/>
    <s v="0.164"/>
    <n v="2427"/>
  </r>
  <r>
    <x v="101"/>
    <x v="8"/>
    <n v="4984"/>
    <s v="0.090"/>
    <n v="5160"/>
    <n v="4808"/>
    <n v="7838"/>
    <s v="0.639"/>
    <n v="55008"/>
    <x v="87"/>
    <s v="0.095"/>
    <x v="95"/>
    <n v="2430"/>
    <s v="0.420"/>
    <s v="0.399"/>
    <s v="0.206"/>
    <s v="0.384"/>
    <s v="0.250"/>
    <s v="0.111"/>
    <n v="3216"/>
  </r>
  <r>
    <x v="102"/>
    <x v="8"/>
    <n v="4956"/>
    <s v="0.060"/>
    <n v="5074"/>
    <n v="4839"/>
    <n v="9403"/>
    <s v="0.860"/>
    <n v="56904"/>
    <x v="90"/>
    <s v="-0.067"/>
    <x v="96"/>
    <n v="2430"/>
    <s v="0.967"/>
    <s v="0.895"/>
    <s v="0.265"/>
    <s v="0.447"/>
    <s v="0.144"/>
    <s v="0.051"/>
    <n v="2187"/>
  </r>
  <r>
    <x v="103"/>
    <x v="2"/>
    <n v="4948"/>
    <s v="0.046"/>
    <n v="5038"/>
    <n v="4857"/>
    <n v="10240"/>
    <s v="0.822"/>
    <n v="67199"/>
    <x v="91"/>
    <s v="-0.139"/>
    <x v="97"/>
    <n v="2430"/>
    <n v="1260"/>
    <s v="0.809"/>
    <s v="0.590"/>
    <s v="0.236"/>
    <s v="0.097"/>
    <s v="0.104"/>
    <n v="1852"/>
  </r>
  <r>
    <x v="104"/>
    <x v="9"/>
    <n v="4934"/>
    <s v="0.068"/>
    <n v="5066"/>
    <n v="4802"/>
    <n v="8458"/>
    <s v="0.651"/>
    <n v="58709"/>
    <x v="92"/>
    <s v="0.098"/>
    <x v="98"/>
    <n v="2430"/>
    <s v="0.637"/>
    <s v="0.423"/>
    <s v="0.322"/>
    <s v="0.418"/>
    <s v="0.252"/>
    <s v="0.097"/>
    <n v="2784"/>
  </r>
  <r>
    <x v="105"/>
    <x v="2"/>
    <n v="4918"/>
    <s v="0.060"/>
    <n v="5036"/>
    <n v="4800"/>
    <n v="8903"/>
    <s v="0.560"/>
    <n v="66208"/>
    <x v="93"/>
    <s v="-0.236"/>
    <x v="86"/>
    <n v="2430"/>
    <s v="0.792"/>
    <s v="0.219"/>
    <s v="0.558"/>
    <s v="0.477"/>
    <s v="0.034"/>
    <s v="0.088"/>
    <n v="2749"/>
  </r>
  <r>
    <x v="106"/>
    <x v="3"/>
    <n v="4892"/>
    <s v="0.064"/>
    <n v="5017"/>
    <n v="4767"/>
    <n v="9073"/>
    <s v="0.861"/>
    <n v="66700"/>
    <x v="94"/>
    <s v="-0.169"/>
    <x v="99"/>
    <n v="2430"/>
    <s v="0.852"/>
    <s v="0.897"/>
    <s v="0.574"/>
    <s v="0.284"/>
    <s v="0.078"/>
    <s v="0.072"/>
    <n v="2135"/>
  </r>
  <r>
    <x v="107"/>
    <x v="7"/>
    <n v="4891"/>
    <s v="0.054"/>
    <n v="4998"/>
    <n v="4785"/>
    <n v="9585"/>
    <s v="0.671"/>
    <n v="64300"/>
    <x v="19"/>
    <s v="-0.238"/>
    <x v="100"/>
    <n v="2430"/>
    <n v="1030"/>
    <s v="0.470"/>
    <s v="0.498"/>
    <s v="0.488"/>
    <s v="0.032"/>
    <s v="0.181"/>
    <n v="2191"/>
  </r>
  <r>
    <x v="108"/>
    <x v="2"/>
    <n v="4887"/>
    <s v="0.053"/>
    <n v="4991"/>
    <n v="4783"/>
    <n v="9342"/>
    <s v="0.802"/>
    <n v="66005"/>
    <x v="95"/>
    <s v="-0.067"/>
    <x v="101"/>
    <n v="2430"/>
    <s v="0.946"/>
    <s v="0.765"/>
    <s v="0.552"/>
    <s v="0.119"/>
    <s v="0.144"/>
    <s v="0.120"/>
    <n v="2242"/>
  </r>
  <r>
    <x v="109"/>
    <x v="7"/>
    <n v="4875"/>
    <s v="0.052"/>
    <n v="4977"/>
    <n v="4773"/>
    <n v="9436"/>
    <s v="0.888"/>
    <n v="64902"/>
    <x v="96"/>
    <s v="-0.011"/>
    <x v="102"/>
    <n v="2430"/>
    <s v="0.979"/>
    <s v="0.958"/>
    <s v="0.517"/>
    <s v="0.417"/>
    <s v="0.181"/>
    <s v="0.010"/>
    <n v="1813"/>
  </r>
  <r>
    <x v="110"/>
    <x v="2"/>
    <n v="4854"/>
    <s v="0.059"/>
    <n v="4970"/>
    <n v="4738"/>
    <n v="9240"/>
    <s v="0.746"/>
    <n v="60583"/>
    <x v="97"/>
    <s v="-0.053"/>
    <x v="103"/>
    <n v="2430"/>
    <s v="0.910"/>
    <s v="0.638"/>
    <s v="0.381"/>
    <s v="0.302"/>
    <s v="0.153"/>
    <s v="0.041"/>
    <n v="2429"/>
  </r>
  <r>
    <x v="111"/>
    <x v="8"/>
    <n v="4852"/>
    <s v="0.075"/>
    <n v="4998"/>
    <n v="4706"/>
    <n v="9603"/>
    <s v="0.776"/>
    <n v="59962"/>
    <x v="82"/>
    <s v="-0.200"/>
    <x v="104"/>
    <n v="2430"/>
    <n v="1037"/>
    <s v="0.707"/>
    <s v="0.362"/>
    <s v="0.424"/>
    <s v="0.058"/>
    <s v="0.064"/>
    <n v="2201"/>
  </r>
  <r>
    <x v="112"/>
    <x v="8"/>
    <n v="4834"/>
    <s v="0.081"/>
    <n v="4993"/>
    <n v="4675"/>
    <n v="7678"/>
    <s v="0.672"/>
    <n v="54151"/>
    <x v="74"/>
    <s v="-0.009"/>
    <x v="105"/>
    <n v="2430"/>
    <s v="0.364"/>
    <s v="0.472"/>
    <s v="0.179"/>
    <s v="0.381"/>
    <s v="0.182"/>
    <s v="0.122"/>
    <n v="3133"/>
  </r>
  <r>
    <x v="113"/>
    <x v="6"/>
    <n v="4830"/>
    <s v="0.067"/>
    <n v="4963"/>
    <n v="4698"/>
    <n v="8360"/>
    <s v="0.765"/>
    <n v="62000"/>
    <x v="98"/>
    <s v="0.034"/>
    <x v="64"/>
    <n v="2430"/>
    <s v="0.603"/>
    <s v="0.680"/>
    <s v="0.426"/>
    <s v="0.702"/>
    <s v="0.210"/>
    <s v="0.061"/>
    <n v="2148"/>
  </r>
  <r>
    <x v="114"/>
    <x v="8"/>
    <n v="4794"/>
    <s v="0.103"/>
    <n v="4997"/>
    <n v="4592"/>
    <n v="7158"/>
    <s v="0.744"/>
    <n v="54706"/>
    <x v="99"/>
    <s v="0.061"/>
    <x v="25"/>
    <n v="2430"/>
    <s v="0.183"/>
    <s v="0.634"/>
    <s v="0.196"/>
    <s v="0.608"/>
    <s v="0.228"/>
    <s v="0.163"/>
    <n v="2783"/>
  </r>
  <r>
    <x v="115"/>
    <x v="8"/>
    <n v="4759"/>
    <s v="0.052"/>
    <n v="4861"/>
    <n v="4658"/>
    <n v="8533"/>
    <s v="0.740"/>
    <n v="50102"/>
    <x v="100"/>
    <s v="0.037"/>
    <x v="106"/>
    <n v="2430"/>
    <s v="0.663"/>
    <s v="0.625"/>
    <s v="0.051"/>
    <s v="0.433"/>
    <s v="0.212"/>
    <s v="0.039"/>
    <n v="2736"/>
  </r>
  <r>
    <x v="116"/>
    <x v="8"/>
    <n v="4723"/>
    <s v="0.082"/>
    <n v="4884"/>
    <n v="4563"/>
    <n v="7744"/>
    <s v="0.724"/>
    <n v="51969"/>
    <x v="87"/>
    <s v="-0.036"/>
    <x v="99"/>
    <n v="2430"/>
    <s v="0.387"/>
    <s v="0.590"/>
    <s v="0.110"/>
    <s v="0.384"/>
    <s v="0.164"/>
    <s v="0.072"/>
    <n v="3016"/>
  </r>
  <r>
    <x v="117"/>
    <x v="2"/>
    <n v="4721"/>
    <s v="0.055"/>
    <n v="4828"/>
    <n v="4614"/>
    <n v="9584"/>
    <s v="0.710"/>
    <n v="66300"/>
    <x v="101"/>
    <s v="0.218"/>
    <x v="70"/>
    <n v="2430"/>
    <n v="1030"/>
    <s v="0.557"/>
    <s v="0.561"/>
    <s v="0.275"/>
    <s v="0.330"/>
    <s v="0.144"/>
    <n v="1823"/>
  </r>
  <r>
    <x v="118"/>
    <x v="8"/>
    <n v="4636"/>
    <s v="0.073"/>
    <n v="4780"/>
    <n v="4493"/>
    <n v="7677"/>
    <s v="0.781"/>
    <n v="56101"/>
    <x v="102"/>
    <s v="0.122"/>
    <x v="107"/>
    <n v="2430"/>
    <s v="0.364"/>
    <s v="0.718"/>
    <s v="0.240"/>
    <s v="0.398"/>
    <s v="0.267"/>
    <s v="0.054"/>
    <n v="2596"/>
  </r>
  <r>
    <x v="119"/>
    <x v="8"/>
    <n v="4625"/>
    <s v="0.106"/>
    <n v="4833"/>
    <n v="4417"/>
    <n v="7288"/>
    <s v="0.720"/>
    <n v="56498"/>
    <x v="103"/>
    <s v="0.050"/>
    <x v="108"/>
    <n v="2430"/>
    <s v="0.228"/>
    <s v="0.580"/>
    <s v="0.253"/>
    <s v="0.430"/>
    <s v="0.221"/>
    <s v="0.057"/>
    <n v="2857"/>
  </r>
  <r>
    <x v="120"/>
    <x v="8"/>
    <n v="4607"/>
    <s v="0.072"/>
    <n v="4747"/>
    <n v="4466"/>
    <n v="8361"/>
    <s v="0.688"/>
    <n v="60704"/>
    <x v="104"/>
    <s v="0.287"/>
    <x v="83"/>
    <n v="2430"/>
    <s v="0.603"/>
    <s v="0.508"/>
    <s v="0.385"/>
    <s v="0.483"/>
    <s v="0.375"/>
    <s v="0.073"/>
    <n v="2180"/>
  </r>
  <r>
    <x v="121"/>
    <x v="2"/>
    <n v="4596"/>
    <s v="0.058"/>
    <n v="4709"/>
    <n v="4484"/>
    <n v="9266"/>
    <s v="0.691"/>
    <n v="67201"/>
    <x v="105"/>
    <s v="-0.201"/>
    <x v="109"/>
    <n v="2430"/>
    <s v="0.919"/>
    <s v="0.515"/>
    <s v="0.590"/>
    <s v="0.334"/>
    <s v="0.057"/>
    <s v="0.044"/>
    <n v="2138"/>
  </r>
  <r>
    <x v="122"/>
    <x v="2"/>
    <n v="4584"/>
    <s v="0.055"/>
    <n v="4691"/>
    <n v="4477"/>
    <n v="9626"/>
    <s v="0.848"/>
    <n v="67355"/>
    <x v="106"/>
    <s v="-0.073"/>
    <x v="110"/>
    <n v="2430"/>
    <n v="1045"/>
    <s v="0.868"/>
    <s v="0.595"/>
    <s v="0.175"/>
    <s v="0.140"/>
    <s v="0.026"/>
    <n v="1736"/>
  </r>
  <r>
    <x v="123"/>
    <x v="8"/>
    <n v="4574"/>
    <s v="0.064"/>
    <n v="4700"/>
    <n v="4448"/>
    <n v="9161"/>
    <s v="0.818"/>
    <n v="56799"/>
    <x v="107"/>
    <s v="-0.149"/>
    <x v="111"/>
    <n v="2430"/>
    <s v="0.882"/>
    <s v="0.801"/>
    <s v="0.262"/>
    <s v="0.411"/>
    <s v="0.091"/>
    <s v="0.059"/>
    <n v="2068"/>
  </r>
  <r>
    <x v="124"/>
    <x v="2"/>
    <n v="4517"/>
    <s v="0.067"/>
    <n v="4649"/>
    <n v="4384"/>
    <n v="8485"/>
    <s v="0.826"/>
    <n v="62250"/>
    <x v="108"/>
    <s v="-0.163"/>
    <x v="112"/>
    <n v="2430"/>
    <s v="0.646"/>
    <s v="0.819"/>
    <s v="0.434"/>
    <s v="0.330"/>
    <s v="0.082"/>
    <s v="0.075"/>
    <n v="2131"/>
  </r>
  <r>
    <x v="125"/>
    <x v="6"/>
    <n v="4426"/>
    <s v="0.052"/>
    <n v="4527"/>
    <n v="4324"/>
    <n v="8541"/>
    <s v="0.779"/>
    <n v="59302"/>
    <x v="63"/>
    <s v="0.509"/>
    <x v="113"/>
    <n v="2430"/>
    <s v="0.666"/>
    <s v="0.713"/>
    <s v="0.341"/>
    <s v="0.601"/>
    <s v="0.520"/>
    <s v="0.178"/>
    <n v="1407"/>
  </r>
  <r>
    <x v="126"/>
    <x v="2"/>
    <n v="4395"/>
    <s v="0.062"/>
    <n v="4516"/>
    <n v="4273"/>
    <n v="9182"/>
    <s v="0.767"/>
    <n v="67000"/>
    <x v="48"/>
    <s v="-0.167"/>
    <x v="114"/>
    <n v="2430"/>
    <s v="0.890"/>
    <s v="0.685"/>
    <s v="0.583"/>
    <s v="0.455"/>
    <s v="0.079"/>
    <s v="0.150"/>
    <n v="1553"/>
  </r>
  <r>
    <x v="127"/>
    <x v="8"/>
    <n v="4355"/>
    <s v="0.094"/>
    <n v="4540"/>
    <n v="4171"/>
    <n v="7364"/>
    <s v="0.619"/>
    <n v="48478"/>
    <x v="109"/>
    <s v="0.041"/>
    <x v="115"/>
    <n v="2430"/>
    <s v="0.255"/>
    <s v="0.353"/>
    <s v="0.000"/>
    <s v="0.240"/>
    <s v="0.215"/>
    <s v="0.084"/>
    <n v="3209"/>
  </r>
  <r>
    <x v="128"/>
    <x v="9"/>
    <n v="4325"/>
    <s v="0.066"/>
    <n v="4454"/>
    <n v="4196"/>
    <n v="9470"/>
    <s v="0.827"/>
    <n v="67299"/>
    <x v="41"/>
    <s v="0.079"/>
    <x v="116"/>
    <n v="2430"/>
    <s v="0.990"/>
    <s v="0.820"/>
    <s v="0.593"/>
    <s v="0.559"/>
    <s v="0.239"/>
    <s v="0.049"/>
    <n v="1075"/>
  </r>
  <r>
    <x v="129"/>
    <x v="8"/>
    <n v="4308"/>
    <s v="0.071"/>
    <n v="4448"/>
    <n v="4168"/>
    <n v="9065"/>
    <s v="0.770"/>
    <n v="50833"/>
    <x v="110"/>
    <s v="-0.185"/>
    <x v="117"/>
    <n v="2430"/>
    <s v="0.849"/>
    <s v="0.693"/>
    <s v="0.074"/>
    <s v="0.323"/>
    <s v="0.067"/>
    <s v="0.147"/>
    <n v="2155"/>
  </r>
  <r>
    <x v="130"/>
    <x v="8"/>
    <n v="4289"/>
    <s v="0.084"/>
    <n v="4454"/>
    <n v="4123"/>
    <n v="8031"/>
    <s v="0.626"/>
    <n v="57349"/>
    <x v="111"/>
    <s v="0.082"/>
    <x v="118"/>
    <n v="2430"/>
    <s v="0.488"/>
    <s v="0.367"/>
    <s v="0.279"/>
    <s v="0.202"/>
    <s v="0.241"/>
    <s v="0.101"/>
    <n v="2610"/>
  </r>
  <r>
    <x v="131"/>
    <x v="2"/>
    <n v="4283"/>
    <s v="0.045"/>
    <n v="4371"/>
    <n v="4195"/>
    <n v="9367"/>
    <s v="0.750"/>
    <n v="61998"/>
    <x v="90"/>
    <s v="-0.182"/>
    <x v="119"/>
    <n v="2430"/>
    <s v="0.954"/>
    <s v="0.647"/>
    <s v="0.426"/>
    <s v="0.446"/>
    <s v="0.069"/>
    <s v="0.092"/>
    <n v="1648"/>
  </r>
  <r>
    <x v="132"/>
    <x v="8"/>
    <n v="4275"/>
    <s v="0.051"/>
    <n v="4374"/>
    <n v="4175"/>
    <n v="7694"/>
    <s v="0.764"/>
    <n v="59000"/>
    <x v="112"/>
    <s v="0.082"/>
    <x v="120"/>
    <n v="2430"/>
    <s v="0.370"/>
    <s v="0.679"/>
    <s v="0.331"/>
    <s v="0.451"/>
    <s v="0.241"/>
    <s v="0.114"/>
    <n v="2089"/>
  </r>
  <r>
    <x v="133"/>
    <x v="8"/>
    <n v="4227"/>
    <s v="0.070"/>
    <n v="4365"/>
    <n v="4090"/>
    <n v="8542"/>
    <s v="0.795"/>
    <n v="57161"/>
    <x v="113"/>
    <s v="-0.106"/>
    <x v="121"/>
    <n v="2430"/>
    <s v="0.666"/>
    <s v="0.749"/>
    <s v="0.273"/>
    <s v="0.218"/>
    <s v="0.119"/>
    <s v="0.133"/>
    <n v="2069"/>
  </r>
  <r>
    <x v="134"/>
    <x v="8"/>
    <n v="4208"/>
    <s v="0.072"/>
    <n v="4349"/>
    <n v="4068"/>
    <n v="7396"/>
    <s v="0.686"/>
    <n v="59305"/>
    <x v="114"/>
    <s v="-0.005"/>
    <x v="122"/>
    <n v="2430"/>
    <s v="0.266"/>
    <s v="0.503"/>
    <s v="0.341"/>
    <s v="0.207"/>
    <s v="0.185"/>
    <s v="0.087"/>
    <n v="2620"/>
  </r>
  <r>
    <x v="135"/>
    <x v="8"/>
    <n v="4107"/>
    <s v="0.077"/>
    <n v="4258"/>
    <n v="3956"/>
    <n v="7362"/>
    <s v="0.569"/>
    <n v="54914"/>
    <x v="115"/>
    <s v="0.032"/>
    <x v="123"/>
    <n v="2430"/>
    <s v="0.254"/>
    <s v="0.239"/>
    <s v="0.203"/>
    <s v="0.289"/>
    <s v="0.209"/>
    <s v="0.107"/>
    <n v="2806"/>
  </r>
  <r>
    <x v="136"/>
    <x v="8"/>
    <n v="4073"/>
    <s v="0.069"/>
    <n v="4209"/>
    <n v="3938"/>
    <n v="8145"/>
    <s v="0.708"/>
    <n v="55809"/>
    <x v="78"/>
    <s v="0.061"/>
    <x v="66"/>
    <n v="2430"/>
    <s v="0.528"/>
    <s v="0.552"/>
    <s v="0.231"/>
    <s v="0.487"/>
    <s v="0.227"/>
    <s v="0.074"/>
    <n v="1975"/>
  </r>
  <r>
    <x v="137"/>
    <x v="8"/>
    <n v="3849"/>
    <s v="0.077"/>
    <n v="4001"/>
    <n v="3698"/>
    <n v="7434"/>
    <s v="0.630"/>
    <n v="51651"/>
    <x v="68"/>
    <s v="0.084"/>
    <x v="27"/>
    <n v="2430"/>
    <s v="0.279"/>
    <s v="0.377"/>
    <s v="0.100"/>
    <s v="0.408"/>
    <s v="0.243"/>
    <s v="0.047"/>
    <n v="2396"/>
  </r>
  <r>
    <x v="138"/>
    <x v="9"/>
    <n v="3819"/>
    <s v="0.026"/>
    <n v="3869"/>
    <n v="3769"/>
    <n v="8755"/>
    <s v="0.603"/>
    <n v="60633"/>
    <x v="116"/>
    <s v="0.089"/>
    <x v="124"/>
    <n v="2430"/>
    <s v="0.741"/>
    <s v="0.316"/>
    <s v="0.383"/>
    <s v="0.622"/>
    <s v="0.246"/>
    <s v="0.106"/>
    <n v="1405"/>
  </r>
  <r>
    <x v="139"/>
    <x v="8"/>
    <n v="3775"/>
    <s v="0.107"/>
    <n v="3985"/>
    <n v="3565"/>
    <n v="6635"/>
    <s v="0.490"/>
    <n v="53400"/>
    <x v="117"/>
    <s v="-0.024"/>
    <x v="125"/>
    <n v="2430"/>
    <s v="0.000"/>
    <s v="0.062"/>
    <s v="0.155"/>
    <s v="0.298"/>
    <s v="0.172"/>
    <s v="0.212"/>
    <n v="2876"/>
  </r>
  <r>
    <x v="140"/>
    <x v="2"/>
    <n v="3658"/>
    <s v="0.070"/>
    <n v="3794"/>
    <n v="3521"/>
    <n v="7578"/>
    <s v="0.832"/>
    <n v="57122"/>
    <x v="118"/>
    <s v="-0.147"/>
    <x v="50"/>
    <n v="2430"/>
    <s v="0.329"/>
    <s v="0.831"/>
    <s v="0.272"/>
    <s v="0.268"/>
    <s v="0.092"/>
    <s v="0.089"/>
    <n v="1776"/>
  </r>
  <r>
    <x v="141"/>
    <x v="8"/>
    <n v="3623"/>
    <s v="0.071"/>
    <n v="3762"/>
    <n v="3485"/>
    <n v="7876"/>
    <s v="0.702"/>
    <n v="57999"/>
    <x v="119"/>
    <s v="0.183"/>
    <x v="126"/>
    <n v="2430"/>
    <s v="0.433"/>
    <s v="0.540"/>
    <s v="0.300"/>
    <s v="0.549"/>
    <s v="0.307"/>
    <s v="0.231"/>
    <n v="1263"/>
  </r>
  <r>
    <x v="142"/>
    <x v="3"/>
    <n v="3615"/>
    <s v="0.173"/>
    <n v="3953"/>
    <n v="3276"/>
    <n v="7477"/>
    <s v="0.540"/>
    <n v="55700"/>
    <x v="120"/>
    <s v="0.422"/>
    <x v="23"/>
    <n v="2430"/>
    <s v="0.294"/>
    <s v="0.173"/>
    <s v="0.227"/>
    <s v="0.257"/>
    <s v="0.463"/>
    <s v="0.139"/>
    <n v="2060"/>
  </r>
  <r>
    <x v="143"/>
    <x v="8"/>
    <n v="3600"/>
    <s v="0.092"/>
    <n v="3781"/>
    <n v="3419"/>
    <n v="6958"/>
    <s v="0.537"/>
    <n v="57948"/>
    <x v="121"/>
    <s v="0.038"/>
    <x v="127"/>
    <n v="2430"/>
    <s v="0.113"/>
    <s v="0.168"/>
    <s v="0.298"/>
    <s v="0.484"/>
    <s v="0.213"/>
    <s v="0.134"/>
    <n v="2190"/>
  </r>
  <r>
    <x v="144"/>
    <x v="8"/>
    <n v="3512"/>
    <s v="0.120"/>
    <n v="3748"/>
    <n v="3276"/>
    <n v="7926"/>
    <s v="0.787"/>
    <n v="48700"/>
    <x v="47"/>
    <s v="-0.131"/>
    <x v="128"/>
    <n v="2430"/>
    <s v="0.451"/>
    <s v="0.731"/>
    <s v="0.007"/>
    <s v="0.405"/>
    <s v="0.103"/>
    <s v="0.015"/>
    <n v="1800"/>
  </r>
  <r>
    <x v="145"/>
    <x v="8"/>
    <n v="3467"/>
    <s v="0.074"/>
    <n v="3611"/>
    <n v="3322"/>
    <n v="9782"/>
    <s v="0.784"/>
    <n v="59269"/>
    <x v="122"/>
    <s v="-0.246"/>
    <x v="86"/>
    <n v="2430"/>
    <n v="1099"/>
    <s v="0.724"/>
    <s v="0.340"/>
    <s v="0.539"/>
    <s v="0.027"/>
    <s v="0.088"/>
    <s v="0.648"/>
  </r>
  <r>
    <x v="146"/>
    <x v="8"/>
    <n v="3415"/>
    <s v="0.068"/>
    <n v="3548"/>
    <n v="3282"/>
    <n v="7676"/>
    <s v="0.552"/>
    <n v="61400"/>
    <x v="123"/>
    <s v="0.061"/>
    <x v="129"/>
    <n v="2430"/>
    <s v="0.364"/>
    <s v="0.202"/>
    <s v="0.407"/>
    <s v="0.627"/>
    <s v="0.227"/>
    <s v="0.493"/>
    <n v="1095"/>
  </r>
  <r>
    <x v="147"/>
    <x v="8"/>
    <n v="3145"/>
    <s v="0.058"/>
    <n v="3259"/>
    <n v="3030"/>
    <n v="7943"/>
    <s v="0.750"/>
    <n v="56201"/>
    <x v="124"/>
    <s v="-0.047"/>
    <x v="112"/>
    <n v="2430"/>
    <s v="0.457"/>
    <s v="0.649"/>
    <s v="0.243"/>
    <s v="0.359"/>
    <s v="0.157"/>
    <s v="0.075"/>
    <n v="1205"/>
  </r>
  <r>
    <x v="148"/>
    <x v="9"/>
    <n v="2523"/>
    <s v="0.038"/>
    <n v="2596"/>
    <n v="2449"/>
    <n v="7695"/>
    <s v="0.463"/>
    <n v="52493"/>
    <x v="125"/>
    <s v="-0.102"/>
    <x v="102"/>
    <n v="2430"/>
    <s v="0.370"/>
    <s v="0.000"/>
    <s v="0.126"/>
    <s v="0.000"/>
    <s v="0.122"/>
    <s v="0.010"/>
    <n v="189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9">
  <r>
    <n v="0.82601755786113329"/>
    <n v="0.12135355892648775"/>
    <x v="0"/>
  </r>
  <r>
    <n v="0.85754189944134074"/>
    <n v="0.11318553092182029"/>
    <x v="0"/>
  </r>
  <r>
    <n v="0.89425379090183554"/>
    <n v="0.24504084014002331"/>
    <x v="0"/>
  </r>
  <r>
    <n v="0.84656823623304067"/>
    <n v="0.68961493582263722"/>
    <x v="0"/>
  </r>
  <r>
    <n v="0.85734237829209892"/>
    <n v="0.29871645274212372"/>
    <x v="0"/>
  </r>
  <r>
    <n v="0.88148443735035908"/>
    <n v="0.21936989498249709"/>
    <x v="0"/>
  </r>
  <r>
    <n v="0.84437350359138064"/>
    <n v="0.18086347724620766"/>
    <x v="0"/>
  </r>
  <r>
    <n v="1"/>
    <n v="0.35472578763127188"/>
    <x v="0"/>
  </r>
  <r>
    <n v="0.79968076616121309"/>
    <n v="0.18669778296382727"/>
    <x v="1"/>
  </r>
  <r>
    <n v="0.85215482841181167"/>
    <n v="0.46557759626604434"/>
    <x v="0"/>
  </r>
  <r>
    <n v="0.83020750199521154"/>
    <n v="0.42007001166861141"/>
    <x v="1"/>
  </r>
  <r>
    <n v="0.78611332801276934"/>
    <n v="0.78296382730455083"/>
    <x v="2"/>
  </r>
  <r>
    <n v="0.84557063048683156"/>
    <n v="0.441073512252042"/>
    <x v="0"/>
  </r>
  <r>
    <n v="0.82621707901037511"/>
    <n v="0.38856476079346552"/>
    <x v="1"/>
  </r>
  <r>
    <n v="0.93914604948124503"/>
    <n v="0.32788798133022168"/>
    <x v="0"/>
  </r>
  <r>
    <n v="0.64744612928970469"/>
    <n v="0.84830805134189047"/>
    <x v="3"/>
  </r>
  <r>
    <n v="0.81245011971268954"/>
    <n v="0.43990665110851812"/>
    <x v="0"/>
  </r>
  <r>
    <n v="0.78232242617717473"/>
    <n v="0.91715285880980169"/>
    <x v="4"/>
  </r>
  <r>
    <n v="0.87549880287310455"/>
    <n v="0.71878646441073513"/>
    <x v="1"/>
  </r>
  <r>
    <n v="0.83559457302474061"/>
    <n v="0.65810968494749134"/>
    <x v="0"/>
  </r>
  <r>
    <n v="0.81185155626496408"/>
    <n v="0.57059509918319717"/>
    <x v="0"/>
  </r>
  <r>
    <n v="0.80486831604150044"/>
    <n v="0.74679113185530921"/>
    <x v="2"/>
  </r>
  <r>
    <n v="0.80586592178770955"/>
    <n v="0.66627771295215876"/>
    <x v="0"/>
  </r>
  <r>
    <n v="0.84517158818834792"/>
    <n v="0.74562427071178528"/>
    <x v="5"/>
  </r>
  <r>
    <n v="0.88786911412609737"/>
    <n v="0.59159859976662776"/>
    <x v="2"/>
  </r>
  <r>
    <n v="0.819632881085395"/>
    <n v="0.70245040840140038"/>
    <x v="2"/>
  </r>
  <r>
    <n v="0.78531524341580206"/>
    <n v="0.77362893815635947"/>
    <x v="0"/>
  </r>
  <r>
    <n v="0.79569034317637666"/>
    <n v="0.91481913652275382"/>
    <x v="0"/>
  </r>
  <r>
    <n v="0.77693535514764567"/>
    <n v="0.84480746791131867"/>
    <x v="4"/>
  </r>
  <r>
    <n v="0.48244213886671988"/>
    <n v="0.80863477246207704"/>
    <x v="3"/>
  </r>
  <r>
    <n v="0.66460494812450122"/>
    <n v="0.5927654609101517"/>
    <x v="3"/>
  </r>
  <r>
    <n v="0.96827613727055073"/>
    <n v="0"/>
    <x v="6"/>
  </r>
  <r>
    <n v="0.53531524341580206"/>
    <n v="0.9743290548424739"/>
    <x v="4"/>
  </r>
  <r>
    <n v="0.74501197126895446"/>
    <n v="0.96732788798133029"/>
    <x v="4"/>
  </r>
  <r>
    <n v="0.58699122106943336"/>
    <n v="0.78646441073512263"/>
    <x v="3"/>
  </r>
  <r>
    <n v="0.64325618515562655"/>
    <n v="0.83663943990665124"/>
    <x v="3"/>
  </r>
  <r>
    <n v="0.50897845171588185"/>
    <n v="0.93582263710618441"/>
    <x v="3"/>
  </r>
  <r>
    <n v="0.77094972067039103"/>
    <n v="0.86814469078179701"/>
    <x v="4"/>
  </r>
  <r>
    <n v="0.78631284916201116"/>
    <n v="0.8891481913652276"/>
    <x v="0"/>
  </r>
  <r>
    <n v="0.76735833998403835"/>
    <n v="0.51925320886814474"/>
    <x v="4"/>
  </r>
  <r>
    <n v="0.74122106943335997"/>
    <n v="0.90315052508751459"/>
    <x v="3"/>
  </r>
  <r>
    <n v="0.43914604948124503"/>
    <n v="0.50525087514585765"/>
    <x v="7"/>
  </r>
  <r>
    <n v="0.68555466879489224"/>
    <n v="0.87281213535589264"/>
    <x v="3"/>
  </r>
  <r>
    <n v="0.74760574620909814"/>
    <n v="0.76196032672112024"/>
    <x v="4"/>
  </r>
  <r>
    <n v="0.70231444533120513"/>
    <n v="0.75962660443407237"/>
    <x v="7"/>
  </r>
  <r>
    <n v="0.72805267358339987"/>
    <n v="0.99883313885647607"/>
    <x v="4"/>
  </r>
  <r>
    <n v="0.83439744612928968"/>
    <n v="0.76312718786464417"/>
    <x v="2"/>
  </r>
  <r>
    <n v="0.62889066241021552"/>
    <n v="0.87864644107351231"/>
    <x v="4"/>
  </r>
  <r>
    <n v="0.4826416600159617"/>
    <n v="0.7071178529754959"/>
    <x v="3"/>
  </r>
  <r>
    <n v="0.6729848363926576"/>
    <n v="0.82497082847141201"/>
    <x v="8"/>
  </r>
  <r>
    <n v="0.73423782920989622"/>
    <n v="0.83780630105017517"/>
    <x v="4"/>
  </r>
  <r>
    <n v="0.58300079808459693"/>
    <n v="0.8856476079346558"/>
    <x v="3"/>
  </r>
  <r>
    <n v="0.74281723862729454"/>
    <n v="0.92648774795799305"/>
    <x v="4"/>
  </r>
  <r>
    <n v="0.63248204309656819"/>
    <n v="0.94865810968494757"/>
    <x v="6"/>
  </r>
  <r>
    <n v="0.39604948124501199"/>
    <n v="0.67911318553092193"/>
    <x v="3"/>
  </r>
  <r>
    <n v="0.79329608938547491"/>
    <n v="0.64877479579929997"/>
    <x v="5"/>
  </r>
  <r>
    <n v="0.66380686352753393"/>
    <n v="0.87747957992998837"/>
    <x v="3"/>
  </r>
  <r>
    <n v="0.75538707102952918"/>
    <n v="0.93932322053675621"/>
    <x v="0"/>
  </r>
  <r>
    <n v="0.40163607342378294"/>
    <n v="0.84830805134189047"/>
    <x v="3"/>
  </r>
  <r>
    <n v="0.71468475658419794"/>
    <n v="1"/>
    <x v="4"/>
  </r>
  <r>
    <n v="0.48703112529928172"/>
    <n v="0.77012835472578767"/>
    <x v="6"/>
  </r>
  <r>
    <n v="0.80127693535514766"/>
    <n v="0.75262543757292888"/>
    <x v="5"/>
  </r>
  <r>
    <n v="0.56324820430965683"/>
    <n v="0.94399066511085183"/>
    <x v="3"/>
  </r>
  <r>
    <n v="0.58958499600957703"/>
    <n v="0.99066511085180875"/>
    <x v="4"/>
  </r>
  <r>
    <n v="0.56245011971268954"/>
    <n v="0.97549591598599772"/>
    <x v="7"/>
  </r>
  <r>
    <n v="0.53431763766959295"/>
    <n v="0.88798133022170367"/>
    <x v="3"/>
  </r>
  <r>
    <n v="0.37968874700718275"/>
    <n v="0.9638273045507586"/>
    <x v="7"/>
  </r>
  <r>
    <n v="0.72705506783719076"/>
    <n v="0.86464410735122521"/>
    <x v="0"/>
  </r>
  <r>
    <n v="0.48104549082202713"/>
    <n v="0.88331388564760793"/>
    <x v="3"/>
  </r>
  <r>
    <n v="0.5516759776536313"/>
    <n v="0.90315052508751459"/>
    <x v="5"/>
  </r>
  <r>
    <n v="0.56125299281723862"/>
    <n v="0.93348891481913654"/>
    <x v="3"/>
  </r>
  <r>
    <n v="0.65941739824421386"/>
    <n v="0.85180863477246216"/>
    <x v="4"/>
  </r>
  <r>
    <n v="0.63188347964884273"/>
    <n v="0.73745624270711785"/>
    <x v="3"/>
  </r>
  <r>
    <n v="0.78631284916201116"/>
    <n v="0.63477246207701288"/>
    <x v="0"/>
  </r>
  <r>
    <n v="0.64205905826017562"/>
    <n v="0.63593932322053681"/>
    <x v="7"/>
  </r>
  <r>
    <n v="0.70909816440542695"/>
    <n v="0.89031505250875154"/>
    <x v="7"/>
  </r>
  <r>
    <n v="0.87090981644054266"/>
    <n v="0.37456242707117854"/>
    <x v="5"/>
  </r>
  <r>
    <n v="0.29050279329608941"/>
    <n v="0.5495915985997667"/>
    <x v="7"/>
  </r>
  <r>
    <n v="0.46648044692737428"/>
    <n v="0.83313885647607944"/>
    <x v="6"/>
  </r>
  <r>
    <n v="0.59596967278531521"/>
    <n v="0.68261376896149373"/>
    <x v="2"/>
  </r>
  <r>
    <n v="0.71887470071827608"/>
    <n v="0.88331388564760793"/>
    <x v="6"/>
  </r>
  <r>
    <n v="0.54469273743016755"/>
    <n v="0.91598599766627775"/>
    <x v="6"/>
  </r>
  <r>
    <n v="0.29569034317637671"/>
    <n v="0.77362893815635947"/>
    <x v="8"/>
  </r>
  <r>
    <n v="0.6061452513966481"/>
    <n v="0.7852975495915987"/>
    <x v="5"/>
  </r>
  <r>
    <n v="0.38228252194732643"/>
    <n v="0.83080513418903157"/>
    <x v="8"/>
  </r>
  <r>
    <n v="0.56903431763766954"/>
    <n v="0.63827304550758468"/>
    <x v="7"/>
  </r>
  <r>
    <n v="0.29628890662410218"/>
    <n v="0.75262543757292888"/>
    <x v="9"/>
  </r>
  <r>
    <n v="0.67458100558659218"/>
    <n v="0.99183197199533268"/>
    <x v="4"/>
  </r>
  <r>
    <n v="0.63667198723064644"/>
    <n v="0.86697782963827308"/>
    <x v="9"/>
  </r>
  <r>
    <n v="0.58539505187549878"/>
    <n v="0.49474912485414235"/>
    <x v="7"/>
  </r>
  <r>
    <n v="0.31005586592178769"/>
    <n v="0.89381563593932323"/>
    <x v="8"/>
  </r>
  <r>
    <n v="0.29588986432561853"/>
    <n v="0.83897316219369911"/>
    <x v="8"/>
  </r>
  <r>
    <n v="0.57561851556264965"/>
    <n v="0.95565927654609106"/>
    <x v="4"/>
  </r>
  <r>
    <n v="0.61013567438148442"/>
    <n v="0.9603267211201868"/>
    <x v="4"/>
  </r>
  <r>
    <n v="0.38806863527533919"/>
    <n v="0.89381563593932323"/>
    <x v="8"/>
  </r>
  <r>
    <n v="9.2378292098962492E-2"/>
    <n v="0.71295215869311557"/>
    <x v="8"/>
  </r>
  <r>
    <n v="0.59736632083000796"/>
    <n v="0.94049008168028014"/>
    <x v="7"/>
  </r>
  <r>
    <n v="0.20969672785315244"/>
    <n v="0.7747957992998834"/>
    <x v="8"/>
  </r>
  <r>
    <n v="0.28970470869912213"/>
    <n v="0.67561260210035012"/>
    <x v="8"/>
  </r>
  <r>
    <n v="0.46129289704708698"/>
    <n v="0.67211201866977843"/>
    <x v="6"/>
  </r>
  <r>
    <n v="0.36292897047086992"/>
    <n v="0.70011668611435252"/>
    <x v="9"/>
  </r>
  <r>
    <n v="0.24002394253790901"/>
    <n v="0.79813302217036175"/>
    <x v="8"/>
  </r>
  <r>
    <n v="0.55227454110135676"/>
    <n v="0.90781796966161032"/>
    <x v="8"/>
  </r>
  <r>
    <n v="0.71927374301675973"/>
    <n v="0.80980163360560098"/>
    <x v="2"/>
  </r>
  <r>
    <n v="0.3637270550678372"/>
    <n v="0.82263710618436414"/>
    <x v="9"/>
  </r>
  <r>
    <n v="0.45251396648044695"/>
    <n v="0.83897316219369911"/>
    <x v="2"/>
  </r>
  <r>
    <n v="0.48643256185155626"/>
    <n v="0.86931155192532095"/>
    <x v="3"/>
  </r>
  <r>
    <n v="0.58858739026336793"/>
    <n v="0.66861143523920663"/>
    <x v="7"/>
  </r>
  <r>
    <n v="0.54010375099760577"/>
    <n v="0.7817969661610269"/>
    <x v="2"/>
  </r>
  <r>
    <n v="0.55885873902633676"/>
    <n v="0.98249708284714132"/>
    <x v="7"/>
  </r>
  <r>
    <n v="0.5197525937749401"/>
    <n v="0.92532088681446911"/>
    <x v="2"/>
  </r>
  <r>
    <n v="0.59217877094972071"/>
    <n v="0.88448074679113187"/>
    <x v="8"/>
  </r>
  <r>
    <n v="0.20810055865921787"/>
    <n v="0.77712952158693116"/>
    <x v="8"/>
  </r>
  <r>
    <n v="0.34417398244213887"/>
    <n v="0.88798133022170367"/>
    <x v="6"/>
  </r>
  <r>
    <n v="0.10434956105347166"/>
    <n v="0.70245040840140038"/>
    <x v="8"/>
  </r>
  <r>
    <n v="0.37869114126097364"/>
    <n v="0.92882147024504091"/>
    <x v="8"/>
  </r>
  <r>
    <n v="0.22126895450917797"/>
    <n v="0.86931155192532095"/>
    <x v="8"/>
  </r>
  <r>
    <n v="0.58838786911412611"/>
    <n v="0.73745624270711785"/>
    <x v="2"/>
  </r>
  <r>
    <n v="0.20790103750997604"/>
    <n v="0.90198366394399065"/>
    <x v="8"/>
  </r>
  <r>
    <n v="0.13028731045490821"/>
    <n v="0.8961493582263711"/>
    <x v="8"/>
  </r>
  <r>
    <n v="0.34437350359138069"/>
    <n v="0.86697782963827308"/>
    <x v="8"/>
  </r>
  <r>
    <n v="0.52494014365522745"/>
    <n v="0.91948658109684955"/>
    <x v="2"/>
  </r>
  <r>
    <n v="0.59676775738228249"/>
    <n v="0.95215869311551937"/>
    <x v="2"/>
  </r>
  <r>
    <n v="0.50399042298483643"/>
    <n v="0.89264877479579929"/>
    <x v="8"/>
  </r>
  <r>
    <n v="0.36911412609736632"/>
    <n v="0.86231038506417734"/>
    <x v="2"/>
  </r>
  <r>
    <n v="0.38028731045490821"/>
    <n v="0.67444574095682619"/>
    <x v="6"/>
  </r>
  <r>
    <n v="0.50818036711891457"/>
    <n v="0.72695449241540255"/>
    <x v="2"/>
  </r>
  <r>
    <n v="0.1454509177972865"/>
    <n v="0.8459743290548426"/>
    <x v="8"/>
  </r>
  <r>
    <n v="0.56564245810055869"/>
    <n v="0.91131855309218213"/>
    <x v="9"/>
  </r>
  <r>
    <n v="0.48483639265762168"/>
    <n v="0.73045507584597436"/>
    <x v="8"/>
  </r>
  <r>
    <n v="0.27853152434158018"/>
    <n v="0.81563593932322065"/>
    <x v="8"/>
  </r>
  <r>
    <n v="0.54509177972865119"/>
    <n v="0.8319719953325555"/>
    <x v="2"/>
  </r>
  <r>
    <n v="0.21129289704708698"/>
    <n v="0.79229871645274219"/>
    <x v="8"/>
  </r>
  <r>
    <n v="0.38048683160415003"/>
    <n v="0.7572928821470245"/>
    <x v="8"/>
  </r>
  <r>
    <n v="0.15183559457302473"/>
    <n v="0.84130688448074686"/>
    <x v="8"/>
  </r>
  <r>
    <n v="0.14505187549880288"/>
    <n v="0.80513418903150535"/>
    <x v="8"/>
  </r>
  <r>
    <n v="0.30127693535514766"/>
    <n v="0.86464410735122521"/>
    <x v="8"/>
  </r>
  <r>
    <n v="0.15941739824421389"/>
    <n v="0.91481913652275382"/>
    <x v="8"/>
  </r>
  <r>
    <n v="0.4229848363926576"/>
    <n v="0.80746791131855322"/>
    <x v="9"/>
  </r>
  <r>
    <n v="0"/>
    <n v="0.61260210035005835"/>
    <x v="8"/>
  </r>
  <r>
    <n v="0.18814844373503592"/>
    <n v="0.83780630105017517"/>
    <x v="2"/>
  </r>
  <r>
    <n v="0.24760574620909817"/>
    <n v="0.57759626604434067"/>
    <x v="8"/>
  </r>
  <r>
    <n v="0.16799680766161212"/>
    <n v="0.74562427071178528"/>
    <x v="3"/>
  </r>
  <r>
    <n v="6.4445331205107745E-2"/>
    <n v="0.75495915985997675"/>
    <x v="8"/>
  </r>
  <r>
    <n v="0.25758180367118916"/>
    <n v="0.97199533255542603"/>
    <x v="8"/>
  </r>
  <r>
    <n v="0.62789305666400641"/>
    <n v="0.83897316219369911"/>
    <x v="8"/>
  </r>
  <r>
    <n v="0.20770151636073425"/>
    <n v="9.9183197199533266E-2"/>
    <x v="8"/>
  </r>
  <r>
    <n v="0.26097366320830007"/>
    <n v="0.86231038506417734"/>
    <x v="8"/>
  </r>
  <r>
    <n v="0.2114924181963288"/>
    <n v="0.98249708284714132"/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15B473-0530-4BBD-A56B-EA1A5C2113C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12" firstHeaderRow="1" firstDataRow="1" firstDataCol="1"/>
  <pivotFields count="20">
    <pivotField showAll="0">
      <items count="150">
        <item x="148"/>
        <item x="92"/>
        <item x="108"/>
        <item x="56"/>
        <item x="85"/>
        <item x="10"/>
        <item x="9"/>
        <item x="89"/>
        <item x="21"/>
        <item x="100"/>
        <item x="74"/>
        <item x="19"/>
        <item x="98"/>
        <item x="68"/>
        <item x="63"/>
        <item x="145"/>
        <item x="34"/>
        <item x="87"/>
        <item x="112"/>
        <item x="139"/>
        <item x="113"/>
        <item x="90"/>
        <item x="13"/>
        <item x="127"/>
        <item x="42"/>
        <item x="83"/>
        <item x="51"/>
        <item x="130"/>
        <item x="82"/>
        <item x="15"/>
        <item x="59"/>
        <item x="38"/>
        <item x="17"/>
        <item x="1"/>
        <item x="72"/>
        <item x="65"/>
        <item x="131"/>
        <item x="48"/>
        <item x="39"/>
        <item x="132"/>
        <item x="0"/>
        <item x="20"/>
        <item x="111"/>
        <item x="97"/>
        <item x="107"/>
        <item x="12"/>
        <item x="94"/>
        <item x="67"/>
        <item x="29"/>
        <item x="101"/>
        <item x="142"/>
        <item x="58"/>
        <item x="76"/>
        <item x="52"/>
        <item x="3"/>
        <item x="138"/>
        <item x="81"/>
        <item x="117"/>
        <item x="110"/>
        <item x="14"/>
        <item x="11"/>
        <item x="27"/>
        <item x="84"/>
        <item x="36"/>
        <item x="55"/>
        <item x="126"/>
        <item x="44"/>
        <item x="120"/>
        <item x="32"/>
        <item x="46"/>
        <item x="66"/>
        <item x="99"/>
        <item x="50"/>
        <item x="122"/>
        <item x="144"/>
        <item x="119"/>
        <item x="79"/>
        <item x="37"/>
        <item x="7"/>
        <item x="134"/>
        <item x="143"/>
        <item x="80"/>
        <item x="88"/>
        <item x="116"/>
        <item x="22"/>
        <item x="133"/>
        <item x="49"/>
        <item x="35"/>
        <item x="64"/>
        <item x="69"/>
        <item x="71"/>
        <item x="105"/>
        <item x="114"/>
        <item x="125"/>
        <item x="123"/>
        <item x="86"/>
        <item x="4"/>
        <item x="8"/>
        <item x="54"/>
        <item x="95"/>
        <item x="115"/>
        <item x="73"/>
        <item x="93"/>
        <item x="5"/>
        <item x="104"/>
        <item x="124"/>
        <item x="40"/>
        <item x="70"/>
        <item x="62"/>
        <item x="60"/>
        <item x="43"/>
        <item x="57"/>
        <item x="45"/>
        <item x="75"/>
        <item x="146"/>
        <item x="25"/>
        <item x="91"/>
        <item x="47"/>
        <item x="137"/>
        <item x="31"/>
        <item x="33"/>
        <item x="28"/>
        <item x="102"/>
        <item x="61"/>
        <item x="26"/>
        <item x="128"/>
        <item x="129"/>
        <item x="6"/>
        <item x="2"/>
        <item x="23"/>
        <item x="77"/>
        <item x="141"/>
        <item x="53"/>
        <item x="135"/>
        <item x="121"/>
        <item x="103"/>
        <item x="96"/>
        <item x="118"/>
        <item x="109"/>
        <item x="24"/>
        <item x="16"/>
        <item x="18"/>
        <item x="30"/>
        <item x="41"/>
        <item x="106"/>
        <item x="78"/>
        <item x="140"/>
        <item x="136"/>
        <item x="147"/>
        <item t="default"/>
      </items>
    </pivotField>
    <pivotField axis="axisRow" dataField="1" showAll="0">
      <items count="11">
        <item x="4"/>
        <item x="7"/>
        <item x="5"/>
        <item x="3"/>
        <item x="2"/>
        <item x="1"/>
        <item x="9"/>
        <item x="6"/>
        <item x="8"/>
        <item x="0"/>
        <item t="default"/>
      </items>
    </pivotField>
    <pivotField numFmtId="3" showAll="0"/>
    <pivotField showAll="0"/>
    <pivotField numFmtId="3" showAll="0"/>
    <pivotField numFmtId="3" showAll="0"/>
    <pivotField numFmtId="3" showAll="0"/>
    <pivotField showAll="0"/>
    <pivotField numFmtId="3" showAll="0"/>
    <pivotField showAll="0"/>
    <pivotField showAll="0"/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Regional indicator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4A7E1A-D985-4B94-94F0-11C383F94C4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26:D37" firstHeaderRow="0" firstDataRow="1" firstDataCol="1"/>
  <pivotFields count="20">
    <pivotField dataField="1" showAll="0">
      <items count="150">
        <item x="148"/>
        <item x="92"/>
        <item x="108"/>
        <item x="56"/>
        <item x="85"/>
        <item x="10"/>
        <item x="9"/>
        <item x="89"/>
        <item x="21"/>
        <item x="100"/>
        <item x="74"/>
        <item x="19"/>
        <item x="98"/>
        <item x="68"/>
        <item x="63"/>
        <item x="145"/>
        <item x="34"/>
        <item x="87"/>
        <item x="112"/>
        <item x="139"/>
        <item x="113"/>
        <item x="90"/>
        <item x="13"/>
        <item x="127"/>
        <item x="42"/>
        <item x="83"/>
        <item x="51"/>
        <item x="130"/>
        <item x="82"/>
        <item x="15"/>
        <item x="59"/>
        <item x="38"/>
        <item x="17"/>
        <item x="1"/>
        <item x="72"/>
        <item x="65"/>
        <item x="131"/>
        <item x="48"/>
        <item x="39"/>
        <item x="132"/>
        <item x="0"/>
        <item x="20"/>
        <item x="111"/>
        <item x="97"/>
        <item x="107"/>
        <item x="12"/>
        <item x="94"/>
        <item x="67"/>
        <item x="29"/>
        <item x="101"/>
        <item x="142"/>
        <item x="58"/>
        <item x="76"/>
        <item x="52"/>
        <item x="3"/>
        <item x="138"/>
        <item x="81"/>
        <item x="117"/>
        <item x="110"/>
        <item x="14"/>
        <item x="11"/>
        <item x="27"/>
        <item x="84"/>
        <item x="36"/>
        <item x="55"/>
        <item x="126"/>
        <item x="44"/>
        <item x="120"/>
        <item x="32"/>
        <item x="46"/>
        <item x="66"/>
        <item x="99"/>
        <item x="50"/>
        <item x="122"/>
        <item x="144"/>
        <item x="119"/>
        <item x="79"/>
        <item x="37"/>
        <item x="7"/>
        <item x="134"/>
        <item x="143"/>
        <item x="80"/>
        <item x="88"/>
        <item x="116"/>
        <item x="22"/>
        <item x="133"/>
        <item x="49"/>
        <item x="35"/>
        <item x="64"/>
        <item x="69"/>
        <item x="71"/>
        <item x="105"/>
        <item x="114"/>
        <item x="125"/>
        <item x="123"/>
        <item x="86"/>
        <item x="4"/>
        <item x="8"/>
        <item x="54"/>
        <item x="95"/>
        <item x="115"/>
        <item x="73"/>
        <item x="93"/>
        <item x="5"/>
        <item x="104"/>
        <item x="124"/>
        <item x="40"/>
        <item x="70"/>
        <item x="62"/>
        <item x="60"/>
        <item x="43"/>
        <item x="57"/>
        <item x="45"/>
        <item x="75"/>
        <item x="146"/>
        <item x="25"/>
        <item x="91"/>
        <item x="47"/>
        <item x="137"/>
        <item x="31"/>
        <item x="33"/>
        <item x="28"/>
        <item x="102"/>
        <item x="61"/>
        <item x="26"/>
        <item x="128"/>
        <item x="129"/>
        <item x="6"/>
        <item x="2"/>
        <item x="23"/>
        <item x="77"/>
        <item x="141"/>
        <item x="53"/>
        <item x="135"/>
        <item x="121"/>
        <item x="103"/>
        <item x="96"/>
        <item x="118"/>
        <item x="109"/>
        <item x="24"/>
        <item x="16"/>
        <item x="18"/>
        <item x="30"/>
        <item x="41"/>
        <item x="106"/>
        <item x="78"/>
        <item x="140"/>
        <item x="136"/>
        <item x="147"/>
        <item t="default"/>
      </items>
    </pivotField>
    <pivotField axis="axisRow" showAll="0">
      <items count="11">
        <item x="4"/>
        <item x="7"/>
        <item x="5"/>
        <item x="3"/>
        <item x="2"/>
        <item x="1"/>
        <item x="9"/>
        <item x="6"/>
        <item x="8"/>
        <item x="0"/>
        <item t="default"/>
      </items>
    </pivotField>
    <pivotField dataField="1" numFmtId="3" showAll="0"/>
    <pivotField showAll="0"/>
    <pivotField numFmtId="3" showAll="0"/>
    <pivotField numFmtId="3" showAll="0"/>
    <pivotField dataField="1" numFmtId="3" showAll="0"/>
    <pivotField showAll="0"/>
    <pivotField numFmtId="3" showAll="0"/>
    <pivotField showAll="0"/>
    <pivotField showAll="0"/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Ladder score" fld="2" subtotal="average" baseField="1" baseItem="0" numFmtId="3"/>
    <dataField name="Average of Logged GDP per capita" fld="6" subtotal="average" baseField="1" baseItem="0" numFmtId="3"/>
    <dataField name="Number of countries" fld="0" subtotal="count" baseField="0" baseItem="0"/>
  </dataFields>
  <chartFormats count="6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822152-569D-4B7C-8D90-0A9152F056EC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66:J77" firstHeaderRow="0" firstDataRow="1" firstDataCol="1"/>
  <pivotFields count="3">
    <pivotField dataField="1" showAll="0"/>
    <pivotField dataField="1" showAll="0"/>
    <pivotField axis="axisRow" showAll="0">
      <items count="11">
        <item x="4"/>
        <item x="7"/>
        <item x="5"/>
        <item x="3"/>
        <item x="2"/>
        <item x="1"/>
        <item x="9"/>
        <item x="6"/>
        <item x="8"/>
        <item x="0"/>
        <item t="default"/>
      </items>
    </pivotField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Normalized corruption" fld="1" subtotal="average" baseField="2" baseItem="0"/>
    <dataField name="Average of Normalized GDP" fld="0" subtotal="average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B264EB-6752-4D8F-AFA4-0BFEF5C0A7B9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8:B19" firstHeaderRow="1" firstDataRow="1" firstDataCol="1"/>
  <pivotFields count="20">
    <pivotField showAll="0"/>
    <pivotField axis="axisRow" showAll="0">
      <items count="11">
        <item x="4"/>
        <item x="7"/>
        <item x="5"/>
        <item x="3"/>
        <item x="2"/>
        <item x="1"/>
        <item x="9"/>
        <item x="6"/>
        <item x="8"/>
        <item x="0"/>
        <item t="default"/>
      </items>
    </pivotField>
    <pivotField dataField="1" numFmtId="3" showAll="0"/>
    <pivotField showAll="0"/>
    <pivotField numFmtId="3" showAll="0"/>
    <pivotField numFmtId="3" showAll="0"/>
    <pivotField numFmtId="3" showAll="0"/>
    <pivotField showAll="0"/>
    <pivotField numFmtId="3" showAll="0"/>
    <pivotField showAll="0"/>
    <pivotField showAll="0"/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Average of Ladder score" fld="2" subtotal="average" baseField="1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55A1E-0A38-47A0-A4D3-FD84BE98A8C0}">
  <dimension ref="A1:T156"/>
  <sheetViews>
    <sheetView tabSelected="1" workbookViewId="0">
      <pane ySplit="1" topLeftCell="A56" activePane="bottomLeft" state="frozen"/>
      <selection pane="bottomLeft" activeCell="B1" sqref="B1:B150"/>
    </sheetView>
  </sheetViews>
  <sheetFormatPr defaultRowHeight="14.4" x14ac:dyDescent="0.3"/>
  <cols>
    <col min="1" max="1" width="12.109375" bestFit="1" customWidth="1"/>
    <col min="2" max="2" width="15.44140625" bestFit="1" customWidth="1"/>
    <col min="3" max="3" width="11.44140625" bestFit="1" customWidth="1"/>
    <col min="4" max="4" width="25.109375" bestFit="1" customWidth="1"/>
    <col min="5" max="5" width="11.88671875" bestFit="1" customWidth="1"/>
    <col min="6" max="6" width="11.6640625" bestFit="1" customWidth="1"/>
    <col min="7" max="7" width="19.21875" bestFit="1" customWidth="1"/>
    <col min="8" max="8" width="12.33203125" bestFit="1" customWidth="1"/>
    <col min="9" max="9" width="19.5546875" bestFit="1" customWidth="1"/>
    <col min="10" max="10" width="24.6640625" bestFit="1" customWidth="1"/>
    <col min="11" max="11" width="9.6640625" bestFit="1" customWidth="1"/>
    <col min="12" max="12" width="21.5546875" bestFit="1" customWidth="1"/>
    <col min="13" max="13" width="20.6640625" bestFit="1" customWidth="1"/>
    <col min="14" max="14" width="27.21875" bestFit="1" customWidth="1"/>
    <col min="15" max="15" width="23.33203125" bestFit="1" customWidth="1"/>
    <col min="16" max="16" width="30.5546875" bestFit="1" customWidth="1"/>
    <col min="17" max="17" width="35.6640625" bestFit="1" customWidth="1"/>
    <col min="18" max="18" width="20.5546875" bestFit="1" customWidth="1"/>
    <col min="19" max="19" width="32.44140625" bestFit="1" customWidth="1"/>
    <col min="20" max="20" width="16.10937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>
        <f>7842/(1000)</f>
        <v>7.8419999999999996</v>
      </c>
      <c r="D2">
        <v>3.2000000000000001E-2</v>
      </c>
      <c r="E2" s="1">
        <v>7904</v>
      </c>
      <c r="F2" s="1">
        <v>7780</v>
      </c>
      <c r="G2">
        <f>10775/(1000)</f>
        <v>10.775</v>
      </c>
      <c r="H2">
        <v>0.95399999999999996</v>
      </c>
      <c r="I2">
        <f>72000/(1000)</f>
        <v>72</v>
      </c>
      <c r="J2">
        <v>0.94899999999999995</v>
      </c>
      <c r="K2">
        <v>-9.8000000000000004E-2</v>
      </c>
      <c r="L2">
        <v>0.186</v>
      </c>
      <c r="M2" s="1">
        <v>2430</v>
      </c>
      <c r="N2" s="1">
        <v>1446</v>
      </c>
      <c r="O2" s="1">
        <v>1106</v>
      </c>
      <c r="P2">
        <v>0.74099999999999999</v>
      </c>
      <c r="Q2">
        <v>0.69099999999999995</v>
      </c>
      <c r="R2">
        <v>0.124</v>
      </c>
      <c r="S2">
        <v>0.48099999999999998</v>
      </c>
      <c r="T2" s="1">
        <v>3253</v>
      </c>
    </row>
    <row r="3" spans="1:20" x14ac:dyDescent="0.3">
      <c r="A3" t="s">
        <v>22</v>
      </c>
      <c r="B3" t="s">
        <v>21</v>
      </c>
      <c r="C3">
        <f>7620/(1000)</f>
        <v>7.62</v>
      </c>
      <c r="D3">
        <v>3.5000000000000003E-2</v>
      </c>
      <c r="E3" s="1">
        <v>7687</v>
      </c>
      <c r="F3" s="1">
        <v>7552</v>
      </c>
      <c r="G3">
        <f>10933/(1000)</f>
        <v>10.933</v>
      </c>
      <c r="H3">
        <v>0.95399999999999996</v>
      </c>
      <c r="I3">
        <f>72700/(1000)</f>
        <v>72.7</v>
      </c>
      <c r="J3">
        <v>0.94599999999999995</v>
      </c>
      <c r="K3">
        <v>0.03</v>
      </c>
      <c r="L3">
        <v>0.17899999999999999</v>
      </c>
      <c r="M3" s="1">
        <v>2430</v>
      </c>
      <c r="N3" s="1">
        <v>1502</v>
      </c>
      <c r="O3" s="1">
        <v>1108</v>
      </c>
      <c r="P3">
        <v>0.76300000000000001</v>
      </c>
      <c r="Q3">
        <v>0.68600000000000005</v>
      </c>
      <c r="R3">
        <v>0.20799999999999999</v>
      </c>
      <c r="S3">
        <v>0.48499999999999999</v>
      </c>
      <c r="T3" s="1">
        <v>2868</v>
      </c>
    </row>
    <row r="4" spans="1:20" x14ac:dyDescent="0.3">
      <c r="A4" t="s">
        <v>23</v>
      </c>
      <c r="B4" t="s">
        <v>21</v>
      </c>
      <c r="C4">
        <f>7571/(1000)</f>
        <v>7.5709999999999997</v>
      </c>
      <c r="D4">
        <v>3.5999999999999997E-2</v>
      </c>
      <c r="E4" s="1">
        <v>7643</v>
      </c>
      <c r="F4" s="1">
        <v>7500</v>
      </c>
      <c r="G4">
        <f>11117/(1000)</f>
        <v>11.117000000000001</v>
      </c>
      <c r="H4">
        <v>0.94199999999999995</v>
      </c>
      <c r="I4">
        <f>74400/(1000)</f>
        <v>74.400000000000006</v>
      </c>
      <c r="J4">
        <v>0.91900000000000004</v>
      </c>
      <c r="K4">
        <v>2.5000000000000001E-2</v>
      </c>
      <c r="L4">
        <v>0.29199999999999998</v>
      </c>
      <c r="M4" s="1">
        <v>2430</v>
      </c>
      <c r="N4" s="1">
        <v>1566</v>
      </c>
      <c r="O4" s="1">
        <v>1079</v>
      </c>
      <c r="P4">
        <v>0.81599999999999995</v>
      </c>
      <c r="Q4">
        <v>0.65300000000000002</v>
      </c>
      <c r="R4">
        <v>0.20399999999999999</v>
      </c>
      <c r="S4">
        <v>0.41299999999999998</v>
      </c>
      <c r="T4" s="1">
        <v>2839</v>
      </c>
    </row>
    <row r="5" spans="1:20" x14ac:dyDescent="0.3">
      <c r="A5" t="s">
        <v>24</v>
      </c>
      <c r="B5" t="s">
        <v>21</v>
      </c>
      <c r="C5">
        <f>7554/(1000)</f>
        <v>7.5540000000000003</v>
      </c>
      <c r="D5">
        <v>5.8999999999999997E-2</v>
      </c>
      <c r="E5" s="1">
        <v>7670</v>
      </c>
      <c r="F5" s="1">
        <v>7438</v>
      </c>
      <c r="G5">
        <f>10878/(1000)</f>
        <v>10.878</v>
      </c>
      <c r="H5">
        <v>0.98299999999999998</v>
      </c>
      <c r="I5">
        <f>73000/(1000)</f>
        <v>73</v>
      </c>
      <c r="J5">
        <v>0.95499999999999996</v>
      </c>
      <c r="K5">
        <v>0.16</v>
      </c>
      <c r="L5">
        <v>0.67300000000000004</v>
      </c>
      <c r="M5" s="1">
        <v>2430</v>
      </c>
      <c r="N5" s="1">
        <v>1482</v>
      </c>
      <c r="O5" s="1">
        <v>1172</v>
      </c>
      <c r="P5">
        <v>0.77200000000000002</v>
      </c>
      <c r="Q5">
        <v>0.69799999999999995</v>
      </c>
      <c r="R5">
        <v>0.29299999999999998</v>
      </c>
      <c r="S5">
        <v>0.17</v>
      </c>
      <c r="T5" s="1">
        <v>2967</v>
      </c>
    </row>
    <row r="6" spans="1:20" x14ac:dyDescent="0.3">
      <c r="A6" t="s">
        <v>25</v>
      </c>
      <c r="B6" t="s">
        <v>21</v>
      </c>
      <c r="C6">
        <f>7464/(1000)</f>
        <v>7.4640000000000004</v>
      </c>
      <c r="D6">
        <v>2.7E-2</v>
      </c>
      <c r="E6" s="1">
        <v>7518</v>
      </c>
      <c r="F6" s="1">
        <v>7410</v>
      </c>
      <c r="G6">
        <f>10932/(1000)</f>
        <v>10.932</v>
      </c>
      <c r="H6">
        <v>0.94199999999999995</v>
      </c>
      <c r="I6">
        <f>72400/(1000)</f>
        <v>72.400000000000006</v>
      </c>
      <c r="J6">
        <v>0.91300000000000003</v>
      </c>
      <c r="K6">
        <v>0.17499999999999999</v>
      </c>
      <c r="L6">
        <v>0.33800000000000002</v>
      </c>
      <c r="M6" s="1">
        <v>2430</v>
      </c>
      <c r="N6" s="1">
        <v>1501</v>
      </c>
      <c r="O6" s="1">
        <v>1079</v>
      </c>
      <c r="P6">
        <v>0.753</v>
      </c>
      <c r="Q6">
        <v>0.64700000000000002</v>
      </c>
      <c r="R6">
        <v>0.30199999999999999</v>
      </c>
      <c r="S6">
        <v>0.38400000000000001</v>
      </c>
      <c r="T6" s="1">
        <v>2798</v>
      </c>
    </row>
    <row r="7" spans="1:20" x14ac:dyDescent="0.3">
      <c r="A7" t="s">
        <v>26</v>
      </c>
      <c r="B7" t="s">
        <v>21</v>
      </c>
      <c r="C7">
        <f>7392/(1000)</f>
        <v>7.3920000000000003</v>
      </c>
      <c r="D7">
        <v>3.5000000000000003E-2</v>
      </c>
      <c r="E7" s="1">
        <v>7462</v>
      </c>
      <c r="F7" s="1">
        <v>7323</v>
      </c>
      <c r="G7">
        <f>11053/(1000)</f>
        <v>11.053000000000001</v>
      </c>
      <c r="H7">
        <v>0.95399999999999996</v>
      </c>
      <c r="I7">
        <f>73300/(1000)</f>
        <v>73.3</v>
      </c>
      <c r="J7">
        <v>0.96</v>
      </c>
      <c r="K7">
        <v>9.2999999999999999E-2</v>
      </c>
      <c r="L7">
        <v>0.27</v>
      </c>
      <c r="M7" s="1">
        <v>2430</v>
      </c>
      <c r="N7" s="1">
        <v>1543</v>
      </c>
      <c r="O7" s="1">
        <v>1108</v>
      </c>
      <c r="P7">
        <v>0.78200000000000003</v>
      </c>
      <c r="Q7">
        <v>0.70299999999999996</v>
      </c>
      <c r="R7">
        <v>0.249</v>
      </c>
      <c r="S7">
        <v>0.42699999999999999</v>
      </c>
      <c r="T7" s="1">
        <v>2580</v>
      </c>
    </row>
    <row r="8" spans="1:20" x14ac:dyDescent="0.3">
      <c r="A8" t="s">
        <v>27</v>
      </c>
      <c r="B8" t="s">
        <v>21</v>
      </c>
      <c r="C8">
        <f>7363/(1000)</f>
        <v>7.3630000000000004</v>
      </c>
      <c r="D8">
        <v>3.5999999999999997E-2</v>
      </c>
      <c r="E8" s="1">
        <v>7433</v>
      </c>
      <c r="F8" s="1">
        <v>7293</v>
      </c>
      <c r="G8">
        <f>10867/(1000)</f>
        <v>10.867000000000001</v>
      </c>
      <c r="H8">
        <v>0.93400000000000005</v>
      </c>
      <c r="I8">
        <f>72700/(1000)</f>
        <v>72.7</v>
      </c>
      <c r="J8">
        <v>0.94499999999999995</v>
      </c>
      <c r="K8">
        <v>8.5999999999999993E-2</v>
      </c>
      <c r="L8">
        <v>0.23699999999999999</v>
      </c>
      <c r="M8" s="1">
        <v>2430</v>
      </c>
      <c r="N8" s="1">
        <v>1478</v>
      </c>
      <c r="O8" s="1">
        <v>1062</v>
      </c>
      <c r="P8">
        <v>0.76300000000000001</v>
      </c>
      <c r="Q8">
        <v>0.68500000000000005</v>
      </c>
      <c r="R8">
        <v>0.24399999999999999</v>
      </c>
      <c r="S8">
        <v>0.44800000000000001</v>
      </c>
      <c r="T8" s="1">
        <v>2683</v>
      </c>
    </row>
    <row r="9" spans="1:20" x14ac:dyDescent="0.3">
      <c r="A9" t="s">
        <v>28</v>
      </c>
      <c r="B9" t="s">
        <v>21</v>
      </c>
      <c r="C9">
        <f>7324/(1000)</f>
        <v>7.3239999999999998</v>
      </c>
      <c r="D9">
        <v>3.6999999999999998E-2</v>
      </c>
      <c r="E9" s="1">
        <v>7396</v>
      </c>
      <c r="F9" s="1">
        <v>7252</v>
      </c>
      <c r="G9">
        <f>11647/(1000)</f>
        <v>11.647</v>
      </c>
      <c r="H9">
        <v>0.90800000000000003</v>
      </c>
      <c r="I9">
        <f>72600/(1000)</f>
        <v>72.599999999999994</v>
      </c>
      <c r="J9">
        <v>0.90700000000000003</v>
      </c>
      <c r="K9">
        <v>-3.4000000000000002E-2</v>
      </c>
      <c r="L9">
        <v>0.38600000000000001</v>
      </c>
      <c r="M9" s="1">
        <v>2430</v>
      </c>
      <c r="N9" s="1">
        <v>1751</v>
      </c>
      <c r="O9" s="1">
        <v>1003</v>
      </c>
      <c r="P9">
        <v>0.76</v>
      </c>
      <c r="Q9">
        <v>0.63900000000000001</v>
      </c>
      <c r="R9">
        <v>0.16600000000000001</v>
      </c>
      <c r="S9">
        <v>0.35299999999999998</v>
      </c>
      <c r="T9" s="1">
        <v>2653</v>
      </c>
    </row>
    <row r="10" spans="1:20" x14ac:dyDescent="0.3">
      <c r="A10" t="s">
        <v>29</v>
      </c>
      <c r="B10" t="s">
        <v>30</v>
      </c>
      <c r="C10">
        <f>7277/(1000)</f>
        <v>7.2770000000000001</v>
      </c>
      <c r="D10">
        <v>0.04</v>
      </c>
      <c r="E10" s="1">
        <v>7355</v>
      </c>
      <c r="F10" s="1">
        <v>7198</v>
      </c>
      <c r="G10">
        <f>10643/(1000)</f>
        <v>10.643000000000001</v>
      </c>
      <c r="H10">
        <v>0.94799999999999995</v>
      </c>
      <c r="I10">
        <f>73400/(1000)</f>
        <v>73.400000000000006</v>
      </c>
      <c r="J10">
        <v>0.92900000000000005</v>
      </c>
      <c r="K10">
        <v>0.13400000000000001</v>
      </c>
      <c r="L10">
        <v>0.24199999999999999</v>
      </c>
      <c r="M10" s="1">
        <v>2430</v>
      </c>
      <c r="N10" s="1">
        <v>1400</v>
      </c>
      <c r="O10" s="1">
        <v>1094</v>
      </c>
      <c r="P10">
        <v>0.78500000000000003</v>
      </c>
      <c r="Q10">
        <v>0.66500000000000004</v>
      </c>
      <c r="R10">
        <v>0.27600000000000002</v>
      </c>
      <c r="S10">
        <v>0.44500000000000001</v>
      </c>
      <c r="T10" s="1">
        <v>2612</v>
      </c>
    </row>
    <row r="11" spans="1:20" x14ac:dyDescent="0.3">
      <c r="A11" t="s">
        <v>31</v>
      </c>
      <c r="B11" t="s">
        <v>21</v>
      </c>
      <c r="C11">
        <f>7268/(1000)</f>
        <v>7.2679999999999998</v>
      </c>
      <c r="D11">
        <v>3.5999999999999997E-2</v>
      </c>
      <c r="E11" s="1">
        <v>7337</v>
      </c>
      <c r="F11" s="1">
        <v>7198</v>
      </c>
      <c r="G11">
        <f>10906/(1000)</f>
        <v>10.906000000000001</v>
      </c>
      <c r="H11">
        <v>0.93400000000000005</v>
      </c>
      <c r="I11">
        <f>73300/(1000)</f>
        <v>73.3</v>
      </c>
      <c r="J11">
        <v>0.90800000000000003</v>
      </c>
      <c r="K11">
        <v>4.2000000000000003E-2</v>
      </c>
      <c r="L11">
        <v>0.48099999999999998</v>
      </c>
      <c r="M11" s="1">
        <v>2430</v>
      </c>
      <c r="N11" s="1">
        <v>1492</v>
      </c>
      <c r="O11" s="1">
        <v>1062</v>
      </c>
      <c r="P11">
        <v>0.78200000000000003</v>
      </c>
      <c r="Q11">
        <v>0.64</v>
      </c>
      <c r="R11">
        <v>0.215</v>
      </c>
      <c r="S11">
        <v>0.29199999999999998</v>
      </c>
      <c r="T11" s="1">
        <v>2784</v>
      </c>
    </row>
    <row r="12" spans="1:20" x14ac:dyDescent="0.3">
      <c r="A12" t="s">
        <v>32</v>
      </c>
      <c r="B12" t="s">
        <v>30</v>
      </c>
      <c r="C12">
        <f>7183/(1000)</f>
        <v>7.1829999999999998</v>
      </c>
      <c r="D12">
        <v>4.1000000000000002E-2</v>
      </c>
      <c r="E12" s="1">
        <v>7265</v>
      </c>
      <c r="F12" s="1">
        <v>7102</v>
      </c>
      <c r="G12">
        <f>10796/(1000)</f>
        <v>10.795999999999999</v>
      </c>
      <c r="H12">
        <v>0.94</v>
      </c>
      <c r="I12">
        <f>73900/(1000)</f>
        <v>73.900000000000006</v>
      </c>
      <c r="J12">
        <v>0.91400000000000003</v>
      </c>
      <c r="K12">
        <v>0.159</v>
      </c>
      <c r="L12">
        <v>0.442</v>
      </c>
      <c r="M12" s="1">
        <v>2430</v>
      </c>
      <c r="N12" s="1">
        <v>1453</v>
      </c>
      <c r="O12" s="1">
        <v>1076</v>
      </c>
      <c r="P12">
        <v>0.80100000000000005</v>
      </c>
      <c r="Q12">
        <v>0.64700000000000002</v>
      </c>
      <c r="R12">
        <v>0.29099999999999998</v>
      </c>
      <c r="S12">
        <v>0.317</v>
      </c>
      <c r="T12" s="1">
        <v>2598</v>
      </c>
    </row>
    <row r="13" spans="1:20" x14ac:dyDescent="0.3">
      <c r="A13" t="s">
        <v>33</v>
      </c>
      <c r="B13" t="s">
        <v>34</v>
      </c>
      <c r="C13">
        <f>7157/(1000)</f>
        <v>7.157</v>
      </c>
      <c r="D13">
        <v>3.4000000000000002E-2</v>
      </c>
      <c r="E13" s="1">
        <v>7224</v>
      </c>
      <c r="F13" s="1">
        <v>7090</v>
      </c>
      <c r="G13">
        <f>10575/(1000)</f>
        <v>10.574999999999999</v>
      </c>
      <c r="H13">
        <v>0.93899999999999995</v>
      </c>
      <c r="I13">
        <f>73503/(1000)</f>
        <v>73.503</v>
      </c>
      <c r="J13">
        <v>0.8</v>
      </c>
      <c r="K13">
        <v>3.1E-2</v>
      </c>
      <c r="L13">
        <v>0.753</v>
      </c>
      <c r="M13" s="1">
        <v>2430</v>
      </c>
      <c r="N13" s="1">
        <v>1376</v>
      </c>
      <c r="O13" s="1">
        <v>1074</v>
      </c>
      <c r="P13">
        <v>0.78800000000000003</v>
      </c>
      <c r="Q13">
        <v>0.50900000000000001</v>
      </c>
      <c r="R13">
        <v>0.20799999999999999</v>
      </c>
      <c r="S13">
        <v>0.11899999999999999</v>
      </c>
      <c r="T13" s="1">
        <v>3083</v>
      </c>
    </row>
    <row r="14" spans="1:20" x14ac:dyDescent="0.3">
      <c r="A14" t="s">
        <v>35</v>
      </c>
      <c r="B14" t="s">
        <v>21</v>
      </c>
      <c r="C14">
        <f>7155/(1000)</f>
        <v>7.1550000000000002</v>
      </c>
      <c r="D14">
        <v>0.04</v>
      </c>
      <c r="E14" s="1">
        <v>7232</v>
      </c>
      <c r="F14" s="1">
        <v>7077</v>
      </c>
      <c r="G14">
        <f>10873/(1000)</f>
        <v>10.872999999999999</v>
      </c>
      <c r="H14">
        <v>0.90300000000000002</v>
      </c>
      <c r="I14">
        <f>72500/(1000)</f>
        <v>72.5</v>
      </c>
      <c r="J14">
        <v>0.875</v>
      </c>
      <c r="K14">
        <v>1.0999999999999999E-2</v>
      </c>
      <c r="L14">
        <v>0.46</v>
      </c>
      <c r="M14" s="1">
        <v>2430</v>
      </c>
      <c r="N14" s="1">
        <v>1480</v>
      </c>
      <c r="O14">
        <v>0.99299999999999999</v>
      </c>
      <c r="P14">
        <v>0.75700000000000001</v>
      </c>
      <c r="Q14">
        <v>0.6</v>
      </c>
      <c r="R14">
        <v>0.19500000000000001</v>
      </c>
      <c r="S14">
        <v>0.30599999999999999</v>
      </c>
      <c r="T14" s="1">
        <v>2824</v>
      </c>
    </row>
    <row r="15" spans="1:20" x14ac:dyDescent="0.3">
      <c r="A15" t="s">
        <v>36</v>
      </c>
      <c r="B15" t="s">
        <v>30</v>
      </c>
      <c r="C15">
        <f>7103/(1000)</f>
        <v>7.1029999999999998</v>
      </c>
      <c r="D15">
        <v>4.2000000000000003E-2</v>
      </c>
      <c r="E15" s="1">
        <v>7185</v>
      </c>
      <c r="F15" s="1">
        <v>7021</v>
      </c>
      <c r="G15">
        <f>10776/(1000)</f>
        <v>10.776</v>
      </c>
      <c r="H15">
        <v>0.92600000000000005</v>
      </c>
      <c r="I15">
        <f>73800/(1000)</f>
        <v>73.8</v>
      </c>
      <c r="J15">
        <v>0.91500000000000004</v>
      </c>
      <c r="K15">
        <v>8.8999999999999996E-2</v>
      </c>
      <c r="L15">
        <v>0.41499999999999998</v>
      </c>
      <c r="M15" s="1">
        <v>2430</v>
      </c>
      <c r="N15" s="1">
        <v>1447</v>
      </c>
      <c r="O15" s="1">
        <v>1044</v>
      </c>
      <c r="P15">
        <v>0.79800000000000004</v>
      </c>
      <c r="Q15">
        <v>0.64800000000000002</v>
      </c>
      <c r="R15">
        <v>0.246</v>
      </c>
      <c r="S15">
        <v>0.33500000000000002</v>
      </c>
      <c r="T15" s="1">
        <v>2585</v>
      </c>
    </row>
    <row r="16" spans="1:20" x14ac:dyDescent="0.3">
      <c r="A16" t="s">
        <v>37</v>
      </c>
      <c r="B16" t="s">
        <v>21</v>
      </c>
      <c r="C16">
        <f>7085/(1000)</f>
        <v>7.085</v>
      </c>
      <c r="D16">
        <v>0.04</v>
      </c>
      <c r="E16" s="1">
        <v>7164</v>
      </c>
      <c r="F16" s="1">
        <v>7006</v>
      </c>
      <c r="G16">
        <f>11342/(1000)</f>
        <v>11.342000000000001</v>
      </c>
      <c r="H16">
        <v>0.94699999999999995</v>
      </c>
      <c r="I16">
        <f>72400/(1000)</f>
        <v>72.400000000000006</v>
      </c>
      <c r="J16">
        <v>0.879</v>
      </c>
      <c r="K16">
        <v>7.6999999999999999E-2</v>
      </c>
      <c r="L16">
        <v>0.36299999999999999</v>
      </c>
      <c r="M16" s="1">
        <v>2430</v>
      </c>
      <c r="N16" s="1">
        <v>1644</v>
      </c>
      <c r="O16" s="1">
        <v>1092</v>
      </c>
      <c r="P16">
        <v>0.753</v>
      </c>
      <c r="Q16">
        <v>0.60599999999999998</v>
      </c>
      <c r="R16">
        <v>0.23799999999999999</v>
      </c>
      <c r="S16">
        <v>0.36699999999999999</v>
      </c>
      <c r="T16" s="1">
        <v>2384</v>
      </c>
    </row>
    <row r="17" spans="1:20" x14ac:dyDescent="0.3">
      <c r="A17" t="s">
        <v>38</v>
      </c>
      <c r="B17" t="s">
        <v>39</v>
      </c>
      <c r="C17">
        <f>7069/(1000)</f>
        <v>7.069</v>
      </c>
      <c r="D17">
        <v>5.6000000000000001E-2</v>
      </c>
      <c r="E17" s="1">
        <v>7179</v>
      </c>
      <c r="F17" s="1">
        <v>6960</v>
      </c>
      <c r="G17">
        <f>9880/(1000)</f>
        <v>9.8800000000000008</v>
      </c>
      <c r="H17">
        <v>0.89100000000000001</v>
      </c>
      <c r="I17">
        <f>71400/(1000)</f>
        <v>71.400000000000006</v>
      </c>
      <c r="J17">
        <v>0.93400000000000005</v>
      </c>
      <c r="K17">
        <v>-0.126</v>
      </c>
      <c r="L17">
        <v>0.80900000000000005</v>
      </c>
      <c r="M17" s="1">
        <v>2430</v>
      </c>
      <c r="N17" s="1">
        <v>1134</v>
      </c>
      <c r="O17">
        <v>0.96599999999999997</v>
      </c>
      <c r="P17">
        <v>0.72199999999999998</v>
      </c>
      <c r="Q17">
        <v>0.67300000000000004</v>
      </c>
      <c r="R17">
        <v>0.105</v>
      </c>
      <c r="S17">
        <v>8.3000000000000004E-2</v>
      </c>
      <c r="T17" s="1">
        <v>3387</v>
      </c>
    </row>
    <row r="18" spans="1:20" x14ac:dyDescent="0.3">
      <c r="A18" t="s">
        <v>40</v>
      </c>
      <c r="B18" t="s">
        <v>21</v>
      </c>
      <c r="C18">
        <f>7064/(1000)</f>
        <v>7.0640000000000001</v>
      </c>
      <c r="D18">
        <v>3.7999999999999999E-2</v>
      </c>
      <c r="E18" s="1">
        <v>7138</v>
      </c>
      <c r="F18" s="1">
        <v>6990</v>
      </c>
      <c r="G18">
        <f>10707/(1000)</f>
        <v>10.707000000000001</v>
      </c>
      <c r="H18">
        <v>0.93400000000000005</v>
      </c>
      <c r="I18">
        <f>72500/(1000)</f>
        <v>72.5</v>
      </c>
      <c r="J18">
        <v>0.85899999999999999</v>
      </c>
      <c r="K18">
        <v>0.23300000000000001</v>
      </c>
      <c r="L18">
        <v>0.45900000000000002</v>
      </c>
      <c r="M18" s="1">
        <v>2430</v>
      </c>
      <c r="N18" s="1">
        <v>1423</v>
      </c>
      <c r="O18" s="1">
        <v>1062</v>
      </c>
      <c r="P18">
        <v>0.75700000000000001</v>
      </c>
      <c r="Q18">
        <v>0.57999999999999996</v>
      </c>
      <c r="R18">
        <v>0.34</v>
      </c>
      <c r="S18">
        <v>0.30599999999999999</v>
      </c>
      <c r="T18" s="1">
        <v>2596</v>
      </c>
    </row>
    <row r="19" spans="1:20" x14ac:dyDescent="0.3">
      <c r="A19" t="s">
        <v>41</v>
      </c>
      <c r="B19" t="s">
        <v>42</v>
      </c>
      <c r="C19">
        <f>6965/(1000)</f>
        <v>6.9649999999999999</v>
      </c>
      <c r="D19">
        <v>4.9000000000000002E-2</v>
      </c>
      <c r="E19" s="1">
        <v>7062</v>
      </c>
      <c r="F19" s="1">
        <v>6868</v>
      </c>
      <c r="G19">
        <f>10556/(1000)</f>
        <v>10.555999999999999</v>
      </c>
      <c r="H19">
        <v>0.94699999999999995</v>
      </c>
      <c r="I19">
        <f>70807/(1000)</f>
        <v>70.807000000000002</v>
      </c>
      <c r="J19">
        <v>0.85799999999999998</v>
      </c>
      <c r="K19">
        <v>-0.20799999999999999</v>
      </c>
      <c r="L19">
        <v>0.86799999999999999</v>
      </c>
      <c r="M19" s="1">
        <v>2430</v>
      </c>
      <c r="N19" s="1">
        <v>1370</v>
      </c>
      <c r="O19" s="1">
        <v>1090</v>
      </c>
      <c r="P19">
        <v>0.70299999999999996</v>
      </c>
      <c r="Q19">
        <v>0.57999999999999996</v>
      </c>
      <c r="R19">
        <v>5.1999999999999998E-2</v>
      </c>
      <c r="S19">
        <v>4.5999999999999999E-2</v>
      </c>
      <c r="T19" s="1">
        <v>3124</v>
      </c>
    </row>
    <row r="20" spans="1:20" x14ac:dyDescent="0.3">
      <c r="A20" t="s">
        <v>43</v>
      </c>
      <c r="B20" t="s">
        <v>30</v>
      </c>
      <c r="C20">
        <f>6951/(1000)</f>
        <v>6.9509999999999996</v>
      </c>
      <c r="D20">
        <v>4.9000000000000002E-2</v>
      </c>
      <c r="E20" s="1">
        <v>7047</v>
      </c>
      <c r="F20" s="1">
        <v>6856</v>
      </c>
      <c r="G20">
        <f>11023/(1000)</f>
        <v>11.023</v>
      </c>
      <c r="H20">
        <v>0.92</v>
      </c>
      <c r="I20">
        <f>68200/(1000)</f>
        <v>68.2</v>
      </c>
      <c r="J20">
        <v>0.83699999999999997</v>
      </c>
      <c r="K20">
        <v>9.8000000000000004E-2</v>
      </c>
      <c r="L20">
        <v>0.69799999999999995</v>
      </c>
      <c r="M20" s="1">
        <v>2430</v>
      </c>
      <c r="N20" s="1">
        <v>1533</v>
      </c>
      <c r="O20" s="1">
        <v>1030</v>
      </c>
      <c r="P20">
        <v>0.621</v>
      </c>
      <c r="Q20">
        <v>0.55400000000000005</v>
      </c>
      <c r="R20">
        <v>0.252</v>
      </c>
      <c r="S20">
        <v>0.154</v>
      </c>
      <c r="T20" s="1">
        <v>2807</v>
      </c>
    </row>
    <row r="21" spans="1:20" x14ac:dyDescent="0.3">
      <c r="A21" t="s">
        <v>44</v>
      </c>
      <c r="B21" t="s">
        <v>21</v>
      </c>
      <c r="C21">
        <f>6834/(1000)</f>
        <v>6.8339999999999996</v>
      </c>
      <c r="D21">
        <v>3.4000000000000002E-2</v>
      </c>
      <c r="E21" s="1">
        <v>6901</v>
      </c>
      <c r="F21" s="1">
        <v>6767</v>
      </c>
      <c r="G21">
        <f>10823/(1000)</f>
        <v>10.823</v>
      </c>
      <c r="H21">
        <v>0.90600000000000003</v>
      </c>
      <c r="I21">
        <f>72199/(1000)</f>
        <v>72.198999999999998</v>
      </c>
      <c r="J21">
        <v>0.78300000000000003</v>
      </c>
      <c r="K21">
        <v>-0.153</v>
      </c>
      <c r="L21">
        <v>0.64600000000000002</v>
      </c>
      <c r="M21" s="1">
        <v>2430</v>
      </c>
      <c r="N21" s="1">
        <v>1463</v>
      </c>
      <c r="O21">
        <v>0.998</v>
      </c>
      <c r="P21">
        <v>0.747</v>
      </c>
      <c r="Q21">
        <v>0.48899999999999999</v>
      </c>
      <c r="R21">
        <v>8.7999999999999995E-2</v>
      </c>
      <c r="S21">
        <v>0.187</v>
      </c>
      <c r="T21" s="1">
        <v>2862</v>
      </c>
    </row>
    <row r="22" spans="1:20" x14ac:dyDescent="0.3">
      <c r="A22" t="s">
        <v>45</v>
      </c>
      <c r="B22" t="s">
        <v>21</v>
      </c>
      <c r="C22">
        <f>6690/(1000)</f>
        <v>6.69</v>
      </c>
      <c r="D22">
        <v>3.6999999999999998E-2</v>
      </c>
      <c r="E22" s="1">
        <v>6762</v>
      </c>
      <c r="F22" s="1">
        <v>6618</v>
      </c>
      <c r="G22">
        <f>10704/(1000)</f>
        <v>10.704000000000001</v>
      </c>
      <c r="H22">
        <v>0.94199999999999995</v>
      </c>
      <c r="I22">
        <f>74000/(1000)</f>
        <v>74</v>
      </c>
      <c r="J22">
        <v>0.82199999999999995</v>
      </c>
      <c r="K22">
        <v>-0.14699999999999999</v>
      </c>
      <c r="L22">
        <v>0.57099999999999995</v>
      </c>
      <c r="M22" s="1">
        <v>2430</v>
      </c>
      <c r="N22" s="1">
        <v>1421</v>
      </c>
      <c r="O22" s="1">
        <v>1081</v>
      </c>
      <c r="P22">
        <v>0.80400000000000005</v>
      </c>
      <c r="Q22">
        <v>0.53600000000000003</v>
      </c>
      <c r="R22">
        <v>9.1999999999999998E-2</v>
      </c>
      <c r="S22">
        <v>0.23499999999999999</v>
      </c>
      <c r="T22" s="1">
        <v>2521</v>
      </c>
    </row>
    <row r="23" spans="1:20" x14ac:dyDescent="0.3">
      <c r="A23" t="s">
        <v>46</v>
      </c>
      <c r="B23" t="s">
        <v>34</v>
      </c>
      <c r="C23">
        <f>6647/(1000)</f>
        <v>6.6470000000000002</v>
      </c>
      <c r="D23">
        <v>6.8000000000000005E-2</v>
      </c>
      <c r="E23" s="1">
        <v>6779</v>
      </c>
      <c r="F23" s="1">
        <v>6514</v>
      </c>
      <c r="G23">
        <f>10669/(1000)</f>
        <v>10.669</v>
      </c>
      <c r="H23">
        <v>0.86199999999999999</v>
      </c>
      <c r="I23">
        <f>69495/(1000)</f>
        <v>69.495000000000005</v>
      </c>
      <c r="J23">
        <v>0.92500000000000004</v>
      </c>
      <c r="K23">
        <v>8.8999999999999996E-2</v>
      </c>
      <c r="L23">
        <v>0.72199999999999998</v>
      </c>
      <c r="M23" s="1">
        <v>2430</v>
      </c>
      <c r="N23" s="1">
        <v>1409</v>
      </c>
      <c r="O23">
        <v>0.89900000000000002</v>
      </c>
      <c r="P23">
        <v>0.66200000000000003</v>
      </c>
      <c r="Q23">
        <v>0.66100000000000003</v>
      </c>
      <c r="R23">
        <v>0.246</v>
      </c>
      <c r="S23">
        <v>0.13900000000000001</v>
      </c>
      <c r="T23" s="1">
        <v>2631</v>
      </c>
    </row>
    <row r="24" spans="1:20" x14ac:dyDescent="0.3">
      <c r="A24" t="s">
        <v>47</v>
      </c>
      <c r="B24" t="s">
        <v>21</v>
      </c>
      <c r="C24">
        <f>6602/(1000)</f>
        <v>6.6020000000000003</v>
      </c>
      <c r="D24">
        <v>4.3999999999999997E-2</v>
      </c>
      <c r="E24" s="1">
        <v>6688</v>
      </c>
      <c r="F24" s="1">
        <v>6516</v>
      </c>
      <c r="G24">
        <f>10674/(1000)</f>
        <v>10.673999999999999</v>
      </c>
      <c r="H24">
        <v>0.93100000000000005</v>
      </c>
      <c r="I24">
        <f>72200/(1000)</f>
        <v>72.2</v>
      </c>
      <c r="J24">
        <v>0.92700000000000005</v>
      </c>
      <c r="K24">
        <v>0.13300000000000001</v>
      </c>
      <c r="L24">
        <v>0.65300000000000002</v>
      </c>
      <c r="M24" s="1">
        <v>2430</v>
      </c>
      <c r="N24" s="1">
        <v>1411</v>
      </c>
      <c r="O24" s="1">
        <v>1055</v>
      </c>
      <c r="P24">
        <v>0.747</v>
      </c>
      <c r="Q24">
        <v>0.66400000000000003</v>
      </c>
      <c r="R24">
        <v>0.27500000000000002</v>
      </c>
      <c r="S24">
        <v>0.183</v>
      </c>
      <c r="T24" s="1">
        <v>2268</v>
      </c>
    </row>
    <row r="25" spans="1:20" x14ac:dyDescent="0.3">
      <c r="A25" t="s">
        <v>48</v>
      </c>
      <c r="B25" t="s">
        <v>49</v>
      </c>
      <c r="C25">
        <f>6584/(1000)</f>
        <v>6.5839999999999996</v>
      </c>
      <c r="D25">
        <v>3.7999999999999999E-2</v>
      </c>
      <c r="E25" s="1">
        <v>6659</v>
      </c>
      <c r="F25" s="1">
        <v>6510</v>
      </c>
      <c r="G25">
        <f>10871/(1000)</f>
        <v>10.871</v>
      </c>
      <c r="H25">
        <v>0.89800000000000002</v>
      </c>
      <c r="I25">
        <f>69600/(1000)</f>
        <v>69.599999999999994</v>
      </c>
      <c r="J25">
        <v>0.78400000000000003</v>
      </c>
      <c r="K25">
        <v>-7.0000000000000007E-2</v>
      </c>
      <c r="L25">
        <v>0.72099999999999997</v>
      </c>
      <c r="M25" s="1">
        <v>2430</v>
      </c>
      <c r="N25" s="1">
        <v>1480</v>
      </c>
      <c r="O25">
        <v>0.98199999999999998</v>
      </c>
      <c r="P25">
        <v>0.66500000000000004</v>
      </c>
      <c r="Q25">
        <v>0.49</v>
      </c>
      <c r="R25">
        <v>0.14199999999999999</v>
      </c>
      <c r="S25">
        <v>0.13900000000000001</v>
      </c>
      <c r="T25" s="1">
        <v>2687</v>
      </c>
    </row>
    <row r="26" spans="1:20" x14ac:dyDescent="0.3">
      <c r="A26" t="s">
        <v>50</v>
      </c>
      <c r="B26" t="s">
        <v>34</v>
      </c>
      <c r="C26">
        <f>6561/(1000)</f>
        <v>6.5609999999999999</v>
      </c>
      <c r="D26">
        <v>3.9E-2</v>
      </c>
      <c r="E26" s="1">
        <v>6637</v>
      </c>
      <c r="F26" s="1">
        <v>6484</v>
      </c>
      <c r="G26">
        <f>11085/(1000)</f>
        <v>11.085000000000001</v>
      </c>
      <c r="H26">
        <v>0.84399999999999997</v>
      </c>
      <c r="I26">
        <f>67333/(1000)</f>
        <v>67.332999999999998</v>
      </c>
      <c r="J26">
        <v>0.93200000000000005</v>
      </c>
      <c r="K26">
        <v>7.3999999999999996E-2</v>
      </c>
      <c r="L26">
        <v>0.58899999999999997</v>
      </c>
      <c r="M26" s="1">
        <v>2430</v>
      </c>
      <c r="N26" s="1">
        <v>1555</v>
      </c>
      <c r="O26">
        <v>0.86</v>
      </c>
      <c r="P26">
        <v>0.59399999999999997</v>
      </c>
      <c r="Q26">
        <v>0.67</v>
      </c>
      <c r="R26">
        <v>0.23599999999999999</v>
      </c>
      <c r="S26">
        <v>0.223</v>
      </c>
      <c r="T26" s="1">
        <v>2422</v>
      </c>
    </row>
    <row r="27" spans="1:20" x14ac:dyDescent="0.3">
      <c r="A27" t="s">
        <v>51</v>
      </c>
      <c r="B27" t="s">
        <v>34</v>
      </c>
      <c r="C27">
        <f>6494/(1000)</f>
        <v>6.4939999999999998</v>
      </c>
      <c r="D27">
        <v>5.6000000000000001E-2</v>
      </c>
      <c r="E27" s="1">
        <v>6604</v>
      </c>
      <c r="F27" s="1">
        <v>6384</v>
      </c>
      <c r="G27">
        <f>10743/(1000)</f>
        <v>10.743</v>
      </c>
      <c r="H27">
        <v>0.89100000000000001</v>
      </c>
      <c r="I27">
        <f>66603/(1000)</f>
        <v>66.602999999999994</v>
      </c>
      <c r="J27">
        <v>0.877</v>
      </c>
      <c r="K27">
        <v>-0.14899999999999999</v>
      </c>
      <c r="L27">
        <v>0.68400000000000005</v>
      </c>
      <c r="M27" s="1">
        <v>2430</v>
      </c>
      <c r="N27" s="1">
        <v>1435</v>
      </c>
      <c r="O27">
        <v>0.96399999999999997</v>
      </c>
      <c r="P27">
        <v>0.57099999999999995</v>
      </c>
      <c r="Q27">
        <v>0.60299999999999998</v>
      </c>
      <c r="R27">
        <v>0.09</v>
      </c>
      <c r="S27">
        <v>0.16300000000000001</v>
      </c>
      <c r="T27" s="1">
        <v>2668</v>
      </c>
    </row>
    <row r="28" spans="1:20" x14ac:dyDescent="0.3">
      <c r="A28" t="s">
        <v>52</v>
      </c>
      <c r="B28" t="s">
        <v>21</v>
      </c>
      <c r="C28">
        <f>6491/(1000)</f>
        <v>6.4909999999999997</v>
      </c>
      <c r="D28">
        <v>4.2000000000000003E-2</v>
      </c>
      <c r="E28" s="1">
        <v>6574</v>
      </c>
      <c r="F28" s="1">
        <v>6408</v>
      </c>
      <c r="G28">
        <f>10571/(1000)</f>
        <v>10.571</v>
      </c>
      <c r="H28">
        <v>0.93200000000000005</v>
      </c>
      <c r="I28">
        <f>74700/(1000)</f>
        <v>74.7</v>
      </c>
      <c r="J28">
        <v>0.76100000000000001</v>
      </c>
      <c r="K28">
        <v>-8.1000000000000003E-2</v>
      </c>
      <c r="L28">
        <v>0.745</v>
      </c>
      <c r="M28" s="1">
        <v>2430</v>
      </c>
      <c r="N28" s="1">
        <v>1375</v>
      </c>
      <c r="O28" s="1">
        <v>1057</v>
      </c>
      <c r="P28">
        <v>0.82599999999999996</v>
      </c>
      <c r="Q28">
        <v>0.46200000000000002</v>
      </c>
      <c r="R28">
        <v>0.13500000000000001</v>
      </c>
      <c r="S28">
        <v>0.124</v>
      </c>
      <c r="T28" s="1">
        <v>2513</v>
      </c>
    </row>
    <row r="29" spans="1:20" x14ac:dyDescent="0.3">
      <c r="A29" t="s">
        <v>53</v>
      </c>
      <c r="B29" t="s">
        <v>21</v>
      </c>
      <c r="C29">
        <f>6483/(1000)</f>
        <v>6.4829999999999997</v>
      </c>
      <c r="D29">
        <v>4.4999999999999998E-2</v>
      </c>
      <c r="E29" s="1">
        <v>6572</v>
      </c>
      <c r="F29" s="1">
        <v>6395</v>
      </c>
      <c r="G29">
        <f>10623/(1000)</f>
        <v>10.622999999999999</v>
      </c>
      <c r="H29">
        <v>0.88</v>
      </c>
      <c r="I29">
        <f>73800/(1000)</f>
        <v>73.8</v>
      </c>
      <c r="J29">
        <v>0.69299999999999995</v>
      </c>
      <c r="K29">
        <v>-8.4000000000000005E-2</v>
      </c>
      <c r="L29">
        <v>0.86599999999999999</v>
      </c>
      <c r="M29" s="1">
        <v>2430</v>
      </c>
      <c r="N29" s="1">
        <v>1393</v>
      </c>
      <c r="O29">
        <v>0.94</v>
      </c>
      <c r="P29">
        <v>0.79800000000000004</v>
      </c>
      <c r="Q29">
        <v>0.379</v>
      </c>
      <c r="R29">
        <v>0.13300000000000001</v>
      </c>
      <c r="S29">
        <v>4.7E-2</v>
      </c>
      <c r="T29" s="1">
        <v>2794</v>
      </c>
    </row>
    <row r="30" spans="1:20" x14ac:dyDescent="0.3">
      <c r="A30" t="s">
        <v>54</v>
      </c>
      <c r="B30" t="s">
        <v>42</v>
      </c>
      <c r="C30">
        <f>6461/(1000)</f>
        <v>6.4610000000000003</v>
      </c>
      <c r="D30">
        <v>4.2999999999999997E-2</v>
      </c>
      <c r="E30" s="1">
        <v>6546</v>
      </c>
      <c r="F30" s="1">
        <v>6376</v>
      </c>
      <c r="G30">
        <f>10529/(1000)</f>
        <v>10.529</v>
      </c>
      <c r="H30">
        <v>0.94799999999999995</v>
      </c>
      <c r="I30">
        <f>71400/(1000)</f>
        <v>71.400000000000006</v>
      </c>
      <c r="J30">
        <v>0.94899999999999995</v>
      </c>
      <c r="K30">
        <v>-0.10100000000000001</v>
      </c>
      <c r="L30">
        <v>0.80600000000000005</v>
      </c>
      <c r="M30" s="1">
        <v>2430</v>
      </c>
      <c r="N30" s="1">
        <v>1360</v>
      </c>
      <c r="O30" s="1">
        <v>1093</v>
      </c>
      <c r="P30">
        <v>0.72199999999999998</v>
      </c>
      <c r="Q30">
        <v>0.69</v>
      </c>
      <c r="R30">
        <v>0.122</v>
      </c>
      <c r="S30">
        <v>8.5000000000000006E-2</v>
      </c>
      <c r="T30" s="1">
        <v>2388</v>
      </c>
    </row>
    <row r="31" spans="1:20" x14ac:dyDescent="0.3">
      <c r="A31" t="s">
        <v>55</v>
      </c>
      <c r="B31" t="s">
        <v>39</v>
      </c>
      <c r="C31">
        <f>6435/(1000)</f>
        <v>6.4349999999999996</v>
      </c>
      <c r="D31">
        <v>7.2999999999999995E-2</v>
      </c>
      <c r="E31" s="1">
        <v>6577</v>
      </c>
      <c r="F31" s="1">
        <v>6292</v>
      </c>
      <c r="G31">
        <f>9053/(1000)</f>
        <v>9.0530000000000008</v>
      </c>
      <c r="H31">
        <v>0.81299999999999994</v>
      </c>
      <c r="I31">
        <f>64958/(1000)</f>
        <v>64.957999999999998</v>
      </c>
      <c r="J31">
        <v>0.90600000000000003</v>
      </c>
      <c r="K31">
        <v>-3.7999999999999999E-2</v>
      </c>
      <c r="L31">
        <v>0.77500000000000002</v>
      </c>
      <c r="M31" s="1">
        <v>2430</v>
      </c>
      <c r="N31">
        <v>0.84499999999999997</v>
      </c>
      <c r="O31">
        <v>0.79</v>
      </c>
      <c r="P31">
        <v>0.51900000000000002</v>
      </c>
      <c r="Q31">
        <v>0.63800000000000001</v>
      </c>
      <c r="R31">
        <v>0.16300000000000001</v>
      </c>
      <c r="S31">
        <v>0.105</v>
      </c>
      <c r="T31" s="1">
        <v>3375</v>
      </c>
    </row>
    <row r="32" spans="1:20" x14ac:dyDescent="0.3">
      <c r="A32" t="s">
        <v>56</v>
      </c>
      <c r="B32" t="s">
        <v>39</v>
      </c>
      <c r="C32">
        <f>6431/(1000)</f>
        <v>6.431</v>
      </c>
      <c r="D32">
        <v>4.5999999999999999E-2</v>
      </c>
      <c r="E32" s="1">
        <v>6521</v>
      </c>
      <c r="F32" s="1">
        <v>6341</v>
      </c>
      <c r="G32">
        <f>9966/(1000)</f>
        <v>9.9659999999999993</v>
      </c>
      <c r="H32">
        <v>0.92500000000000004</v>
      </c>
      <c r="I32">
        <f>69100/(1000)</f>
        <v>69.099999999999994</v>
      </c>
      <c r="J32">
        <v>0.89600000000000002</v>
      </c>
      <c r="K32">
        <v>-9.1999999999999998E-2</v>
      </c>
      <c r="L32">
        <v>0.59</v>
      </c>
      <c r="M32" s="1">
        <v>2430</v>
      </c>
      <c r="N32" s="1">
        <v>1164</v>
      </c>
      <c r="O32" s="1">
        <v>1042</v>
      </c>
      <c r="P32">
        <v>0.64900000000000002</v>
      </c>
      <c r="Q32">
        <v>0.625</v>
      </c>
      <c r="R32">
        <v>0.128</v>
      </c>
      <c r="S32">
        <v>0.223</v>
      </c>
      <c r="T32" s="1">
        <v>2600</v>
      </c>
    </row>
    <row r="33" spans="1:20" x14ac:dyDescent="0.3">
      <c r="A33" t="s">
        <v>57</v>
      </c>
      <c r="B33" t="s">
        <v>58</v>
      </c>
      <c r="C33">
        <f>6377/(1000)</f>
        <v>6.3769999999999998</v>
      </c>
      <c r="D33">
        <v>4.2999999999999997E-2</v>
      </c>
      <c r="E33" s="1">
        <v>6460</v>
      </c>
      <c r="F33" s="1">
        <v>6293</v>
      </c>
      <c r="G33">
        <f>11488/(1000)</f>
        <v>11.488</v>
      </c>
      <c r="H33">
        <v>0.91500000000000004</v>
      </c>
      <c r="I33">
        <f>76953/(1000)</f>
        <v>76.953000000000003</v>
      </c>
      <c r="J33">
        <v>0.92700000000000005</v>
      </c>
      <c r="K33">
        <v>-1.7999999999999999E-2</v>
      </c>
      <c r="L33">
        <v>8.2000000000000003E-2</v>
      </c>
      <c r="M33" s="1">
        <v>2430</v>
      </c>
      <c r="N33" s="1">
        <v>1695</v>
      </c>
      <c r="O33" s="1">
        <v>1019</v>
      </c>
      <c r="P33">
        <v>0.89700000000000002</v>
      </c>
      <c r="Q33">
        <v>0.66400000000000003</v>
      </c>
      <c r="R33">
        <v>0.17599999999999999</v>
      </c>
      <c r="S33">
        <v>0.54700000000000004</v>
      </c>
      <c r="T33" s="1">
        <v>1379</v>
      </c>
    </row>
    <row r="34" spans="1:20" x14ac:dyDescent="0.3">
      <c r="A34" t="s">
        <v>59</v>
      </c>
      <c r="B34" t="s">
        <v>42</v>
      </c>
      <c r="C34">
        <f>6372/(1000)</f>
        <v>6.3719999999999999</v>
      </c>
      <c r="D34">
        <v>5.8999999999999997E-2</v>
      </c>
      <c r="E34" s="1">
        <v>6487</v>
      </c>
      <c r="F34" s="1">
        <v>6257</v>
      </c>
      <c r="G34">
        <f>9318/(1000)</f>
        <v>9.3179999999999996</v>
      </c>
      <c r="H34">
        <v>0.82099999999999995</v>
      </c>
      <c r="I34">
        <f>63813/(1000)</f>
        <v>63.813000000000002</v>
      </c>
      <c r="J34">
        <v>0.86899999999999999</v>
      </c>
      <c r="K34">
        <v>0.25700000000000001</v>
      </c>
      <c r="L34">
        <v>0.91700000000000004</v>
      </c>
      <c r="M34" s="1">
        <v>2430</v>
      </c>
      <c r="N34">
        <v>0.93700000000000006</v>
      </c>
      <c r="O34">
        <v>0.80700000000000005</v>
      </c>
      <c r="P34">
        <v>0.48299999999999998</v>
      </c>
      <c r="Q34">
        <v>0.59299999999999997</v>
      </c>
      <c r="R34">
        <v>0.35599999999999998</v>
      </c>
      <c r="S34">
        <v>1.4E-2</v>
      </c>
      <c r="T34" s="1">
        <v>3182</v>
      </c>
    </row>
    <row r="35" spans="1:20" x14ac:dyDescent="0.3">
      <c r="A35" t="s">
        <v>60</v>
      </c>
      <c r="B35" t="s">
        <v>42</v>
      </c>
      <c r="C35">
        <f>6331/(1000)</f>
        <v>6.3310000000000004</v>
      </c>
      <c r="D35">
        <v>4.1000000000000002E-2</v>
      </c>
      <c r="E35" s="1">
        <v>6411</v>
      </c>
      <c r="F35" s="1">
        <v>6251</v>
      </c>
      <c r="G35">
        <f>10369/(1000)</f>
        <v>10.369</v>
      </c>
      <c r="H35">
        <v>0.93600000000000005</v>
      </c>
      <c r="I35">
        <f>69201/(1000)</f>
        <v>69.200999999999993</v>
      </c>
      <c r="J35">
        <v>0.76600000000000001</v>
      </c>
      <c r="K35">
        <v>-0.124</v>
      </c>
      <c r="L35">
        <v>0.91100000000000003</v>
      </c>
      <c r="M35" s="1">
        <v>2430</v>
      </c>
      <c r="N35" s="1">
        <v>1304</v>
      </c>
      <c r="O35" s="1">
        <v>1066</v>
      </c>
      <c r="P35">
        <v>0.65300000000000002</v>
      </c>
      <c r="Q35">
        <v>0.46800000000000003</v>
      </c>
      <c r="R35">
        <v>0.107</v>
      </c>
      <c r="S35">
        <v>1.7999999999999999E-2</v>
      </c>
      <c r="T35" s="1">
        <v>2714</v>
      </c>
    </row>
    <row r="36" spans="1:20" x14ac:dyDescent="0.3">
      <c r="A36" t="s">
        <v>61</v>
      </c>
      <c r="B36" t="s">
        <v>39</v>
      </c>
      <c r="C36">
        <f>6330/(1000)</f>
        <v>6.33</v>
      </c>
      <c r="D36">
        <v>4.2999999999999997E-2</v>
      </c>
      <c r="E36" s="1">
        <v>6415</v>
      </c>
      <c r="F36" s="1">
        <v>6245</v>
      </c>
      <c r="G36">
        <f>9577/(1000)</f>
        <v>9.577</v>
      </c>
      <c r="H36">
        <v>0.88200000000000001</v>
      </c>
      <c r="I36">
        <f>66601/(1000)</f>
        <v>66.600999999999999</v>
      </c>
      <c r="J36">
        <v>0.80400000000000005</v>
      </c>
      <c r="K36">
        <v>-7.0999999999999994E-2</v>
      </c>
      <c r="L36">
        <v>0.75600000000000001</v>
      </c>
      <c r="M36" s="1">
        <v>2430</v>
      </c>
      <c r="N36" s="1">
        <v>1028</v>
      </c>
      <c r="O36">
        <v>0.94399999999999995</v>
      </c>
      <c r="P36">
        <v>0.57099999999999995</v>
      </c>
      <c r="Q36">
        <v>0.51400000000000001</v>
      </c>
      <c r="R36">
        <v>0.14199999999999999</v>
      </c>
      <c r="S36">
        <v>0.11700000000000001</v>
      </c>
      <c r="T36" s="1">
        <v>3015</v>
      </c>
    </row>
    <row r="37" spans="1:20" x14ac:dyDescent="0.3">
      <c r="A37" t="s">
        <v>62</v>
      </c>
      <c r="B37" t="s">
        <v>39</v>
      </c>
      <c r="C37">
        <f>6317/(1000)</f>
        <v>6.3170000000000002</v>
      </c>
      <c r="D37">
        <v>5.2999999999999999E-2</v>
      </c>
      <c r="E37" s="1">
        <v>6420</v>
      </c>
      <c r="F37" s="1">
        <v>6213</v>
      </c>
      <c r="G37">
        <f>9859/(1000)</f>
        <v>9.859</v>
      </c>
      <c r="H37">
        <v>0.83099999999999996</v>
      </c>
      <c r="I37">
        <f>68597/(1000)</f>
        <v>68.596999999999994</v>
      </c>
      <c r="J37">
        <v>0.86199999999999999</v>
      </c>
      <c r="K37">
        <v>-0.14699999999999999</v>
      </c>
      <c r="L37">
        <v>0.79900000000000004</v>
      </c>
      <c r="M37" s="1">
        <v>2430</v>
      </c>
      <c r="N37" s="1">
        <v>1126</v>
      </c>
      <c r="O37">
        <v>0.83</v>
      </c>
      <c r="P37">
        <v>0.63400000000000001</v>
      </c>
      <c r="Q37">
        <v>0.58499999999999996</v>
      </c>
      <c r="R37">
        <v>9.1999999999999998E-2</v>
      </c>
      <c r="S37">
        <v>8.8999999999999996E-2</v>
      </c>
      <c r="T37" s="1">
        <v>2961</v>
      </c>
    </row>
    <row r="38" spans="1:20" x14ac:dyDescent="0.3">
      <c r="A38" t="s">
        <v>63</v>
      </c>
      <c r="B38" t="s">
        <v>39</v>
      </c>
      <c r="C38">
        <f>6309/(1000)</f>
        <v>6.3090000000000002</v>
      </c>
      <c r="D38">
        <v>0.156</v>
      </c>
      <c r="E38" s="1">
        <v>6615</v>
      </c>
      <c r="F38" s="1">
        <v>6004</v>
      </c>
      <c r="G38">
        <f>9186/(1000)</f>
        <v>9.1859999999999999</v>
      </c>
      <c r="H38">
        <v>0.877</v>
      </c>
      <c r="I38">
        <f>67500/(1000)</f>
        <v>67.5</v>
      </c>
      <c r="J38">
        <v>0.89</v>
      </c>
      <c r="K38">
        <v>-0.13700000000000001</v>
      </c>
      <c r="L38">
        <v>0.88400000000000001</v>
      </c>
      <c r="M38" s="1">
        <v>2430</v>
      </c>
      <c r="N38">
        <v>0.89100000000000001</v>
      </c>
      <c r="O38">
        <v>0.93200000000000005</v>
      </c>
      <c r="P38">
        <v>0.59899999999999998</v>
      </c>
      <c r="Q38">
        <v>0.61799999999999999</v>
      </c>
      <c r="R38">
        <v>9.9000000000000005E-2</v>
      </c>
      <c r="S38">
        <v>3.5000000000000003E-2</v>
      </c>
      <c r="T38" s="1">
        <v>3135</v>
      </c>
    </row>
    <row r="39" spans="1:20" x14ac:dyDescent="0.3">
      <c r="A39" t="s">
        <v>64</v>
      </c>
      <c r="B39" t="s">
        <v>42</v>
      </c>
      <c r="C39">
        <f>6255/(1000)</f>
        <v>6.2549999999999999</v>
      </c>
      <c r="D39">
        <v>4.4999999999999998E-2</v>
      </c>
      <c r="E39" s="1">
        <v>6344</v>
      </c>
      <c r="F39" s="1">
        <v>6167</v>
      </c>
      <c r="G39">
        <f>10499/(1000)</f>
        <v>10.499000000000001</v>
      </c>
      <c r="H39">
        <v>0.93500000000000005</v>
      </c>
      <c r="I39">
        <f>67906/(1000)</f>
        <v>67.906000000000006</v>
      </c>
      <c r="J39">
        <v>0.77300000000000002</v>
      </c>
      <c r="K39">
        <v>-0.20300000000000001</v>
      </c>
      <c r="L39">
        <v>0.82599999999999996</v>
      </c>
      <c r="M39" s="1">
        <v>2430</v>
      </c>
      <c r="N39" s="1">
        <v>1350</v>
      </c>
      <c r="O39" s="1">
        <v>1065</v>
      </c>
      <c r="P39">
        <v>0.61199999999999999</v>
      </c>
      <c r="Q39">
        <v>0.47599999999999998</v>
      </c>
      <c r="R39">
        <v>5.6000000000000001E-2</v>
      </c>
      <c r="S39">
        <v>7.2999999999999995E-2</v>
      </c>
      <c r="T39" s="1">
        <v>2624</v>
      </c>
    </row>
    <row r="40" spans="1:20" x14ac:dyDescent="0.3">
      <c r="A40" t="s">
        <v>65</v>
      </c>
      <c r="B40" t="s">
        <v>21</v>
      </c>
      <c r="C40">
        <f>6223/(1000)</f>
        <v>6.2229999999999999</v>
      </c>
      <c r="D40">
        <v>4.9000000000000002E-2</v>
      </c>
      <c r="E40" s="1">
        <v>6319</v>
      </c>
      <c r="F40" s="1">
        <v>6128</v>
      </c>
      <c r="G40">
        <f>10576/(1000)</f>
        <v>10.576000000000001</v>
      </c>
      <c r="H40">
        <v>0.80200000000000005</v>
      </c>
      <c r="I40">
        <f>73898/(1000)</f>
        <v>73.897999999999996</v>
      </c>
      <c r="J40">
        <v>0.76300000000000001</v>
      </c>
      <c r="K40">
        <v>-1.4999999999999999E-2</v>
      </c>
      <c r="L40">
        <v>0.84399999999999997</v>
      </c>
      <c r="M40" s="1">
        <v>2430</v>
      </c>
      <c r="N40" s="1">
        <v>1377</v>
      </c>
      <c r="O40">
        <v>0.76500000000000001</v>
      </c>
      <c r="P40">
        <v>0.80100000000000005</v>
      </c>
      <c r="Q40">
        <v>0.46400000000000002</v>
      </c>
      <c r="R40">
        <v>0.17799999999999999</v>
      </c>
      <c r="S40">
        <v>6.0999999999999999E-2</v>
      </c>
      <c r="T40" s="1">
        <v>2578</v>
      </c>
    </row>
    <row r="41" spans="1:20" x14ac:dyDescent="0.3">
      <c r="A41" t="s">
        <v>66</v>
      </c>
      <c r="B41" t="s">
        <v>42</v>
      </c>
      <c r="C41">
        <f>6189/(1000)</f>
        <v>6.1890000000000001</v>
      </c>
      <c r="D41">
        <v>3.7999999999999999E-2</v>
      </c>
      <c r="E41" s="1">
        <v>6263</v>
      </c>
      <c r="F41" s="1">
        <v>6115</v>
      </c>
      <c r="G41">
        <f>10481/(1000)</f>
        <v>10.481</v>
      </c>
      <c r="H41">
        <v>0.94099999999999995</v>
      </c>
      <c r="I41">
        <f>68800/(1000)</f>
        <v>68.8</v>
      </c>
      <c r="J41">
        <v>0.90900000000000003</v>
      </c>
      <c r="K41">
        <v>-0.106</v>
      </c>
      <c r="L41">
        <v>0.52700000000000002</v>
      </c>
      <c r="M41" s="1">
        <v>2430</v>
      </c>
      <c r="N41" s="1">
        <v>1344</v>
      </c>
      <c r="O41" s="1">
        <v>1079</v>
      </c>
      <c r="P41">
        <v>0.64</v>
      </c>
      <c r="Q41">
        <v>0.64100000000000001</v>
      </c>
      <c r="R41">
        <v>0.11899999999999999</v>
      </c>
      <c r="S41">
        <v>0.26300000000000001</v>
      </c>
      <c r="T41" s="1">
        <v>2103</v>
      </c>
    </row>
    <row r="42" spans="1:20" x14ac:dyDescent="0.3">
      <c r="A42" t="s">
        <v>67</v>
      </c>
      <c r="B42" t="s">
        <v>39</v>
      </c>
      <c r="C42">
        <f>6180/(1000)</f>
        <v>6.18</v>
      </c>
      <c r="D42">
        <v>7.2999999999999995E-2</v>
      </c>
      <c r="E42" s="1">
        <v>6323</v>
      </c>
      <c r="F42" s="1">
        <v>6036</v>
      </c>
      <c r="G42">
        <f>10350/(1000)</f>
        <v>10.35</v>
      </c>
      <c r="H42">
        <v>0.89600000000000002</v>
      </c>
      <c r="I42">
        <f>69652/(1000)</f>
        <v>69.652000000000001</v>
      </c>
      <c r="J42">
        <v>0.872</v>
      </c>
      <c r="K42">
        <v>-0.16600000000000001</v>
      </c>
      <c r="L42">
        <v>0.85599999999999998</v>
      </c>
      <c r="M42" s="1">
        <v>2430</v>
      </c>
      <c r="N42" s="1">
        <v>1298</v>
      </c>
      <c r="O42">
        <v>0.97599999999999998</v>
      </c>
      <c r="P42">
        <v>0.66700000000000004</v>
      </c>
      <c r="Q42">
        <v>0.59599999999999997</v>
      </c>
      <c r="R42">
        <v>7.9000000000000001E-2</v>
      </c>
      <c r="S42">
        <v>5.2999999999999999E-2</v>
      </c>
      <c r="T42" s="1">
        <v>2509</v>
      </c>
    </row>
    <row r="43" spans="1:20" x14ac:dyDescent="0.3">
      <c r="A43" t="s">
        <v>68</v>
      </c>
      <c r="B43" t="s">
        <v>69</v>
      </c>
      <c r="C43">
        <f>6179/(1000)</f>
        <v>6.1790000000000003</v>
      </c>
      <c r="D43">
        <v>6.8000000000000005E-2</v>
      </c>
      <c r="E43" s="1">
        <v>6312</v>
      </c>
      <c r="F43" s="1">
        <v>6045</v>
      </c>
      <c r="G43">
        <f>8836/(1000)</f>
        <v>8.8360000000000003</v>
      </c>
      <c r="H43">
        <v>0.91800000000000004</v>
      </c>
      <c r="I43">
        <f>65255/(1000)</f>
        <v>65.254999999999995</v>
      </c>
      <c r="J43">
        <v>0.97</v>
      </c>
      <c r="K43">
        <v>0.311</v>
      </c>
      <c r="L43">
        <v>0.51500000000000001</v>
      </c>
      <c r="M43" s="1">
        <v>2430</v>
      </c>
      <c r="N43">
        <v>0.76900000000000002</v>
      </c>
      <c r="O43" s="1">
        <v>1027</v>
      </c>
      <c r="P43">
        <v>0.52800000000000002</v>
      </c>
      <c r="Q43">
        <v>0.71599999999999997</v>
      </c>
      <c r="R43">
        <v>0.39100000000000001</v>
      </c>
      <c r="S43">
        <v>0.27100000000000002</v>
      </c>
      <c r="T43" s="1">
        <v>2477</v>
      </c>
    </row>
    <row r="44" spans="1:20" x14ac:dyDescent="0.3">
      <c r="A44" t="s">
        <v>70</v>
      </c>
      <c r="B44" t="s">
        <v>39</v>
      </c>
      <c r="C44">
        <f>6172/(1000)</f>
        <v>6.1719999999999997</v>
      </c>
      <c r="D44">
        <v>4.5999999999999999E-2</v>
      </c>
      <c r="E44" s="1">
        <v>6262</v>
      </c>
      <c r="F44" s="1">
        <v>6081</v>
      </c>
      <c r="G44">
        <f>10071/(1000)</f>
        <v>10.071</v>
      </c>
      <c r="H44">
        <v>0.88200000000000001</v>
      </c>
      <c r="I44">
        <f>70000/(1000)</f>
        <v>70</v>
      </c>
      <c r="J44">
        <v>0.74199999999999999</v>
      </c>
      <c r="K44">
        <v>-4.3999999999999997E-2</v>
      </c>
      <c r="L44">
        <v>0.83</v>
      </c>
      <c r="M44" s="1">
        <v>2430</v>
      </c>
      <c r="N44" s="1">
        <v>1200</v>
      </c>
      <c r="O44">
        <v>0.94599999999999995</v>
      </c>
      <c r="P44">
        <v>0.67800000000000005</v>
      </c>
      <c r="Q44">
        <v>0.438</v>
      </c>
      <c r="R44">
        <v>0.159</v>
      </c>
      <c r="S44">
        <v>7.0000000000000007E-2</v>
      </c>
      <c r="T44" s="1">
        <v>2682</v>
      </c>
    </row>
    <row r="45" spans="1:20" x14ac:dyDescent="0.3">
      <c r="A45" t="s">
        <v>71</v>
      </c>
      <c r="B45" t="s">
        <v>42</v>
      </c>
      <c r="C45">
        <f>6166/(1000)</f>
        <v>6.1660000000000004</v>
      </c>
      <c r="D45">
        <v>0.04</v>
      </c>
      <c r="E45" s="1">
        <v>6245</v>
      </c>
      <c r="F45" s="1">
        <v>6087</v>
      </c>
      <c r="G45">
        <f>10382/(1000)</f>
        <v>10.382</v>
      </c>
      <c r="H45">
        <v>0.89800000000000002</v>
      </c>
      <c r="I45">
        <f>69702/(1000)</f>
        <v>69.701999999999998</v>
      </c>
      <c r="J45">
        <v>0.84099999999999997</v>
      </c>
      <c r="K45">
        <v>-0.16500000000000001</v>
      </c>
      <c r="L45">
        <v>0.73499999999999999</v>
      </c>
      <c r="M45" s="1">
        <v>2430</v>
      </c>
      <c r="N45" s="1">
        <v>1309</v>
      </c>
      <c r="O45">
        <v>0.98199999999999998</v>
      </c>
      <c r="P45">
        <v>0.66800000000000004</v>
      </c>
      <c r="Q45">
        <v>0.55800000000000005</v>
      </c>
      <c r="R45">
        <v>0.08</v>
      </c>
      <c r="S45">
        <v>0.13</v>
      </c>
      <c r="T45" s="1">
        <v>2438</v>
      </c>
    </row>
    <row r="46" spans="1:20" x14ac:dyDescent="0.3">
      <c r="A46" t="s">
        <v>72</v>
      </c>
      <c r="B46" t="s">
        <v>69</v>
      </c>
      <c r="C46">
        <f>6152/(1000)</f>
        <v>6.1520000000000001</v>
      </c>
      <c r="D46">
        <v>4.7E-2</v>
      </c>
      <c r="E46" s="1">
        <v>6243</v>
      </c>
      <c r="F46" s="1">
        <v>6060</v>
      </c>
      <c r="G46">
        <f>10155/(1000)</f>
        <v>10.154999999999999</v>
      </c>
      <c r="H46">
        <v>0.95199999999999996</v>
      </c>
      <c r="I46">
        <f>65200/(1000)</f>
        <v>65.2</v>
      </c>
      <c r="J46">
        <v>0.85299999999999998</v>
      </c>
      <c r="K46">
        <v>-6.9000000000000006E-2</v>
      </c>
      <c r="L46">
        <v>0.73299999999999998</v>
      </c>
      <c r="M46" s="1">
        <v>2430</v>
      </c>
      <c r="N46" s="1">
        <v>1230</v>
      </c>
      <c r="O46" s="1">
        <v>1103</v>
      </c>
      <c r="P46">
        <v>0.52700000000000002</v>
      </c>
      <c r="Q46">
        <v>0.57299999999999995</v>
      </c>
      <c r="R46">
        <v>0.14299999999999999</v>
      </c>
      <c r="S46">
        <v>0.13200000000000001</v>
      </c>
      <c r="T46" s="1">
        <v>2446</v>
      </c>
    </row>
    <row r="47" spans="1:20" x14ac:dyDescent="0.3">
      <c r="A47" t="s">
        <v>73</v>
      </c>
      <c r="B47" t="s">
        <v>42</v>
      </c>
      <c r="C47">
        <f>6140/(1000)</f>
        <v>6.14</v>
      </c>
      <c r="D47">
        <v>5.7000000000000002E-2</v>
      </c>
      <c r="E47" s="1">
        <v>6253</v>
      </c>
      <c r="F47" s="1">
        <v>6027</v>
      </c>
      <c r="G47">
        <f>10284/(1000)</f>
        <v>10.284000000000001</v>
      </c>
      <c r="H47">
        <v>0.83199999999999996</v>
      </c>
      <c r="I47">
        <f>67355/(1000)</f>
        <v>67.355000000000004</v>
      </c>
      <c r="J47">
        <v>0.84499999999999997</v>
      </c>
      <c r="K47">
        <v>-0.219</v>
      </c>
      <c r="L47">
        <v>0.93799999999999994</v>
      </c>
      <c r="M47" s="1">
        <v>2430</v>
      </c>
      <c r="N47" s="1">
        <v>1275</v>
      </c>
      <c r="O47">
        <v>0.83199999999999996</v>
      </c>
      <c r="P47">
        <v>0.59499999999999997</v>
      </c>
      <c r="Q47">
        <v>0.56399999999999995</v>
      </c>
      <c r="R47">
        <v>4.4999999999999998E-2</v>
      </c>
      <c r="S47">
        <v>1E-3</v>
      </c>
      <c r="T47" s="1">
        <v>2830</v>
      </c>
    </row>
    <row r="48" spans="1:20" x14ac:dyDescent="0.3">
      <c r="A48" t="s">
        <v>74</v>
      </c>
      <c r="B48" t="s">
        <v>34</v>
      </c>
      <c r="C48">
        <f>6106/(1000)</f>
        <v>6.1059999999999999</v>
      </c>
      <c r="D48">
        <v>6.6000000000000003E-2</v>
      </c>
      <c r="E48" s="1">
        <v>6235</v>
      </c>
      <c r="F48" s="1">
        <v>5977</v>
      </c>
      <c r="G48">
        <f>10817/(1000)</f>
        <v>10.817</v>
      </c>
      <c r="H48">
        <v>0.84299999999999997</v>
      </c>
      <c r="I48">
        <f>66900/(1000)</f>
        <v>66.900000000000006</v>
      </c>
      <c r="J48">
        <v>0.86699999999999999</v>
      </c>
      <c r="K48">
        <v>-0.104</v>
      </c>
      <c r="L48">
        <v>0.73599999999999999</v>
      </c>
      <c r="M48" s="1">
        <v>2430</v>
      </c>
      <c r="N48" s="1">
        <v>1461</v>
      </c>
      <c r="O48">
        <v>0.85699999999999998</v>
      </c>
      <c r="P48">
        <v>0.57999999999999996</v>
      </c>
      <c r="Q48">
        <v>0.59099999999999997</v>
      </c>
      <c r="R48">
        <v>0.12</v>
      </c>
      <c r="S48">
        <v>0.13</v>
      </c>
      <c r="T48" s="1">
        <v>2368</v>
      </c>
    </row>
    <row r="49" spans="1:20" x14ac:dyDescent="0.3">
      <c r="A49" t="s">
        <v>75</v>
      </c>
      <c r="B49" t="s">
        <v>42</v>
      </c>
      <c r="C49">
        <f>6078/(1000)</f>
        <v>6.0780000000000003</v>
      </c>
      <c r="D49">
        <v>5.2999999999999999E-2</v>
      </c>
      <c r="E49" s="1">
        <v>6181</v>
      </c>
      <c r="F49" s="1">
        <v>5974</v>
      </c>
      <c r="G49">
        <f>9787/(1000)</f>
        <v>9.7870000000000008</v>
      </c>
      <c r="H49">
        <v>0.873</v>
      </c>
      <c r="I49">
        <f>68600/(1000)</f>
        <v>68.599999999999994</v>
      </c>
      <c r="J49">
        <v>0.77800000000000002</v>
      </c>
      <c r="K49">
        <v>2E-3</v>
      </c>
      <c r="L49">
        <v>0.83499999999999996</v>
      </c>
      <c r="M49" s="1">
        <v>2430</v>
      </c>
      <c r="N49" s="1">
        <v>1101</v>
      </c>
      <c r="O49">
        <v>0.92400000000000004</v>
      </c>
      <c r="P49">
        <v>0.63400000000000001</v>
      </c>
      <c r="Q49">
        <v>0.48199999999999998</v>
      </c>
      <c r="R49">
        <v>0.189</v>
      </c>
      <c r="S49">
        <v>6.6000000000000003E-2</v>
      </c>
      <c r="T49" s="1">
        <v>2682</v>
      </c>
    </row>
    <row r="50" spans="1:20" x14ac:dyDescent="0.3">
      <c r="A50" t="s">
        <v>76</v>
      </c>
      <c r="B50" t="s">
        <v>39</v>
      </c>
      <c r="C50">
        <f>6061/(1000)</f>
        <v>6.0609999999999999</v>
      </c>
      <c r="D50">
        <v>6.5000000000000002E-2</v>
      </c>
      <c r="E50" s="1">
        <v>6188</v>
      </c>
      <c r="F50" s="1">
        <v>5933</v>
      </c>
      <c r="G50">
        <f>9054/(1000)</f>
        <v>9.0540000000000003</v>
      </c>
      <c r="H50">
        <v>0.76200000000000001</v>
      </c>
      <c r="I50">
        <f>66402/(1000)</f>
        <v>66.402000000000001</v>
      </c>
      <c r="J50">
        <v>0.88800000000000001</v>
      </c>
      <c r="K50">
        <v>-0.11</v>
      </c>
      <c r="L50">
        <v>0.68799999999999994</v>
      </c>
      <c r="M50" s="1">
        <v>2430</v>
      </c>
      <c r="N50">
        <v>0.84499999999999997</v>
      </c>
      <c r="O50">
        <v>0.67500000000000004</v>
      </c>
      <c r="P50">
        <v>0.56499999999999995</v>
      </c>
      <c r="Q50">
        <v>0.61499999999999999</v>
      </c>
      <c r="R50">
        <v>0.11600000000000001</v>
      </c>
      <c r="S50">
        <v>0.16</v>
      </c>
      <c r="T50" s="1">
        <v>3085</v>
      </c>
    </row>
    <row r="51" spans="1:20" x14ac:dyDescent="0.3">
      <c r="A51" t="s">
        <v>77</v>
      </c>
      <c r="B51" t="s">
        <v>78</v>
      </c>
      <c r="C51">
        <f>6049/(1000)</f>
        <v>6.0490000000000004</v>
      </c>
      <c r="D51">
        <v>5.8999999999999997E-2</v>
      </c>
      <c r="E51" s="1">
        <v>6165</v>
      </c>
      <c r="F51" s="1">
        <v>5933</v>
      </c>
      <c r="G51">
        <f>10008/(1000)</f>
        <v>10.007999999999999</v>
      </c>
      <c r="H51">
        <v>0.90500000000000003</v>
      </c>
      <c r="I51">
        <f>66701/(1000)</f>
        <v>66.700999999999993</v>
      </c>
      <c r="J51">
        <v>0.86699999999999999</v>
      </c>
      <c r="K51">
        <v>-5.3999999999999999E-2</v>
      </c>
      <c r="L51">
        <v>0.78900000000000003</v>
      </c>
      <c r="M51" s="1">
        <v>2430</v>
      </c>
      <c r="N51" s="1">
        <v>1178</v>
      </c>
      <c r="O51">
        <v>0.996</v>
      </c>
      <c r="P51">
        <v>0.57399999999999995</v>
      </c>
      <c r="Q51">
        <v>0.59</v>
      </c>
      <c r="R51">
        <v>0.153</v>
      </c>
      <c r="S51">
        <v>9.6000000000000002E-2</v>
      </c>
      <c r="T51" s="1">
        <v>2462</v>
      </c>
    </row>
    <row r="52" spans="1:20" x14ac:dyDescent="0.3">
      <c r="A52" t="s">
        <v>79</v>
      </c>
      <c r="B52" t="s">
        <v>42</v>
      </c>
      <c r="C52">
        <f>6032/(1000)</f>
        <v>6.032</v>
      </c>
      <c r="D52">
        <v>3.5999999999999997E-2</v>
      </c>
      <c r="E52" s="1">
        <v>6103</v>
      </c>
      <c r="F52" s="1">
        <v>5961</v>
      </c>
      <c r="G52">
        <f>10315/(1000)</f>
        <v>10.315</v>
      </c>
      <c r="H52">
        <v>0.92700000000000005</v>
      </c>
      <c r="I52">
        <f>67100/(1000)</f>
        <v>67.099999999999994</v>
      </c>
      <c r="J52">
        <v>0.71499999999999997</v>
      </c>
      <c r="K52">
        <v>-0.16200000000000001</v>
      </c>
      <c r="L52">
        <v>0.8</v>
      </c>
      <c r="M52" s="1">
        <v>2430</v>
      </c>
      <c r="N52" s="1">
        <v>1285</v>
      </c>
      <c r="O52" s="1">
        <v>1047</v>
      </c>
      <c r="P52">
        <v>0.58699999999999997</v>
      </c>
      <c r="Q52">
        <v>0.40500000000000003</v>
      </c>
      <c r="R52">
        <v>8.2000000000000003E-2</v>
      </c>
      <c r="S52">
        <v>8.8999999999999996E-2</v>
      </c>
      <c r="T52" s="1">
        <v>2536</v>
      </c>
    </row>
    <row r="53" spans="1:20" x14ac:dyDescent="0.3">
      <c r="A53" t="s">
        <v>80</v>
      </c>
      <c r="B53" t="s">
        <v>39</v>
      </c>
      <c r="C53">
        <f>6012/(1000)</f>
        <v>6.0119999999999996</v>
      </c>
      <c r="D53">
        <v>6.0999999999999999E-2</v>
      </c>
      <c r="E53" s="1">
        <v>6132</v>
      </c>
      <c r="F53" s="1">
        <v>5892</v>
      </c>
      <c r="G53">
        <f>9557/(1000)</f>
        <v>9.5570000000000004</v>
      </c>
      <c r="H53">
        <v>0.84699999999999998</v>
      </c>
      <c r="I53">
        <f>68001/(1000)</f>
        <v>68.001000000000005</v>
      </c>
      <c r="J53">
        <v>0.83699999999999997</v>
      </c>
      <c r="K53">
        <v>-0.13500000000000001</v>
      </c>
      <c r="L53">
        <v>0.84099999999999997</v>
      </c>
      <c r="M53" s="1">
        <v>2430</v>
      </c>
      <c r="N53" s="1">
        <v>1021</v>
      </c>
      <c r="O53">
        <v>0.86599999999999999</v>
      </c>
      <c r="P53">
        <v>0.61499999999999999</v>
      </c>
      <c r="Q53">
        <v>0.55400000000000005</v>
      </c>
      <c r="R53">
        <v>0.1</v>
      </c>
      <c r="S53">
        <v>6.3E-2</v>
      </c>
      <c r="T53" s="1">
        <v>2794</v>
      </c>
    </row>
    <row r="54" spans="1:20" x14ac:dyDescent="0.3">
      <c r="A54" t="s">
        <v>81</v>
      </c>
      <c r="B54" t="s">
        <v>42</v>
      </c>
      <c r="C54">
        <f>5992/(1000)</f>
        <v>5.992</v>
      </c>
      <c r="D54">
        <v>4.7E-2</v>
      </c>
      <c r="E54" s="1">
        <v>6085</v>
      </c>
      <c r="F54" s="1">
        <v>5899</v>
      </c>
      <c r="G54">
        <f>10358/(1000)</f>
        <v>10.358000000000001</v>
      </c>
      <c r="H54">
        <v>0.94299999999999995</v>
      </c>
      <c r="I54">
        <f>68000/(1000)</f>
        <v>68</v>
      </c>
      <c r="J54">
        <v>0.755</v>
      </c>
      <c r="K54">
        <v>-0.186</v>
      </c>
      <c r="L54">
        <v>0.876</v>
      </c>
      <c r="M54" s="1">
        <v>2430</v>
      </c>
      <c r="N54" s="1">
        <v>1301</v>
      </c>
      <c r="O54" s="1">
        <v>1083</v>
      </c>
      <c r="P54">
        <v>0.61499999999999999</v>
      </c>
      <c r="Q54">
        <v>0.45400000000000001</v>
      </c>
      <c r="R54">
        <v>6.7000000000000004E-2</v>
      </c>
      <c r="S54">
        <v>0.04</v>
      </c>
      <c r="T54" s="1">
        <v>2432</v>
      </c>
    </row>
    <row r="55" spans="1:20" x14ac:dyDescent="0.3">
      <c r="A55" t="s">
        <v>82</v>
      </c>
      <c r="B55" t="s">
        <v>58</v>
      </c>
      <c r="C55">
        <f>5985/(1000)</f>
        <v>5.9850000000000003</v>
      </c>
      <c r="D55">
        <v>4.7E-2</v>
      </c>
      <c r="E55" s="1">
        <v>6077</v>
      </c>
      <c r="F55" s="1">
        <v>5893</v>
      </c>
      <c r="G55">
        <f>9805/(1000)</f>
        <v>9.8049999999999997</v>
      </c>
      <c r="H55">
        <v>0.88800000000000001</v>
      </c>
      <c r="I55">
        <f>67401/(1000)</f>
        <v>67.400999999999996</v>
      </c>
      <c r="J55">
        <v>0.88400000000000001</v>
      </c>
      <c r="K55">
        <v>0.28699999999999998</v>
      </c>
      <c r="L55">
        <v>0.89500000000000002</v>
      </c>
      <c r="M55" s="1">
        <v>2430</v>
      </c>
      <c r="N55" s="1">
        <v>1107</v>
      </c>
      <c r="O55">
        <v>0.95699999999999996</v>
      </c>
      <c r="P55">
        <v>0.59599999999999997</v>
      </c>
      <c r="Q55">
        <v>0.61099999999999999</v>
      </c>
      <c r="R55">
        <v>0.375</v>
      </c>
      <c r="S55">
        <v>2.8000000000000001E-2</v>
      </c>
      <c r="T55" s="1">
        <v>2309</v>
      </c>
    </row>
    <row r="56" spans="1:20" x14ac:dyDescent="0.3">
      <c r="A56" t="s">
        <v>83</v>
      </c>
      <c r="B56" t="s">
        <v>39</v>
      </c>
      <c r="C56">
        <f>5972/(1000)</f>
        <v>5.9720000000000004</v>
      </c>
      <c r="D56">
        <v>8.3000000000000004E-2</v>
      </c>
      <c r="E56" s="1">
        <v>6134</v>
      </c>
      <c r="F56" s="1">
        <v>5810</v>
      </c>
      <c r="G56">
        <f>8620/(1000)</f>
        <v>8.6199999999999992</v>
      </c>
      <c r="H56">
        <v>0.86399999999999999</v>
      </c>
      <c r="I56">
        <f>67657/(1000)</f>
        <v>67.656999999999996</v>
      </c>
      <c r="J56">
        <v>0.83599999999999997</v>
      </c>
      <c r="K56">
        <v>0.02</v>
      </c>
      <c r="L56">
        <v>0.66400000000000003</v>
      </c>
      <c r="M56" s="1">
        <v>2430</v>
      </c>
      <c r="N56">
        <v>0.69299999999999995</v>
      </c>
      <c r="O56">
        <v>0.90400000000000003</v>
      </c>
      <c r="P56">
        <v>0.60399999999999998</v>
      </c>
      <c r="Q56">
        <v>0.55300000000000005</v>
      </c>
      <c r="R56">
        <v>0.20100000000000001</v>
      </c>
      <c r="S56">
        <v>0.17599999999999999</v>
      </c>
      <c r="T56" s="1">
        <v>2841</v>
      </c>
    </row>
    <row r="57" spans="1:20" x14ac:dyDescent="0.3">
      <c r="A57" t="s">
        <v>84</v>
      </c>
      <c r="B57" t="s">
        <v>49</v>
      </c>
      <c r="C57">
        <f>5940/(1000)</f>
        <v>5.94</v>
      </c>
      <c r="D57">
        <v>0.04</v>
      </c>
      <c r="E57" s="1">
        <v>6020</v>
      </c>
      <c r="F57" s="1">
        <v>5861</v>
      </c>
      <c r="G57">
        <f>10611/(1000)</f>
        <v>10.611000000000001</v>
      </c>
      <c r="H57">
        <v>0.88400000000000001</v>
      </c>
      <c r="I57">
        <f>75100/(1000)</f>
        <v>75.099999999999994</v>
      </c>
      <c r="J57">
        <v>0.79600000000000004</v>
      </c>
      <c r="K57">
        <v>-0.25800000000000001</v>
      </c>
      <c r="L57">
        <v>0.63800000000000001</v>
      </c>
      <c r="M57" s="1">
        <v>2430</v>
      </c>
      <c r="N57" s="1">
        <v>1389</v>
      </c>
      <c r="O57">
        <v>0.94899999999999995</v>
      </c>
      <c r="P57">
        <v>0.83799999999999997</v>
      </c>
      <c r="Q57">
        <v>0.504</v>
      </c>
      <c r="R57">
        <v>0.02</v>
      </c>
      <c r="S57">
        <v>0.192</v>
      </c>
      <c r="T57" s="1">
        <v>2048</v>
      </c>
    </row>
    <row r="58" spans="1:20" x14ac:dyDescent="0.3">
      <c r="A58" t="s">
        <v>85</v>
      </c>
      <c r="B58" t="s">
        <v>39</v>
      </c>
      <c r="C58">
        <f>5929/(1000)</f>
        <v>5.9290000000000003</v>
      </c>
      <c r="D58">
        <v>5.6000000000000001E-2</v>
      </c>
      <c r="E58" s="1">
        <v>6040</v>
      </c>
      <c r="F58" s="1">
        <v>5819</v>
      </c>
      <c r="G58">
        <f>9962/(1000)</f>
        <v>9.9619999999999997</v>
      </c>
      <c r="H58">
        <v>0.89800000000000002</v>
      </c>
      <c r="I58">
        <f>69000/(1000)</f>
        <v>69</v>
      </c>
      <c r="J58">
        <v>0.82799999999999996</v>
      </c>
      <c r="K58">
        <v>-0.182</v>
      </c>
      <c r="L58">
        <v>0.83399999999999996</v>
      </c>
      <c r="M58" s="1">
        <v>2430</v>
      </c>
      <c r="N58" s="1">
        <v>1162</v>
      </c>
      <c r="O58">
        <v>0.98</v>
      </c>
      <c r="P58">
        <v>0.64600000000000002</v>
      </c>
      <c r="Q58">
        <v>0.54400000000000004</v>
      </c>
      <c r="R58">
        <v>6.9000000000000006E-2</v>
      </c>
      <c r="S58">
        <v>6.7000000000000004E-2</v>
      </c>
      <c r="T58" s="1">
        <v>2461</v>
      </c>
    </row>
    <row r="59" spans="1:20" x14ac:dyDescent="0.3">
      <c r="A59" t="s">
        <v>86</v>
      </c>
      <c r="B59" t="s">
        <v>21</v>
      </c>
      <c r="C59">
        <f>5929/(1000)</f>
        <v>5.9290000000000003</v>
      </c>
      <c r="D59">
        <v>5.5E-2</v>
      </c>
      <c r="E59" s="1">
        <v>6037</v>
      </c>
      <c r="F59" s="1">
        <v>5821</v>
      </c>
      <c r="G59">
        <f>10421/(1000)</f>
        <v>10.420999999999999</v>
      </c>
      <c r="H59">
        <v>0.879</v>
      </c>
      <c r="I59">
        <f>72600/(1000)</f>
        <v>72.599999999999994</v>
      </c>
      <c r="J59">
        <v>0.89200000000000002</v>
      </c>
      <c r="K59">
        <v>-0.24399999999999999</v>
      </c>
      <c r="L59">
        <v>0.88700000000000001</v>
      </c>
      <c r="M59" s="1">
        <v>2430</v>
      </c>
      <c r="N59" s="1">
        <v>1323</v>
      </c>
      <c r="O59">
        <v>0.93899999999999995</v>
      </c>
      <c r="P59">
        <v>0.76</v>
      </c>
      <c r="Q59">
        <v>0.621</v>
      </c>
      <c r="R59">
        <v>2.9000000000000001E-2</v>
      </c>
      <c r="S59">
        <v>3.3000000000000002E-2</v>
      </c>
      <c r="T59" s="1">
        <v>2225</v>
      </c>
    </row>
    <row r="60" spans="1:20" x14ac:dyDescent="0.3">
      <c r="A60" t="s">
        <v>87</v>
      </c>
      <c r="B60" t="s">
        <v>39</v>
      </c>
      <c r="C60">
        <f>5919/(1000)</f>
        <v>5.9189999999999996</v>
      </c>
      <c r="D60">
        <v>8.2000000000000003E-2</v>
      </c>
      <c r="E60" s="1">
        <v>6081</v>
      </c>
      <c r="F60" s="1">
        <v>5758</v>
      </c>
      <c r="G60">
        <f>8648/(1000)</f>
        <v>8.6479999999999997</v>
      </c>
      <c r="H60">
        <v>0.81200000000000006</v>
      </c>
      <c r="I60">
        <f>67300/(1000)</f>
        <v>67.3</v>
      </c>
      <c r="J60">
        <v>0.85699999999999998</v>
      </c>
      <c r="K60">
        <v>8.1000000000000003E-2</v>
      </c>
      <c r="L60">
        <v>0.80900000000000005</v>
      </c>
      <c r="M60" s="1">
        <v>2430</v>
      </c>
      <c r="N60">
        <v>0.70299999999999996</v>
      </c>
      <c r="O60">
        <v>0.78700000000000003</v>
      </c>
      <c r="P60">
        <v>0.59299999999999997</v>
      </c>
      <c r="Q60">
        <v>0.57799999999999996</v>
      </c>
      <c r="R60">
        <v>0.24099999999999999</v>
      </c>
      <c r="S60">
        <v>8.3000000000000004E-2</v>
      </c>
      <c r="T60" s="1">
        <v>2934</v>
      </c>
    </row>
    <row r="61" spans="1:20" x14ac:dyDescent="0.3">
      <c r="A61" t="s">
        <v>88</v>
      </c>
      <c r="B61" t="s">
        <v>42</v>
      </c>
      <c r="C61">
        <f>5882/(1000)</f>
        <v>5.8819999999999997</v>
      </c>
      <c r="D61">
        <v>4.8000000000000001E-2</v>
      </c>
      <c r="E61" s="1">
        <v>5975</v>
      </c>
      <c r="F61" s="1">
        <v>5788</v>
      </c>
      <c r="G61">
        <f>10217/(1000)</f>
        <v>10.217000000000001</v>
      </c>
      <c r="H61">
        <v>0.92400000000000004</v>
      </c>
      <c r="I61">
        <f>70799/(1000)</f>
        <v>70.799000000000007</v>
      </c>
      <c r="J61">
        <v>0.754</v>
      </c>
      <c r="K61">
        <v>-0.11799999999999999</v>
      </c>
      <c r="L61">
        <v>0.93899999999999995</v>
      </c>
      <c r="M61" s="1">
        <v>2430</v>
      </c>
      <c r="N61" s="1">
        <v>1251</v>
      </c>
      <c r="O61" s="1">
        <v>1039</v>
      </c>
      <c r="P61">
        <v>0.70299999999999996</v>
      </c>
      <c r="Q61">
        <v>0.45300000000000001</v>
      </c>
      <c r="R61">
        <v>0.111</v>
      </c>
      <c r="S61">
        <v>0</v>
      </c>
      <c r="T61" s="1">
        <v>2325</v>
      </c>
    </row>
    <row r="62" spans="1:20" x14ac:dyDescent="0.3">
      <c r="A62" t="s">
        <v>89</v>
      </c>
      <c r="B62" t="s">
        <v>58</v>
      </c>
      <c r="C62">
        <f>5880/(1000)</f>
        <v>5.88</v>
      </c>
      <c r="D62">
        <v>5.1999999999999998E-2</v>
      </c>
      <c r="E62" s="1">
        <v>5982</v>
      </c>
      <c r="F62" s="1">
        <v>5778</v>
      </c>
      <c r="G62">
        <f>9076/(1000)</f>
        <v>9.0760000000000005</v>
      </c>
      <c r="H62">
        <v>0.83</v>
      </c>
      <c r="I62">
        <f>62000/(1000)</f>
        <v>62</v>
      </c>
      <c r="J62">
        <v>0.91700000000000004</v>
      </c>
      <c r="K62">
        <v>-9.7000000000000003E-2</v>
      </c>
      <c r="L62">
        <v>0.74199999999999999</v>
      </c>
      <c r="M62" s="1">
        <v>2430</v>
      </c>
      <c r="N62">
        <v>0.85299999999999998</v>
      </c>
      <c r="O62">
        <v>0.82799999999999996</v>
      </c>
      <c r="P62">
        <v>0.42599999999999999</v>
      </c>
      <c r="Q62">
        <v>0.65100000000000002</v>
      </c>
      <c r="R62">
        <v>0.125</v>
      </c>
      <c r="S62">
        <v>0.126</v>
      </c>
      <c r="T62" s="1">
        <v>2872</v>
      </c>
    </row>
    <row r="63" spans="1:20" x14ac:dyDescent="0.3">
      <c r="A63" t="s">
        <v>90</v>
      </c>
      <c r="B63" t="s">
        <v>49</v>
      </c>
      <c r="C63">
        <f>5845/(1000)</f>
        <v>5.8449999999999998</v>
      </c>
      <c r="D63">
        <v>4.2000000000000003E-2</v>
      </c>
      <c r="E63" s="1">
        <v>5928</v>
      </c>
      <c r="F63" s="1">
        <v>5763</v>
      </c>
      <c r="G63">
        <f>10651/(1000)</f>
        <v>10.651</v>
      </c>
      <c r="H63">
        <v>0.79900000000000004</v>
      </c>
      <c r="I63">
        <f>73900/(1000)</f>
        <v>73.900000000000006</v>
      </c>
      <c r="J63">
        <v>0.67200000000000004</v>
      </c>
      <c r="K63">
        <v>-8.3000000000000004E-2</v>
      </c>
      <c r="L63">
        <v>0.72699999999999998</v>
      </c>
      <c r="M63" s="1">
        <v>2430</v>
      </c>
      <c r="N63" s="1">
        <v>1403</v>
      </c>
      <c r="O63">
        <v>0.75800000000000001</v>
      </c>
      <c r="P63">
        <v>0.80100000000000005</v>
      </c>
      <c r="Q63">
        <v>0.35299999999999998</v>
      </c>
      <c r="R63">
        <v>0.13400000000000001</v>
      </c>
      <c r="S63">
        <v>0.13500000000000001</v>
      </c>
      <c r="T63" s="1">
        <v>2262</v>
      </c>
    </row>
    <row r="64" spans="1:20" x14ac:dyDescent="0.3">
      <c r="A64" t="s">
        <v>91</v>
      </c>
      <c r="B64" t="s">
        <v>39</v>
      </c>
      <c r="C64">
        <f>5840/(1000)</f>
        <v>5.84</v>
      </c>
      <c r="D64">
        <v>7.4999999999999997E-2</v>
      </c>
      <c r="E64" s="1">
        <v>5988</v>
      </c>
      <c r="F64" s="1">
        <v>5692</v>
      </c>
      <c r="G64">
        <f>9458/(1000)</f>
        <v>9.4580000000000002</v>
      </c>
      <c r="H64">
        <v>0.83199999999999996</v>
      </c>
      <c r="I64">
        <f>68250/(1000)</f>
        <v>68.25</v>
      </c>
      <c r="J64">
        <v>0.82199999999999995</v>
      </c>
      <c r="K64">
        <v>-0.154</v>
      </c>
      <c r="L64">
        <v>0.89100000000000001</v>
      </c>
      <c r="M64" s="1">
        <v>2430</v>
      </c>
      <c r="N64">
        <v>0.98599999999999999</v>
      </c>
      <c r="O64">
        <v>0.83299999999999996</v>
      </c>
      <c r="P64">
        <v>0.623</v>
      </c>
      <c r="Q64">
        <v>0.53600000000000003</v>
      </c>
      <c r="R64">
        <v>8.6999999999999994E-2</v>
      </c>
      <c r="S64">
        <v>3.1E-2</v>
      </c>
      <c r="T64" s="1">
        <v>2744</v>
      </c>
    </row>
    <row r="65" spans="1:20" x14ac:dyDescent="0.3">
      <c r="A65" t="s">
        <v>92</v>
      </c>
      <c r="B65" t="s">
        <v>42</v>
      </c>
      <c r="C65">
        <f>5813/(1000)</f>
        <v>5.8129999999999997</v>
      </c>
      <c r="D65">
        <v>0.05</v>
      </c>
      <c r="E65" s="1">
        <v>5911</v>
      </c>
      <c r="F65" s="1">
        <v>5715</v>
      </c>
      <c r="G65">
        <f>9590/(1000)</f>
        <v>9.59</v>
      </c>
      <c r="H65">
        <v>0.87</v>
      </c>
      <c r="I65">
        <f>68098/(1000)</f>
        <v>68.097999999999999</v>
      </c>
      <c r="J65">
        <v>0.70599999999999996</v>
      </c>
      <c r="K65">
        <v>0.113</v>
      </c>
      <c r="L65">
        <v>0.93100000000000005</v>
      </c>
      <c r="M65" s="1">
        <v>2430</v>
      </c>
      <c r="N65" s="1">
        <v>1032</v>
      </c>
      <c r="O65">
        <v>0.91900000000000004</v>
      </c>
      <c r="P65">
        <v>0.61799999999999999</v>
      </c>
      <c r="Q65">
        <v>0.39500000000000002</v>
      </c>
      <c r="R65">
        <v>0.26100000000000001</v>
      </c>
      <c r="S65">
        <v>5.0000000000000001E-3</v>
      </c>
      <c r="T65" s="1">
        <v>2583</v>
      </c>
    </row>
    <row r="66" spans="1:20" x14ac:dyDescent="0.3">
      <c r="A66" t="s">
        <v>93</v>
      </c>
      <c r="B66" t="s">
        <v>69</v>
      </c>
      <c r="C66">
        <f>5766/(1000)</f>
        <v>5.766</v>
      </c>
      <c r="D66">
        <v>4.5999999999999999E-2</v>
      </c>
      <c r="E66" s="1">
        <v>5856</v>
      </c>
      <c r="F66" s="1">
        <v>5677</v>
      </c>
      <c r="G66">
        <f>9454/(1000)</f>
        <v>9.4540000000000006</v>
      </c>
      <c r="H66">
        <v>0.85699999999999998</v>
      </c>
      <c r="I66">
        <f>65699/(1000)</f>
        <v>65.698999999999998</v>
      </c>
      <c r="J66">
        <v>0.82199999999999995</v>
      </c>
      <c r="K66">
        <v>-7.9000000000000001E-2</v>
      </c>
      <c r="L66">
        <v>0.91800000000000004</v>
      </c>
      <c r="M66" s="1">
        <v>2430</v>
      </c>
      <c r="N66">
        <v>0.98499999999999999</v>
      </c>
      <c r="O66">
        <v>0.88800000000000001</v>
      </c>
      <c r="P66">
        <v>0.54200000000000004</v>
      </c>
      <c r="Q66">
        <v>0.53600000000000003</v>
      </c>
      <c r="R66">
        <v>0.13700000000000001</v>
      </c>
      <c r="S66">
        <v>1.2999999999999999E-2</v>
      </c>
      <c r="T66" s="1">
        <v>2665</v>
      </c>
    </row>
    <row r="67" spans="1:20" x14ac:dyDescent="0.3">
      <c r="A67" t="s">
        <v>94</v>
      </c>
      <c r="B67" t="s">
        <v>39</v>
      </c>
      <c r="C67">
        <f>5764/(1000)</f>
        <v>5.7640000000000002</v>
      </c>
      <c r="D67">
        <v>5.7000000000000002E-2</v>
      </c>
      <c r="E67" s="1">
        <v>5875</v>
      </c>
      <c r="F67" s="1">
        <v>5653</v>
      </c>
      <c r="G67">
        <f>9313/(1000)</f>
        <v>9.3130000000000006</v>
      </c>
      <c r="H67">
        <v>0.82099999999999995</v>
      </c>
      <c r="I67">
        <f>68800/(1000)</f>
        <v>68.8</v>
      </c>
      <c r="J67">
        <v>0.84199999999999997</v>
      </c>
      <c r="K67">
        <v>-0.124</v>
      </c>
      <c r="L67">
        <v>0.84299999999999997</v>
      </c>
      <c r="M67" s="1">
        <v>2430</v>
      </c>
      <c r="N67">
        <v>0.93500000000000005</v>
      </c>
      <c r="O67">
        <v>0.80600000000000005</v>
      </c>
      <c r="P67">
        <v>0.64</v>
      </c>
      <c r="Q67">
        <v>0.56000000000000005</v>
      </c>
      <c r="R67">
        <v>0.107</v>
      </c>
      <c r="S67">
        <v>6.2E-2</v>
      </c>
      <c r="T67" s="1">
        <v>2653</v>
      </c>
    </row>
    <row r="68" spans="1:20" x14ac:dyDescent="0.3">
      <c r="A68" t="s">
        <v>95</v>
      </c>
      <c r="B68" t="s">
        <v>69</v>
      </c>
      <c r="C68">
        <f>5744/(1000)</f>
        <v>5.7439999999999998</v>
      </c>
      <c r="D68">
        <v>4.5999999999999999E-2</v>
      </c>
      <c r="E68" s="1">
        <v>5834</v>
      </c>
      <c r="F68" s="1">
        <v>5653</v>
      </c>
      <c r="G68">
        <f>8538/(1000)</f>
        <v>8.5380000000000003</v>
      </c>
      <c r="H68">
        <v>0.89300000000000002</v>
      </c>
      <c r="I68">
        <f>64401/(1000)</f>
        <v>64.400999999999996</v>
      </c>
      <c r="J68">
        <v>0.93500000000000005</v>
      </c>
      <c r="K68">
        <v>0.11899999999999999</v>
      </c>
      <c r="L68">
        <v>0.90800000000000003</v>
      </c>
      <c r="M68" s="1">
        <v>2430</v>
      </c>
      <c r="N68">
        <v>0.66500000000000004</v>
      </c>
      <c r="O68">
        <v>0.97099999999999997</v>
      </c>
      <c r="P68">
        <v>0.501</v>
      </c>
      <c r="Q68">
        <v>0.67300000000000004</v>
      </c>
      <c r="R68">
        <v>0.26600000000000001</v>
      </c>
      <c r="S68">
        <v>0.02</v>
      </c>
      <c r="T68" s="1">
        <v>2648</v>
      </c>
    </row>
    <row r="69" spans="1:20" x14ac:dyDescent="0.3">
      <c r="A69" t="s">
        <v>96</v>
      </c>
      <c r="B69" t="s">
        <v>21</v>
      </c>
      <c r="C69">
        <f>5723/(1000)</f>
        <v>5.7229999999999999</v>
      </c>
      <c r="D69">
        <v>4.5999999999999999E-2</v>
      </c>
      <c r="E69" s="1">
        <v>5813</v>
      </c>
      <c r="F69" s="1">
        <v>5632</v>
      </c>
      <c r="G69">
        <f>10279/(1000)</f>
        <v>10.279</v>
      </c>
      <c r="H69">
        <v>0.82299999999999995</v>
      </c>
      <c r="I69">
        <f>72600/(1000)</f>
        <v>72.599999999999994</v>
      </c>
      <c r="J69">
        <v>0.58199999999999996</v>
      </c>
      <c r="K69">
        <v>-0.28799999999999998</v>
      </c>
      <c r="L69">
        <v>0.82299999999999995</v>
      </c>
      <c r="M69" s="1">
        <v>2430</v>
      </c>
      <c r="N69" s="1">
        <v>1273</v>
      </c>
      <c r="O69">
        <v>0.81100000000000005</v>
      </c>
      <c r="P69">
        <v>0.76</v>
      </c>
      <c r="Q69">
        <v>0.24299999999999999</v>
      </c>
      <c r="R69">
        <v>0</v>
      </c>
      <c r="S69">
        <v>7.3999999999999996E-2</v>
      </c>
      <c r="T69" s="1">
        <v>2561</v>
      </c>
    </row>
    <row r="70" spans="1:20" x14ac:dyDescent="0.3">
      <c r="A70" t="s">
        <v>97</v>
      </c>
      <c r="B70" t="s">
        <v>39</v>
      </c>
      <c r="C70">
        <f>5716/(1000)</f>
        <v>5.7160000000000002</v>
      </c>
      <c r="D70">
        <v>5.2999999999999999E-2</v>
      </c>
      <c r="E70" s="1">
        <v>5819</v>
      </c>
      <c r="F70" s="1">
        <v>5613</v>
      </c>
      <c r="G70">
        <f>9046/(1000)</f>
        <v>9.0459999999999994</v>
      </c>
      <c r="H70">
        <v>0.81</v>
      </c>
      <c r="I70">
        <f>63901/(1000)</f>
        <v>63.901000000000003</v>
      </c>
      <c r="J70">
        <v>0.875</v>
      </c>
      <c r="K70">
        <v>-7.6999999999999999E-2</v>
      </c>
      <c r="L70">
        <v>0.83899999999999997</v>
      </c>
      <c r="M70" s="1">
        <v>2430</v>
      </c>
      <c r="N70">
        <v>0.84199999999999997</v>
      </c>
      <c r="O70">
        <v>0.78200000000000003</v>
      </c>
      <c r="P70">
        <v>0.48599999999999999</v>
      </c>
      <c r="Q70">
        <v>0.6</v>
      </c>
      <c r="R70">
        <v>0.13800000000000001</v>
      </c>
      <c r="S70">
        <v>6.4000000000000001E-2</v>
      </c>
      <c r="T70" s="1">
        <v>2805</v>
      </c>
    </row>
    <row r="71" spans="1:20" x14ac:dyDescent="0.3">
      <c r="A71" t="s">
        <v>98</v>
      </c>
      <c r="B71" t="s">
        <v>49</v>
      </c>
      <c r="C71">
        <f>5677/(1000)</f>
        <v>5.6769999999999996</v>
      </c>
      <c r="D71">
        <v>4.2000000000000003E-2</v>
      </c>
      <c r="E71" s="1">
        <v>5760</v>
      </c>
      <c r="F71" s="1">
        <v>5595</v>
      </c>
      <c r="G71">
        <f>9400/(1000)</f>
        <v>9.4</v>
      </c>
      <c r="H71">
        <v>0.93500000000000005</v>
      </c>
      <c r="I71">
        <f>62500/(1000)</f>
        <v>62.5</v>
      </c>
      <c r="J71">
        <v>0.70799999999999996</v>
      </c>
      <c r="K71">
        <v>0.11600000000000001</v>
      </c>
      <c r="L71">
        <v>0.85599999999999998</v>
      </c>
      <c r="M71" s="1">
        <v>2430</v>
      </c>
      <c r="N71">
        <v>0.96599999999999997</v>
      </c>
      <c r="O71" s="1">
        <v>1065</v>
      </c>
      <c r="P71">
        <v>0.442</v>
      </c>
      <c r="Q71">
        <v>0.39700000000000002</v>
      </c>
      <c r="R71">
        <v>0.26300000000000001</v>
      </c>
      <c r="S71">
        <v>5.2999999999999999E-2</v>
      </c>
      <c r="T71" s="1">
        <v>2492</v>
      </c>
    </row>
    <row r="72" spans="1:20" x14ac:dyDescent="0.3">
      <c r="A72" t="s">
        <v>99</v>
      </c>
      <c r="B72" t="s">
        <v>39</v>
      </c>
      <c r="C72">
        <f>5653/(1000)</f>
        <v>5.6529999999999996</v>
      </c>
      <c r="D72">
        <v>9.1999999999999998E-2</v>
      </c>
      <c r="E72" s="1">
        <v>5832</v>
      </c>
      <c r="F72" s="1">
        <v>5473</v>
      </c>
      <c r="G72">
        <f>9448/(1000)</f>
        <v>9.4480000000000004</v>
      </c>
      <c r="H72">
        <v>0.89300000000000002</v>
      </c>
      <c r="I72">
        <f>65900/(1000)</f>
        <v>65.900000000000006</v>
      </c>
      <c r="J72">
        <v>0.876</v>
      </c>
      <c r="K72">
        <v>2.8000000000000001E-2</v>
      </c>
      <c r="L72">
        <v>0.88200000000000001</v>
      </c>
      <c r="M72" s="1">
        <v>2430</v>
      </c>
      <c r="N72">
        <v>0.98299999999999998</v>
      </c>
      <c r="O72">
        <v>0.97</v>
      </c>
      <c r="P72">
        <v>0.54900000000000004</v>
      </c>
      <c r="Q72">
        <v>0.60199999999999998</v>
      </c>
      <c r="R72">
        <v>0.20599999999999999</v>
      </c>
      <c r="S72">
        <v>3.6999999999999998E-2</v>
      </c>
      <c r="T72" s="1">
        <v>2306</v>
      </c>
    </row>
    <row r="73" spans="1:20" x14ac:dyDescent="0.3">
      <c r="A73" t="s">
        <v>100</v>
      </c>
      <c r="B73" t="s">
        <v>42</v>
      </c>
      <c r="C73">
        <f>5581/(1000)</f>
        <v>5.5810000000000004</v>
      </c>
      <c r="D73">
        <v>5.3999999999999999E-2</v>
      </c>
      <c r="E73" s="1">
        <v>5686</v>
      </c>
      <c r="F73" s="1">
        <v>5475</v>
      </c>
      <c r="G73">
        <f>9940/(1000)</f>
        <v>9.94</v>
      </c>
      <c r="H73">
        <v>0.85799999999999998</v>
      </c>
      <c r="I73">
        <f>68699/(1000)</f>
        <v>68.698999999999998</v>
      </c>
      <c r="J73">
        <v>0.70799999999999996</v>
      </c>
      <c r="K73">
        <v>-3.4000000000000002E-2</v>
      </c>
      <c r="L73">
        <v>0.81200000000000006</v>
      </c>
      <c r="M73" s="1">
        <v>2430</v>
      </c>
      <c r="N73" s="1">
        <v>1155</v>
      </c>
      <c r="O73">
        <v>0.89100000000000001</v>
      </c>
      <c r="P73">
        <v>0.63700000000000001</v>
      </c>
      <c r="Q73">
        <v>0.39700000000000002</v>
      </c>
      <c r="R73">
        <v>0.16600000000000001</v>
      </c>
      <c r="S73">
        <v>8.1000000000000003E-2</v>
      </c>
      <c r="T73" s="1">
        <v>2254</v>
      </c>
    </row>
    <row r="74" spans="1:20" x14ac:dyDescent="0.3">
      <c r="A74" t="s">
        <v>101</v>
      </c>
      <c r="B74" t="s">
        <v>39</v>
      </c>
      <c r="C74">
        <f>5545/(1000)</f>
        <v>5.5449999999999999</v>
      </c>
      <c r="D74">
        <v>7.0999999999999994E-2</v>
      </c>
      <c r="E74" s="1">
        <v>5685</v>
      </c>
      <c r="F74" s="1">
        <v>5405</v>
      </c>
      <c r="G74">
        <f>9802/(1000)</f>
        <v>9.8019999999999996</v>
      </c>
      <c r="H74">
        <v>0.85299999999999998</v>
      </c>
      <c r="I74">
        <f>66102/(1000)</f>
        <v>66.102000000000004</v>
      </c>
      <c r="J74">
        <v>0.86</v>
      </c>
      <c r="K74">
        <v>-0.13300000000000001</v>
      </c>
      <c r="L74">
        <v>0.71399999999999997</v>
      </c>
      <c r="M74" s="1">
        <v>2430</v>
      </c>
      <c r="N74" s="1">
        <v>1106</v>
      </c>
      <c r="O74">
        <v>0.879</v>
      </c>
      <c r="P74">
        <v>0.55500000000000005</v>
      </c>
      <c r="Q74">
        <v>0.58099999999999996</v>
      </c>
      <c r="R74">
        <v>0.10100000000000001</v>
      </c>
      <c r="S74">
        <v>0.14399999999999999</v>
      </c>
      <c r="T74" s="1">
        <v>2178</v>
      </c>
    </row>
    <row r="75" spans="1:20" x14ac:dyDescent="0.3">
      <c r="A75" t="s">
        <v>102</v>
      </c>
      <c r="B75" t="s">
        <v>21</v>
      </c>
      <c r="C75">
        <f>5536/(1000)</f>
        <v>5.5359999999999996</v>
      </c>
      <c r="D75">
        <v>5.0999999999999997E-2</v>
      </c>
      <c r="E75" s="1">
        <v>5636</v>
      </c>
      <c r="F75" s="1">
        <v>5435</v>
      </c>
      <c r="G75">
        <f>10576/(1000)</f>
        <v>10.576000000000001</v>
      </c>
      <c r="H75">
        <v>0.82</v>
      </c>
      <c r="I75">
        <f>73898/(1000)</f>
        <v>73.897999999999996</v>
      </c>
      <c r="J75">
        <v>0.79500000000000004</v>
      </c>
      <c r="K75">
        <v>1.2E-2</v>
      </c>
      <c r="L75">
        <v>0.626</v>
      </c>
      <c r="M75" s="1">
        <v>2430</v>
      </c>
      <c r="N75" s="1">
        <v>1377</v>
      </c>
      <c r="O75">
        <v>0.80600000000000005</v>
      </c>
      <c r="P75">
        <v>0.80100000000000005</v>
      </c>
      <c r="Q75">
        <v>0.503</v>
      </c>
      <c r="R75">
        <v>0.19600000000000001</v>
      </c>
      <c r="S75">
        <v>0.2</v>
      </c>
      <c r="T75" s="1">
        <v>1653</v>
      </c>
    </row>
    <row r="76" spans="1:20" x14ac:dyDescent="0.3">
      <c r="A76" t="s">
        <v>103</v>
      </c>
      <c r="B76" t="s">
        <v>69</v>
      </c>
      <c r="C76">
        <f>5534/(1000)</f>
        <v>5.5339999999999998</v>
      </c>
      <c r="D76">
        <v>4.7E-2</v>
      </c>
      <c r="E76" s="1">
        <v>5625</v>
      </c>
      <c r="F76" s="1">
        <v>5442</v>
      </c>
      <c r="G76">
        <f>9853/(1000)</f>
        <v>9.8529999999999998</v>
      </c>
      <c r="H76">
        <v>0.91</v>
      </c>
      <c r="I76">
        <f>66253/(1000)</f>
        <v>66.253</v>
      </c>
      <c r="J76">
        <v>0.65</v>
      </c>
      <c r="K76">
        <v>-0.18</v>
      </c>
      <c r="L76">
        <v>0.627</v>
      </c>
      <c r="M76" s="1">
        <v>2430</v>
      </c>
      <c r="N76" s="1">
        <v>1124</v>
      </c>
      <c r="O76" s="1">
        <v>1007</v>
      </c>
      <c r="P76">
        <v>0.56000000000000005</v>
      </c>
      <c r="Q76">
        <v>0.32600000000000001</v>
      </c>
      <c r="R76">
        <v>7.0000000000000007E-2</v>
      </c>
      <c r="S76">
        <v>0.19900000000000001</v>
      </c>
      <c r="T76" s="1">
        <v>2247</v>
      </c>
    </row>
    <row r="77" spans="1:20" x14ac:dyDescent="0.3">
      <c r="A77" t="s">
        <v>104</v>
      </c>
      <c r="B77" t="s">
        <v>69</v>
      </c>
      <c r="C77">
        <f>5477/(1000)</f>
        <v>5.4770000000000003</v>
      </c>
      <c r="D77">
        <v>3.3000000000000002E-2</v>
      </c>
      <c r="E77" s="1">
        <v>5541</v>
      </c>
      <c r="F77" s="1">
        <v>5413</v>
      </c>
      <c r="G77">
        <f>10189/(1000)</f>
        <v>10.189</v>
      </c>
      <c r="H77">
        <v>0.90300000000000002</v>
      </c>
      <c r="I77">
        <f>64703/(1000)</f>
        <v>64.703000000000003</v>
      </c>
      <c r="J77">
        <v>0.71799999999999997</v>
      </c>
      <c r="K77">
        <v>-0.111</v>
      </c>
      <c r="L77">
        <v>0.84499999999999997</v>
      </c>
      <c r="M77" s="1">
        <v>2430</v>
      </c>
      <c r="N77" s="1">
        <v>1241</v>
      </c>
      <c r="O77">
        <v>0.99199999999999999</v>
      </c>
      <c r="P77">
        <v>0.51100000000000001</v>
      </c>
      <c r="Q77">
        <v>0.40899999999999997</v>
      </c>
      <c r="R77">
        <v>0.115</v>
      </c>
      <c r="S77">
        <v>0.06</v>
      </c>
      <c r="T77" s="1">
        <v>2148</v>
      </c>
    </row>
    <row r="78" spans="1:20" x14ac:dyDescent="0.3">
      <c r="A78" t="s">
        <v>105</v>
      </c>
      <c r="B78" t="s">
        <v>49</v>
      </c>
      <c r="C78">
        <f>5477/(1000)</f>
        <v>5.4770000000000003</v>
      </c>
      <c r="D78">
        <v>4.9000000000000002E-2</v>
      </c>
      <c r="E78" s="1">
        <v>5573</v>
      </c>
      <c r="F78" s="1">
        <v>5380</v>
      </c>
      <c r="G78">
        <f>11000/(1000)</f>
        <v>11</v>
      </c>
      <c r="H78">
        <v>0.83599999999999997</v>
      </c>
      <c r="I78">
        <f>76820/(1000)</f>
        <v>76.819999999999993</v>
      </c>
      <c r="J78">
        <v>0.71699999999999997</v>
      </c>
      <c r="K78">
        <v>6.7000000000000004E-2</v>
      </c>
      <c r="L78">
        <v>0.40300000000000002</v>
      </c>
      <c r="M78" s="1">
        <v>2430</v>
      </c>
      <c r="N78" s="1">
        <v>1525</v>
      </c>
      <c r="O78">
        <v>0.84099999999999997</v>
      </c>
      <c r="P78">
        <v>0.89300000000000002</v>
      </c>
      <c r="Q78">
        <v>0.40799999999999997</v>
      </c>
      <c r="R78">
        <v>0.23200000000000001</v>
      </c>
      <c r="S78">
        <v>0.34200000000000003</v>
      </c>
      <c r="T78" s="1">
        <v>1236</v>
      </c>
    </row>
    <row r="79" spans="1:20" x14ac:dyDescent="0.3">
      <c r="A79" t="s">
        <v>106</v>
      </c>
      <c r="B79" t="s">
        <v>69</v>
      </c>
      <c r="C79">
        <f>5466/(1000)</f>
        <v>5.4660000000000002</v>
      </c>
      <c r="D79">
        <v>3.4000000000000002E-2</v>
      </c>
      <c r="E79" s="1">
        <v>5532</v>
      </c>
      <c r="F79" s="1">
        <v>5400</v>
      </c>
      <c r="G79">
        <f>8091/(1000)</f>
        <v>8.0909999999999993</v>
      </c>
      <c r="H79">
        <v>0.86</v>
      </c>
      <c r="I79">
        <f>64281/(1000)</f>
        <v>64.281000000000006</v>
      </c>
      <c r="J79">
        <v>0.83199999999999996</v>
      </c>
      <c r="K79">
        <v>-5.6000000000000001E-2</v>
      </c>
      <c r="L79">
        <v>0.55300000000000005</v>
      </c>
      <c r="M79" s="1">
        <v>2430</v>
      </c>
      <c r="N79">
        <v>0.50800000000000001</v>
      </c>
      <c r="O79">
        <v>0.89500000000000002</v>
      </c>
      <c r="P79">
        <v>0.498</v>
      </c>
      <c r="Q79">
        <v>0.54800000000000004</v>
      </c>
      <c r="R79">
        <v>0.152</v>
      </c>
      <c r="S79">
        <v>0.247</v>
      </c>
      <c r="T79" s="1">
        <v>2619</v>
      </c>
    </row>
    <row r="80" spans="1:20" x14ac:dyDescent="0.3">
      <c r="A80" t="s">
        <v>107</v>
      </c>
      <c r="B80" t="s">
        <v>58</v>
      </c>
      <c r="C80">
        <f>5411/(1000)</f>
        <v>5.4109999999999996</v>
      </c>
      <c r="D80">
        <v>3.9E-2</v>
      </c>
      <c r="E80" s="1">
        <v>5488</v>
      </c>
      <c r="F80" s="1">
        <v>5334</v>
      </c>
      <c r="G80">
        <f>8973/(1000)</f>
        <v>8.9730000000000008</v>
      </c>
      <c r="H80">
        <v>0.85</v>
      </c>
      <c r="I80">
        <f>68034/(1000)</f>
        <v>68.034000000000006</v>
      </c>
      <c r="J80">
        <v>0.94</v>
      </c>
      <c r="K80">
        <v>-9.8000000000000004E-2</v>
      </c>
      <c r="L80">
        <v>0.79600000000000004</v>
      </c>
      <c r="M80" s="1">
        <v>2430</v>
      </c>
      <c r="N80">
        <v>0.81699999999999995</v>
      </c>
      <c r="O80">
        <v>0.873</v>
      </c>
      <c r="P80">
        <v>0.61599999999999999</v>
      </c>
      <c r="Q80">
        <v>0.67900000000000005</v>
      </c>
      <c r="R80">
        <v>0.124</v>
      </c>
      <c r="S80">
        <v>9.0999999999999998E-2</v>
      </c>
      <c r="T80" s="1">
        <v>2211</v>
      </c>
    </row>
    <row r="81" spans="1:20" x14ac:dyDescent="0.3">
      <c r="A81" t="s">
        <v>108</v>
      </c>
      <c r="B81" t="s">
        <v>34</v>
      </c>
      <c r="C81">
        <f>5410/(1000)</f>
        <v>5.41</v>
      </c>
      <c r="D81">
        <v>7.5999999999999998E-2</v>
      </c>
      <c r="E81" s="1">
        <v>5558</v>
      </c>
      <c r="F81" s="1">
        <v>5262</v>
      </c>
      <c r="G81">
        <f>9622/(1000)</f>
        <v>9.6219999999999999</v>
      </c>
      <c r="H81">
        <v>0.82699999999999996</v>
      </c>
      <c r="I81">
        <f>62300/(1000)</f>
        <v>62.3</v>
      </c>
      <c r="J81">
        <v>0.77100000000000002</v>
      </c>
      <c r="K81">
        <v>-8.6999999999999994E-2</v>
      </c>
      <c r="L81">
        <v>0.66700000000000004</v>
      </c>
      <c r="M81" s="1">
        <v>2430</v>
      </c>
      <c r="N81" s="1">
        <v>1044</v>
      </c>
      <c r="O81">
        <v>0.82099999999999995</v>
      </c>
      <c r="P81">
        <v>0.435</v>
      </c>
      <c r="Q81">
        <v>0.47399999999999998</v>
      </c>
      <c r="R81">
        <v>0.13100000000000001</v>
      </c>
      <c r="S81">
        <v>0.17399999999999999</v>
      </c>
      <c r="T81" s="1">
        <v>2331</v>
      </c>
    </row>
    <row r="82" spans="1:20" x14ac:dyDescent="0.3">
      <c r="A82" t="s">
        <v>109</v>
      </c>
      <c r="B82" t="s">
        <v>58</v>
      </c>
      <c r="C82">
        <f>5384/(1000)</f>
        <v>5.3840000000000003</v>
      </c>
      <c r="D82">
        <v>4.9000000000000002E-2</v>
      </c>
      <c r="E82" s="1">
        <v>5480</v>
      </c>
      <c r="F82" s="1">
        <v>5289</v>
      </c>
      <c r="G82">
        <f>10238/(1000)</f>
        <v>10.238</v>
      </c>
      <c r="H82">
        <v>0.81699999999999995</v>
      </c>
      <c r="I82">
        <f>67102/(1000)</f>
        <v>67.102000000000004</v>
      </c>
      <c r="J82">
        <v>0.89500000000000002</v>
      </c>
      <c r="K82">
        <v>0.125</v>
      </c>
      <c r="L82">
        <v>0.83899999999999997</v>
      </c>
      <c r="M82" s="1">
        <v>2430</v>
      </c>
      <c r="N82" s="1">
        <v>1259</v>
      </c>
      <c r="O82">
        <v>0.79700000000000004</v>
      </c>
      <c r="P82">
        <v>0.58699999999999997</v>
      </c>
      <c r="Q82">
        <v>0.624</v>
      </c>
      <c r="R82">
        <v>0.27</v>
      </c>
      <c r="S82">
        <v>6.4000000000000001E-2</v>
      </c>
      <c r="T82" s="1">
        <v>1784</v>
      </c>
    </row>
    <row r="83" spans="1:20" x14ac:dyDescent="0.3">
      <c r="A83" t="s">
        <v>110</v>
      </c>
      <c r="B83" t="s">
        <v>58</v>
      </c>
      <c r="C83">
        <f>5345/(1000)</f>
        <v>5.3449999999999998</v>
      </c>
      <c r="D83">
        <v>5.6000000000000001E-2</v>
      </c>
      <c r="E83" s="1">
        <v>5454</v>
      </c>
      <c r="F83" s="1">
        <v>5235</v>
      </c>
      <c r="G83">
        <f>9365/(1000)</f>
        <v>9.3650000000000002</v>
      </c>
      <c r="H83">
        <v>0.81100000000000005</v>
      </c>
      <c r="I83">
        <f>62236/(1000)</f>
        <v>62.235999999999997</v>
      </c>
      <c r="J83">
        <v>0.873</v>
      </c>
      <c r="K83">
        <v>0.54200000000000004</v>
      </c>
      <c r="L83">
        <v>0.86699999999999999</v>
      </c>
      <c r="M83" s="1">
        <v>2430</v>
      </c>
      <c r="N83">
        <v>0.95399999999999996</v>
      </c>
      <c r="O83">
        <v>0.78600000000000003</v>
      </c>
      <c r="P83">
        <v>0.433</v>
      </c>
      <c r="Q83">
        <v>0.59799999999999998</v>
      </c>
      <c r="R83">
        <v>0.54100000000000004</v>
      </c>
      <c r="S83">
        <v>4.5999999999999999E-2</v>
      </c>
      <c r="T83" s="1">
        <v>1987</v>
      </c>
    </row>
    <row r="84" spans="1:20" x14ac:dyDescent="0.3">
      <c r="A84" t="s">
        <v>111</v>
      </c>
      <c r="B84" t="s">
        <v>78</v>
      </c>
      <c r="C84">
        <f>5342/(1000)</f>
        <v>5.3419999999999996</v>
      </c>
      <c r="D84">
        <v>9.7000000000000003E-2</v>
      </c>
      <c r="E84" s="1">
        <v>5533</v>
      </c>
      <c r="F84" s="1">
        <v>5151</v>
      </c>
      <c r="G84">
        <f>8117/(1000)</f>
        <v>8.1170000000000009</v>
      </c>
      <c r="H84">
        <v>0.63600000000000001</v>
      </c>
      <c r="I84">
        <f>58221/(1000)</f>
        <v>58.220999999999997</v>
      </c>
      <c r="J84">
        <v>0.69499999999999995</v>
      </c>
      <c r="K84">
        <v>-6.8000000000000005E-2</v>
      </c>
      <c r="L84">
        <v>0.745</v>
      </c>
      <c r="M84" s="1">
        <v>2430</v>
      </c>
      <c r="N84">
        <v>0.51800000000000002</v>
      </c>
      <c r="O84">
        <v>0.39200000000000002</v>
      </c>
      <c r="P84">
        <v>0.307</v>
      </c>
      <c r="Q84">
        <v>0.38100000000000001</v>
      </c>
      <c r="R84">
        <v>0.14399999999999999</v>
      </c>
      <c r="S84">
        <v>0.124</v>
      </c>
      <c r="T84" s="1">
        <v>3476</v>
      </c>
    </row>
    <row r="85" spans="1:20" x14ac:dyDescent="0.3">
      <c r="A85" t="s">
        <v>112</v>
      </c>
      <c r="B85" t="s">
        <v>49</v>
      </c>
      <c r="C85">
        <f>5339/(1000)</f>
        <v>5.3390000000000004</v>
      </c>
      <c r="D85">
        <v>2.9000000000000001E-2</v>
      </c>
      <c r="E85" s="1">
        <v>5397</v>
      </c>
      <c r="F85" s="1">
        <v>5281</v>
      </c>
      <c r="G85">
        <f>9673/(1000)</f>
        <v>9.673</v>
      </c>
      <c r="H85">
        <v>0.81100000000000005</v>
      </c>
      <c r="I85">
        <f>69593/(1000)</f>
        <v>69.593000000000004</v>
      </c>
      <c r="J85">
        <v>0.90400000000000003</v>
      </c>
      <c r="K85">
        <v>-0.14599999999999999</v>
      </c>
      <c r="L85">
        <v>0.755</v>
      </c>
      <c r="M85" s="1">
        <v>2430</v>
      </c>
      <c r="N85" s="1">
        <v>1061</v>
      </c>
      <c r="O85">
        <v>0.78500000000000003</v>
      </c>
      <c r="P85">
        <v>0.66500000000000004</v>
      </c>
      <c r="Q85">
        <v>0.63600000000000001</v>
      </c>
      <c r="R85">
        <v>9.2999999999999999E-2</v>
      </c>
      <c r="S85">
        <v>0.11700000000000001</v>
      </c>
      <c r="T85" s="1">
        <v>1982</v>
      </c>
    </row>
    <row r="86" spans="1:20" x14ac:dyDescent="0.3">
      <c r="A86" t="s">
        <v>113</v>
      </c>
      <c r="B86" t="s">
        <v>78</v>
      </c>
      <c r="C86">
        <f>5306/(1000)</f>
        <v>5.306</v>
      </c>
      <c r="D86">
        <v>7.8E-2</v>
      </c>
      <c r="E86" s="1">
        <v>5460</v>
      </c>
      <c r="F86" s="1">
        <v>5152</v>
      </c>
      <c r="G86">
        <f>8551/(1000)</f>
        <v>8.5510000000000002</v>
      </c>
      <c r="H86">
        <v>0.64400000000000002</v>
      </c>
      <c r="I86">
        <f>50114/(1000)</f>
        <v>50.113999999999997</v>
      </c>
      <c r="J86">
        <v>0.74099999999999999</v>
      </c>
      <c r="K86">
        <v>-1.6E-2</v>
      </c>
      <c r="L86">
        <v>0.79400000000000004</v>
      </c>
      <c r="M86" s="1">
        <v>2430</v>
      </c>
      <c r="N86">
        <v>0.66900000000000004</v>
      </c>
      <c r="O86">
        <v>0.40899999999999997</v>
      </c>
      <c r="P86">
        <v>5.1999999999999998E-2</v>
      </c>
      <c r="Q86">
        <v>0.438</v>
      </c>
      <c r="R86">
        <v>0.17699999999999999</v>
      </c>
      <c r="S86">
        <v>9.1999999999999998E-2</v>
      </c>
      <c r="T86" s="1">
        <v>3469</v>
      </c>
    </row>
    <row r="87" spans="1:20" x14ac:dyDescent="0.3">
      <c r="A87" t="s">
        <v>114</v>
      </c>
      <c r="B87" t="s">
        <v>69</v>
      </c>
      <c r="C87">
        <f>5283/(1000)</f>
        <v>5.2830000000000004</v>
      </c>
      <c r="D87">
        <v>5.8000000000000003E-2</v>
      </c>
      <c r="E87" s="1">
        <v>5397</v>
      </c>
      <c r="F87" s="1">
        <v>5168</v>
      </c>
      <c r="G87">
        <f>9487/(1000)</f>
        <v>9.4870000000000001</v>
      </c>
      <c r="H87">
        <v>0.79900000000000004</v>
      </c>
      <c r="I87">
        <f>67055/(1000)</f>
        <v>67.055000000000007</v>
      </c>
      <c r="J87">
        <v>0.82499999999999996</v>
      </c>
      <c r="K87">
        <v>-0.16800000000000001</v>
      </c>
      <c r="L87">
        <v>0.629</v>
      </c>
      <c r="M87" s="1">
        <v>2430</v>
      </c>
      <c r="N87">
        <v>0.996</v>
      </c>
      <c r="O87">
        <v>0.75800000000000001</v>
      </c>
      <c r="P87">
        <v>0.58499999999999996</v>
      </c>
      <c r="Q87">
        <v>0.54</v>
      </c>
      <c r="R87">
        <v>7.9000000000000001E-2</v>
      </c>
      <c r="S87">
        <v>0.19800000000000001</v>
      </c>
      <c r="T87" s="1">
        <v>2127</v>
      </c>
    </row>
    <row r="88" spans="1:20" x14ac:dyDescent="0.3">
      <c r="A88" t="s">
        <v>115</v>
      </c>
      <c r="B88" t="s">
        <v>116</v>
      </c>
      <c r="C88">
        <f>5269/(1000)</f>
        <v>5.2690000000000001</v>
      </c>
      <c r="D88">
        <v>7.0000000000000007E-2</v>
      </c>
      <c r="E88" s="1">
        <v>5406</v>
      </c>
      <c r="F88" s="1">
        <v>5132</v>
      </c>
      <c r="G88">
        <f>8120/(1000)</f>
        <v>8.1199999999999992</v>
      </c>
      <c r="H88">
        <v>0.77400000000000002</v>
      </c>
      <c r="I88">
        <f>64233/(1000)</f>
        <v>64.233000000000004</v>
      </c>
      <c r="J88">
        <v>0.78200000000000003</v>
      </c>
      <c r="K88">
        <v>0.152</v>
      </c>
      <c r="L88">
        <v>0.72699999999999998</v>
      </c>
      <c r="M88" s="1">
        <v>2430</v>
      </c>
      <c r="N88">
        <v>0.51900000000000002</v>
      </c>
      <c r="O88">
        <v>0.70199999999999996</v>
      </c>
      <c r="P88">
        <v>0.496</v>
      </c>
      <c r="Q88">
        <v>0.48799999999999999</v>
      </c>
      <c r="R88">
        <v>0.28699999999999998</v>
      </c>
      <c r="S88">
        <v>0.13500000000000001</v>
      </c>
      <c r="T88" s="1">
        <v>2642</v>
      </c>
    </row>
    <row r="89" spans="1:20" x14ac:dyDescent="0.3">
      <c r="A89" t="s">
        <v>117</v>
      </c>
      <c r="B89" t="s">
        <v>42</v>
      </c>
      <c r="C89">
        <f>5266/(1000)</f>
        <v>5.266</v>
      </c>
      <c r="D89">
        <v>5.3999999999999999E-2</v>
      </c>
      <c r="E89" s="1">
        <v>5371</v>
      </c>
      <c r="F89" s="1">
        <v>5160</v>
      </c>
      <c r="G89">
        <f>10016/(1000)</f>
        <v>10.016</v>
      </c>
      <c r="H89">
        <v>0.93100000000000005</v>
      </c>
      <c r="I89">
        <f>67000/(1000)</f>
        <v>67</v>
      </c>
      <c r="J89">
        <v>0.78800000000000003</v>
      </c>
      <c r="K89">
        <v>-9.6000000000000002E-2</v>
      </c>
      <c r="L89">
        <v>0.93200000000000005</v>
      </c>
      <c r="M89" s="1">
        <v>2430</v>
      </c>
      <c r="N89" s="1">
        <v>1181</v>
      </c>
      <c r="O89" s="1">
        <v>1055</v>
      </c>
      <c r="P89">
        <v>0.58299999999999996</v>
      </c>
      <c r="Q89">
        <v>0.49399999999999999</v>
      </c>
      <c r="R89">
        <v>0.125</v>
      </c>
      <c r="S89">
        <v>5.0000000000000001E-3</v>
      </c>
      <c r="T89" s="1">
        <v>1823</v>
      </c>
    </row>
    <row r="90" spans="1:20" x14ac:dyDescent="0.3">
      <c r="A90" t="s">
        <v>118</v>
      </c>
      <c r="B90" t="s">
        <v>116</v>
      </c>
      <c r="C90">
        <f>5198/(1000)</f>
        <v>5.1980000000000004</v>
      </c>
      <c r="D90">
        <v>7.1999999999999995E-2</v>
      </c>
      <c r="E90" s="1">
        <v>5339</v>
      </c>
      <c r="F90" s="1">
        <v>5057</v>
      </c>
      <c r="G90">
        <f>9826/(1000)</f>
        <v>9.8260000000000005</v>
      </c>
      <c r="H90">
        <v>0.91300000000000003</v>
      </c>
      <c r="I90">
        <f>70600/(1000)</f>
        <v>70.599999999999994</v>
      </c>
      <c r="J90">
        <v>0.85399999999999998</v>
      </c>
      <c r="K90">
        <v>2.4E-2</v>
      </c>
      <c r="L90">
        <v>0.82499999999999996</v>
      </c>
      <c r="M90" s="1">
        <v>2430</v>
      </c>
      <c r="N90" s="1">
        <v>1115</v>
      </c>
      <c r="O90" s="1">
        <v>1015</v>
      </c>
      <c r="P90">
        <v>0.69699999999999995</v>
      </c>
      <c r="Q90">
        <v>0.57499999999999996</v>
      </c>
      <c r="R90">
        <v>0.20399999999999999</v>
      </c>
      <c r="S90">
        <v>7.2999999999999995E-2</v>
      </c>
      <c r="T90" s="1">
        <v>1520</v>
      </c>
    </row>
    <row r="91" spans="1:20" x14ac:dyDescent="0.3">
      <c r="A91" t="s">
        <v>119</v>
      </c>
      <c r="B91" t="s">
        <v>69</v>
      </c>
      <c r="C91">
        <f>5171/(1000)</f>
        <v>5.1710000000000003</v>
      </c>
      <c r="D91">
        <v>0.04</v>
      </c>
      <c r="E91" s="1">
        <v>5250</v>
      </c>
      <c r="F91" s="1">
        <v>5091</v>
      </c>
      <c r="G91">
        <f>9569/(1000)</f>
        <v>9.5690000000000008</v>
      </c>
      <c r="H91">
        <v>0.83599999999999997</v>
      </c>
      <c r="I91">
        <f>65656/(1000)</f>
        <v>65.656000000000006</v>
      </c>
      <c r="J91">
        <v>0.81399999999999995</v>
      </c>
      <c r="K91">
        <v>-0.223</v>
      </c>
      <c r="L91">
        <v>0.50600000000000001</v>
      </c>
      <c r="M91" s="1">
        <v>2430</v>
      </c>
      <c r="N91" s="1">
        <v>1025</v>
      </c>
      <c r="O91">
        <v>0.84099999999999997</v>
      </c>
      <c r="P91">
        <v>0.54100000000000004</v>
      </c>
      <c r="Q91">
        <v>0.52600000000000002</v>
      </c>
      <c r="R91">
        <v>4.2999999999999997E-2</v>
      </c>
      <c r="S91">
        <v>0.27600000000000002</v>
      </c>
      <c r="T91" s="1">
        <v>1919</v>
      </c>
    </row>
    <row r="92" spans="1:20" x14ac:dyDescent="0.3">
      <c r="A92" t="s">
        <v>120</v>
      </c>
      <c r="B92" t="s">
        <v>78</v>
      </c>
      <c r="C92">
        <f>5142/(1000)</f>
        <v>5.1420000000000003</v>
      </c>
      <c r="D92">
        <v>7.3999999999999996E-2</v>
      </c>
      <c r="E92" s="1">
        <v>5288</v>
      </c>
      <c r="F92" s="1">
        <v>4996</v>
      </c>
      <c r="G92">
        <f>8189/(1000)</f>
        <v>8.1890000000000001</v>
      </c>
      <c r="H92">
        <v>0.71</v>
      </c>
      <c r="I92">
        <f>53515/(1000)</f>
        <v>53.515000000000001</v>
      </c>
      <c r="J92">
        <v>0.73099999999999998</v>
      </c>
      <c r="K92">
        <v>2.5999999999999999E-2</v>
      </c>
      <c r="L92">
        <v>0.84799999999999998</v>
      </c>
      <c r="M92" s="1">
        <v>2430</v>
      </c>
      <c r="N92">
        <v>0.54300000000000004</v>
      </c>
      <c r="O92">
        <v>0.55600000000000005</v>
      </c>
      <c r="P92">
        <v>0.159</v>
      </c>
      <c r="Q92">
        <v>0.42499999999999999</v>
      </c>
      <c r="R92">
        <v>0.20499999999999999</v>
      </c>
      <c r="S92">
        <v>5.8000000000000003E-2</v>
      </c>
      <c r="T92" s="1">
        <v>3195</v>
      </c>
    </row>
    <row r="93" spans="1:20" x14ac:dyDescent="0.3">
      <c r="A93" t="s">
        <v>121</v>
      </c>
      <c r="B93" t="s">
        <v>78</v>
      </c>
      <c r="C93">
        <f>5132/(1000)</f>
        <v>5.1319999999999997</v>
      </c>
      <c r="D93">
        <v>6.8000000000000005E-2</v>
      </c>
      <c r="E93" s="1">
        <v>5266</v>
      </c>
      <c r="F93" s="1">
        <v>4998</v>
      </c>
      <c r="G93">
        <f>8118/(1000)</f>
        <v>8.1180000000000003</v>
      </c>
      <c r="H93">
        <v>0.71</v>
      </c>
      <c r="I93">
        <f>59802/(1000)</f>
        <v>59.802</v>
      </c>
      <c r="J93">
        <v>0.69499999999999995</v>
      </c>
      <c r="K93">
        <v>-4.5999999999999999E-2</v>
      </c>
      <c r="L93">
        <v>0.80100000000000005</v>
      </c>
      <c r="M93" s="1">
        <v>2430</v>
      </c>
      <c r="N93">
        <v>0.51800000000000002</v>
      </c>
      <c r="O93">
        <v>0.55800000000000005</v>
      </c>
      <c r="P93">
        <v>0.35699999999999998</v>
      </c>
      <c r="Q93">
        <v>0.38100000000000001</v>
      </c>
      <c r="R93">
        <v>0.158</v>
      </c>
      <c r="S93">
        <v>8.7999999999999995E-2</v>
      </c>
      <c r="T93" s="1">
        <v>3071</v>
      </c>
    </row>
    <row r="94" spans="1:20" x14ac:dyDescent="0.3">
      <c r="A94" t="s">
        <v>122</v>
      </c>
      <c r="B94" t="s">
        <v>42</v>
      </c>
      <c r="C94">
        <f>5117/(1000)</f>
        <v>5.117</v>
      </c>
      <c r="D94">
        <v>5.8999999999999997E-2</v>
      </c>
      <c r="E94" s="1">
        <v>5234</v>
      </c>
      <c r="F94" s="1">
        <v>5001</v>
      </c>
      <c r="G94">
        <f>9520/(1000)</f>
        <v>9.52</v>
      </c>
      <c r="H94">
        <v>0.69699999999999995</v>
      </c>
      <c r="I94">
        <f>68999/(1000)</f>
        <v>68.998999999999995</v>
      </c>
      <c r="J94">
        <v>0.78500000000000003</v>
      </c>
      <c r="K94">
        <v>-0.03</v>
      </c>
      <c r="L94">
        <v>0.90100000000000002</v>
      </c>
      <c r="M94" s="1">
        <v>2430</v>
      </c>
      <c r="N94" s="1">
        <v>1008</v>
      </c>
      <c r="O94">
        <v>0.52900000000000003</v>
      </c>
      <c r="P94">
        <v>0.64600000000000002</v>
      </c>
      <c r="Q94">
        <v>0.49099999999999999</v>
      </c>
      <c r="R94">
        <v>0.16800000000000001</v>
      </c>
      <c r="S94">
        <v>2.4E-2</v>
      </c>
      <c r="T94" s="1">
        <v>2250</v>
      </c>
    </row>
    <row r="95" spans="1:20" x14ac:dyDescent="0.3">
      <c r="A95" t="s">
        <v>123</v>
      </c>
      <c r="B95" t="s">
        <v>42</v>
      </c>
      <c r="C95">
        <f>5101/(1000)</f>
        <v>5.101</v>
      </c>
      <c r="D95">
        <v>5.0999999999999997E-2</v>
      </c>
      <c r="E95" s="1">
        <v>5202</v>
      </c>
      <c r="F95" s="1">
        <v>5001</v>
      </c>
      <c r="G95">
        <f>9693/(1000)</f>
        <v>9.6929999999999996</v>
      </c>
      <c r="H95">
        <v>0.80500000000000005</v>
      </c>
      <c r="I95">
        <f>65474/(1000)</f>
        <v>65.474000000000004</v>
      </c>
      <c r="J95">
        <v>0.751</v>
      </c>
      <c r="K95">
        <v>3.7999999999999999E-2</v>
      </c>
      <c r="L95">
        <v>0.90500000000000003</v>
      </c>
      <c r="M95" s="1">
        <v>2430</v>
      </c>
      <c r="N95" s="1">
        <v>1068</v>
      </c>
      <c r="O95">
        <v>0.77200000000000002</v>
      </c>
      <c r="P95">
        <v>0.53500000000000003</v>
      </c>
      <c r="Q95">
        <v>0.45</v>
      </c>
      <c r="R95">
        <v>0.21199999999999999</v>
      </c>
      <c r="S95">
        <v>2.1999999999999999E-2</v>
      </c>
      <c r="T95" s="1">
        <v>2042</v>
      </c>
    </row>
    <row r="96" spans="1:20" x14ac:dyDescent="0.3">
      <c r="A96" t="s">
        <v>124</v>
      </c>
      <c r="B96" t="s">
        <v>78</v>
      </c>
      <c r="C96">
        <f>5088/(1000)</f>
        <v>5.0880000000000001</v>
      </c>
      <c r="D96">
        <v>6.7000000000000004E-2</v>
      </c>
      <c r="E96" s="1">
        <v>5219</v>
      </c>
      <c r="F96" s="1">
        <v>4958</v>
      </c>
      <c r="G96">
        <f>8580/(1000)</f>
        <v>8.58</v>
      </c>
      <c r="H96">
        <v>0.72699999999999998</v>
      </c>
      <c r="I96">
        <f>57586/(1000)</f>
        <v>57.585999999999999</v>
      </c>
      <c r="J96">
        <v>0.80700000000000005</v>
      </c>
      <c r="K96">
        <v>0.123</v>
      </c>
      <c r="L96">
        <v>0.84799999999999998</v>
      </c>
      <c r="M96" s="1">
        <v>2430</v>
      </c>
      <c r="N96">
        <v>0.68</v>
      </c>
      <c r="O96">
        <v>0.59499999999999997</v>
      </c>
      <c r="P96">
        <v>0.28699999999999998</v>
      </c>
      <c r="Q96">
        <v>0.51700000000000002</v>
      </c>
      <c r="R96">
        <v>0.26800000000000002</v>
      </c>
      <c r="S96">
        <v>5.8000000000000003E-2</v>
      </c>
      <c r="T96" s="1">
        <v>2684</v>
      </c>
    </row>
    <row r="97" spans="1:20" x14ac:dyDescent="0.3">
      <c r="A97" t="s">
        <v>125</v>
      </c>
      <c r="B97" t="s">
        <v>78</v>
      </c>
      <c r="C97">
        <f>5074/(1000)</f>
        <v>5.0739999999999998</v>
      </c>
      <c r="D97">
        <v>0.10199999999999999</v>
      </c>
      <c r="E97" s="1">
        <v>5273</v>
      </c>
      <c r="F97" s="1">
        <v>4875</v>
      </c>
      <c r="G97">
        <f>7098/(1000)</f>
        <v>7.0979999999999999</v>
      </c>
      <c r="H97">
        <v>0.64100000000000001</v>
      </c>
      <c r="I97">
        <f>53780/(1000)</f>
        <v>53.78</v>
      </c>
      <c r="J97">
        <v>0.80600000000000005</v>
      </c>
      <c r="K97">
        <v>1.7999999999999999E-2</v>
      </c>
      <c r="L97">
        <v>0.69299999999999995</v>
      </c>
      <c r="M97" s="1">
        <v>2430</v>
      </c>
      <c r="N97">
        <v>0.16200000000000001</v>
      </c>
      <c r="O97">
        <v>0.40200000000000002</v>
      </c>
      <c r="P97">
        <v>0.16700000000000001</v>
      </c>
      <c r="Q97">
        <v>0.51600000000000001</v>
      </c>
      <c r="R97">
        <v>0.2</v>
      </c>
      <c r="S97">
        <v>0.157</v>
      </c>
      <c r="T97" s="1">
        <v>3470</v>
      </c>
    </row>
    <row r="98" spans="1:20" x14ac:dyDescent="0.3">
      <c r="A98" t="s">
        <v>126</v>
      </c>
      <c r="B98" t="s">
        <v>69</v>
      </c>
      <c r="C98">
        <f>5066/(1000)</f>
        <v>5.0659999999999998</v>
      </c>
      <c r="D98">
        <v>3.5999999999999997E-2</v>
      </c>
      <c r="E98" s="1">
        <v>5136</v>
      </c>
      <c r="F98" s="1">
        <v>4996</v>
      </c>
      <c r="G98">
        <f>9629/(1000)</f>
        <v>9.6289999999999996</v>
      </c>
      <c r="H98">
        <v>0.98299999999999998</v>
      </c>
      <c r="I98">
        <f>62409/(1000)</f>
        <v>62.408999999999999</v>
      </c>
      <c r="J98">
        <v>0.877</v>
      </c>
      <c r="K98">
        <v>0.27300000000000002</v>
      </c>
      <c r="L98">
        <v>0.88800000000000001</v>
      </c>
      <c r="M98" s="1">
        <v>2430</v>
      </c>
      <c r="N98" s="1">
        <v>1046</v>
      </c>
      <c r="O98" s="1">
        <v>1172</v>
      </c>
      <c r="P98">
        <v>0.439</v>
      </c>
      <c r="Q98">
        <v>0.60199999999999998</v>
      </c>
      <c r="R98">
        <v>0.36599999999999999</v>
      </c>
      <c r="S98">
        <v>3.3000000000000002E-2</v>
      </c>
      <c r="T98" s="1">
        <v>1409</v>
      </c>
    </row>
    <row r="99" spans="1:20" x14ac:dyDescent="0.3">
      <c r="A99" t="s">
        <v>127</v>
      </c>
      <c r="B99" t="s">
        <v>78</v>
      </c>
      <c r="C99">
        <f>5051/(1000)</f>
        <v>5.0510000000000002</v>
      </c>
      <c r="D99">
        <v>8.8999999999999996E-2</v>
      </c>
      <c r="E99" s="1">
        <v>5225</v>
      </c>
      <c r="F99" s="1">
        <v>4877</v>
      </c>
      <c r="G99">
        <f>7686/(1000)</f>
        <v>7.6859999999999999</v>
      </c>
      <c r="H99">
        <v>0.69</v>
      </c>
      <c r="I99">
        <f>55160/(1000)</f>
        <v>55.16</v>
      </c>
      <c r="J99">
        <v>0.69699999999999995</v>
      </c>
      <c r="K99">
        <v>0.42399999999999999</v>
      </c>
      <c r="L99">
        <v>0.746</v>
      </c>
      <c r="M99" s="1">
        <v>2430</v>
      </c>
      <c r="N99">
        <v>0.36699999999999999</v>
      </c>
      <c r="O99">
        <v>0.51100000000000001</v>
      </c>
      <c r="P99">
        <v>0.21</v>
      </c>
      <c r="Q99">
        <v>0.38400000000000001</v>
      </c>
      <c r="R99">
        <v>0.46500000000000002</v>
      </c>
      <c r="S99">
        <v>0.123</v>
      </c>
      <c r="T99" s="1">
        <v>2990</v>
      </c>
    </row>
    <row r="100" spans="1:20" x14ac:dyDescent="0.3">
      <c r="A100" t="s">
        <v>128</v>
      </c>
      <c r="B100" t="s">
        <v>78</v>
      </c>
      <c r="C100">
        <f>5045/(1000)</f>
        <v>5.0449999999999999</v>
      </c>
      <c r="D100">
        <v>7.2999999999999995E-2</v>
      </c>
      <c r="E100" s="1">
        <v>5189</v>
      </c>
      <c r="F100" s="1">
        <v>4901</v>
      </c>
      <c r="G100">
        <f>8087/(1000)</f>
        <v>8.0869999999999997</v>
      </c>
      <c r="H100">
        <v>0.48899999999999999</v>
      </c>
      <c r="I100">
        <f>54713/(1000)</f>
        <v>54.713000000000001</v>
      </c>
      <c r="J100">
        <v>0.75700000000000001</v>
      </c>
      <c r="K100">
        <v>-3.4000000000000002E-2</v>
      </c>
      <c r="L100">
        <v>0.66100000000000003</v>
      </c>
      <c r="M100" s="1">
        <v>2430</v>
      </c>
      <c r="N100">
        <v>0.50700000000000001</v>
      </c>
      <c r="O100">
        <v>5.8000000000000003E-2</v>
      </c>
      <c r="P100">
        <v>0.19600000000000001</v>
      </c>
      <c r="Q100">
        <v>0.45700000000000002</v>
      </c>
      <c r="R100">
        <v>0.16600000000000001</v>
      </c>
      <c r="S100">
        <v>0.17799999999999999</v>
      </c>
      <c r="T100" s="1">
        <v>3482</v>
      </c>
    </row>
    <row r="101" spans="1:20" x14ac:dyDescent="0.3">
      <c r="A101" t="s">
        <v>129</v>
      </c>
      <c r="B101" t="s">
        <v>58</v>
      </c>
      <c r="C101">
        <f>5030/(1000)</f>
        <v>5.03</v>
      </c>
      <c r="D101">
        <v>4.4999999999999998E-2</v>
      </c>
      <c r="E101" s="1">
        <v>5119</v>
      </c>
      <c r="F101" s="1">
        <v>4941</v>
      </c>
      <c r="G101">
        <f>8947/(1000)</f>
        <v>8.9469999999999992</v>
      </c>
      <c r="H101">
        <v>0.72799999999999998</v>
      </c>
      <c r="I101">
        <f>58968/(1000)</f>
        <v>58.968000000000004</v>
      </c>
      <c r="J101">
        <v>0.91</v>
      </c>
      <c r="K101">
        <v>0.123</v>
      </c>
      <c r="L101">
        <v>0.65800000000000003</v>
      </c>
      <c r="M101" s="1">
        <v>2430</v>
      </c>
      <c r="N101">
        <v>0.80800000000000005</v>
      </c>
      <c r="O101">
        <v>0.59799999999999998</v>
      </c>
      <c r="P101">
        <v>0.33</v>
      </c>
      <c r="Q101">
        <v>0.64300000000000002</v>
      </c>
      <c r="R101">
        <v>0.26800000000000002</v>
      </c>
      <c r="S101">
        <v>0.17899999999999999</v>
      </c>
      <c r="T101" s="1">
        <v>2204</v>
      </c>
    </row>
    <row r="102" spans="1:20" x14ac:dyDescent="0.3">
      <c r="A102" t="s">
        <v>130</v>
      </c>
      <c r="B102" t="s">
        <v>116</v>
      </c>
      <c r="C102">
        <f>5025/(1000)</f>
        <v>5.0250000000000004</v>
      </c>
      <c r="D102">
        <v>4.5999999999999999E-2</v>
      </c>
      <c r="E102" s="1">
        <v>5115</v>
      </c>
      <c r="F102" s="1">
        <v>4934</v>
      </c>
      <c r="G102">
        <f>8454/(1000)</f>
        <v>8.4540000000000006</v>
      </c>
      <c r="H102">
        <v>0.69299999999999995</v>
      </c>
      <c r="I102">
        <f>64800/(1000)</f>
        <v>64.8</v>
      </c>
      <c r="J102">
        <v>0.877</v>
      </c>
      <c r="K102">
        <v>-4.1000000000000002E-2</v>
      </c>
      <c r="L102">
        <v>0.68200000000000005</v>
      </c>
      <c r="M102" s="1">
        <v>2430</v>
      </c>
      <c r="N102">
        <v>0.63500000000000001</v>
      </c>
      <c r="O102">
        <v>0.52</v>
      </c>
      <c r="P102">
        <v>0.51400000000000001</v>
      </c>
      <c r="Q102">
        <v>0.60299999999999998</v>
      </c>
      <c r="R102">
        <v>0.161</v>
      </c>
      <c r="S102">
        <v>0.16400000000000001</v>
      </c>
      <c r="T102" s="1">
        <v>2427</v>
      </c>
    </row>
    <row r="103" spans="1:20" x14ac:dyDescent="0.3">
      <c r="A103" t="s">
        <v>131</v>
      </c>
      <c r="B103" t="s">
        <v>78</v>
      </c>
      <c r="C103">
        <f>4984/(1000)</f>
        <v>4.984</v>
      </c>
      <c r="D103">
        <v>0.09</v>
      </c>
      <c r="E103" s="1">
        <v>5160</v>
      </c>
      <c r="F103" s="1">
        <v>4808</v>
      </c>
      <c r="G103">
        <f>7838/(1000)</f>
        <v>7.8380000000000001</v>
      </c>
      <c r="H103">
        <v>0.63900000000000001</v>
      </c>
      <c r="I103">
        <f>55008/(1000)</f>
        <v>55.008000000000003</v>
      </c>
      <c r="J103">
        <v>0.69699999999999995</v>
      </c>
      <c r="K103">
        <v>9.5000000000000001E-2</v>
      </c>
      <c r="L103">
        <v>0.76600000000000001</v>
      </c>
      <c r="M103" s="1">
        <v>2430</v>
      </c>
      <c r="N103">
        <v>0.42</v>
      </c>
      <c r="O103">
        <v>0.39900000000000002</v>
      </c>
      <c r="P103">
        <v>0.20599999999999999</v>
      </c>
      <c r="Q103">
        <v>0.38400000000000001</v>
      </c>
      <c r="R103">
        <v>0.25</v>
      </c>
      <c r="S103">
        <v>0.111</v>
      </c>
      <c r="T103" s="1">
        <v>3216</v>
      </c>
    </row>
    <row r="104" spans="1:20" x14ac:dyDescent="0.3">
      <c r="A104" t="s">
        <v>132</v>
      </c>
      <c r="B104" t="s">
        <v>78</v>
      </c>
      <c r="C104">
        <f>4956/(1000)</f>
        <v>4.9560000000000004</v>
      </c>
      <c r="D104">
        <v>0.06</v>
      </c>
      <c r="E104" s="1">
        <v>5074</v>
      </c>
      <c r="F104" s="1">
        <v>4839</v>
      </c>
      <c r="G104">
        <f>9403/(1000)</f>
        <v>9.4030000000000005</v>
      </c>
      <c r="H104">
        <v>0.86</v>
      </c>
      <c r="I104">
        <f>56904/(1000)</f>
        <v>56.904000000000003</v>
      </c>
      <c r="J104">
        <v>0.749</v>
      </c>
      <c r="K104">
        <v>-6.7000000000000004E-2</v>
      </c>
      <c r="L104">
        <v>0.86</v>
      </c>
      <c r="M104" s="1">
        <v>2430</v>
      </c>
      <c r="N104">
        <v>0.96699999999999997</v>
      </c>
      <c r="O104">
        <v>0.89500000000000002</v>
      </c>
      <c r="P104">
        <v>0.26500000000000001</v>
      </c>
      <c r="Q104">
        <v>0.44700000000000001</v>
      </c>
      <c r="R104">
        <v>0.14399999999999999</v>
      </c>
      <c r="S104">
        <v>5.0999999999999997E-2</v>
      </c>
      <c r="T104" s="1">
        <v>2187</v>
      </c>
    </row>
    <row r="105" spans="1:20" x14ac:dyDescent="0.3">
      <c r="A105" t="s">
        <v>133</v>
      </c>
      <c r="B105" t="s">
        <v>34</v>
      </c>
      <c r="C105">
        <f>4948/(1000)</f>
        <v>4.9480000000000004</v>
      </c>
      <c r="D105">
        <v>4.5999999999999999E-2</v>
      </c>
      <c r="E105" s="1">
        <v>5038</v>
      </c>
      <c r="F105" s="1">
        <v>4857</v>
      </c>
      <c r="G105">
        <f>10240/(1000)</f>
        <v>10.24</v>
      </c>
      <c r="H105">
        <v>0.82199999999999995</v>
      </c>
      <c r="I105">
        <f>67199/(1000)</f>
        <v>67.198999999999998</v>
      </c>
      <c r="J105">
        <v>0.57599999999999996</v>
      </c>
      <c r="K105">
        <v>-0.13900000000000001</v>
      </c>
      <c r="L105">
        <v>0.77600000000000002</v>
      </c>
      <c r="M105" s="1">
        <v>2430</v>
      </c>
      <c r="N105" s="1">
        <v>1260</v>
      </c>
      <c r="O105">
        <v>0.80900000000000005</v>
      </c>
      <c r="P105">
        <v>0.59</v>
      </c>
      <c r="Q105">
        <v>0.23599999999999999</v>
      </c>
      <c r="R105">
        <v>9.7000000000000003E-2</v>
      </c>
      <c r="S105">
        <v>0.104</v>
      </c>
      <c r="T105" s="1">
        <v>1852</v>
      </c>
    </row>
    <row r="106" spans="1:20" x14ac:dyDescent="0.3">
      <c r="A106" t="s">
        <v>134</v>
      </c>
      <c r="B106" t="s">
        <v>116</v>
      </c>
      <c r="C106">
        <f>4934/(1000)</f>
        <v>4.9340000000000002</v>
      </c>
      <c r="D106">
        <v>6.8000000000000005E-2</v>
      </c>
      <c r="E106" s="1">
        <v>5066</v>
      </c>
      <c r="F106" s="1">
        <v>4802</v>
      </c>
      <c r="G106">
        <f>8458/(1000)</f>
        <v>8.4580000000000002</v>
      </c>
      <c r="H106">
        <v>0.65100000000000002</v>
      </c>
      <c r="I106">
        <f>58709/(1000)</f>
        <v>58.709000000000003</v>
      </c>
      <c r="J106">
        <v>0.72599999999999998</v>
      </c>
      <c r="K106">
        <v>9.8000000000000004E-2</v>
      </c>
      <c r="L106">
        <v>0.78700000000000003</v>
      </c>
      <c r="M106" s="1">
        <v>2430</v>
      </c>
      <c r="N106">
        <v>0.63700000000000001</v>
      </c>
      <c r="O106">
        <v>0.42299999999999999</v>
      </c>
      <c r="P106">
        <v>0.32200000000000001</v>
      </c>
      <c r="Q106">
        <v>0.41799999999999998</v>
      </c>
      <c r="R106">
        <v>0.252</v>
      </c>
      <c r="S106">
        <v>9.7000000000000003E-2</v>
      </c>
      <c r="T106" s="1">
        <v>2784</v>
      </c>
    </row>
    <row r="107" spans="1:20" x14ac:dyDescent="0.3">
      <c r="A107" t="s">
        <v>135</v>
      </c>
      <c r="B107" t="s">
        <v>34</v>
      </c>
      <c r="C107">
        <f>4918/(1000)</f>
        <v>4.9180000000000001</v>
      </c>
      <c r="D107">
        <v>0.06</v>
      </c>
      <c r="E107" s="1">
        <v>5036</v>
      </c>
      <c r="F107" s="1">
        <v>4800</v>
      </c>
      <c r="G107">
        <f>8903/(1000)</f>
        <v>8.9030000000000005</v>
      </c>
      <c r="H107">
        <v>0.56000000000000005</v>
      </c>
      <c r="I107">
        <f>66208/(1000)</f>
        <v>66.207999999999998</v>
      </c>
      <c r="J107">
        <v>0.77400000000000002</v>
      </c>
      <c r="K107">
        <v>-0.23599999999999999</v>
      </c>
      <c r="L107">
        <v>0.80100000000000005</v>
      </c>
      <c r="M107" s="1">
        <v>2430</v>
      </c>
      <c r="N107">
        <v>0.79200000000000004</v>
      </c>
      <c r="O107">
        <v>0.219</v>
      </c>
      <c r="P107">
        <v>0.55800000000000005</v>
      </c>
      <c r="Q107">
        <v>0.47699999999999998</v>
      </c>
      <c r="R107">
        <v>3.4000000000000002E-2</v>
      </c>
      <c r="S107">
        <v>8.7999999999999995E-2</v>
      </c>
      <c r="T107" s="1">
        <v>2749</v>
      </c>
    </row>
    <row r="108" spans="1:20" x14ac:dyDescent="0.3">
      <c r="A108" t="s">
        <v>136</v>
      </c>
      <c r="B108" t="s">
        <v>39</v>
      </c>
      <c r="C108">
        <f>4892/(1000)</f>
        <v>4.8920000000000003</v>
      </c>
      <c r="D108">
        <v>6.4000000000000001E-2</v>
      </c>
      <c r="E108" s="1">
        <v>5017</v>
      </c>
      <c r="F108" s="1">
        <v>4767</v>
      </c>
      <c r="G108">
        <f>9073/(1000)</f>
        <v>9.0730000000000004</v>
      </c>
      <c r="H108">
        <v>0.86099999999999999</v>
      </c>
      <c r="I108">
        <f>66700/(1000)</f>
        <v>66.7</v>
      </c>
      <c r="J108">
        <v>0.61499999999999999</v>
      </c>
      <c r="K108">
        <v>-0.16900000000000001</v>
      </c>
      <c r="L108">
        <v>0.82699999999999996</v>
      </c>
      <c r="M108" s="1">
        <v>2430</v>
      </c>
      <c r="N108">
        <v>0.85199999999999998</v>
      </c>
      <c r="O108">
        <v>0.89700000000000002</v>
      </c>
      <c r="P108">
        <v>0.57399999999999995</v>
      </c>
      <c r="Q108">
        <v>0.28399999999999997</v>
      </c>
      <c r="R108">
        <v>7.8E-2</v>
      </c>
      <c r="S108">
        <v>7.1999999999999995E-2</v>
      </c>
      <c r="T108" s="1">
        <v>2135</v>
      </c>
    </row>
    <row r="109" spans="1:20" x14ac:dyDescent="0.3">
      <c r="A109" t="s">
        <v>137</v>
      </c>
      <c r="B109" t="s">
        <v>69</v>
      </c>
      <c r="C109">
        <f>4891/(1000)</f>
        <v>4.891</v>
      </c>
      <c r="D109">
        <v>5.3999999999999999E-2</v>
      </c>
      <c r="E109" s="1">
        <v>4998</v>
      </c>
      <c r="F109" s="1">
        <v>4785</v>
      </c>
      <c r="G109">
        <f>9585/(1000)</f>
        <v>9.5850000000000009</v>
      </c>
      <c r="H109">
        <v>0.67100000000000004</v>
      </c>
      <c r="I109">
        <f>64300/(1000)</f>
        <v>64.3</v>
      </c>
      <c r="J109">
        <v>0.78300000000000003</v>
      </c>
      <c r="K109">
        <v>-0.23799999999999999</v>
      </c>
      <c r="L109">
        <v>0.65500000000000003</v>
      </c>
      <c r="M109" s="1">
        <v>2430</v>
      </c>
      <c r="N109" s="1">
        <v>1030</v>
      </c>
      <c r="O109">
        <v>0.47</v>
      </c>
      <c r="P109">
        <v>0.498</v>
      </c>
      <c r="Q109">
        <v>0.48799999999999999</v>
      </c>
      <c r="R109">
        <v>3.2000000000000001E-2</v>
      </c>
      <c r="S109">
        <v>0.18099999999999999</v>
      </c>
      <c r="T109" s="1">
        <v>2191</v>
      </c>
    </row>
    <row r="110" spans="1:20" x14ac:dyDescent="0.3">
      <c r="A110" t="s">
        <v>138</v>
      </c>
      <c r="B110" t="s">
        <v>34</v>
      </c>
      <c r="C110">
        <f>4887/(1000)</f>
        <v>4.8869999999999996</v>
      </c>
      <c r="D110">
        <v>5.2999999999999999E-2</v>
      </c>
      <c r="E110" s="1">
        <v>4991</v>
      </c>
      <c r="F110" s="1">
        <v>4783</v>
      </c>
      <c r="G110">
        <f>9342/(1000)</f>
        <v>9.3420000000000005</v>
      </c>
      <c r="H110">
        <v>0.80200000000000005</v>
      </c>
      <c r="I110">
        <f>66005/(1000)</f>
        <v>66.004999999999995</v>
      </c>
      <c r="J110">
        <v>0.48</v>
      </c>
      <c r="K110">
        <v>-6.7000000000000004E-2</v>
      </c>
      <c r="L110">
        <v>0.752</v>
      </c>
      <c r="M110" s="1">
        <v>2430</v>
      </c>
      <c r="N110">
        <v>0.94599999999999995</v>
      </c>
      <c r="O110">
        <v>0.76500000000000001</v>
      </c>
      <c r="P110">
        <v>0.55200000000000005</v>
      </c>
      <c r="Q110">
        <v>0.11899999999999999</v>
      </c>
      <c r="R110">
        <v>0.14399999999999999</v>
      </c>
      <c r="S110">
        <v>0.12</v>
      </c>
      <c r="T110" s="1">
        <v>2242</v>
      </c>
    </row>
    <row r="111" spans="1:20" x14ac:dyDescent="0.3">
      <c r="A111" t="s">
        <v>139</v>
      </c>
      <c r="B111" t="s">
        <v>69</v>
      </c>
      <c r="C111">
        <f>4875/(1000)</f>
        <v>4.875</v>
      </c>
      <c r="D111">
        <v>5.1999999999999998E-2</v>
      </c>
      <c r="E111" s="1">
        <v>4977</v>
      </c>
      <c r="F111" s="1">
        <v>4773</v>
      </c>
      <c r="G111">
        <f>9436/(1000)</f>
        <v>9.4359999999999999</v>
      </c>
      <c r="H111">
        <v>0.88800000000000001</v>
      </c>
      <c r="I111">
        <f>64902/(1000)</f>
        <v>64.902000000000001</v>
      </c>
      <c r="J111">
        <v>0.72399999999999998</v>
      </c>
      <c r="K111">
        <v>-1.0999999999999999E-2</v>
      </c>
      <c r="L111">
        <v>0.92400000000000004</v>
      </c>
      <c r="M111" s="1">
        <v>2430</v>
      </c>
      <c r="N111">
        <v>0.97899999999999998</v>
      </c>
      <c r="O111">
        <v>0.95799999999999996</v>
      </c>
      <c r="P111">
        <v>0.51700000000000002</v>
      </c>
      <c r="Q111">
        <v>0.41699999999999998</v>
      </c>
      <c r="R111">
        <v>0.18099999999999999</v>
      </c>
      <c r="S111">
        <v>0.01</v>
      </c>
      <c r="T111" s="1">
        <v>1813</v>
      </c>
    </row>
    <row r="112" spans="1:20" x14ac:dyDescent="0.3">
      <c r="A112" t="s">
        <v>140</v>
      </c>
      <c r="B112" t="s">
        <v>34</v>
      </c>
      <c r="C112">
        <f>4854/(1000)</f>
        <v>4.8540000000000001</v>
      </c>
      <c r="D112">
        <v>5.8999999999999997E-2</v>
      </c>
      <c r="E112" s="1">
        <v>4970</v>
      </c>
      <c r="F112" s="1">
        <v>4738</v>
      </c>
      <c r="G112">
        <f>9240/(1000)</f>
        <v>9.24</v>
      </c>
      <c r="H112">
        <v>0.746</v>
      </c>
      <c r="I112">
        <f>60583/(1000)</f>
        <v>60.582999999999998</v>
      </c>
      <c r="J112">
        <v>0.63</v>
      </c>
      <c r="K112">
        <v>-5.2999999999999999E-2</v>
      </c>
      <c r="L112">
        <v>0.875</v>
      </c>
      <c r="M112" s="1">
        <v>2430</v>
      </c>
      <c r="N112">
        <v>0.91</v>
      </c>
      <c r="O112">
        <v>0.63800000000000001</v>
      </c>
      <c r="P112">
        <v>0.38100000000000001</v>
      </c>
      <c r="Q112">
        <v>0.30199999999999999</v>
      </c>
      <c r="R112">
        <v>0.153</v>
      </c>
      <c r="S112">
        <v>4.1000000000000002E-2</v>
      </c>
      <c r="T112" s="1">
        <v>2429</v>
      </c>
    </row>
    <row r="113" spans="1:20" x14ac:dyDescent="0.3">
      <c r="A113" t="s">
        <v>141</v>
      </c>
      <c r="B113" t="s">
        <v>78</v>
      </c>
      <c r="C113">
        <f>4852/(1000)</f>
        <v>4.8520000000000003</v>
      </c>
      <c r="D113">
        <v>7.4999999999999997E-2</v>
      </c>
      <c r="E113" s="1">
        <v>4998</v>
      </c>
      <c r="F113" s="1">
        <v>4706</v>
      </c>
      <c r="G113">
        <f>9603/(1000)</f>
        <v>9.6029999999999998</v>
      </c>
      <c r="H113">
        <v>0.77600000000000002</v>
      </c>
      <c r="I113">
        <f>59962/(1000)</f>
        <v>59.962000000000003</v>
      </c>
      <c r="J113">
        <v>0.73099999999999998</v>
      </c>
      <c r="K113">
        <v>-0.2</v>
      </c>
      <c r="L113">
        <v>0.84</v>
      </c>
      <c r="M113" s="1">
        <v>2430</v>
      </c>
      <c r="N113" s="1">
        <v>1037</v>
      </c>
      <c r="O113">
        <v>0.70699999999999996</v>
      </c>
      <c r="P113">
        <v>0.36199999999999999</v>
      </c>
      <c r="Q113">
        <v>0.42399999999999999</v>
      </c>
      <c r="R113">
        <v>5.8000000000000003E-2</v>
      </c>
      <c r="S113">
        <v>6.4000000000000001E-2</v>
      </c>
      <c r="T113" s="1">
        <v>2201</v>
      </c>
    </row>
    <row r="114" spans="1:20" x14ac:dyDescent="0.3">
      <c r="A114" t="s">
        <v>142</v>
      </c>
      <c r="B114" t="s">
        <v>78</v>
      </c>
      <c r="C114">
        <f>4834/(1000)</f>
        <v>4.8339999999999996</v>
      </c>
      <c r="D114">
        <v>8.1000000000000003E-2</v>
      </c>
      <c r="E114" s="1">
        <v>4993</v>
      </c>
      <c r="F114" s="1">
        <v>4675</v>
      </c>
      <c r="G114">
        <f>7678/(1000)</f>
        <v>7.6779999999999999</v>
      </c>
      <c r="H114">
        <v>0.67200000000000004</v>
      </c>
      <c r="I114">
        <f>54151/(1000)</f>
        <v>54.151000000000003</v>
      </c>
      <c r="J114">
        <v>0.69499999999999995</v>
      </c>
      <c r="K114">
        <v>-8.9999999999999993E-3</v>
      </c>
      <c r="L114">
        <v>0.748</v>
      </c>
      <c r="M114" s="1">
        <v>2430</v>
      </c>
      <c r="N114">
        <v>0.36399999999999999</v>
      </c>
      <c r="O114">
        <v>0.47199999999999998</v>
      </c>
      <c r="P114">
        <v>0.17899999999999999</v>
      </c>
      <c r="Q114">
        <v>0.38100000000000001</v>
      </c>
      <c r="R114">
        <v>0.182</v>
      </c>
      <c r="S114">
        <v>0.122</v>
      </c>
      <c r="T114" s="1">
        <v>3133</v>
      </c>
    </row>
    <row r="115" spans="1:20" x14ac:dyDescent="0.3">
      <c r="A115" t="s">
        <v>143</v>
      </c>
      <c r="B115" t="s">
        <v>58</v>
      </c>
      <c r="C115">
        <f>4830/(1000)</f>
        <v>4.83</v>
      </c>
      <c r="D115">
        <v>6.7000000000000004E-2</v>
      </c>
      <c r="E115" s="1">
        <v>4963</v>
      </c>
      <c r="F115" s="1">
        <v>4698</v>
      </c>
      <c r="G115">
        <f>8360/(1000)</f>
        <v>8.36</v>
      </c>
      <c r="H115">
        <v>0.76500000000000001</v>
      </c>
      <c r="I115">
        <f>62000/(1000)</f>
        <v>62</v>
      </c>
      <c r="J115">
        <v>0.95899999999999996</v>
      </c>
      <c r="K115">
        <v>3.4000000000000002E-2</v>
      </c>
      <c r="L115">
        <v>0.84299999999999997</v>
      </c>
      <c r="M115" s="1">
        <v>2430</v>
      </c>
      <c r="N115">
        <v>0.60299999999999998</v>
      </c>
      <c r="O115">
        <v>0.68</v>
      </c>
      <c r="P115">
        <v>0.42599999999999999</v>
      </c>
      <c r="Q115">
        <v>0.70199999999999996</v>
      </c>
      <c r="R115">
        <v>0.21</v>
      </c>
      <c r="S115">
        <v>6.0999999999999999E-2</v>
      </c>
      <c r="T115" s="1">
        <v>2148</v>
      </c>
    </row>
    <row r="116" spans="1:20" x14ac:dyDescent="0.3">
      <c r="A116" t="s">
        <v>144</v>
      </c>
      <c r="B116" t="s">
        <v>78</v>
      </c>
      <c r="C116">
        <f>4794/(1000)</f>
        <v>4.7939999999999996</v>
      </c>
      <c r="D116">
        <v>0.10299999999999999</v>
      </c>
      <c r="E116" s="1">
        <v>4997</v>
      </c>
      <c r="F116" s="1">
        <v>4592</v>
      </c>
      <c r="G116">
        <f>7158/(1000)</f>
        <v>7.1580000000000004</v>
      </c>
      <c r="H116">
        <v>0.74399999999999999</v>
      </c>
      <c r="I116">
        <f>54706/(1000)</f>
        <v>54.706000000000003</v>
      </c>
      <c r="J116">
        <v>0.88200000000000001</v>
      </c>
      <c r="K116">
        <v>6.0999999999999999E-2</v>
      </c>
      <c r="L116">
        <v>0.68400000000000005</v>
      </c>
      <c r="M116" s="1">
        <v>2430</v>
      </c>
      <c r="N116">
        <v>0.183</v>
      </c>
      <c r="O116">
        <v>0.63400000000000001</v>
      </c>
      <c r="P116">
        <v>0.19600000000000001</v>
      </c>
      <c r="Q116">
        <v>0.60799999999999998</v>
      </c>
      <c r="R116">
        <v>0.22800000000000001</v>
      </c>
      <c r="S116">
        <v>0.16300000000000001</v>
      </c>
      <c r="T116" s="1">
        <v>2783</v>
      </c>
    </row>
    <row r="117" spans="1:20" x14ac:dyDescent="0.3">
      <c r="A117" t="s">
        <v>145</v>
      </c>
      <c r="B117" t="s">
        <v>78</v>
      </c>
      <c r="C117">
        <f>4759/(1000)</f>
        <v>4.7590000000000003</v>
      </c>
      <c r="D117">
        <v>5.1999999999999998E-2</v>
      </c>
      <c r="E117" s="1">
        <v>4861</v>
      </c>
      <c r="F117" s="1">
        <v>4658</v>
      </c>
      <c r="G117">
        <f>8533/(1000)</f>
        <v>8.5329999999999995</v>
      </c>
      <c r="H117">
        <v>0.74</v>
      </c>
      <c r="I117">
        <f>50102/(1000)</f>
        <v>50.101999999999997</v>
      </c>
      <c r="J117">
        <v>0.73699999999999999</v>
      </c>
      <c r="K117">
        <v>3.6999999999999998E-2</v>
      </c>
      <c r="L117">
        <v>0.878</v>
      </c>
      <c r="M117" s="1">
        <v>2430</v>
      </c>
      <c r="N117">
        <v>0.66300000000000003</v>
      </c>
      <c r="O117">
        <v>0.625</v>
      </c>
      <c r="P117">
        <v>5.0999999999999997E-2</v>
      </c>
      <c r="Q117">
        <v>0.433</v>
      </c>
      <c r="R117">
        <v>0.21199999999999999</v>
      </c>
      <c r="S117">
        <v>3.9E-2</v>
      </c>
      <c r="T117" s="1">
        <v>2736</v>
      </c>
    </row>
    <row r="118" spans="1:20" x14ac:dyDescent="0.3">
      <c r="A118" t="s">
        <v>146</v>
      </c>
      <c r="B118" t="s">
        <v>78</v>
      </c>
      <c r="C118">
        <f>4723/(1000)</f>
        <v>4.7229999999999999</v>
      </c>
      <c r="D118">
        <v>8.2000000000000003E-2</v>
      </c>
      <c r="E118" s="1">
        <v>4884</v>
      </c>
      <c r="F118" s="1">
        <v>4563</v>
      </c>
      <c r="G118">
        <f>7744/(1000)</f>
        <v>7.7439999999999998</v>
      </c>
      <c r="H118">
        <v>0.72399999999999998</v>
      </c>
      <c r="I118">
        <f>51969/(1000)</f>
        <v>51.969000000000001</v>
      </c>
      <c r="J118">
        <v>0.69699999999999995</v>
      </c>
      <c r="K118">
        <v>-3.5999999999999997E-2</v>
      </c>
      <c r="L118">
        <v>0.82699999999999996</v>
      </c>
      <c r="M118" s="1">
        <v>2430</v>
      </c>
      <c r="N118">
        <v>0.38700000000000001</v>
      </c>
      <c r="O118">
        <v>0.59</v>
      </c>
      <c r="P118">
        <v>0.11</v>
      </c>
      <c r="Q118">
        <v>0.38400000000000001</v>
      </c>
      <c r="R118">
        <v>0.16400000000000001</v>
      </c>
      <c r="S118">
        <v>7.1999999999999995E-2</v>
      </c>
      <c r="T118" s="1">
        <v>3016</v>
      </c>
    </row>
    <row r="119" spans="1:20" x14ac:dyDescent="0.3">
      <c r="A119" t="s">
        <v>147</v>
      </c>
      <c r="B119" t="s">
        <v>34</v>
      </c>
      <c r="C119">
        <f>4721/(1000)</f>
        <v>4.7210000000000001</v>
      </c>
      <c r="D119">
        <v>5.5E-2</v>
      </c>
      <c r="E119" s="1">
        <v>4828</v>
      </c>
      <c r="F119" s="1">
        <v>4614</v>
      </c>
      <c r="G119">
        <f>9584/(1000)</f>
        <v>9.5839999999999996</v>
      </c>
      <c r="H119">
        <v>0.71</v>
      </c>
      <c r="I119">
        <f>66300/(1000)</f>
        <v>66.3</v>
      </c>
      <c r="J119">
        <v>0.60799999999999998</v>
      </c>
      <c r="K119">
        <v>0.218</v>
      </c>
      <c r="L119">
        <v>0.71399999999999997</v>
      </c>
      <c r="M119" s="1">
        <v>2430</v>
      </c>
      <c r="N119" s="1">
        <v>1030</v>
      </c>
      <c r="O119">
        <v>0.55700000000000005</v>
      </c>
      <c r="P119">
        <v>0.56100000000000005</v>
      </c>
      <c r="Q119">
        <v>0.27500000000000002</v>
      </c>
      <c r="R119">
        <v>0.33</v>
      </c>
      <c r="S119">
        <v>0.14399999999999999</v>
      </c>
      <c r="T119" s="1">
        <v>1823</v>
      </c>
    </row>
    <row r="120" spans="1:20" x14ac:dyDescent="0.3">
      <c r="A120" t="s">
        <v>148</v>
      </c>
      <c r="B120" t="s">
        <v>78</v>
      </c>
      <c r="C120">
        <f>4636/(1000)</f>
        <v>4.6360000000000001</v>
      </c>
      <c r="D120">
        <v>7.2999999999999995E-2</v>
      </c>
      <c r="E120" s="1">
        <v>4780</v>
      </c>
      <c r="F120" s="1">
        <v>4493</v>
      </c>
      <c r="G120">
        <f>7677/(1000)</f>
        <v>7.6769999999999996</v>
      </c>
      <c r="H120">
        <v>0.78100000000000003</v>
      </c>
      <c r="I120">
        <f>56101/(1000)</f>
        <v>56.100999999999999</v>
      </c>
      <c r="J120">
        <v>0.70899999999999996</v>
      </c>
      <c r="K120">
        <v>0.122</v>
      </c>
      <c r="L120">
        <v>0.85499999999999998</v>
      </c>
      <c r="M120" s="1">
        <v>2430</v>
      </c>
      <c r="N120">
        <v>0.36399999999999999</v>
      </c>
      <c r="O120">
        <v>0.71799999999999997</v>
      </c>
      <c r="P120">
        <v>0.24</v>
      </c>
      <c r="Q120">
        <v>0.39800000000000002</v>
      </c>
      <c r="R120">
        <v>0.26700000000000002</v>
      </c>
      <c r="S120">
        <v>5.3999999999999999E-2</v>
      </c>
      <c r="T120" s="1">
        <v>2596</v>
      </c>
    </row>
    <row r="121" spans="1:20" x14ac:dyDescent="0.3">
      <c r="A121" t="s">
        <v>149</v>
      </c>
      <c r="B121" t="s">
        <v>78</v>
      </c>
      <c r="C121">
        <f>4625/(1000)</f>
        <v>4.625</v>
      </c>
      <c r="D121">
        <v>0.106</v>
      </c>
      <c r="E121" s="1">
        <v>4833</v>
      </c>
      <c r="F121" s="1">
        <v>4417</v>
      </c>
      <c r="G121">
        <f>7288/(1000)</f>
        <v>7.2880000000000003</v>
      </c>
      <c r="H121">
        <v>0.72</v>
      </c>
      <c r="I121">
        <f>56498/(1000)</f>
        <v>56.497999999999998</v>
      </c>
      <c r="J121">
        <v>0.73499999999999999</v>
      </c>
      <c r="K121">
        <v>0.05</v>
      </c>
      <c r="L121">
        <v>0.85</v>
      </c>
      <c r="M121" s="1">
        <v>2430</v>
      </c>
      <c r="N121">
        <v>0.22800000000000001</v>
      </c>
      <c r="O121">
        <v>0.57999999999999996</v>
      </c>
      <c r="P121">
        <v>0.253</v>
      </c>
      <c r="Q121">
        <v>0.43</v>
      </c>
      <c r="R121">
        <v>0.221</v>
      </c>
      <c r="S121">
        <v>5.7000000000000002E-2</v>
      </c>
      <c r="T121" s="1">
        <v>2857</v>
      </c>
    </row>
    <row r="122" spans="1:20" x14ac:dyDescent="0.3">
      <c r="A122" t="s">
        <v>150</v>
      </c>
      <c r="B122" t="s">
        <v>78</v>
      </c>
      <c r="C122">
        <f>4607/(1000)</f>
        <v>4.6070000000000002</v>
      </c>
      <c r="D122">
        <v>7.1999999999999995E-2</v>
      </c>
      <c r="E122" s="1">
        <v>4747</v>
      </c>
      <c r="F122" s="1">
        <v>4466</v>
      </c>
      <c r="G122">
        <f>8361/(1000)</f>
        <v>8.3610000000000007</v>
      </c>
      <c r="H122">
        <v>0.68799999999999994</v>
      </c>
      <c r="I122">
        <f>60704/(1000)</f>
        <v>60.704000000000001</v>
      </c>
      <c r="J122">
        <v>0.77900000000000003</v>
      </c>
      <c r="K122">
        <v>0.28699999999999998</v>
      </c>
      <c r="L122">
        <v>0.82499999999999996</v>
      </c>
      <c r="M122" s="1">
        <v>2430</v>
      </c>
      <c r="N122">
        <v>0.60299999999999998</v>
      </c>
      <c r="O122">
        <v>0.50800000000000001</v>
      </c>
      <c r="P122">
        <v>0.38500000000000001</v>
      </c>
      <c r="Q122">
        <v>0.48299999999999998</v>
      </c>
      <c r="R122">
        <v>0.375</v>
      </c>
      <c r="S122">
        <v>7.2999999999999995E-2</v>
      </c>
      <c r="T122" s="1">
        <v>2180</v>
      </c>
    </row>
    <row r="123" spans="1:20" x14ac:dyDescent="0.3">
      <c r="A123" t="s">
        <v>151</v>
      </c>
      <c r="B123" t="s">
        <v>34</v>
      </c>
      <c r="C123">
        <f>4596/(1000)</f>
        <v>4.5960000000000001</v>
      </c>
      <c r="D123">
        <v>5.8000000000000003E-2</v>
      </c>
      <c r="E123" s="1">
        <v>4709</v>
      </c>
      <c r="F123" s="1">
        <v>4484</v>
      </c>
      <c r="G123">
        <f>9266/(1000)</f>
        <v>9.266</v>
      </c>
      <c r="H123">
        <v>0.69099999999999995</v>
      </c>
      <c r="I123">
        <f>67201/(1000)</f>
        <v>67.200999999999993</v>
      </c>
      <c r="J123">
        <v>0.65600000000000003</v>
      </c>
      <c r="K123">
        <v>-0.20100000000000001</v>
      </c>
      <c r="L123">
        <v>0.87</v>
      </c>
      <c r="M123" s="1">
        <v>2430</v>
      </c>
      <c r="N123">
        <v>0.91900000000000004</v>
      </c>
      <c r="O123">
        <v>0.51500000000000001</v>
      </c>
      <c r="P123">
        <v>0.59</v>
      </c>
      <c r="Q123">
        <v>0.33400000000000002</v>
      </c>
      <c r="R123">
        <v>5.7000000000000002E-2</v>
      </c>
      <c r="S123">
        <v>4.3999999999999997E-2</v>
      </c>
      <c r="T123" s="1">
        <v>2138</v>
      </c>
    </row>
    <row r="124" spans="1:20" x14ac:dyDescent="0.3">
      <c r="A124" t="s">
        <v>152</v>
      </c>
      <c r="B124" t="s">
        <v>34</v>
      </c>
      <c r="C124">
        <f>4584/(1000)</f>
        <v>4.5839999999999996</v>
      </c>
      <c r="D124">
        <v>5.5E-2</v>
      </c>
      <c r="E124" s="1">
        <v>4691</v>
      </c>
      <c r="F124" s="1">
        <v>4477</v>
      </c>
      <c r="G124">
        <f>9626/(1000)</f>
        <v>9.6259999999999994</v>
      </c>
      <c r="H124">
        <v>0.84799999999999998</v>
      </c>
      <c r="I124">
        <f>67355/(1000)</f>
        <v>67.355000000000004</v>
      </c>
      <c r="J124">
        <v>0.52500000000000002</v>
      </c>
      <c r="K124">
        <v>-7.2999999999999995E-2</v>
      </c>
      <c r="L124">
        <v>0.89800000000000002</v>
      </c>
      <c r="M124" s="1">
        <v>2430</v>
      </c>
      <c r="N124" s="1">
        <v>1045</v>
      </c>
      <c r="O124">
        <v>0.86799999999999999</v>
      </c>
      <c r="P124">
        <v>0.59499999999999997</v>
      </c>
      <c r="Q124">
        <v>0.17499999999999999</v>
      </c>
      <c r="R124">
        <v>0.14000000000000001</v>
      </c>
      <c r="S124">
        <v>2.5999999999999999E-2</v>
      </c>
      <c r="T124" s="1">
        <v>1736</v>
      </c>
    </row>
    <row r="125" spans="1:20" x14ac:dyDescent="0.3">
      <c r="A125" t="s">
        <v>153</v>
      </c>
      <c r="B125" t="s">
        <v>78</v>
      </c>
      <c r="C125">
        <f>4574/(1000)</f>
        <v>4.5739999999999998</v>
      </c>
      <c r="D125">
        <v>6.4000000000000001E-2</v>
      </c>
      <c r="E125" s="1">
        <v>4700</v>
      </c>
      <c r="F125" s="1">
        <v>4448</v>
      </c>
      <c r="G125">
        <f>9161/(1000)</f>
        <v>9.1609999999999996</v>
      </c>
      <c r="H125">
        <v>0.81799999999999995</v>
      </c>
      <c r="I125">
        <f>56799/(1000)</f>
        <v>56.798999999999999</v>
      </c>
      <c r="J125">
        <v>0.71899999999999997</v>
      </c>
      <c r="K125">
        <v>-0.14899999999999999</v>
      </c>
      <c r="L125">
        <v>0.84699999999999998</v>
      </c>
      <c r="M125" s="1">
        <v>2430</v>
      </c>
      <c r="N125">
        <v>0.88200000000000001</v>
      </c>
      <c r="O125">
        <v>0.80100000000000005</v>
      </c>
      <c r="P125">
        <v>0.26200000000000001</v>
      </c>
      <c r="Q125">
        <v>0.41099999999999998</v>
      </c>
      <c r="R125">
        <v>9.0999999999999998E-2</v>
      </c>
      <c r="S125">
        <v>5.8999999999999997E-2</v>
      </c>
      <c r="T125" s="1">
        <v>2068</v>
      </c>
    </row>
    <row r="126" spans="1:20" x14ac:dyDescent="0.3">
      <c r="A126" t="s">
        <v>154</v>
      </c>
      <c r="B126" t="s">
        <v>34</v>
      </c>
      <c r="C126">
        <f>4517/(1000)</f>
        <v>4.5170000000000003</v>
      </c>
      <c r="D126">
        <v>6.7000000000000004E-2</v>
      </c>
      <c r="E126" s="1">
        <v>4649</v>
      </c>
      <c r="F126" s="1">
        <v>4384</v>
      </c>
      <c r="G126">
        <f>8485/(1000)</f>
        <v>8.4849999999999994</v>
      </c>
      <c r="H126">
        <v>0.82599999999999996</v>
      </c>
      <c r="I126">
        <f>62250/(1000)</f>
        <v>62.25</v>
      </c>
      <c r="J126">
        <v>0.65300000000000002</v>
      </c>
      <c r="K126">
        <v>-0.16300000000000001</v>
      </c>
      <c r="L126">
        <v>0.82099999999999995</v>
      </c>
      <c r="M126" s="1">
        <v>2430</v>
      </c>
      <c r="N126">
        <v>0.64600000000000002</v>
      </c>
      <c r="O126">
        <v>0.81899999999999995</v>
      </c>
      <c r="P126">
        <v>0.434</v>
      </c>
      <c r="Q126">
        <v>0.33</v>
      </c>
      <c r="R126">
        <v>8.2000000000000003E-2</v>
      </c>
      <c r="S126">
        <v>7.4999999999999997E-2</v>
      </c>
      <c r="T126" s="1">
        <v>2131</v>
      </c>
    </row>
    <row r="127" spans="1:20" x14ac:dyDescent="0.3">
      <c r="A127" t="s">
        <v>155</v>
      </c>
      <c r="B127" t="s">
        <v>58</v>
      </c>
      <c r="C127">
        <f>4426/(1000)</f>
        <v>4.4260000000000002</v>
      </c>
      <c r="D127">
        <v>5.1999999999999998E-2</v>
      </c>
      <c r="E127" s="1">
        <v>4527</v>
      </c>
      <c r="F127" s="1">
        <v>4324</v>
      </c>
      <c r="G127">
        <f>8541/(1000)</f>
        <v>8.5410000000000004</v>
      </c>
      <c r="H127">
        <v>0.77900000000000003</v>
      </c>
      <c r="I127">
        <f>59302/(1000)</f>
        <v>59.302</v>
      </c>
      <c r="J127">
        <v>0.876</v>
      </c>
      <c r="K127">
        <v>0.50900000000000001</v>
      </c>
      <c r="L127">
        <v>0.66</v>
      </c>
      <c r="M127" s="1">
        <v>2430</v>
      </c>
      <c r="N127">
        <v>0.66600000000000004</v>
      </c>
      <c r="O127">
        <v>0.71299999999999997</v>
      </c>
      <c r="P127">
        <v>0.34100000000000003</v>
      </c>
      <c r="Q127">
        <v>0.60099999999999998</v>
      </c>
      <c r="R127">
        <v>0.52</v>
      </c>
      <c r="S127">
        <v>0.17799999999999999</v>
      </c>
      <c r="T127" s="1">
        <v>1407</v>
      </c>
    </row>
    <row r="128" spans="1:20" x14ac:dyDescent="0.3">
      <c r="A128" t="s">
        <v>156</v>
      </c>
      <c r="B128" t="s">
        <v>34</v>
      </c>
      <c r="C128">
        <f>4395/(1000)</f>
        <v>4.3949999999999996</v>
      </c>
      <c r="D128">
        <v>6.2E-2</v>
      </c>
      <c r="E128" s="1">
        <v>4516</v>
      </c>
      <c r="F128" s="1">
        <v>4273</v>
      </c>
      <c r="G128">
        <f>9182/(1000)</f>
        <v>9.1820000000000004</v>
      </c>
      <c r="H128">
        <v>0.76700000000000002</v>
      </c>
      <c r="I128">
        <f>67000/(1000)</f>
        <v>67</v>
      </c>
      <c r="J128">
        <v>0.755</v>
      </c>
      <c r="K128">
        <v>-0.16700000000000001</v>
      </c>
      <c r="L128">
        <v>0.70499999999999996</v>
      </c>
      <c r="M128" s="1">
        <v>2430</v>
      </c>
      <c r="N128">
        <v>0.89</v>
      </c>
      <c r="O128">
        <v>0.68500000000000005</v>
      </c>
      <c r="P128">
        <v>0.58299999999999996</v>
      </c>
      <c r="Q128">
        <v>0.45500000000000002</v>
      </c>
      <c r="R128">
        <v>7.9000000000000001E-2</v>
      </c>
      <c r="S128">
        <v>0.15</v>
      </c>
      <c r="T128" s="1">
        <v>1553</v>
      </c>
    </row>
    <row r="129" spans="1:20" x14ac:dyDescent="0.3">
      <c r="A129" t="s">
        <v>157</v>
      </c>
      <c r="B129" t="s">
        <v>78</v>
      </c>
      <c r="C129">
        <f>4355/(1000)</f>
        <v>4.3550000000000004</v>
      </c>
      <c r="D129">
        <v>9.4E-2</v>
      </c>
      <c r="E129" s="1">
        <v>4540</v>
      </c>
      <c r="F129" s="1">
        <v>4171</v>
      </c>
      <c r="G129">
        <f>7364/(1000)</f>
        <v>7.3639999999999999</v>
      </c>
      <c r="H129">
        <v>0.61899999999999999</v>
      </c>
      <c r="I129">
        <f>48478/(1000)</f>
        <v>48.478000000000002</v>
      </c>
      <c r="J129">
        <v>0.57899999999999996</v>
      </c>
      <c r="K129">
        <v>4.1000000000000002E-2</v>
      </c>
      <c r="L129">
        <v>0.80700000000000005</v>
      </c>
      <c r="M129" s="1">
        <v>2430</v>
      </c>
      <c r="N129">
        <v>0.255</v>
      </c>
      <c r="O129">
        <v>0.35299999999999998</v>
      </c>
      <c r="P129">
        <v>0</v>
      </c>
      <c r="Q129">
        <v>0.24</v>
      </c>
      <c r="R129">
        <v>0.215</v>
      </c>
      <c r="S129">
        <v>8.4000000000000005E-2</v>
      </c>
      <c r="T129" s="1">
        <v>3209</v>
      </c>
    </row>
    <row r="130" spans="1:20" x14ac:dyDescent="0.3">
      <c r="A130" t="s">
        <v>158</v>
      </c>
      <c r="B130" t="s">
        <v>116</v>
      </c>
      <c r="C130">
        <f>4325/(1000)</f>
        <v>4.3250000000000002</v>
      </c>
      <c r="D130">
        <v>6.6000000000000003E-2</v>
      </c>
      <c r="E130" s="1">
        <v>4454</v>
      </c>
      <c r="F130" s="1">
        <v>4196</v>
      </c>
      <c r="G130">
        <f>9470/(1000)</f>
        <v>9.4700000000000006</v>
      </c>
      <c r="H130">
        <v>0.82699999999999996</v>
      </c>
      <c r="I130">
        <f>67299/(1000)</f>
        <v>67.299000000000007</v>
      </c>
      <c r="J130">
        <v>0.84099999999999997</v>
      </c>
      <c r="K130">
        <v>7.9000000000000001E-2</v>
      </c>
      <c r="L130">
        <v>0.86299999999999999</v>
      </c>
      <c r="M130" s="1">
        <v>2430</v>
      </c>
      <c r="N130">
        <v>0.99</v>
      </c>
      <c r="O130">
        <v>0.82</v>
      </c>
      <c r="P130">
        <v>0.59299999999999997</v>
      </c>
      <c r="Q130">
        <v>0.55900000000000005</v>
      </c>
      <c r="R130">
        <v>0.23899999999999999</v>
      </c>
      <c r="S130">
        <v>4.9000000000000002E-2</v>
      </c>
      <c r="T130" s="1">
        <v>1075</v>
      </c>
    </row>
    <row r="131" spans="1:20" x14ac:dyDescent="0.3">
      <c r="A131" t="s">
        <v>159</v>
      </c>
      <c r="B131" t="s">
        <v>78</v>
      </c>
      <c r="C131">
        <f>4308/(1000)</f>
        <v>4.3079999999999998</v>
      </c>
      <c r="D131">
        <v>7.0999999999999994E-2</v>
      </c>
      <c r="E131" s="1">
        <v>4448</v>
      </c>
      <c r="F131" s="1">
        <v>4168</v>
      </c>
      <c r="G131">
        <f>9065/(1000)</f>
        <v>9.0649999999999995</v>
      </c>
      <c r="H131">
        <v>0.77</v>
      </c>
      <c r="I131">
        <f>50833/(1000)</f>
        <v>50.832999999999998</v>
      </c>
      <c r="J131">
        <v>0.64700000000000002</v>
      </c>
      <c r="K131">
        <v>-0.185</v>
      </c>
      <c r="L131">
        <v>0.70799999999999996</v>
      </c>
      <c r="M131" s="1">
        <v>2430</v>
      </c>
      <c r="N131">
        <v>0.84899999999999998</v>
      </c>
      <c r="O131">
        <v>0.69299999999999995</v>
      </c>
      <c r="P131">
        <v>7.3999999999999996E-2</v>
      </c>
      <c r="Q131">
        <v>0.32300000000000001</v>
      </c>
      <c r="R131">
        <v>6.7000000000000004E-2</v>
      </c>
      <c r="S131">
        <v>0.14699999999999999</v>
      </c>
      <c r="T131" s="1">
        <v>2155</v>
      </c>
    </row>
    <row r="132" spans="1:20" x14ac:dyDescent="0.3">
      <c r="A132" t="s">
        <v>160</v>
      </c>
      <c r="B132" t="s">
        <v>78</v>
      </c>
      <c r="C132">
        <f>4289/(1000)</f>
        <v>4.2889999999999997</v>
      </c>
      <c r="D132">
        <v>8.4000000000000005E-2</v>
      </c>
      <c r="E132" s="1">
        <v>4454</v>
      </c>
      <c r="F132" s="1">
        <v>4123</v>
      </c>
      <c r="G132">
        <f>8031/(1000)</f>
        <v>8.0310000000000006</v>
      </c>
      <c r="H132">
        <v>0.626</v>
      </c>
      <c r="I132">
        <f>57349/(1000)</f>
        <v>57.348999999999997</v>
      </c>
      <c r="J132">
        <v>0.54800000000000004</v>
      </c>
      <c r="K132">
        <v>8.2000000000000003E-2</v>
      </c>
      <c r="L132">
        <v>0.78100000000000003</v>
      </c>
      <c r="M132" s="1">
        <v>2430</v>
      </c>
      <c r="N132">
        <v>0.48799999999999999</v>
      </c>
      <c r="O132">
        <v>0.36699999999999999</v>
      </c>
      <c r="P132">
        <v>0.27900000000000003</v>
      </c>
      <c r="Q132">
        <v>0.20200000000000001</v>
      </c>
      <c r="R132">
        <v>0.24099999999999999</v>
      </c>
      <c r="S132">
        <v>0.10100000000000001</v>
      </c>
      <c r="T132" s="1">
        <v>2610</v>
      </c>
    </row>
    <row r="133" spans="1:20" x14ac:dyDescent="0.3">
      <c r="A133" t="s">
        <v>161</v>
      </c>
      <c r="B133" t="s">
        <v>34</v>
      </c>
      <c r="C133">
        <f>4283/(1000)</f>
        <v>4.2830000000000004</v>
      </c>
      <c r="D133">
        <v>4.4999999999999998E-2</v>
      </c>
      <c r="E133" s="1">
        <v>4371</v>
      </c>
      <c r="F133" s="1">
        <v>4195</v>
      </c>
      <c r="G133">
        <f>9367/(1000)</f>
        <v>9.3670000000000009</v>
      </c>
      <c r="H133">
        <v>0.75</v>
      </c>
      <c r="I133">
        <f>61998/(1000)</f>
        <v>61.997999999999998</v>
      </c>
      <c r="J133">
        <v>0.749</v>
      </c>
      <c r="K133">
        <v>-0.182</v>
      </c>
      <c r="L133">
        <v>0.79500000000000004</v>
      </c>
      <c r="M133" s="1">
        <v>2430</v>
      </c>
      <c r="N133">
        <v>0.95399999999999996</v>
      </c>
      <c r="O133">
        <v>0.64700000000000002</v>
      </c>
      <c r="P133">
        <v>0.42599999999999999</v>
      </c>
      <c r="Q133">
        <v>0.44600000000000001</v>
      </c>
      <c r="R133">
        <v>6.9000000000000006E-2</v>
      </c>
      <c r="S133">
        <v>9.1999999999999998E-2</v>
      </c>
      <c r="T133" s="1">
        <v>1648</v>
      </c>
    </row>
    <row r="134" spans="1:20" x14ac:dyDescent="0.3">
      <c r="A134" t="s">
        <v>162</v>
      </c>
      <c r="B134" t="s">
        <v>78</v>
      </c>
      <c r="C134">
        <f>4275/(1000)</f>
        <v>4.2750000000000004</v>
      </c>
      <c r="D134">
        <v>5.0999999999999997E-2</v>
      </c>
      <c r="E134" s="1">
        <v>4374</v>
      </c>
      <c r="F134" s="1">
        <v>4175</v>
      </c>
      <c r="G134">
        <f>7694/(1000)</f>
        <v>7.694</v>
      </c>
      <c r="H134">
        <v>0.76400000000000001</v>
      </c>
      <c r="I134">
        <f>59000/(1000)</f>
        <v>59</v>
      </c>
      <c r="J134">
        <v>0.752</v>
      </c>
      <c r="K134">
        <v>8.2000000000000003E-2</v>
      </c>
      <c r="L134">
        <v>0.76100000000000001</v>
      </c>
      <c r="M134" s="1">
        <v>2430</v>
      </c>
      <c r="N134">
        <v>0.37</v>
      </c>
      <c r="O134">
        <v>0.67900000000000005</v>
      </c>
      <c r="P134">
        <v>0.33100000000000002</v>
      </c>
      <c r="Q134">
        <v>0.45100000000000001</v>
      </c>
      <c r="R134">
        <v>0.24099999999999999</v>
      </c>
      <c r="S134">
        <v>0.114</v>
      </c>
      <c r="T134" s="1">
        <v>2089</v>
      </c>
    </row>
    <row r="135" spans="1:20" x14ac:dyDescent="0.3">
      <c r="A135" t="s">
        <v>163</v>
      </c>
      <c r="B135" t="s">
        <v>78</v>
      </c>
      <c r="C135">
        <f>4227/(1000)</f>
        <v>4.2270000000000003</v>
      </c>
      <c r="D135">
        <v>7.0000000000000007E-2</v>
      </c>
      <c r="E135" s="1">
        <v>4365</v>
      </c>
      <c r="F135" s="1">
        <v>4090</v>
      </c>
      <c r="G135">
        <f>8542/(1000)</f>
        <v>8.5419999999999998</v>
      </c>
      <c r="H135">
        <v>0.79500000000000004</v>
      </c>
      <c r="I135">
        <f>57161/(1000)</f>
        <v>57.161000000000001</v>
      </c>
      <c r="J135">
        <v>0.56100000000000005</v>
      </c>
      <c r="K135">
        <v>-0.106</v>
      </c>
      <c r="L135">
        <v>0.73099999999999998</v>
      </c>
      <c r="M135" s="1">
        <v>2430</v>
      </c>
      <c r="N135">
        <v>0.66600000000000004</v>
      </c>
      <c r="O135">
        <v>0.749</v>
      </c>
      <c r="P135">
        <v>0.27300000000000002</v>
      </c>
      <c r="Q135">
        <v>0.218</v>
      </c>
      <c r="R135">
        <v>0.11899999999999999</v>
      </c>
      <c r="S135">
        <v>0.13300000000000001</v>
      </c>
      <c r="T135" s="1">
        <v>2069</v>
      </c>
    </row>
    <row r="136" spans="1:20" x14ac:dyDescent="0.3">
      <c r="A136" t="s">
        <v>164</v>
      </c>
      <c r="B136" t="s">
        <v>78</v>
      </c>
      <c r="C136">
        <f>4208/(1000)</f>
        <v>4.2080000000000002</v>
      </c>
      <c r="D136">
        <v>7.1999999999999995E-2</v>
      </c>
      <c r="E136" s="1">
        <v>4349</v>
      </c>
      <c r="F136" s="1">
        <v>4068</v>
      </c>
      <c r="G136">
        <f>7396/(1000)</f>
        <v>7.3959999999999999</v>
      </c>
      <c r="H136">
        <v>0.68600000000000005</v>
      </c>
      <c r="I136">
        <f>59305/(1000)</f>
        <v>59.305</v>
      </c>
      <c r="J136">
        <v>0.55200000000000005</v>
      </c>
      <c r="K136">
        <v>-5.0000000000000001E-3</v>
      </c>
      <c r="L136">
        <v>0.80300000000000005</v>
      </c>
      <c r="M136" s="1">
        <v>2430</v>
      </c>
      <c r="N136">
        <v>0.26600000000000001</v>
      </c>
      <c r="O136">
        <v>0.503</v>
      </c>
      <c r="P136">
        <v>0.34100000000000003</v>
      </c>
      <c r="Q136">
        <v>0.20699999999999999</v>
      </c>
      <c r="R136">
        <v>0.185</v>
      </c>
      <c r="S136">
        <v>8.6999999999999994E-2</v>
      </c>
      <c r="T136" s="1">
        <v>2620</v>
      </c>
    </row>
    <row r="137" spans="1:20" x14ac:dyDescent="0.3">
      <c r="A137" t="s">
        <v>165</v>
      </c>
      <c r="B137" t="s">
        <v>78</v>
      </c>
      <c r="C137">
        <f>4107/(1000)</f>
        <v>4.1070000000000002</v>
      </c>
      <c r="D137">
        <v>7.6999999999999999E-2</v>
      </c>
      <c r="E137" s="1">
        <v>4258</v>
      </c>
      <c r="F137" s="1">
        <v>3956</v>
      </c>
      <c r="G137">
        <f>7362/(1000)</f>
        <v>7.3620000000000001</v>
      </c>
      <c r="H137">
        <v>0.56899999999999995</v>
      </c>
      <c r="I137">
        <f>54914/(1000)</f>
        <v>54.914000000000001</v>
      </c>
      <c r="J137">
        <v>0.61899999999999999</v>
      </c>
      <c r="K137">
        <v>3.2000000000000001E-2</v>
      </c>
      <c r="L137">
        <v>0.77200000000000002</v>
      </c>
      <c r="M137" s="1">
        <v>2430</v>
      </c>
      <c r="N137">
        <v>0.254</v>
      </c>
      <c r="O137">
        <v>0.23899999999999999</v>
      </c>
      <c r="P137">
        <v>0.20300000000000001</v>
      </c>
      <c r="Q137">
        <v>0.28899999999999998</v>
      </c>
      <c r="R137">
        <v>0.20899999999999999</v>
      </c>
      <c r="S137">
        <v>0.107</v>
      </c>
      <c r="T137" s="1">
        <v>2806</v>
      </c>
    </row>
    <row r="138" spans="1:20" x14ac:dyDescent="0.3">
      <c r="A138" t="s">
        <v>166</v>
      </c>
      <c r="B138" t="s">
        <v>78</v>
      </c>
      <c r="C138">
        <f>4073/(1000)</f>
        <v>4.0730000000000004</v>
      </c>
      <c r="D138">
        <v>6.9000000000000006E-2</v>
      </c>
      <c r="E138" s="1">
        <v>4209</v>
      </c>
      <c r="F138" s="1">
        <v>3938</v>
      </c>
      <c r="G138">
        <f>8145/(1000)</f>
        <v>8.1449999999999996</v>
      </c>
      <c r="H138">
        <v>0.70799999999999996</v>
      </c>
      <c r="I138">
        <f>55809/(1000)</f>
        <v>55.808999999999997</v>
      </c>
      <c r="J138">
        <v>0.78200000000000003</v>
      </c>
      <c r="K138">
        <v>6.0999999999999999E-2</v>
      </c>
      <c r="L138">
        <v>0.82299999999999995</v>
      </c>
      <c r="M138" s="1">
        <v>2430</v>
      </c>
      <c r="N138">
        <v>0.52800000000000002</v>
      </c>
      <c r="O138">
        <v>0.55200000000000005</v>
      </c>
      <c r="P138">
        <v>0.23100000000000001</v>
      </c>
      <c r="Q138">
        <v>0.48699999999999999</v>
      </c>
      <c r="R138">
        <v>0.22700000000000001</v>
      </c>
      <c r="S138">
        <v>7.3999999999999996E-2</v>
      </c>
      <c r="T138" s="1">
        <v>1975</v>
      </c>
    </row>
    <row r="139" spans="1:20" x14ac:dyDescent="0.3">
      <c r="A139" t="s">
        <v>167</v>
      </c>
      <c r="B139" t="s">
        <v>78</v>
      </c>
      <c r="C139">
        <f>3849/(1000)</f>
        <v>3.8490000000000002</v>
      </c>
      <c r="D139">
        <v>7.6999999999999999E-2</v>
      </c>
      <c r="E139" s="1">
        <v>4001</v>
      </c>
      <c r="F139" s="1">
        <v>3698</v>
      </c>
      <c r="G139">
        <f>7434/(1000)</f>
        <v>7.4340000000000002</v>
      </c>
      <c r="H139">
        <v>0.63</v>
      </c>
      <c r="I139">
        <f>51651/(1000)</f>
        <v>51.651000000000003</v>
      </c>
      <c r="J139">
        <v>0.71699999999999997</v>
      </c>
      <c r="K139">
        <v>8.4000000000000005E-2</v>
      </c>
      <c r="L139">
        <v>0.86599999999999999</v>
      </c>
      <c r="M139" s="1">
        <v>2430</v>
      </c>
      <c r="N139">
        <v>0.27900000000000003</v>
      </c>
      <c r="O139">
        <v>0.377</v>
      </c>
      <c r="P139">
        <v>0.1</v>
      </c>
      <c r="Q139">
        <v>0.40799999999999997</v>
      </c>
      <c r="R139">
        <v>0.24299999999999999</v>
      </c>
      <c r="S139">
        <v>4.7E-2</v>
      </c>
      <c r="T139" s="1">
        <v>2396</v>
      </c>
    </row>
    <row r="140" spans="1:20" x14ac:dyDescent="0.3">
      <c r="A140" t="s">
        <v>168</v>
      </c>
      <c r="B140" t="s">
        <v>116</v>
      </c>
      <c r="C140">
        <f>3819/(1000)</f>
        <v>3.819</v>
      </c>
      <c r="D140">
        <v>2.5999999999999999E-2</v>
      </c>
      <c r="E140" s="1">
        <v>3869</v>
      </c>
      <c r="F140" s="1">
        <v>3769</v>
      </c>
      <c r="G140">
        <f>8755/(1000)</f>
        <v>8.7550000000000008</v>
      </c>
      <c r="H140">
        <v>0.60299999999999998</v>
      </c>
      <c r="I140">
        <f>60633/(1000)</f>
        <v>60.633000000000003</v>
      </c>
      <c r="J140">
        <v>0.89300000000000002</v>
      </c>
      <c r="K140">
        <v>8.8999999999999996E-2</v>
      </c>
      <c r="L140">
        <v>0.77400000000000002</v>
      </c>
      <c r="M140" s="1">
        <v>2430</v>
      </c>
      <c r="N140">
        <v>0.74099999999999999</v>
      </c>
      <c r="O140">
        <v>0.316</v>
      </c>
      <c r="P140">
        <v>0.38300000000000001</v>
      </c>
      <c r="Q140">
        <v>0.622</v>
      </c>
      <c r="R140">
        <v>0.246</v>
      </c>
      <c r="S140">
        <v>0.106</v>
      </c>
      <c r="T140" s="1">
        <v>1405</v>
      </c>
    </row>
    <row r="141" spans="1:20" x14ac:dyDescent="0.3">
      <c r="A141" t="s">
        <v>169</v>
      </c>
      <c r="B141" t="s">
        <v>78</v>
      </c>
      <c r="C141">
        <f>3775/(1000)</f>
        <v>3.7749999999999999</v>
      </c>
      <c r="D141">
        <v>0.107</v>
      </c>
      <c r="E141" s="1">
        <v>3985</v>
      </c>
      <c r="F141" s="1">
        <v>3565</v>
      </c>
      <c r="G141">
        <f>6635/(1000)</f>
        <v>6.6349999999999998</v>
      </c>
      <c r="H141">
        <v>0.49</v>
      </c>
      <c r="I141">
        <f>53400/(1000)</f>
        <v>53.4</v>
      </c>
      <c r="J141">
        <v>0.626</v>
      </c>
      <c r="K141">
        <v>-2.4E-2</v>
      </c>
      <c r="L141">
        <v>0.60699999999999998</v>
      </c>
      <c r="M141" s="1">
        <v>2430</v>
      </c>
      <c r="N141">
        <v>0</v>
      </c>
      <c r="O141">
        <v>6.2E-2</v>
      </c>
      <c r="P141">
        <v>0.155</v>
      </c>
      <c r="Q141">
        <v>0.29799999999999999</v>
      </c>
      <c r="R141">
        <v>0.17199999999999999</v>
      </c>
      <c r="S141">
        <v>0.21199999999999999</v>
      </c>
      <c r="T141" s="1">
        <v>2876</v>
      </c>
    </row>
    <row r="142" spans="1:20" x14ac:dyDescent="0.3">
      <c r="A142" t="s">
        <v>170</v>
      </c>
      <c r="B142" t="s">
        <v>34</v>
      </c>
      <c r="C142">
        <f>3658/(1000)</f>
        <v>3.6579999999999999</v>
      </c>
      <c r="D142">
        <v>7.0000000000000007E-2</v>
      </c>
      <c r="E142" s="1">
        <v>3794</v>
      </c>
      <c r="F142" s="1">
        <v>3521</v>
      </c>
      <c r="G142">
        <f>7578/(1000)</f>
        <v>7.5780000000000003</v>
      </c>
      <c r="H142">
        <v>0.83199999999999996</v>
      </c>
      <c r="I142">
        <f>57122/(1000)</f>
        <v>57.122</v>
      </c>
      <c r="J142">
        <v>0.60199999999999998</v>
      </c>
      <c r="K142">
        <v>-0.14699999999999999</v>
      </c>
      <c r="L142">
        <v>0.8</v>
      </c>
      <c r="M142" s="1">
        <v>2430</v>
      </c>
      <c r="N142">
        <v>0.32900000000000001</v>
      </c>
      <c r="O142">
        <v>0.83099999999999996</v>
      </c>
      <c r="P142">
        <v>0.27200000000000002</v>
      </c>
      <c r="Q142">
        <v>0.26800000000000002</v>
      </c>
      <c r="R142">
        <v>9.1999999999999998E-2</v>
      </c>
      <c r="S142">
        <v>8.8999999999999996E-2</v>
      </c>
      <c r="T142" s="1">
        <v>1776</v>
      </c>
    </row>
    <row r="143" spans="1:20" x14ac:dyDescent="0.3">
      <c r="A143" t="s">
        <v>171</v>
      </c>
      <c r="B143" t="s">
        <v>78</v>
      </c>
      <c r="C143">
        <f>3623/(1000)</f>
        <v>3.6230000000000002</v>
      </c>
      <c r="D143">
        <v>7.0999999999999994E-2</v>
      </c>
      <c r="E143" s="1">
        <v>3762</v>
      </c>
      <c r="F143" s="1">
        <v>3485</v>
      </c>
      <c r="G143">
        <f>7876/(1000)</f>
        <v>7.8760000000000003</v>
      </c>
      <c r="H143">
        <v>0.70199999999999996</v>
      </c>
      <c r="I143">
        <f>57999/(1000)</f>
        <v>57.999000000000002</v>
      </c>
      <c r="J143">
        <v>0.83299999999999996</v>
      </c>
      <c r="K143">
        <v>0.183</v>
      </c>
      <c r="L143">
        <v>0.57699999999999996</v>
      </c>
      <c r="M143" s="1">
        <v>2430</v>
      </c>
      <c r="N143">
        <v>0.433</v>
      </c>
      <c r="O143">
        <v>0.54</v>
      </c>
      <c r="P143">
        <v>0.3</v>
      </c>
      <c r="Q143">
        <v>0.54900000000000004</v>
      </c>
      <c r="R143">
        <v>0.307</v>
      </c>
      <c r="S143">
        <v>0.23100000000000001</v>
      </c>
      <c r="T143" s="1">
        <v>1263</v>
      </c>
    </row>
    <row r="144" spans="1:20" x14ac:dyDescent="0.3">
      <c r="A144" t="s">
        <v>172</v>
      </c>
      <c r="B144" t="s">
        <v>39</v>
      </c>
      <c r="C144">
        <f>3615/(1000)</f>
        <v>3.6150000000000002</v>
      </c>
      <c r="D144">
        <v>0.17299999999999999</v>
      </c>
      <c r="E144" s="1">
        <v>3953</v>
      </c>
      <c r="F144" s="1">
        <v>3276</v>
      </c>
      <c r="G144">
        <f>7477/(1000)</f>
        <v>7.4770000000000003</v>
      </c>
      <c r="H144">
        <v>0.54</v>
      </c>
      <c r="I144">
        <f>55700/(1000)</f>
        <v>55.7</v>
      </c>
      <c r="J144">
        <v>0.59299999999999997</v>
      </c>
      <c r="K144">
        <v>0.42199999999999999</v>
      </c>
      <c r="L144">
        <v>0.72099999999999997</v>
      </c>
      <c r="M144" s="1">
        <v>2430</v>
      </c>
      <c r="N144">
        <v>0.29399999999999998</v>
      </c>
      <c r="O144">
        <v>0.17299999999999999</v>
      </c>
      <c r="P144">
        <v>0.22700000000000001</v>
      </c>
      <c r="Q144">
        <v>0.25700000000000001</v>
      </c>
      <c r="R144">
        <v>0.46300000000000002</v>
      </c>
      <c r="S144">
        <v>0.13900000000000001</v>
      </c>
      <c r="T144" s="1">
        <v>2060</v>
      </c>
    </row>
    <row r="145" spans="1:20" x14ac:dyDescent="0.3">
      <c r="A145" t="s">
        <v>173</v>
      </c>
      <c r="B145" t="s">
        <v>78</v>
      </c>
      <c r="C145">
        <f>3600/(1000)</f>
        <v>3.6</v>
      </c>
      <c r="D145">
        <v>9.1999999999999998E-2</v>
      </c>
      <c r="E145" s="1">
        <v>3781</v>
      </c>
      <c r="F145" s="1">
        <v>3419</v>
      </c>
      <c r="G145">
        <f>6958/(1000)</f>
        <v>6.9580000000000002</v>
      </c>
      <c r="H145">
        <v>0.53700000000000003</v>
      </c>
      <c r="I145">
        <f>57948/(1000)</f>
        <v>57.948</v>
      </c>
      <c r="J145">
        <v>0.78</v>
      </c>
      <c r="K145">
        <v>3.7999999999999999E-2</v>
      </c>
      <c r="L145">
        <v>0.72899999999999998</v>
      </c>
      <c r="M145" s="1">
        <v>2430</v>
      </c>
      <c r="N145">
        <v>0.113</v>
      </c>
      <c r="O145">
        <v>0.16800000000000001</v>
      </c>
      <c r="P145">
        <v>0.29799999999999999</v>
      </c>
      <c r="Q145">
        <v>0.48399999999999999</v>
      </c>
      <c r="R145">
        <v>0.21299999999999999</v>
      </c>
      <c r="S145">
        <v>0.13400000000000001</v>
      </c>
      <c r="T145" s="1">
        <v>2190</v>
      </c>
    </row>
    <row r="146" spans="1:20" x14ac:dyDescent="0.3">
      <c r="A146" t="s">
        <v>174</v>
      </c>
      <c r="B146" t="s">
        <v>78</v>
      </c>
      <c r="C146">
        <f>3512/(1000)</f>
        <v>3.512</v>
      </c>
      <c r="D146">
        <v>0.12</v>
      </c>
      <c r="E146" s="1">
        <v>3748</v>
      </c>
      <c r="F146" s="1">
        <v>3276</v>
      </c>
      <c r="G146">
        <f>7926/(1000)</f>
        <v>7.9260000000000002</v>
      </c>
      <c r="H146">
        <v>0.78700000000000003</v>
      </c>
      <c r="I146">
        <f>48700/(1000)</f>
        <v>48.7</v>
      </c>
      <c r="J146">
        <v>0.71499999999999997</v>
      </c>
      <c r="K146">
        <v>-0.13100000000000001</v>
      </c>
      <c r="L146">
        <v>0.91500000000000004</v>
      </c>
      <c r="M146" s="1">
        <v>2430</v>
      </c>
      <c r="N146">
        <v>0.45100000000000001</v>
      </c>
      <c r="O146">
        <v>0.73099999999999998</v>
      </c>
      <c r="P146">
        <v>7.0000000000000001E-3</v>
      </c>
      <c r="Q146">
        <v>0.40500000000000003</v>
      </c>
      <c r="R146">
        <v>0.10299999999999999</v>
      </c>
      <c r="S146">
        <v>1.4999999999999999E-2</v>
      </c>
      <c r="T146" s="1">
        <v>1800</v>
      </c>
    </row>
    <row r="147" spans="1:20" x14ac:dyDescent="0.3">
      <c r="A147" t="s">
        <v>175</v>
      </c>
      <c r="B147" t="s">
        <v>78</v>
      </c>
      <c r="C147">
        <f>3467/(1000)</f>
        <v>3.4670000000000001</v>
      </c>
      <c r="D147">
        <v>7.3999999999999996E-2</v>
      </c>
      <c r="E147" s="1">
        <v>3611</v>
      </c>
      <c r="F147" s="1">
        <v>3322</v>
      </c>
      <c r="G147">
        <f>9782/(1000)</f>
        <v>9.782</v>
      </c>
      <c r="H147">
        <v>0.78400000000000003</v>
      </c>
      <c r="I147">
        <f>59269/(1000)</f>
        <v>59.268999999999998</v>
      </c>
      <c r="J147">
        <v>0.82399999999999995</v>
      </c>
      <c r="K147">
        <v>-0.246</v>
      </c>
      <c r="L147">
        <v>0.80100000000000005</v>
      </c>
      <c r="M147" s="1">
        <v>2430</v>
      </c>
      <c r="N147" s="1">
        <v>1099</v>
      </c>
      <c r="O147">
        <v>0.72399999999999998</v>
      </c>
      <c r="P147">
        <v>0.34</v>
      </c>
      <c r="Q147">
        <v>0.53900000000000003</v>
      </c>
      <c r="R147">
        <v>2.7E-2</v>
      </c>
      <c r="S147">
        <v>8.7999999999999995E-2</v>
      </c>
      <c r="T147">
        <v>0.64800000000000002</v>
      </c>
    </row>
    <row r="148" spans="1:20" x14ac:dyDescent="0.3">
      <c r="A148" t="s">
        <v>176</v>
      </c>
      <c r="B148" t="s">
        <v>78</v>
      </c>
      <c r="C148">
        <f>3415/(1000)</f>
        <v>3.415</v>
      </c>
      <c r="D148">
        <v>6.8000000000000005E-2</v>
      </c>
      <c r="E148" s="1">
        <v>3548</v>
      </c>
      <c r="F148" s="1">
        <v>3282</v>
      </c>
      <c r="G148">
        <f>7676/(1000)</f>
        <v>7.6760000000000002</v>
      </c>
      <c r="H148">
        <v>0.55200000000000005</v>
      </c>
      <c r="I148">
        <f>61400/(1000)</f>
        <v>61.4</v>
      </c>
      <c r="J148">
        <v>0.89700000000000002</v>
      </c>
      <c r="K148">
        <v>6.0999999999999999E-2</v>
      </c>
      <c r="L148">
        <v>0.16700000000000001</v>
      </c>
      <c r="M148" s="1">
        <v>2430</v>
      </c>
      <c r="N148">
        <v>0.36399999999999999</v>
      </c>
      <c r="O148">
        <v>0.20200000000000001</v>
      </c>
      <c r="P148">
        <v>0.40699999999999997</v>
      </c>
      <c r="Q148">
        <v>0.627</v>
      </c>
      <c r="R148">
        <v>0.22700000000000001</v>
      </c>
      <c r="S148">
        <v>0.49299999999999999</v>
      </c>
      <c r="T148" s="1">
        <v>1095</v>
      </c>
    </row>
    <row r="149" spans="1:20" x14ac:dyDescent="0.3">
      <c r="A149" t="s">
        <v>177</v>
      </c>
      <c r="B149" t="s">
        <v>78</v>
      </c>
      <c r="C149">
        <f>3145/(1000)</f>
        <v>3.145</v>
      </c>
      <c r="D149">
        <v>5.8000000000000003E-2</v>
      </c>
      <c r="E149" s="1">
        <v>3259</v>
      </c>
      <c r="F149" s="1">
        <v>3030</v>
      </c>
      <c r="G149">
        <f>7943/(1000)</f>
        <v>7.9429999999999996</v>
      </c>
      <c r="H149">
        <v>0.75</v>
      </c>
      <c r="I149">
        <f>56201/(1000)</f>
        <v>56.201000000000001</v>
      </c>
      <c r="J149">
        <v>0.67700000000000005</v>
      </c>
      <c r="K149">
        <v>-4.7E-2</v>
      </c>
      <c r="L149">
        <v>0.82099999999999995</v>
      </c>
      <c r="M149" s="1">
        <v>2430</v>
      </c>
      <c r="N149">
        <v>0.45700000000000002</v>
      </c>
      <c r="O149">
        <v>0.64900000000000002</v>
      </c>
      <c r="P149">
        <v>0.24299999999999999</v>
      </c>
      <c r="Q149">
        <v>0.35899999999999999</v>
      </c>
      <c r="R149">
        <v>0.157</v>
      </c>
      <c r="S149">
        <v>7.4999999999999997E-2</v>
      </c>
      <c r="T149" s="1">
        <v>1205</v>
      </c>
    </row>
    <row r="150" spans="1:20" x14ac:dyDescent="0.3">
      <c r="A150" t="s">
        <v>178</v>
      </c>
      <c r="B150" t="s">
        <v>116</v>
      </c>
      <c r="C150">
        <f>2523/(1000)</f>
        <v>2.5230000000000001</v>
      </c>
      <c r="D150">
        <v>3.7999999999999999E-2</v>
      </c>
      <c r="E150" s="1">
        <v>2596</v>
      </c>
      <c r="F150" s="1">
        <v>2449</v>
      </c>
      <c r="G150">
        <f>7695/(1000)</f>
        <v>7.6950000000000003</v>
      </c>
      <c r="H150">
        <v>0.46300000000000002</v>
      </c>
      <c r="I150">
        <f>52493/(1000)</f>
        <v>52.493000000000002</v>
      </c>
      <c r="J150">
        <v>0.38200000000000001</v>
      </c>
      <c r="K150">
        <v>-0.10199999999999999</v>
      </c>
      <c r="L150">
        <v>0.92400000000000004</v>
      </c>
      <c r="M150" s="1">
        <v>2430</v>
      </c>
      <c r="N150">
        <v>0.37</v>
      </c>
      <c r="O150">
        <v>0</v>
      </c>
      <c r="P150">
        <v>0.126</v>
      </c>
      <c r="Q150">
        <v>0</v>
      </c>
      <c r="R150">
        <v>0.122</v>
      </c>
      <c r="S150">
        <v>0.01</v>
      </c>
      <c r="T150" s="1">
        <v>1895</v>
      </c>
    </row>
    <row r="156" spans="1:20" x14ac:dyDescent="0.3">
      <c r="C156">
        <f>1000</f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9CCFF-B5F0-435B-8B73-8EA559BBCA2D}">
  <dimension ref="A1:F262"/>
  <sheetViews>
    <sheetView topLeftCell="E34" workbookViewId="0">
      <selection activeCell="C9" sqref="C9"/>
    </sheetView>
  </sheetViews>
  <sheetFormatPr defaultRowHeight="14.4" outlineLevelRow="1" x14ac:dyDescent="0.3"/>
  <cols>
    <col min="1" max="1" width="31.77734375" bestFit="1" customWidth="1"/>
    <col min="2" max="2" width="29.5546875" bestFit="1" customWidth="1"/>
    <col min="3" max="3" width="32.88671875" bestFit="1" customWidth="1"/>
    <col min="4" max="4" width="21.5546875" bestFit="1" customWidth="1"/>
    <col min="5" max="5" width="39" bestFit="1" customWidth="1"/>
    <col min="6" max="127" width="5.5546875" bestFit="1" customWidth="1"/>
    <col min="128" max="128" width="10.5546875" bestFit="1" customWidth="1"/>
    <col min="129" max="129" width="8.44140625" bestFit="1" customWidth="1"/>
    <col min="130" max="130" width="10.21875" bestFit="1" customWidth="1"/>
    <col min="131" max="131" width="24.6640625" bestFit="1" customWidth="1"/>
    <col min="132" max="132" width="10.88671875" bestFit="1" customWidth="1"/>
    <col min="133" max="133" width="33.109375" bestFit="1" customWidth="1"/>
    <col min="134" max="134" width="15.109375" bestFit="1" customWidth="1"/>
    <col min="135" max="135" width="17" bestFit="1" customWidth="1"/>
    <col min="136" max="136" width="10.44140625" bestFit="1" customWidth="1"/>
    <col min="137" max="137" width="23.5546875" bestFit="1" customWidth="1"/>
    <col min="138" max="138" width="11.33203125" bestFit="1" customWidth="1"/>
    <col min="139" max="139" width="24.6640625" bestFit="1" customWidth="1"/>
    <col min="140" max="140" width="11.109375" bestFit="1" customWidth="1"/>
    <col min="141" max="141" width="33.109375" bestFit="1" customWidth="1"/>
    <col min="142" max="142" width="14.44140625" bestFit="1" customWidth="1"/>
    <col min="143" max="143" width="13.33203125" bestFit="1" customWidth="1"/>
    <col min="144" max="144" width="9.21875" bestFit="1" customWidth="1"/>
    <col min="145" max="145" width="23.5546875" bestFit="1" customWidth="1"/>
    <col min="146" max="146" width="10.44140625" bestFit="1" customWidth="1"/>
    <col min="147" max="147" width="24.6640625" bestFit="1" customWidth="1"/>
    <col min="148" max="148" width="12.44140625" bestFit="1" customWidth="1"/>
    <col min="149" max="149" width="17" bestFit="1" customWidth="1"/>
    <col min="150" max="150" width="11.88671875" bestFit="1" customWidth="1"/>
    <col min="151" max="151" width="17" bestFit="1" customWidth="1"/>
    <col min="152" max="152" width="11.21875" bestFit="1" customWidth="1"/>
    <col min="153" max="153" width="24.6640625" bestFit="1" customWidth="1"/>
    <col min="154" max="154" width="9.88671875" bestFit="1" customWidth="1"/>
    <col min="155" max="155" width="23.5546875" bestFit="1" customWidth="1"/>
    <col min="156" max="156" width="13.21875" bestFit="1" customWidth="1"/>
    <col min="157" max="157" width="14.109375" bestFit="1" customWidth="1"/>
    <col min="158" max="158" width="15.6640625" bestFit="1" customWidth="1"/>
    <col min="159" max="159" width="17" bestFit="1" customWidth="1"/>
    <col min="160" max="160" width="15.5546875" bestFit="1" customWidth="1"/>
    <col min="161" max="161" width="17" bestFit="1" customWidth="1"/>
    <col min="162" max="162" width="11.33203125" bestFit="1" customWidth="1"/>
    <col min="163" max="163" width="13.33203125" bestFit="1" customWidth="1"/>
    <col min="164" max="164" width="12.77734375" bestFit="1" customWidth="1"/>
    <col min="165" max="165" width="10.109375" bestFit="1" customWidth="1"/>
    <col min="166" max="166" width="12.88671875" bestFit="1" customWidth="1"/>
    <col min="167" max="167" width="17" bestFit="1" customWidth="1"/>
    <col min="168" max="168" width="9" bestFit="1" customWidth="1"/>
    <col min="169" max="169" width="14.109375" bestFit="1" customWidth="1"/>
    <col min="170" max="170" width="10.109375" bestFit="1" customWidth="1"/>
    <col min="171" max="171" width="17" bestFit="1" customWidth="1"/>
    <col min="172" max="172" width="14.44140625" bestFit="1" customWidth="1"/>
    <col min="173" max="173" width="17" bestFit="1" customWidth="1"/>
    <col min="174" max="174" width="13.33203125" bestFit="1" customWidth="1"/>
    <col min="175" max="175" width="25.21875" bestFit="1" customWidth="1"/>
    <col min="176" max="176" width="11.33203125" bestFit="1" customWidth="1"/>
    <col min="177" max="177" width="33.109375" bestFit="1" customWidth="1"/>
    <col min="178" max="178" width="12.44140625" bestFit="1" customWidth="1"/>
    <col min="179" max="179" width="10.109375" bestFit="1" customWidth="1"/>
    <col min="180" max="180" width="12.88671875" bestFit="1" customWidth="1"/>
    <col min="181" max="181" width="23.5546875" bestFit="1" customWidth="1"/>
    <col min="182" max="182" width="15.21875" bestFit="1" customWidth="1"/>
    <col min="183" max="183" width="24.6640625" bestFit="1" customWidth="1"/>
    <col min="184" max="184" width="12.5546875" bestFit="1" customWidth="1"/>
    <col min="185" max="185" width="17" bestFit="1" customWidth="1"/>
    <col min="186" max="186" width="16.33203125" bestFit="1" customWidth="1"/>
    <col min="187" max="187" width="13.33203125" bestFit="1" customWidth="1"/>
    <col min="188" max="188" width="13.21875" bestFit="1" customWidth="1"/>
    <col min="189" max="189" width="17" bestFit="1" customWidth="1"/>
    <col min="190" max="190" width="12.6640625" bestFit="1" customWidth="1"/>
    <col min="191" max="191" width="9.6640625" bestFit="1" customWidth="1"/>
    <col min="192" max="192" width="10.44140625" bestFit="1" customWidth="1"/>
    <col min="193" max="193" width="14.109375" bestFit="1" customWidth="1"/>
    <col min="194" max="194" width="15.77734375" bestFit="1" customWidth="1"/>
    <col min="195" max="195" width="20.44140625" bestFit="1" customWidth="1"/>
    <col min="196" max="196" width="16.21875" bestFit="1" customWidth="1"/>
    <col min="197" max="197" width="25.21875" bestFit="1" customWidth="1"/>
    <col min="198" max="198" width="14" bestFit="1" customWidth="1"/>
    <col min="199" max="199" width="17" bestFit="1" customWidth="1"/>
    <col min="200" max="200" width="9.88671875" bestFit="1" customWidth="1"/>
    <col min="201" max="201" width="17" bestFit="1" customWidth="1"/>
    <col min="202" max="202" width="11.44140625" bestFit="1" customWidth="1"/>
    <col min="203" max="203" width="14.109375" bestFit="1" customWidth="1"/>
    <col min="204" max="204" width="16.33203125" bestFit="1" customWidth="1"/>
    <col min="205" max="205" width="23.5546875" bestFit="1" customWidth="1"/>
    <col min="206" max="206" width="19.77734375" bestFit="1" customWidth="1"/>
    <col min="207" max="207" width="14.109375" bestFit="1" customWidth="1"/>
    <col min="208" max="208" width="11.6640625" bestFit="1" customWidth="1"/>
    <col min="209" max="209" width="9.88671875" bestFit="1" customWidth="1"/>
    <col min="210" max="210" width="12.6640625" bestFit="1" customWidth="1"/>
    <col min="211" max="211" width="24.6640625" bestFit="1" customWidth="1"/>
    <col min="212" max="212" width="24" bestFit="1" customWidth="1"/>
    <col min="213" max="213" width="25.21875" bestFit="1" customWidth="1"/>
    <col min="214" max="214" width="12.21875" bestFit="1" customWidth="1"/>
    <col min="215" max="215" width="25.21875" bestFit="1" customWidth="1"/>
    <col min="216" max="216" width="13.109375" bestFit="1" customWidth="1"/>
    <col min="217" max="217" width="25.21875" bestFit="1" customWidth="1"/>
    <col min="218" max="218" width="9.21875" bestFit="1" customWidth="1"/>
    <col min="219" max="219" width="13.33203125" bestFit="1" customWidth="1"/>
    <col min="220" max="220" width="15" bestFit="1" customWidth="1"/>
    <col min="221" max="221" width="23.5546875" bestFit="1" customWidth="1"/>
    <col min="222" max="222" width="11.21875" bestFit="1" customWidth="1"/>
    <col min="223" max="223" width="14.109375" bestFit="1" customWidth="1"/>
    <col min="224" max="224" width="12.33203125" bestFit="1" customWidth="1"/>
    <col min="225" max="225" width="23.5546875" bestFit="1" customWidth="1"/>
    <col min="226" max="226" width="12.77734375" bestFit="1" customWidth="1"/>
    <col min="227" max="227" width="33.109375" bestFit="1" customWidth="1"/>
    <col min="228" max="228" width="10.88671875" bestFit="1" customWidth="1"/>
    <col min="229" max="229" width="17" bestFit="1" customWidth="1"/>
    <col min="230" max="230" width="12" bestFit="1" customWidth="1"/>
    <col min="231" max="231" width="24.6640625" bestFit="1" customWidth="1"/>
    <col min="232" max="232" width="16.109375" bestFit="1" customWidth="1"/>
    <col min="233" max="233" width="17" bestFit="1" customWidth="1"/>
    <col min="234" max="234" width="12" bestFit="1" customWidth="1"/>
    <col min="235" max="235" width="23.5546875" bestFit="1" customWidth="1"/>
    <col min="236" max="236" width="10.88671875" bestFit="1" customWidth="1"/>
    <col min="237" max="237" width="17" bestFit="1" customWidth="1"/>
    <col min="238" max="238" width="15.77734375" bestFit="1" customWidth="1"/>
    <col min="239" max="239" width="13.33203125" bestFit="1" customWidth="1"/>
    <col min="240" max="240" width="13.88671875" bestFit="1" customWidth="1"/>
    <col min="241" max="241" width="23.5546875" bestFit="1" customWidth="1"/>
    <col min="242" max="242" width="12.5546875" bestFit="1" customWidth="1"/>
    <col min="243" max="243" width="23.5546875" bestFit="1" customWidth="1"/>
    <col min="244" max="244" width="12.5546875" bestFit="1" customWidth="1"/>
    <col min="245" max="245" width="17" bestFit="1" customWidth="1"/>
    <col min="246" max="246" width="15.5546875" bestFit="1" customWidth="1"/>
    <col min="247" max="247" width="12.5546875" bestFit="1" customWidth="1"/>
    <col min="248" max="248" width="15.44140625" bestFit="1" customWidth="1"/>
    <col min="249" max="249" width="14.109375" bestFit="1" customWidth="1"/>
    <col min="250" max="251" width="10.21875" bestFit="1" customWidth="1"/>
    <col min="252" max="252" width="13.109375" bestFit="1" customWidth="1"/>
    <col min="253" max="253" width="17" bestFit="1" customWidth="1"/>
    <col min="254" max="255" width="14.109375" bestFit="1" customWidth="1"/>
    <col min="256" max="256" width="12" bestFit="1" customWidth="1"/>
    <col min="257" max="257" width="14.109375" bestFit="1" customWidth="1"/>
    <col min="258" max="258" width="15.44140625" bestFit="1" customWidth="1"/>
    <col min="259" max="259" width="23.33203125" bestFit="1" customWidth="1"/>
    <col min="260" max="260" width="26.21875" bestFit="1" customWidth="1"/>
    <col min="261" max="261" width="33.109375" bestFit="1" customWidth="1"/>
    <col min="262" max="262" width="13.6640625" bestFit="1" customWidth="1"/>
    <col min="263" max="263" width="17" bestFit="1" customWidth="1"/>
    <col min="264" max="264" width="12.77734375" bestFit="1" customWidth="1"/>
    <col min="265" max="265" width="13.33203125" bestFit="1" customWidth="1"/>
    <col min="266" max="266" width="12.5546875" bestFit="1" customWidth="1"/>
    <col min="267" max="267" width="17" bestFit="1" customWidth="1"/>
    <col min="268" max="268" width="9.21875" bestFit="1" customWidth="1"/>
    <col min="269" max="269" width="24.6640625" bestFit="1" customWidth="1"/>
    <col min="270" max="270" width="11.33203125" bestFit="1" customWidth="1"/>
    <col min="271" max="271" width="24.6640625" bestFit="1" customWidth="1"/>
    <col min="272" max="272" width="10.88671875" bestFit="1" customWidth="1"/>
    <col min="273" max="273" width="33.109375" bestFit="1" customWidth="1"/>
    <col min="274" max="274" width="16.88671875" bestFit="1" customWidth="1"/>
    <col min="275" max="275" width="17" bestFit="1" customWidth="1"/>
    <col min="276" max="276" width="11.6640625" bestFit="1" customWidth="1"/>
    <col min="277" max="277" width="33.109375" bestFit="1" customWidth="1"/>
    <col min="278" max="278" width="11.88671875" bestFit="1" customWidth="1"/>
    <col min="279" max="279" width="24.6640625" bestFit="1" customWidth="1"/>
    <col min="280" max="280" width="23.33203125" bestFit="1" customWidth="1"/>
    <col min="281" max="281" width="16" bestFit="1" customWidth="1"/>
    <col min="282" max="282" width="18.88671875" bestFit="1" customWidth="1"/>
    <col min="283" max="283" width="20.44140625" bestFit="1" customWidth="1"/>
    <col min="284" max="284" width="16.77734375" bestFit="1" customWidth="1"/>
    <col min="285" max="285" width="25.21875" bestFit="1" customWidth="1"/>
    <col min="286" max="286" width="12.109375" bestFit="1" customWidth="1"/>
    <col min="287" max="287" width="33.109375" bestFit="1" customWidth="1"/>
    <col min="288" max="288" width="14.88671875" bestFit="1" customWidth="1"/>
    <col min="289" max="289" width="25.21875" bestFit="1" customWidth="1"/>
    <col min="290" max="290" width="14.109375" bestFit="1" customWidth="1"/>
    <col min="291" max="291" width="13.33203125" bestFit="1" customWidth="1"/>
    <col min="292" max="292" width="12.44140625" bestFit="1" customWidth="1"/>
    <col min="293" max="293" width="24.6640625" bestFit="1" customWidth="1"/>
    <col min="294" max="294" width="11.109375" bestFit="1" customWidth="1"/>
    <col min="295" max="295" width="17" bestFit="1" customWidth="1"/>
    <col min="296" max="296" width="11.77734375" bestFit="1" customWidth="1"/>
    <col min="297" max="297" width="17" bestFit="1" customWidth="1"/>
    <col min="298" max="298" width="14.33203125" bestFit="1" customWidth="1"/>
    <col min="299" max="299" width="10.5546875" bestFit="1" customWidth="1"/>
  </cols>
  <sheetData>
    <row r="1" spans="1:2" x14ac:dyDescent="0.3">
      <c r="A1" s="2" t="s">
        <v>179</v>
      </c>
      <c r="B1" t="s">
        <v>181</v>
      </c>
    </row>
    <row r="2" spans="1:2" x14ac:dyDescent="0.3">
      <c r="A2" s="3" t="s">
        <v>42</v>
      </c>
      <c r="B2">
        <v>17</v>
      </c>
    </row>
    <row r="3" spans="1:2" x14ac:dyDescent="0.3">
      <c r="A3" s="3" t="s">
        <v>69</v>
      </c>
      <c r="B3">
        <v>12</v>
      </c>
    </row>
    <row r="4" spans="1:2" x14ac:dyDescent="0.3">
      <c r="A4" s="3" t="s">
        <v>49</v>
      </c>
      <c r="B4">
        <v>6</v>
      </c>
    </row>
    <row r="5" spans="1:2" x14ac:dyDescent="0.3">
      <c r="A5" s="3" t="s">
        <v>39</v>
      </c>
      <c r="B5">
        <v>20</v>
      </c>
    </row>
    <row r="6" spans="1:2" x14ac:dyDescent="0.3">
      <c r="A6" s="3" t="s">
        <v>34</v>
      </c>
      <c r="B6">
        <v>17</v>
      </c>
    </row>
    <row r="7" spans="1:2" x14ac:dyDescent="0.3">
      <c r="A7" s="3" t="s">
        <v>30</v>
      </c>
      <c r="B7">
        <v>4</v>
      </c>
    </row>
    <row r="8" spans="1:2" x14ac:dyDescent="0.3">
      <c r="A8" s="3" t="s">
        <v>116</v>
      </c>
      <c r="B8">
        <v>7</v>
      </c>
    </row>
    <row r="9" spans="1:2" x14ac:dyDescent="0.3">
      <c r="A9" s="3" t="s">
        <v>58</v>
      </c>
      <c r="B9">
        <v>9</v>
      </c>
    </row>
    <row r="10" spans="1:2" x14ac:dyDescent="0.3">
      <c r="A10" s="3" t="s">
        <v>78</v>
      </c>
      <c r="B10">
        <v>36</v>
      </c>
    </row>
    <row r="11" spans="1:2" x14ac:dyDescent="0.3">
      <c r="A11" s="3" t="s">
        <v>21</v>
      </c>
      <c r="B11">
        <v>21</v>
      </c>
    </row>
    <row r="12" spans="1:2" x14ac:dyDescent="0.3">
      <c r="A12" s="3" t="s">
        <v>180</v>
      </c>
      <c r="B12">
        <v>149</v>
      </c>
    </row>
    <row r="14" spans="1:2" x14ac:dyDescent="0.3">
      <c r="A14" t="s">
        <v>182</v>
      </c>
    </row>
    <row r="16" spans="1:2" x14ac:dyDescent="0.3">
      <c r="A16" t="s">
        <v>201</v>
      </c>
    </row>
    <row r="17" spans="1:5" x14ac:dyDescent="0.3">
      <c r="A17" t="s">
        <v>183</v>
      </c>
    </row>
    <row r="18" spans="1:5" x14ac:dyDescent="0.3">
      <c r="A18" t="s">
        <v>184</v>
      </c>
    </row>
    <row r="19" spans="1:5" ht="14.4" customHeight="1" x14ac:dyDescent="0.3">
      <c r="A19" t="s">
        <v>185</v>
      </c>
      <c r="B19" s="10">
        <f>CORREL(podatki!$C$2:$C$150,podatki!$G$2:$G$150)</f>
        <v>0.78975969650989408</v>
      </c>
      <c r="C19" t="s">
        <v>202</v>
      </c>
      <c r="D19" s="4" t="s">
        <v>186</v>
      </c>
      <c r="E19" s="4" t="s">
        <v>187</v>
      </c>
    </row>
    <row r="20" spans="1:5" ht="14.4" customHeight="1" x14ac:dyDescent="0.3">
      <c r="A20" t="s">
        <v>7</v>
      </c>
      <c r="B20" s="10">
        <f>CORREL(podatki!$H$2:$H$150,podatki!$C$2:$C$150)</f>
        <v>0.75688764536350051</v>
      </c>
      <c r="C20" t="s">
        <v>191</v>
      </c>
      <c r="D20" s="5" t="s">
        <v>188</v>
      </c>
      <c r="E20" s="5" t="s">
        <v>189</v>
      </c>
    </row>
    <row r="21" spans="1:5" ht="14.4" customHeight="1" x14ac:dyDescent="0.3">
      <c r="A21" t="s">
        <v>8</v>
      </c>
      <c r="B21" s="10">
        <f>CORREL(podatki!$I$2:$I$150,podatki!$C$2:$C$150)</f>
        <v>0.7680994550105209</v>
      </c>
      <c r="C21" t="s">
        <v>191</v>
      </c>
      <c r="D21" s="5" t="s">
        <v>190</v>
      </c>
      <c r="E21" s="5" t="s">
        <v>191</v>
      </c>
    </row>
    <row r="22" spans="1:5" ht="14.4" customHeight="1" x14ac:dyDescent="0.3">
      <c r="A22" t="s">
        <v>9</v>
      </c>
      <c r="B22" s="10">
        <f>CORREL(podatki!$J$2:$J$150,podatki!$C$2:$C$150)</f>
        <v>0.60775306565802412</v>
      </c>
      <c r="C22" t="s">
        <v>191</v>
      </c>
      <c r="D22" s="5" t="s">
        <v>192</v>
      </c>
      <c r="E22" s="5" t="s">
        <v>193</v>
      </c>
    </row>
    <row r="23" spans="1:5" ht="14.4" customHeight="1" x14ac:dyDescent="0.3">
      <c r="A23" t="s">
        <v>10</v>
      </c>
      <c r="B23" s="10">
        <f>CORREL(podatki!$K$2:$K$150,podatki!$C$2:$C$150)</f>
        <v>-1.7799276922640748E-2</v>
      </c>
      <c r="C23" s="5" t="s">
        <v>195</v>
      </c>
      <c r="D23" s="5" t="s">
        <v>194</v>
      </c>
      <c r="E23" s="5" t="s">
        <v>195</v>
      </c>
    </row>
    <row r="24" spans="1:5" ht="14.4" customHeight="1" x14ac:dyDescent="0.3">
      <c r="A24" t="s">
        <v>11</v>
      </c>
      <c r="B24" s="10">
        <f>CORREL(podatki!$L$2:$L$150,podatki!$C$2:$C$150)</f>
        <v>-0.42113999673857866</v>
      </c>
      <c r="C24" s="5" t="s">
        <v>197</v>
      </c>
      <c r="D24" s="5" t="s">
        <v>196</v>
      </c>
      <c r="E24" s="5" t="s">
        <v>197</v>
      </c>
    </row>
    <row r="25" spans="1:5" ht="14.4" customHeight="1" x14ac:dyDescent="0.3">
      <c r="D25" s="5" t="s">
        <v>198</v>
      </c>
      <c r="E25" s="5" t="s">
        <v>199</v>
      </c>
    </row>
    <row r="26" spans="1:5" x14ac:dyDescent="0.3">
      <c r="A26" s="2" t="s">
        <v>179</v>
      </c>
      <c r="B26" t="s">
        <v>203</v>
      </c>
      <c r="C26" t="s">
        <v>204</v>
      </c>
      <c r="D26" t="s">
        <v>206</v>
      </c>
      <c r="E26" s="5" t="s">
        <v>200</v>
      </c>
    </row>
    <row r="27" spans="1:5" x14ac:dyDescent="0.3">
      <c r="A27" s="3" t="s">
        <v>42</v>
      </c>
      <c r="B27" s="1">
        <v>5984.7647058823532</v>
      </c>
      <c r="C27" s="1">
        <v>10109.058823529413</v>
      </c>
      <c r="D27">
        <v>17</v>
      </c>
    </row>
    <row r="28" spans="1:5" x14ac:dyDescent="0.3">
      <c r="A28" s="3" t="s">
        <v>69</v>
      </c>
      <c r="B28" s="1">
        <v>5467</v>
      </c>
      <c r="C28" s="1">
        <v>9401.8333333333339</v>
      </c>
      <c r="D28">
        <v>12</v>
      </c>
    </row>
    <row r="29" spans="1:5" x14ac:dyDescent="0.3">
      <c r="A29" s="3" t="s">
        <v>49</v>
      </c>
      <c r="B29" s="1">
        <v>5810.333333333333</v>
      </c>
      <c r="C29" s="1">
        <v>10367.666666666666</v>
      </c>
      <c r="D29">
        <v>6</v>
      </c>
    </row>
    <row r="30" spans="1:5" x14ac:dyDescent="0.3">
      <c r="A30" s="3" t="s">
        <v>39</v>
      </c>
      <c r="B30" s="1">
        <v>5908.05</v>
      </c>
      <c r="C30" s="1">
        <v>9370</v>
      </c>
      <c r="D30">
        <v>20</v>
      </c>
    </row>
    <row r="31" spans="1:5" x14ac:dyDescent="0.3">
      <c r="A31" s="3" t="s">
        <v>34</v>
      </c>
      <c r="B31" s="1">
        <v>5219.7647058823532</v>
      </c>
      <c r="C31" s="1">
        <v>9666.1176470588234</v>
      </c>
      <c r="D31">
        <v>17</v>
      </c>
    </row>
    <row r="32" spans="1:5" x14ac:dyDescent="0.3">
      <c r="A32" s="3" t="s">
        <v>30</v>
      </c>
      <c r="B32" s="1">
        <v>7128.5</v>
      </c>
      <c r="C32" s="1">
        <v>10809.5</v>
      </c>
      <c r="D32">
        <v>4</v>
      </c>
    </row>
    <row r="33" spans="1:4" x14ac:dyDescent="0.3">
      <c r="A33" s="3" t="s">
        <v>116</v>
      </c>
      <c r="B33" s="1">
        <v>4441.8571428571431</v>
      </c>
      <c r="C33" s="1">
        <v>8682.5714285714294</v>
      </c>
      <c r="D33">
        <v>7</v>
      </c>
    </row>
    <row r="34" spans="1:4" x14ac:dyDescent="0.3">
      <c r="A34" s="3" t="s">
        <v>58</v>
      </c>
      <c r="B34" s="1">
        <v>5407.5555555555557</v>
      </c>
      <c r="C34" s="1">
        <v>9421.4444444444453</v>
      </c>
      <c r="D34">
        <v>9</v>
      </c>
    </row>
    <row r="35" spans="1:4" x14ac:dyDescent="0.3">
      <c r="A35" s="3" t="s">
        <v>78</v>
      </c>
      <c r="B35" s="1">
        <v>4494.4722222222226</v>
      </c>
      <c r="C35" s="1">
        <v>8075.1944444444443</v>
      </c>
      <c r="D35">
        <v>36</v>
      </c>
    </row>
    <row r="36" spans="1:4" x14ac:dyDescent="0.3">
      <c r="A36" s="3" t="s">
        <v>21</v>
      </c>
      <c r="B36" s="1">
        <v>6914.9047619047615</v>
      </c>
      <c r="C36" s="1">
        <v>10822.714285714286</v>
      </c>
      <c r="D36">
        <v>21</v>
      </c>
    </row>
    <row r="37" spans="1:4" x14ac:dyDescent="0.3">
      <c r="A37" s="3" t="s">
        <v>180</v>
      </c>
      <c r="B37" s="1">
        <v>5532.8389261744969</v>
      </c>
      <c r="C37" s="1">
        <v>9432.2080536912745</v>
      </c>
      <c r="D37">
        <v>149</v>
      </c>
    </row>
    <row r="43" spans="1:4" ht="15.6" x14ac:dyDescent="0.3">
      <c r="A43" s="6" t="s">
        <v>205</v>
      </c>
    </row>
    <row r="45" spans="1:4" x14ac:dyDescent="0.3">
      <c r="A45" t="s">
        <v>207</v>
      </c>
    </row>
    <row r="46" spans="1:4" x14ac:dyDescent="0.3">
      <c r="A46" t="s">
        <v>208</v>
      </c>
    </row>
    <row r="47" spans="1:4" x14ac:dyDescent="0.3">
      <c r="A47">
        <f>CORREL(podatki!$J$2:$J$150,podatki!$L$2:$L$150)</f>
        <v>-0.40136296834281676</v>
      </c>
      <c r="B47" s="5" t="s">
        <v>197</v>
      </c>
    </row>
    <row r="49" spans="1:6" x14ac:dyDescent="0.3">
      <c r="B49" t="s">
        <v>206</v>
      </c>
      <c r="C49" t="s">
        <v>9</v>
      </c>
      <c r="D49" t="s">
        <v>11</v>
      </c>
    </row>
    <row r="50" spans="1:6" x14ac:dyDescent="0.3">
      <c r="A50" t="str" cm="1">
        <f t="array" ref="A50:A59">_xlfn.UNIQUE(podatki!B2:B150)</f>
        <v>Western Europe</v>
      </c>
      <c r="B50">
        <f>COUNTIF(podatki!$B$1:$B$150,"Western Europe")</f>
        <v>21</v>
      </c>
      <c r="C50">
        <f>AVERAGEIFS(podatki!$J$2:$J$150,podatki!$B$2:$B$150,"Western Europe")</f>
        <v>0.85871428571428576</v>
      </c>
      <c r="D50">
        <f>AVERAGEIFS(podatki!$L$2:$L$150,podatki!$B$2:$B$150,"Western Europe")</f>
        <v>0.52309523809523806</v>
      </c>
    </row>
    <row r="51" spans="1:6" x14ac:dyDescent="0.3">
      <c r="A51" t="str">
        <v>North America and ANZ</v>
      </c>
      <c r="B51">
        <f>COUNTIF(podatki!$B$1:$B$150,"North america and anz")</f>
        <v>4</v>
      </c>
      <c r="C51">
        <f>AVERAGEIFS(podatki!$J$2:$J$150,podatki!$B$2:$B$150,"North America and anz")</f>
        <v>0.89874999999999994</v>
      </c>
      <c r="D51">
        <f>AVERAGEIFS(podatki!$L$2:$L$150,podatki!$B$2:$B$150,"North America and anz")</f>
        <v>0.44924999999999998</v>
      </c>
    </row>
    <row r="52" spans="1:6" x14ac:dyDescent="0.3">
      <c r="A52" t="str">
        <v>Middle East and North Africa</v>
      </c>
      <c r="B52">
        <f>COUNTIF(podatki!$B$1:$B$150,"middle east and north africa")</f>
        <v>17</v>
      </c>
      <c r="C52">
        <f>AVERAGEIFS(podatki!$J$2:$J$150,podatki!$B$2:$B$150,"middle east and north africa")</f>
        <v>0.71647058823529419</v>
      </c>
      <c r="D52">
        <f>AVERAGEIFS(podatki!$L$2:$L$150,podatki!$B$2:$B$150,"middle east and north africa")</f>
        <v>0.76223529411764701</v>
      </c>
    </row>
    <row r="53" spans="1:6" x14ac:dyDescent="0.3">
      <c r="A53" t="str">
        <v>Latin America and Caribbean</v>
      </c>
      <c r="B53">
        <f>COUNTIF(podatki!$B$1:$B$150,"latin america and caribbean")</f>
        <v>20</v>
      </c>
      <c r="C53">
        <f>AVERAGEIFS(podatki!$J$2:$J$150,podatki!$B$2:$B$150,"latin america and caribbean")</f>
        <v>0.83174999999999988</v>
      </c>
      <c r="D53">
        <f>AVERAGEIFS(podatki!$L$2:$L$150,podatki!$B$2:$B$150,"latin america and caribbean")</f>
        <v>0.79259999999999997</v>
      </c>
    </row>
    <row r="54" spans="1:6" x14ac:dyDescent="0.3">
      <c r="A54" t="str">
        <v>Central and Eastern Europe</v>
      </c>
      <c r="B54">
        <f>COUNTIF(podatki!$B$1:$B$150,"central and eastern europe")</f>
        <v>17</v>
      </c>
      <c r="C54">
        <f>AVERAGEIFS(podatki!$J$2:$J$150,podatki!$B$2:$B$150,"central and eastern europe")</f>
        <v>0.79705882352941171</v>
      </c>
      <c r="D54">
        <f>AVERAGEIFS(podatki!$L$2:$L$150,podatki!$B$2:$B$150,"central and eastern europe")</f>
        <v>0.85052941176470576</v>
      </c>
    </row>
    <row r="55" spans="1:6" x14ac:dyDescent="0.3">
      <c r="A55" t="str">
        <v>East Asia</v>
      </c>
      <c r="B55">
        <f>COUNTIF(podatki!$B$1:$B$150,"east asia")</f>
        <v>6</v>
      </c>
      <c r="C55">
        <f>AVERAGEIFS(podatki!$J$2:$J$150,podatki!$B$2:$B$150,"east asia")</f>
        <v>0.76350000000000007</v>
      </c>
      <c r="D55">
        <f>AVERAGEIFS(podatki!$L$2:$L$150,podatki!$B$2:$B$150,"east asia")</f>
        <v>0.68333333333333324</v>
      </c>
    </row>
    <row r="56" spans="1:6" x14ac:dyDescent="0.3">
      <c r="A56" t="str">
        <v>Southeast Asia</v>
      </c>
      <c r="B56">
        <f>COUNTIF(podatki!$B$1:$B$150,"southeast asia")</f>
        <v>9</v>
      </c>
      <c r="C56">
        <f>AVERAGEIFS(podatki!$J$2:$J$150,podatki!$B$2:$B$150,"southeast asia")</f>
        <v>0.90899999999999992</v>
      </c>
      <c r="D56">
        <f>AVERAGEIFS(podatki!$L$2:$L$150,podatki!$B$2:$B$150,"southeast asia")</f>
        <v>0.70911111111111114</v>
      </c>
    </row>
    <row r="57" spans="1:6" x14ac:dyDescent="0.3">
      <c r="A57" t="str">
        <v>Commonwealth of Independent States</v>
      </c>
      <c r="B57">
        <f>COUNTIF(podatki!$B$1:$B$150,"commonwealth of independent states")</f>
        <v>12</v>
      </c>
      <c r="C57">
        <f>AVERAGEIFS(podatki!$J$2:$J$150,podatki!$B$2:$B$150,"commonwealth of independent states")</f>
        <v>0.81691666666666674</v>
      </c>
      <c r="D57">
        <f>AVERAGEIFS(podatki!$L$2:$L$150,podatki!$B$2:$B$150,"commonwealth of independent states")</f>
        <v>0.72508333333333341</v>
      </c>
    </row>
    <row r="58" spans="1:6" x14ac:dyDescent="0.3">
      <c r="A58" t="str">
        <v>Sub-Saharan Africa</v>
      </c>
      <c r="B58">
        <f>COUNTIF(podatki!$B$1:$B$150,"sub-saharan africa")</f>
        <v>36</v>
      </c>
      <c r="C58">
        <f>AVERAGEIFS(podatki!$J$2:$J$150,podatki!$B$2:$B$150,"sub-saharan africa")</f>
        <v>0.72319444444444425</v>
      </c>
      <c r="D58">
        <f>AVERAGEIFS(podatki!$L$2:$L$150,podatki!$B$2:$B$150,"sub-saharan africa")</f>
        <v>0.76594444444444421</v>
      </c>
    </row>
    <row r="59" spans="1:6" x14ac:dyDescent="0.3">
      <c r="A59" t="str">
        <v>South Asia</v>
      </c>
      <c r="B59">
        <f>COUNTIF(podatki!$B$1:$B$150,"south asia")</f>
        <v>7</v>
      </c>
      <c r="C59">
        <f>AVERAGEIFS(podatki!$J$2:$J$150,podatki!$B$2:$B$150,"south asia")</f>
        <v>0.7649999999999999</v>
      </c>
      <c r="D59">
        <f>AVERAGEIFS(podatki!$L$2:$L$150,podatki!$B$2:$B$150,"south asia")</f>
        <v>0.79742857142857138</v>
      </c>
    </row>
    <row r="60" spans="1:6" x14ac:dyDescent="0.3">
      <c r="A60" t="s">
        <v>212</v>
      </c>
    </row>
    <row r="61" spans="1:6" outlineLevel="1" x14ac:dyDescent="0.3">
      <c r="A61" t="s">
        <v>9</v>
      </c>
      <c r="B61" t="s">
        <v>11</v>
      </c>
      <c r="C61" t="s">
        <v>209</v>
      </c>
      <c r="D61" t="s">
        <v>210</v>
      </c>
      <c r="E61" t="s">
        <v>211</v>
      </c>
      <c r="F61" t="s">
        <v>213</v>
      </c>
    </row>
    <row r="62" spans="1:6" outlineLevel="1" x14ac:dyDescent="0.3">
      <c r="A62">
        <v>0.38200000000000001</v>
      </c>
      <c r="B62">
        <v>0.92400000000000004</v>
      </c>
      <c r="C62">
        <f t="shared" ref="C62:C93" si="0">LOG10(A62)</f>
        <v>-0.41793663708829126</v>
      </c>
      <c r="D62">
        <f t="shared" ref="D62:D93" si="1">LOG10(B62)</f>
        <v>-3.4328028779893278E-2</v>
      </c>
      <c r="E62" t="str">
        <f>IF(ABS($B$211-B62)&lt;=0.1*$B$211,"da","ne")</f>
        <v>ne</v>
      </c>
    </row>
    <row r="63" spans="1:6" outlineLevel="1" x14ac:dyDescent="0.3">
      <c r="A63">
        <v>0.48</v>
      </c>
      <c r="B63">
        <v>0.752</v>
      </c>
      <c r="C63">
        <f t="shared" si="0"/>
        <v>-0.31875876262441277</v>
      </c>
      <c r="D63">
        <f t="shared" si="1"/>
        <v>-0.12378215940835775</v>
      </c>
      <c r="E63" t="str">
        <f t="shared" ref="E63:E126" si="2">IF(ABS($B$211-B63)&lt;=0.1*$B$211,"da","ne")</f>
        <v>da</v>
      </c>
    </row>
    <row r="64" spans="1:6" outlineLevel="1" x14ac:dyDescent="0.3">
      <c r="A64">
        <v>0.52500000000000002</v>
      </c>
      <c r="B64">
        <v>0.89800000000000002</v>
      </c>
      <c r="C64">
        <f t="shared" si="0"/>
        <v>-0.27984069659404309</v>
      </c>
      <c r="D64">
        <f t="shared" si="1"/>
        <v>-4.672366333269562E-2</v>
      </c>
      <c r="E64" t="str">
        <f t="shared" si="2"/>
        <v>ne</v>
      </c>
    </row>
    <row r="65" spans="1:5" outlineLevel="1" x14ac:dyDescent="0.3">
      <c r="A65">
        <v>0.54800000000000004</v>
      </c>
      <c r="B65">
        <v>0.78100000000000003</v>
      </c>
      <c r="C65">
        <f t="shared" si="0"/>
        <v>-0.26121944151563081</v>
      </c>
      <c r="D65">
        <f t="shared" si="1"/>
        <v>-0.10734896612269966</v>
      </c>
      <c r="E65" t="str">
        <f t="shared" si="2"/>
        <v>da</v>
      </c>
    </row>
    <row r="66" spans="1:5" outlineLevel="1" x14ac:dyDescent="0.3">
      <c r="A66">
        <v>0.55200000000000005</v>
      </c>
      <c r="B66">
        <v>0.80300000000000005</v>
      </c>
      <c r="C66">
        <f t="shared" si="0"/>
        <v>-0.25806092227080107</v>
      </c>
      <c r="D66">
        <f t="shared" si="1"/>
        <v>-9.5284454721319037E-2</v>
      </c>
      <c r="E66" t="str">
        <f t="shared" si="2"/>
        <v>ne</v>
      </c>
    </row>
    <row r="67" spans="1:5" outlineLevel="1" x14ac:dyDescent="0.3">
      <c r="A67">
        <v>0.56100000000000005</v>
      </c>
      <c r="B67">
        <v>0.73099999999999998</v>
      </c>
      <c r="C67">
        <f t="shared" si="0"/>
        <v>-0.25103713874383854</v>
      </c>
      <c r="D67">
        <f t="shared" si="1"/>
        <v>-0.13608262304213956</v>
      </c>
      <c r="E67" t="str">
        <f t="shared" si="2"/>
        <v>da</v>
      </c>
    </row>
    <row r="68" spans="1:5" outlineLevel="1" x14ac:dyDescent="0.3">
      <c r="A68">
        <v>0.57599999999999996</v>
      </c>
      <c r="B68">
        <v>0.77600000000000002</v>
      </c>
      <c r="C68">
        <f t="shared" si="0"/>
        <v>-0.239577516576788</v>
      </c>
      <c r="D68">
        <f t="shared" si="1"/>
        <v>-0.11013827874181155</v>
      </c>
      <c r="E68" t="str">
        <f t="shared" si="2"/>
        <v>da</v>
      </c>
    </row>
    <row r="69" spans="1:5" outlineLevel="1" x14ac:dyDescent="0.3">
      <c r="A69">
        <v>0.57899999999999996</v>
      </c>
      <c r="B69">
        <v>0.80700000000000005</v>
      </c>
      <c r="C69">
        <f t="shared" si="0"/>
        <v>-0.23732143627256383</v>
      </c>
      <c r="D69">
        <f t="shared" si="1"/>
        <v>-9.312646527792956E-2</v>
      </c>
      <c r="E69" t="str">
        <f t="shared" si="2"/>
        <v>ne</v>
      </c>
    </row>
    <row r="70" spans="1:5" outlineLevel="1" x14ac:dyDescent="0.3">
      <c r="A70">
        <v>0.58199999999999996</v>
      </c>
      <c r="B70">
        <v>0.82299999999999995</v>
      </c>
      <c r="C70">
        <f t="shared" si="0"/>
        <v>-0.23507701535011155</v>
      </c>
      <c r="D70">
        <f t="shared" si="1"/>
        <v>-8.4600164787730178E-2</v>
      </c>
      <c r="E70" t="str">
        <f t="shared" si="2"/>
        <v>ne</v>
      </c>
    </row>
    <row r="71" spans="1:5" outlineLevel="1" x14ac:dyDescent="0.3">
      <c r="A71">
        <v>0.59299999999999997</v>
      </c>
      <c r="B71">
        <v>0.72099999999999997</v>
      </c>
      <c r="C71">
        <f t="shared" si="0"/>
        <v>-0.22694530663573742</v>
      </c>
      <c r="D71">
        <f t="shared" si="1"/>
        <v>-0.14206473528057098</v>
      </c>
      <c r="E71" t="str">
        <f t="shared" si="2"/>
        <v>da</v>
      </c>
    </row>
    <row r="72" spans="1:5" outlineLevel="1" x14ac:dyDescent="0.3">
      <c r="A72">
        <v>0.60199999999999998</v>
      </c>
      <c r="B72">
        <v>0.8</v>
      </c>
      <c r="C72">
        <f t="shared" si="0"/>
        <v>-0.22040350874217546</v>
      </c>
      <c r="D72">
        <f t="shared" si="1"/>
        <v>-9.6910013008056392E-2</v>
      </c>
      <c r="E72" t="str">
        <f t="shared" si="2"/>
        <v>da</v>
      </c>
    </row>
    <row r="73" spans="1:5" outlineLevel="1" x14ac:dyDescent="0.3">
      <c r="A73">
        <v>0.60799999999999998</v>
      </c>
      <c r="B73">
        <v>0.71399999999999997</v>
      </c>
      <c r="C73">
        <f t="shared" si="0"/>
        <v>-0.21609642072726507</v>
      </c>
      <c r="D73">
        <f t="shared" si="1"/>
        <v>-0.14630178822382564</v>
      </c>
      <c r="E73" t="str">
        <f t="shared" si="2"/>
        <v>da</v>
      </c>
    </row>
    <row r="74" spans="1:5" outlineLevel="1" x14ac:dyDescent="0.3">
      <c r="A74">
        <v>0.61499999999999999</v>
      </c>
      <c r="B74">
        <v>0.82699999999999996</v>
      </c>
      <c r="C74">
        <f t="shared" si="0"/>
        <v>-0.21112488422458328</v>
      </c>
      <c r="D74">
        <f t="shared" si="1"/>
        <v>-8.2494490447453356E-2</v>
      </c>
      <c r="E74" t="str">
        <f t="shared" si="2"/>
        <v>ne</v>
      </c>
    </row>
    <row r="75" spans="1:5" outlineLevel="1" x14ac:dyDescent="0.3">
      <c r="A75">
        <v>0.61899999999999999</v>
      </c>
      <c r="B75">
        <v>0.77200000000000002</v>
      </c>
      <c r="C75">
        <f t="shared" si="0"/>
        <v>-0.20830935097988201</v>
      </c>
      <c r="D75">
        <f t="shared" si="1"/>
        <v>-0.11238269966426384</v>
      </c>
      <c r="E75" t="str">
        <f t="shared" si="2"/>
        <v>da</v>
      </c>
    </row>
    <row r="76" spans="1:5" outlineLevel="1" x14ac:dyDescent="0.3">
      <c r="A76">
        <v>0.626</v>
      </c>
      <c r="B76">
        <v>0.60699999999999998</v>
      </c>
      <c r="C76">
        <f t="shared" si="0"/>
        <v>-0.20342566678957033</v>
      </c>
      <c r="D76">
        <f t="shared" si="1"/>
        <v>-0.21681130892474243</v>
      </c>
      <c r="E76" t="str">
        <f t="shared" si="2"/>
        <v>ne</v>
      </c>
    </row>
    <row r="77" spans="1:5" outlineLevel="1" x14ac:dyDescent="0.3">
      <c r="A77">
        <v>0.63</v>
      </c>
      <c r="B77">
        <v>0.875</v>
      </c>
      <c r="C77">
        <f t="shared" si="0"/>
        <v>-0.20065945054641829</v>
      </c>
      <c r="D77">
        <f t="shared" si="1"/>
        <v>-5.7991946977686754E-2</v>
      </c>
      <c r="E77" t="str">
        <f t="shared" si="2"/>
        <v>ne</v>
      </c>
    </row>
    <row r="78" spans="1:5" outlineLevel="1" x14ac:dyDescent="0.3">
      <c r="A78">
        <v>0.64700000000000002</v>
      </c>
      <c r="B78">
        <v>0.70799999999999996</v>
      </c>
      <c r="C78">
        <f t="shared" si="0"/>
        <v>-0.18909571933129959</v>
      </c>
      <c r="D78">
        <f t="shared" si="1"/>
        <v>-0.14996674231023099</v>
      </c>
      <c r="E78" t="str">
        <f t="shared" si="2"/>
        <v>da</v>
      </c>
    </row>
    <row r="79" spans="1:5" outlineLevel="1" x14ac:dyDescent="0.3">
      <c r="A79">
        <v>0.65</v>
      </c>
      <c r="B79">
        <v>0.627</v>
      </c>
      <c r="C79">
        <f t="shared" si="0"/>
        <v>-0.18708664335714442</v>
      </c>
      <c r="D79">
        <f t="shared" si="1"/>
        <v>-0.20273245916928356</v>
      </c>
      <c r="E79" t="str">
        <f t="shared" si="2"/>
        <v>ne</v>
      </c>
    </row>
    <row r="80" spans="1:5" outlineLevel="1" x14ac:dyDescent="0.3">
      <c r="A80">
        <v>0.65300000000000002</v>
      </c>
      <c r="B80">
        <v>0.82099999999999995</v>
      </c>
      <c r="C80">
        <f t="shared" si="0"/>
        <v>-0.18508681872492605</v>
      </c>
      <c r="D80">
        <f t="shared" si="1"/>
        <v>-8.5656842880559247E-2</v>
      </c>
      <c r="E80" t="str">
        <f t="shared" si="2"/>
        <v>ne</v>
      </c>
    </row>
    <row r="81" spans="1:5" outlineLevel="1" x14ac:dyDescent="0.3">
      <c r="A81">
        <v>0.65600000000000003</v>
      </c>
      <c r="B81">
        <v>0.87</v>
      </c>
      <c r="C81">
        <f t="shared" si="0"/>
        <v>-0.1830961606243397</v>
      </c>
      <c r="D81">
        <f t="shared" si="1"/>
        <v>-6.0480747381381476E-2</v>
      </c>
      <c r="E81" t="str">
        <f t="shared" si="2"/>
        <v>ne</v>
      </c>
    </row>
    <row r="82" spans="1:5" outlineLevel="1" x14ac:dyDescent="0.3">
      <c r="A82">
        <v>0.67200000000000004</v>
      </c>
      <c r="B82">
        <v>0.72699999999999998</v>
      </c>
      <c r="C82">
        <f t="shared" si="0"/>
        <v>-0.17263072694617473</v>
      </c>
      <c r="D82">
        <f t="shared" si="1"/>
        <v>-0.13846558914096219</v>
      </c>
      <c r="E82" t="str">
        <f t="shared" si="2"/>
        <v>da</v>
      </c>
    </row>
    <row r="83" spans="1:5" outlineLevel="1" x14ac:dyDescent="0.3">
      <c r="A83">
        <v>0.67700000000000005</v>
      </c>
      <c r="B83">
        <v>0.82099999999999995</v>
      </c>
      <c r="C83">
        <f t="shared" si="0"/>
        <v>-0.16941133131485567</v>
      </c>
      <c r="D83">
        <f t="shared" si="1"/>
        <v>-8.5656842880559247E-2</v>
      </c>
      <c r="E83" t="str">
        <f t="shared" si="2"/>
        <v>ne</v>
      </c>
    </row>
    <row r="84" spans="1:5" outlineLevel="1" x14ac:dyDescent="0.3">
      <c r="A84">
        <v>0.69299999999999995</v>
      </c>
      <c r="B84">
        <v>0.86599999999999999</v>
      </c>
      <c r="C84">
        <f t="shared" si="0"/>
        <v>-0.15926676538819329</v>
      </c>
      <c r="D84">
        <f t="shared" si="1"/>
        <v>-6.2482107982653363E-2</v>
      </c>
      <c r="E84" t="str">
        <f t="shared" si="2"/>
        <v>ne</v>
      </c>
    </row>
    <row r="85" spans="1:5" outlineLevel="1" x14ac:dyDescent="0.3">
      <c r="A85">
        <v>0.69499999999999995</v>
      </c>
      <c r="B85">
        <v>0.745</v>
      </c>
      <c r="C85">
        <f t="shared" si="0"/>
        <v>-0.15801519540988615</v>
      </c>
      <c r="D85">
        <f t="shared" si="1"/>
        <v>-0.12784372725170717</v>
      </c>
      <c r="E85" t="str">
        <f t="shared" si="2"/>
        <v>da</v>
      </c>
    </row>
    <row r="86" spans="1:5" outlineLevel="1" x14ac:dyDescent="0.3">
      <c r="A86">
        <v>0.69499999999999995</v>
      </c>
      <c r="B86">
        <v>0.80100000000000005</v>
      </c>
      <c r="C86">
        <f t="shared" si="0"/>
        <v>-0.15801519540988615</v>
      </c>
      <c r="D86">
        <f t="shared" si="1"/>
        <v>-9.6367483915762317E-2</v>
      </c>
      <c r="E86" t="str">
        <f t="shared" si="2"/>
        <v>ne</v>
      </c>
    </row>
    <row r="87" spans="1:5" outlineLevel="1" x14ac:dyDescent="0.3">
      <c r="A87">
        <v>0.69499999999999995</v>
      </c>
      <c r="B87">
        <v>0.748</v>
      </c>
      <c r="C87">
        <f t="shared" si="0"/>
        <v>-0.15801519540988615</v>
      </c>
      <c r="D87">
        <f t="shared" si="1"/>
        <v>-0.12609840213553863</v>
      </c>
      <c r="E87" t="str">
        <f t="shared" si="2"/>
        <v>da</v>
      </c>
    </row>
    <row r="88" spans="1:5" outlineLevel="1" x14ac:dyDescent="0.3">
      <c r="A88">
        <v>0.69699999999999995</v>
      </c>
      <c r="B88">
        <v>0.746</v>
      </c>
      <c r="C88">
        <f t="shared" si="0"/>
        <v>-0.15676722190199061</v>
      </c>
      <c r="D88">
        <f t="shared" si="1"/>
        <v>-0.12726117252733121</v>
      </c>
      <c r="E88" t="str">
        <f t="shared" si="2"/>
        <v>da</v>
      </c>
    </row>
    <row r="89" spans="1:5" outlineLevel="1" x14ac:dyDescent="0.3">
      <c r="A89">
        <v>0.69699999999999995</v>
      </c>
      <c r="B89">
        <v>0.76600000000000001</v>
      </c>
      <c r="C89">
        <f t="shared" si="0"/>
        <v>-0.15676722190199061</v>
      </c>
      <c r="D89">
        <f t="shared" si="1"/>
        <v>-0.11577123036739606</v>
      </c>
      <c r="E89" t="str">
        <f t="shared" si="2"/>
        <v>da</v>
      </c>
    </row>
    <row r="90" spans="1:5" outlineLevel="1" x14ac:dyDescent="0.3">
      <c r="A90">
        <v>0.69699999999999995</v>
      </c>
      <c r="B90">
        <v>0.82699999999999996</v>
      </c>
      <c r="C90">
        <f t="shared" si="0"/>
        <v>-0.15676722190199061</v>
      </c>
      <c r="D90">
        <f t="shared" si="1"/>
        <v>-8.2494490447453356E-2</v>
      </c>
      <c r="E90" t="str">
        <f t="shared" si="2"/>
        <v>ne</v>
      </c>
    </row>
    <row r="91" spans="1:5" outlineLevel="1" x14ac:dyDescent="0.3">
      <c r="A91">
        <v>0.70599999999999996</v>
      </c>
      <c r="B91">
        <v>0.93100000000000005</v>
      </c>
      <c r="C91">
        <f t="shared" si="0"/>
        <v>-0.15119529894819625</v>
      </c>
      <c r="D91">
        <f t="shared" si="1"/>
        <v>-3.1050319018657353E-2</v>
      </c>
      <c r="E91" t="str">
        <f t="shared" si="2"/>
        <v>ne</v>
      </c>
    </row>
    <row r="92" spans="1:5" outlineLevel="1" x14ac:dyDescent="0.3">
      <c r="A92">
        <v>0.70799999999999996</v>
      </c>
      <c r="B92">
        <v>0.85599999999999998</v>
      </c>
      <c r="C92">
        <f t="shared" si="0"/>
        <v>-0.14996674231023099</v>
      </c>
      <c r="D92">
        <f t="shared" si="1"/>
        <v>-6.7526235322846781E-2</v>
      </c>
      <c r="E92" t="str">
        <f t="shared" si="2"/>
        <v>ne</v>
      </c>
    </row>
    <row r="93" spans="1:5" outlineLevel="1" x14ac:dyDescent="0.3">
      <c r="A93">
        <v>0.70799999999999996</v>
      </c>
      <c r="B93">
        <v>0.81200000000000006</v>
      </c>
      <c r="C93">
        <f t="shared" si="0"/>
        <v>-0.14996674231023099</v>
      </c>
      <c r="D93">
        <f t="shared" si="1"/>
        <v>-9.0443970758824668E-2</v>
      </c>
      <c r="E93" t="str">
        <f t="shared" si="2"/>
        <v>ne</v>
      </c>
    </row>
    <row r="94" spans="1:5" outlineLevel="1" x14ac:dyDescent="0.3">
      <c r="A94">
        <v>0.70899999999999996</v>
      </c>
      <c r="B94">
        <v>0.85499999999999998</v>
      </c>
      <c r="C94">
        <f t="shared" ref="C94:C125" si="3">LOG10(A94)</f>
        <v>-0.14935376481693349</v>
      </c>
      <c r="D94">
        <f t="shared" ref="D94:D125" si="4">LOG10(B94)</f>
        <v>-6.8033885271827368E-2</v>
      </c>
      <c r="E94" t="str">
        <f t="shared" si="2"/>
        <v>ne</v>
      </c>
    </row>
    <row r="95" spans="1:5" outlineLevel="1" x14ac:dyDescent="0.3">
      <c r="A95">
        <v>0.71499999999999997</v>
      </c>
      <c r="B95">
        <v>0.8</v>
      </c>
      <c r="C95">
        <f t="shared" si="3"/>
        <v>-0.14569395819891939</v>
      </c>
      <c r="D95">
        <f t="shared" si="4"/>
        <v>-9.6910013008056392E-2</v>
      </c>
      <c r="E95" t="str">
        <f t="shared" si="2"/>
        <v>da</v>
      </c>
    </row>
    <row r="96" spans="1:5" outlineLevel="1" x14ac:dyDescent="0.3">
      <c r="A96">
        <v>0.71499999999999997</v>
      </c>
      <c r="B96">
        <v>0.91500000000000004</v>
      </c>
      <c r="C96">
        <f t="shared" si="3"/>
        <v>-0.14569395819891939</v>
      </c>
      <c r="D96">
        <f t="shared" si="4"/>
        <v>-3.8578905933551705E-2</v>
      </c>
      <c r="E96" t="str">
        <f t="shared" si="2"/>
        <v>ne</v>
      </c>
    </row>
    <row r="97" spans="1:5" outlineLevel="1" x14ac:dyDescent="0.3">
      <c r="A97">
        <v>0.71699999999999997</v>
      </c>
      <c r="B97">
        <v>0.40300000000000002</v>
      </c>
      <c r="C97">
        <f t="shared" si="3"/>
        <v>-0.1444808443321999</v>
      </c>
      <c r="D97">
        <f t="shared" si="4"/>
        <v>-0.39469495385889053</v>
      </c>
      <c r="E97" t="str">
        <f t="shared" si="2"/>
        <v>ne</v>
      </c>
    </row>
    <row r="98" spans="1:5" outlineLevel="1" x14ac:dyDescent="0.3">
      <c r="A98">
        <v>0.71699999999999997</v>
      </c>
      <c r="B98">
        <v>0.86599999999999999</v>
      </c>
      <c r="C98">
        <f t="shared" si="3"/>
        <v>-0.1444808443321999</v>
      </c>
      <c r="D98">
        <f t="shared" si="4"/>
        <v>-6.2482107982653363E-2</v>
      </c>
      <c r="E98" t="str">
        <f t="shared" si="2"/>
        <v>ne</v>
      </c>
    </row>
    <row r="99" spans="1:5" outlineLevel="1" x14ac:dyDescent="0.3">
      <c r="A99">
        <v>0.71799999999999997</v>
      </c>
      <c r="B99">
        <v>0.84499999999999997</v>
      </c>
      <c r="C99">
        <f t="shared" si="3"/>
        <v>-0.14387555575769967</v>
      </c>
      <c r="D99">
        <f t="shared" si="4"/>
        <v>-7.3143291050307674E-2</v>
      </c>
      <c r="E99" t="str">
        <f t="shared" si="2"/>
        <v>ne</v>
      </c>
    </row>
    <row r="100" spans="1:5" outlineLevel="1" x14ac:dyDescent="0.3">
      <c r="A100">
        <v>0.71899999999999997</v>
      </c>
      <c r="B100">
        <v>0.84699999999999998</v>
      </c>
      <c r="C100">
        <f t="shared" si="3"/>
        <v>-0.14327110961711742</v>
      </c>
      <c r="D100">
        <f t="shared" si="4"/>
        <v>-7.2116589669293102E-2</v>
      </c>
      <c r="E100" t="str">
        <f t="shared" si="2"/>
        <v>ne</v>
      </c>
    </row>
    <row r="101" spans="1:5" outlineLevel="1" x14ac:dyDescent="0.3">
      <c r="A101">
        <v>0.72399999999999998</v>
      </c>
      <c r="B101">
        <v>0.92400000000000004</v>
      </c>
      <c r="C101">
        <f t="shared" si="3"/>
        <v>-0.14026143380285311</v>
      </c>
      <c r="D101">
        <f t="shared" si="4"/>
        <v>-3.4328028779893278E-2</v>
      </c>
      <c r="E101" t="str">
        <f t="shared" si="2"/>
        <v>ne</v>
      </c>
    </row>
    <row r="102" spans="1:5" outlineLevel="1" x14ac:dyDescent="0.3">
      <c r="A102">
        <v>0.72599999999999998</v>
      </c>
      <c r="B102">
        <v>0.78700000000000003</v>
      </c>
      <c r="C102">
        <f t="shared" si="3"/>
        <v>-0.13906337929990631</v>
      </c>
      <c r="D102">
        <f t="shared" si="4"/>
        <v>-0.10402526764093542</v>
      </c>
      <c r="E102" t="str">
        <f t="shared" si="2"/>
        <v>da</v>
      </c>
    </row>
    <row r="103" spans="1:5" outlineLevel="1" x14ac:dyDescent="0.3">
      <c r="A103">
        <v>0.73099999999999998</v>
      </c>
      <c r="B103">
        <v>0.84799999999999998</v>
      </c>
      <c r="C103">
        <f t="shared" si="3"/>
        <v>-0.13608262304213956</v>
      </c>
      <c r="D103">
        <f t="shared" si="4"/>
        <v>-7.1604147743286189E-2</v>
      </c>
      <c r="E103" t="str">
        <f t="shared" si="2"/>
        <v>ne</v>
      </c>
    </row>
    <row r="104" spans="1:5" outlineLevel="1" x14ac:dyDescent="0.3">
      <c r="A104">
        <v>0.73099999999999998</v>
      </c>
      <c r="B104">
        <v>0.84</v>
      </c>
      <c r="C104">
        <f t="shared" si="3"/>
        <v>-0.13608262304213956</v>
      </c>
      <c r="D104">
        <f t="shared" si="4"/>
        <v>-7.5720713938118356E-2</v>
      </c>
      <c r="E104" t="str">
        <f t="shared" si="2"/>
        <v>ne</v>
      </c>
    </row>
    <row r="105" spans="1:5" outlineLevel="1" x14ac:dyDescent="0.3">
      <c r="A105">
        <v>0.73499999999999999</v>
      </c>
      <c r="B105">
        <v>0.85</v>
      </c>
      <c r="C105">
        <f t="shared" si="3"/>
        <v>-0.13371266091580511</v>
      </c>
      <c r="D105">
        <f t="shared" si="4"/>
        <v>-7.0581074285707285E-2</v>
      </c>
      <c r="E105" t="str">
        <f t="shared" si="2"/>
        <v>ne</v>
      </c>
    </row>
    <row r="106" spans="1:5" outlineLevel="1" x14ac:dyDescent="0.3">
      <c r="A106">
        <v>0.73699999999999999</v>
      </c>
      <c r="B106">
        <v>0.878</v>
      </c>
      <c r="C106">
        <f t="shared" si="3"/>
        <v>-0.13253251214094852</v>
      </c>
      <c r="D106">
        <f t="shared" si="4"/>
        <v>-5.6505484093897433E-2</v>
      </c>
      <c r="E106" t="str">
        <f t="shared" si="2"/>
        <v>ne</v>
      </c>
    </row>
    <row r="107" spans="1:5" outlineLevel="1" x14ac:dyDescent="0.3">
      <c r="A107">
        <v>0.74099999999999999</v>
      </c>
      <c r="B107">
        <v>0.79400000000000004</v>
      </c>
      <c r="C107">
        <f t="shared" si="3"/>
        <v>-0.13018179202067184</v>
      </c>
      <c r="D107">
        <f t="shared" si="4"/>
        <v>-0.10017949757290372</v>
      </c>
      <c r="E107" t="str">
        <f t="shared" si="2"/>
        <v>da</v>
      </c>
    </row>
    <row r="108" spans="1:5" outlineLevel="1" x14ac:dyDescent="0.3">
      <c r="A108">
        <v>0.74199999999999999</v>
      </c>
      <c r="B108">
        <v>0.83</v>
      </c>
      <c r="C108">
        <f t="shared" si="3"/>
        <v>-0.12959609472097294</v>
      </c>
      <c r="D108">
        <f t="shared" si="4"/>
        <v>-8.092190762392612E-2</v>
      </c>
      <c r="E108" t="str">
        <f t="shared" si="2"/>
        <v>ne</v>
      </c>
    </row>
    <row r="109" spans="1:5" outlineLevel="1" x14ac:dyDescent="0.3">
      <c r="A109">
        <v>0.749</v>
      </c>
      <c r="B109">
        <v>0.86</v>
      </c>
      <c r="C109">
        <f t="shared" si="3"/>
        <v>-0.12551818230053352</v>
      </c>
      <c r="D109">
        <f t="shared" si="4"/>
        <v>-6.5501548756432285E-2</v>
      </c>
      <c r="E109" t="str">
        <f t="shared" si="2"/>
        <v>ne</v>
      </c>
    </row>
    <row r="110" spans="1:5" outlineLevel="1" x14ac:dyDescent="0.3">
      <c r="A110">
        <v>0.749</v>
      </c>
      <c r="B110">
        <v>0.79500000000000004</v>
      </c>
      <c r="C110">
        <f t="shared" si="3"/>
        <v>-0.12551818230053352</v>
      </c>
      <c r="D110">
        <f t="shared" si="4"/>
        <v>-9.9632871343529689E-2</v>
      </c>
      <c r="E110" t="str">
        <f t="shared" si="2"/>
        <v>da</v>
      </c>
    </row>
    <row r="111" spans="1:5" outlineLevel="1" x14ac:dyDescent="0.3">
      <c r="A111">
        <v>0.751</v>
      </c>
      <c r="B111">
        <v>0.90500000000000003</v>
      </c>
      <c r="C111">
        <f t="shared" si="3"/>
        <v>-0.12436006299583161</v>
      </c>
      <c r="D111">
        <f t="shared" si="4"/>
        <v>-4.3351420794796675E-2</v>
      </c>
      <c r="E111" t="str">
        <f t="shared" si="2"/>
        <v>ne</v>
      </c>
    </row>
    <row r="112" spans="1:5" outlineLevel="1" x14ac:dyDescent="0.3">
      <c r="A112">
        <v>0.752</v>
      </c>
      <c r="B112">
        <v>0.76100000000000001</v>
      </c>
      <c r="C112">
        <f t="shared" si="3"/>
        <v>-0.12378215940835775</v>
      </c>
      <c r="D112">
        <f t="shared" si="4"/>
        <v>-0.11861534322942717</v>
      </c>
      <c r="E112" t="str">
        <f t="shared" si="2"/>
        <v>da</v>
      </c>
    </row>
    <row r="113" spans="1:5" outlineLevel="1" x14ac:dyDescent="0.3">
      <c r="A113">
        <v>0.754</v>
      </c>
      <c r="B113">
        <v>0.93899999999999995</v>
      </c>
      <c r="C113">
        <f t="shared" si="3"/>
        <v>-0.12262865413022594</v>
      </c>
      <c r="D113">
        <f t="shared" si="4"/>
        <v>-2.7334407733889104E-2</v>
      </c>
      <c r="E113" t="str">
        <f t="shared" si="2"/>
        <v>ne</v>
      </c>
    </row>
    <row r="114" spans="1:5" outlineLevel="1" x14ac:dyDescent="0.3">
      <c r="A114">
        <v>0.755</v>
      </c>
      <c r="B114">
        <v>0.876</v>
      </c>
      <c r="C114">
        <f t="shared" si="3"/>
        <v>-0.12205304837081175</v>
      </c>
      <c r="D114">
        <f t="shared" si="4"/>
        <v>-5.7495893831919269E-2</v>
      </c>
      <c r="E114" t="str">
        <f t="shared" si="2"/>
        <v>ne</v>
      </c>
    </row>
    <row r="115" spans="1:5" outlineLevel="1" x14ac:dyDescent="0.3">
      <c r="A115">
        <v>0.755</v>
      </c>
      <c r="B115">
        <v>0.70499999999999996</v>
      </c>
      <c r="C115">
        <f t="shared" si="3"/>
        <v>-0.12205304837081175</v>
      </c>
      <c r="D115">
        <f t="shared" si="4"/>
        <v>-0.15181088300860132</v>
      </c>
      <c r="E115" t="str">
        <f t="shared" si="2"/>
        <v>da</v>
      </c>
    </row>
    <row r="116" spans="1:5" outlineLevel="1" x14ac:dyDescent="0.3">
      <c r="A116">
        <v>0.75700000000000001</v>
      </c>
      <c r="B116">
        <v>0.66100000000000003</v>
      </c>
      <c r="C116">
        <f t="shared" si="3"/>
        <v>-0.12090412049992724</v>
      </c>
      <c r="D116">
        <f t="shared" si="4"/>
        <v>-0.17979854051435976</v>
      </c>
      <c r="E116" t="str">
        <f t="shared" si="2"/>
        <v>da</v>
      </c>
    </row>
    <row r="117" spans="1:5" outlineLevel="1" x14ac:dyDescent="0.3">
      <c r="A117">
        <v>0.76100000000000001</v>
      </c>
      <c r="B117">
        <v>0.745</v>
      </c>
      <c r="C117">
        <f t="shared" si="3"/>
        <v>-0.11861534322942717</v>
      </c>
      <c r="D117">
        <f t="shared" si="4"/>
        <v>-0.12784372725170717</v>
      </c>
      <c r="E117" t="str">
        <f t="shared" si="2"/>
        <v>da</v>
      </c>
    </row>
    <row r="118" spans="1:5" outlineLevel="1" x14ac:dyDescent="0.3">
      <c r="A118">
        <v>0.76300000000000001</v>
      </c>
      <c r="B118">
        <v>0.84399999999999997</v>
      </c>
      <c r="C118">
        <f t="shared" si="3"/>
        <v>-0.11747546204511952</v>
      </c>
      <c r="D118">
        <f t="shared" si="4"/>
        <v>-7.3657553374344958E-2</v>
      </c>
      <c r="E118" t="str">
        <f t="shared" si="2"/>
        <v>ne</v>
      </c>
    </row>
    <row r="119" spans="1:5" outlineLevel="1" x14ac:dyDescent="0.3">
      <c r="A119">
        <v>0.76600000000000001</v>
      </c>
      <c r="B119">
        <v>0.91100000000000003</v>
      </c>
      <c r="C119">
        <f t="shared" si="3"/>
        <v>-0.11577123036739606</v>
      </c>
      <c r="D119">
        <f t="shared" si="4"/>
        <v>-4.0481623027001735E-2</v>
      </c>
      <c r="E119" t="str">
        <f t="shared" si="2"/>
        <v>ne</v>
      </c>
    </row>
    <row r="120" spans="1:5" outlineLevel="1" x14ac:dyDescent="0.3">
      <c r="A120">
        <v>0.77100000000000002</v>
      </c>
      <c r="B120">
        <v>0.66700000000000004</v>
      </c>
      <c r="C120">
        <f t="shared" si="3"/>
        <v>-0.11294562194904302</v>
      </c>
      <c r="D120">
        <f t="shared" si="4"/>
        <v>-0.17587416608345102</v>
      </c>
      <c r="E120" t="str">
        <f t="shared" si="2"/>
        <v>da</v>
      </c>
    </row>
    <row r="121" spans="1:5" outlineLevel="1" x14ac:dyDescent="0.3">
      <c r="A121">
        <v>0.77300000000000002</v>
      </c>
      <c r="B121">
        <v>0.82599999999999996</v>
      </c>
      <c r="C121">
        <f t="shared" si="3"/>
        <v>-0.11182050608167508</v>
      </c>
      <c r="D121">
        <f t="shared" si="4"/>
        <v>-8.3019952679617801E-2</v>
      </c>
      <c r="E121" t="str">
        <f t="shared" si="2"/>
        <v>ne</v>
      </c>
    </row>
    <row r="122" spans="1:5" outlineLevel="1" x14ac:dyDescent="0.3">
      <c r="A122">
        <v>0.77400000000000002</v>
      </c>
      <c r="B122">
        <v>0.80100000000000005</v>
      </c>
      <c r="C122">
        <f t="shared" si="3"/>
        <v>-0.11125903931710739</v>
      </c>
      <c r="D122">
        <f t="shared" si="4"/>
        <v>-9.6367483915762317E-2</v>
      </c>
      <c r="E122" t="str">
        <f t="shared" si="2"/>
        <v>ne</v>
      </c>
    </row>
    <row r="123" spans="1:5" outlineLevel="1" x14ac:dyDescent="0.3">
      <c r="A123">
        <v>0.77800000000000002</v>
      </c>
      <c r="B123">
        <v>0.83499999999999996</v>
      </c>
      <c r="C123">
        <f t="shared" si="3"/>
        <v>-0.10902040301031106</v>
      </c>
      <c r="D123">
        <f t="shared" si="4"/>
        <v>-7.8313524516397934E-2</v>
      </c>
      <c r="E123" t="str">
        <f t="shared" si="2"/>
        <v>ne</v>
      </c>
    </row>
    <row r="124" spans="1:5" outlineLevel="1" x14ac:dyDescent="0.3">
      <c r="A124">
        <v>0.77900000000000003</v>
      </c>
      <c r="B124">
        <v>0.82499999999999996</v>
      </c>
      <c r="C124">
        <f t="shared" si="3"/>
        <v>-0.10846254232743553</v>
      </c>
      <c r="D124">
        <f t="shared" si="4"/>
        <v>-8.3546051450074932E-2</v>
      </c>
      <c r="E124" t="str">
        <f t="shared" si="2"/>
        <v>ne</v>
      </c>
    </row>
    <row r="125" spans="1:5" outlineLevel="1" x14ac:dyDescent="0.3">
      <c r="A125">
        <v>0.78</v>
      </c>
      <c r="B125">
        <v>0.72899999999999998</v>
      </c>
      <c r="C125">
        <f t="shared" si="3"/>
        <v>-0.10790539730951958</v>
      </c>
      <c r="D125">
        <f t="shared" si="4"/>
        <v>-0.13727247168202539</v>
      </c>
      <c r="E125" t="str">
        <f t="shared" si="2"/>
        <v>da</v>
      </c>
    </row>
    <row r="126" spans="1:5" outlineLevel="1" x14ac:dyDescent="0.3">
      <c r="A126">
        <v>0.78200000000000003</v>
      </c>
      <c r="B126">
        <v>0.72699999999999998</v>
      </c>
      <c r="C126">
        <f t="shared" ref="C126:C157" si="5">LOG10(A126)</f>
        <v>-0.10679324694015198</v>
      </c>
      <c r="D126">
        <f t="shared" ref="D126:D157" si="6">LOG10(B126)</f>
        <v>-0.13846558914096219</v>
      </c>
      <c r="E126" t="str">
        <f t="shared" si="2"/>
        <v>da</v>
      </c>
    </row>
    <row r="127" spans="1:5" outlineLevel="1" x14ac:dyDescent="0.3">
      <c r="A127">
        <v>0.78200000000000003</v>
      </c>
      <c r="B127">
        <v>0.82299999999999995</v>
      </c>
      <c r="C127">
        <f t="shared" si="5"/>
        <v>-0.10679324694015198</v>
      </c>
      <c r="D127">
        <f t="shared" si="6"/>
        <v>-8.4600164787730178E-2</v>
      </c>
      <c r="E127" t="str">
        <f t="shared" ref="E127:E190" si="7">IF(ABS($B$211-B127)&lt;=0.1*$B$211,"da","ne")</f>
        <v>ne</v>
      </c>
    </row>
    <row r="128" spans="1:5" outlineLevel="1" x14ac:dyDescent="0.3">
      <c r="A128">
        <v>0.78300000000000003</v>
      </c>
      <c r="B128">
        <v>0.64600000000000002</v>
      </c>
      <c r="C128">
        <f t="shared" si="5"/>
        <v>-0.10623823794205658</v>
      </c>
      <c r="D128">
        <f t="shared" si="6"/>
        <v>-0.18976748200491589</v>
      </c>
      <c r="E128" t="str">
        <f t="shared" si="7"/>
        <v>ne</v>
      </c>
    </row>
    <row r="129" spans="1:5" outlineLevel="1" x14ac:dyDescent="0.3">
      <c r="A129">
        <v>0.78300000000000003</v>
      </c>
      <c r="B129">
        <v>0.65500000000000003</v>
      </c>
      <c r="C129">
        <f t="shared" si="5"/>
        <v>-0.10623823794205658</v>
      </c>
      <c r="D129">
        <f t="shared" si="6"/>
        <v>-0.18375870000821692</v>
      </c>
      <c r="E129" t="str">
        <f t="shared" si="7"/>
        <v>da</v>
      </c>
    </row>
    <row r="130" spans="1:5" outlineLevel="1" x14ac:dyDescent="0.3">
      <c r="A130">
        <v>0.78400000000000003</v>
      </c>
      <c r="B130">
        <v>0.72099999999999997</v>
      </c>
      <c r="C130">
        <f t="shared" si="5"/>
        <v>-0.10568393731556154</v>
      </c>
      <c r="D130">
        <f t="shared" si="6"/>
        <v>-0.14206473528057098</v>
      </c>
      <c r="E130" t="str">
        <f t="shared" si="7"/>
        <v>da</v>
      </c>
    </row>
    <row r="131" spans="1:5" outlineLevel="1" x14ac:dyDescent="0.3">
      <c r="A131">
        <v>0.78500000000000003</v>
      </c>
      <c r="B131">
        <v>0.90100000000000002</v>
      </c>
      <c r="C131">
        <f t="shared" si="5"/>
        <v>-0.10513034325474745</v>
      </c>
      <c r="D131">
        <f t="shared" si="6"/>
        <v>-4.5275209020937013E-2</v>
      </c>
      <c r="E131" t="str">
        <f t="shared" si="7"/>
        <v>ne</v>
      </c>
    </row>
    <row r="132" spans="1:5" outlineLevel="1" x14ac:dyDescent="0.3">
      <c r="A132">
        <v>0.78800000000000003</v>
      </c>
      <c r="B132">
        <v>0.93200000000000005</v>
      </c>
      <c r="C132">
        <f t="shared" si="5"/>
        <v>-0.10347378251044466</v>
      </c>
      <c r="D132">
        <f t="shared" si="6"/>
        <v>-3.0584087646018613E-2</v>
      </c>
      <c r="E132" t="str">
        <f t="shared" si="7"/>
        <v>ne</v>
      </c>
    </row>
    <row r="133" spans="1:5" outlineLevel="1" x14ac:dyDescent="0.3">
      <c r="A133">
        <v>0.79500000000000004</v>
      </c>
      <c r="B133">
        <v>0.626</v>
      </c>
      <c r="C133">
        <f t="shared" si="5"/>
        <v>-9.9632871343529689E-2</v>
      </c>
      <c r="D133">
        <f t="shared" si="6"/>
        <v>-0.20342566678957033</v>
      </c>
      <c r="E133" t="str">
        <f t="shared" si="7"/>
        <v>ne</v>
      </c>
    </row>
    <row r="134" spans="1:5" outlineLevel="1" x14ac:dyDescent="0.3">
      <c r="A134">
        <v>0.79600000000000004</v>
      </c>
      <c r="B134">
        <v>0.63800000000000001</v>
      </c>
      <c r="C134">
        <f t="shared" si="5"/>
        <v>-9.9086932262330937E-2</v>
      </c>
      <c r="D134">
        <f t="shared" si="6"/>
        <v>-0.19517932127883766</v>
      </c>
      <c r="E134" t="str">
        <f t="shared" si="7"/>
        <v>ne</v>
      </c>
    </row>
    <row r="135" spans="1:5" outlineLevel="1" x14ac:dyDescent="0.3">
      <c r="A135">
        <v>0.8</v>
      </c>
      <c r="B135">
        <v>0.753</v>
      </c>
      <c r="C135">
        <f t="shared" si="5"/>
        <v>-9.6910013008056392E-2</v>
      </c>
      <c r="D135">
        <f t="shared" si="6"/>
        <v>-0.12320502379929942</v>
      </c>
      <c r="E135" t="str">
        <f t="shared" si="7"/>
        <v>da</v>
      </c>
    </row>
    <row r="136" spans="1:5" outlineLevel="1" x14ac:dyDescent="0.3">
      <c r="A136">
        <v>0.80400000000000005</v>
      </c>
      <c r="B136">
        <v>0.75600000000000001</v>
      </c>
      <c r="C136">
        <f t="shared" si="5"/>
        <v>-9.4743951251548705E-2</v>
      </c>
      <c r="D136">
        <f t="shared" si="6"/>
        <v>-0.12147820449879346</v>
      </c>
      <c r="E136" t="str">
        <f t="shared" si="7"/>
        <v>da</v>
      </c>
    </row>
    <row r="137" spans="1:5" outlineLevel="1" x14ac:dyDescent="0.3">
      <c r="A137">
        <v>0.80600000000000005</v>
      </c>
      <c r="B137">
        <v>0.69299999999999995</v>
      </c>
      <c r="C137">
        <f t="shared" si="5"/>
        <v>-9.3664958194909331E-2</v>
      </c>
      <c r="D137">
        <f t="shared" si="6"/>
        <v>-0.15926676538819329</v>
      </c>
      <c r="E137" t="str">
        <f t="shared" si="7"/>
        <v>da</v>
      </c>
    </row>
    <row r="138" spans="1:5" outlineLevel="1" x14ac:dyDescent="0.3">
      <c r="A138">
        <v>0.80700000000000005</v>
      </c>
      <c r="B138">
        <v>0.84799999999999998</v>
      </c>
      <c r="C138">
        <f t="shared" si="5"/>
        <v>-9.312646527792956E-2</v>
      </c>
      <c r="D138">
        <f t="shared" si="6"/>
        <v>-7.1604147743286189E-2</v>
      </c>
      <c r="E138" t="str">
        <f t="shared" si="7"/>
        <v>ne</v>
      </c>
    </row>
    <row r="139" spans="1:5" outlineLevel="1" x14ac:dyDescent="0.3">
      <c r="A139">
        <v>0.81399999999999995</v>
      </c>
      <c r="B139">
        <v>0.50600000000000001</v>
      </c>
      <c r="C139">
        <f t="shared" si="5"/>
        <v>-8.9375595110798803E-2</v>
      </c>
      <c r="D139">
        <f t="shared" si="6"/>
        <v>-0.29584948316020088</v>
      </c>
      <c r="E139" t="str">
        <f t="shared" si="7"/>
        <v>ne</v>
      </c>
    </row>
    <row r="140" spans="1:5" outlineLevel="1" x14ac:dyDescent="0.3">
      <c r="A140">
        <v>0.82199999999999995</v>
      </c>
      <c r="B140">
        <v>0.57099999999999995</v>
      </c>
      <c r="C140">
        <f t="shared" si="5"/>
        <v>-8.5128182459949631E-2</v>
      </c>
      <c r="D140">
        <f t="shared" si="6"/>
        <v>-0.24336389175415199</v>
      </c>
      <c r="E140" t="str">
        <f t="shared" si="7"/>
        <v>ne</v>
      </c>
    </row>
    <row r="141" spans="1:5" outlineLevel="1" x14ac:dyDescent="0.3">
      <c r="A141">
        <v>0.82199999999999995</v>
      </c>
      <c r="B141">
        <v>0.89100000000000001</v>
      </c>
      <c r="C141">
        <f t="shared" si="5"/>
        <v>-8.5128182459949631E-2</v>
      </c>
      <c r="D141">
        <f t="shared" si="6"/>
        <v>-5.0122295963125202E-2</v>
      </c>
      <c r="E141" t="str">
        <f t="shared" si="7"/>
        <v>ne</v>
      </c>
    </row>
    <row r="142" spans="1:5" outlineLevel="1" x14ac:dyDescent="0.3">
      <c r="A142">
        <v>0.82199999999999995</v>
      </c>
      <c r="B142">
        <v>0.91800000000000004</v>
      </c>
      <c r="C142">
        <f t="shared" si="5"/>
        <v>-8.5128182459949631E-2</v>
      </c>
      <c r="D142">
        <f t="shared" si="6"/>
        <v>-3.7157318798757548E-2</v>
      </c>
      <c r="E142" t="str">
        <f t="shared" si="7"/>
        <v>ne</v>
      </c>
    </row>
    <row r="143" spans="1:5" outlineLevel="1" x14ac:dyDescent="0.3">
      <c r="A143">
        <v>0.82399999999999995</v>
      </c>
      <c r="B143">
        <v>0.80100000000000005</v>
      </c>
      <c r="C143">
        <f t="shared" si="5"/>
        <v>-8.4072788302884227E-2</v>
      </c>
      <c r="D143">
        <f t="shared" si="6"/>
        <v>-9.6367483915762317E-2</v>
      </c>
      <c r="E143" t="str">
        <f t="shared" si="7"/>
        <v>ne</v>
      </c>
    </row>
    <row r="144" spans="1:5" outlineLevel="1" x14ac:dyDescent="0.3">
      <c r="A144">
        <v>0.82499999999999996</v>
      </c>
      <c r="B144">
        <v>0.629</v>
      </c>
      <c r="C144">
        <f t="shared" si="5"/>
        <v>-8.3546051450074932E-2</v>
      </c>
      <c r="D144">
        <f t="shared" si="6"/>
        <v>-0.20134935455473107</v>
      </c>
      <c r="E144" t="str">
        <f t="shared" si="7"/>
        <v>ne</v>
      </c>
    </row>
    <row r="145" spans="1:5" outlineLevel="1" x14ac:dyDescent="0.3">
      <c r="A145">
        <v>0.82799999999999996</v>
      </c>
      <c r="B145">
        <v>0.83399999999999996</v>
      </c>
      <c r="C145">
        <f t="shared" si="5"/>
        <v>-8.1969663215119878E-2</v>
      </c>
      <c r="D145">
        <f t="shared" si="6"/>
        <v>-7.8833949362261305E-2</v>
      </c>
      <c r="E145" t="str">
        <f t="shared" si="7"/>
        <v>ne</v>
      </c>
    </row>
    <row r="146" spans="1:5" outlineLevel="1" x14ac:dyDescent="0.3">
      <c r="A146">
        <v>0.83199999999999996</v>
      </c>
      <c r="B146">
        <v>0.55300000000000005</v>
      </c>
      <c r="C146">
        <f t="shared" si="5"/>
        <v>-7.9876673709276078E-2</v>
      </c>
      <c r="D146">
        <f t="shared" si="6"/>
        <v>-0.25727486869530169</v>
      </c>
      <c r="E146" t="str">
        <f t="shared" si="7"/>
        <v>ne</v>
      </c>
    </row>
    <row r="147" spans="1:5" outlineLevel="1" x14ac:dyDescent="0.3">
      <c r="A147">
        <v>0.83299999999999996</v>
      </c>
      <c r="B147">
        <v>0.57699999999999996</v>
      </c>
      <c r="C147">
        <f t="shared" si="5"/>
        <v>-7.9354998593212434E-2</v>
      </c>
      <c r="D147">
        <f t="shared" si="6"/>
        <v>-0.23882418684426859</v>
      </c>
      <c r="E147" t="str">
        <f t="shared" si="7"/>
        <v>ne</v>
      </c>
    </row>
    <row r="148" spans="1:5" outlineLevel="1" x14ac:dyDescent="0.3">
      <c r="A148">
        <v>0.83599999999999997</v>
      </c>
      <c r="B148">
        <v>0.66400000000000003</v>
      </c>
      <c r="C148">
        <f t="shared" si="5"/>
        <v>-7.779372256098363E-2</v>
      </c>
      <c r="D148">
        <f t="shared" si="6"/>
        <v>-0.1778319206319825</v>
      </c>
      <c r="E148" t="str">
        <f t="shared" si="7"/>
        <v>da</v>
      </c>
    </row>
    <row r="149" spans="1:5" outlineLevel="1" x14ac:dyDescent="0.3">
      <c r="A149">
        <v>0.83699999999999997</v>
      </c>
      <c r="B149">
        <v>0.69799999999999995</v>
      </c>
      <c r="C149">
        <f t="shared" si="5"/>
        <v>-7.7274542006740027E-2</v>
      </c>
      <c r="D149">
        <f t="shared" si="6"/>
        <v>-0.15614457737683893</v>
      </c>
      <c r="E149" t="str">
        <f t="shared" si="7"/>
        <v>da</v>
      </c>
    </row>
    <row r="150" spans="1:5" outlineLevel="1" x14ac:dyDescent="0.3">
      <c r="A150">
        <v>0.83699999999999997</v>
      </c>
      <c r="B150">
        <v>0.84099999999999997</v>
      </c>
      <c r="C150">
        <f t="shared" si="5"/>
        <v>-7.7274542006740027E-2</v>
      </c>
      <c r="D150">
        <f t="shared" si="6"/>
        <v>-7.5204004202087837E-2</v>
      </c>
      <c r="E150" t="str">
        <f t="shared" si="7"/>
        <v>ne</v>
      </c>
    </row>
    <row r="151" spans="1:5" outlineLevel="1" x14ac:dyDescent="0.3">
      <c r="A151">
        <v>0.84099999999999997</v>
      </c>
      <c r="B151">
        <v>0.73499999999999999</v>
      </c>
      <c r="C151">
        <f t="shared" si="5"/>
        <v>-7.5204004202087837E-2</v>
      </c>
      <c r="D151">
        <f t="shared" si="6"/>
        <v>-0.13371266091580511</v>
      </c>
      <c r="E151" t="str">
        <f t="shared" si="7"/>
        <v>da</v>
      </c>
    </row>
    <row r="152" spans="1:5" outlineLevel="1" x14ac:dyDescent="0.3">
      <c r="A152">
        <v>0.84099999999999997</v>
      </c>
      <c r="B152">
        <v>0.86299999999999999</v>
      </c>
      <c r="C152">
        <f t="shared" si="5"/>
        <v>-7.5204004202087837E-2</v>
      </c>
      <c r="D152">
        <f t="shared" si="6"/>
        <v>-6.3989204284790407E-2</v>
      </c>
      <c r="E152" t="str">
        <f t="shared" si="7"/>
        <v>ne</v>
      </c>
    </row>
    <row r="153" spans="1:5" outlineLevel="1" x14ac:dyDescent="0.3">
      <c r="A153">
        <v>0.84199999999999997</v>
      </c>
      <c r="B153">
        <v>0.84299999999999997</v>
      </c>
      <c r="C153">
        <f t="shared" si="5"/>
        <v>-7.4687908500350508E-2</v>
      </c>
      <c r="D153">
        <f t="shared" si="6"/>
        <v>-7.4172425375257686E-2</v>
      </c>
      <c r="E153" t="str">
        <f t="shared" si="7"/>
        <v>ne</v>
      </c>
    </row>
    <row r="154" spans="1:5" outlineLevel="1" x14ac:dyDescent="0.3">
      <c r="A154">
        <v>0.84499999999999997</v>
      </c>
      <c r="B154">
        <v>0.93799999999999994</v>
      </c>
      <c r="C154">
        <f t="shared" si="5"/>
        <v>-7.3143291050307674E-2</v>
      </c>
      <c r="D154">
        <f t="shared" si="6"/>
        <v>-2.7797161620935564E-2</v>
      </c>
      <c r="E154" t="str">
        <f t="shared" si="7"/>
        <v>ne</v>
      </c>
    </row>
    <row r="155" spans="1:5" outlineLevel="1" x14ac:dyDescent="0.3">
      <c r="A155">
        <v>0.85299999999999998</v>
      </c>
      <c r="B155">
        <v>0.73299999999999998</v>
      </c>
      <c r="C155">
        <f t="shared" si="5"/>
        <v>-6.905096883247698E-2</v>
      </c>
      <c r="D155">
        <f t="shared" si="6"/>
        <v>-0.13489602535887207</v>
      </c>
      <c r="E155" t="str">
        <f t="shared" si="7"/>
        <v>da</v>
      </c>
    </row>
    <row r="156" spans="1:5" outlineLevel="1" x14ac:dyDescent="0.3">
      <c r="A156">
        <v>0.85399999999999998</v>
      </c>
      <c r="B156">
        <v>0.82499999999999996</v>
      </c>
      <c r="C156">
        <f t="shared" si="5"/>
        <v>-6.8542129310994945E-2</v>
      </c>
      <c r="D156">
        <f t="shared" si="6"/>
        <v>-8.3546051450074932E-2</v>
      </c>
      <c r="E156" t="str">
        <f t="shared" si="7"/>
        <v>ne</v>
      </c>
    </row>
    <row r="157" spans="1:5" outlineLevel="1" x14ac:dyDescent="0.3">
      <c r="A157">
        <v>0.85699999999999998</v>
      </c>
      <c r="B157">
        <v>0.80900000000000005</v>
      </c>
      <c r="C157">
        <f t="shared" si="5"/>
        <v>-6.7019178076801841E-2</v>
      </c>
      <c r="D157">
        <f t="shared" si="6"/>
        <v>-9.2051478387727662E-2</v>
      </c>
      <c r="E157" t="str">
        <f t="shared" si="7"/>
        <v>ne</v>
      </c>
    </row>
    <row r="158" spans="1:5" outlineLevel="1" x14ac:dyDescent="0.3">
      <c r="A158">
        <v>0.85799999999999998</v>
      </c>
      <c r="B158">
        <v>0.86799999999999999</v>
      </c>
      <c r="C158">
        <f t="shared" ref="C158:C189" si="8">LOG10(A158)</f>
        <v>-6.6512712151294562E-2</v>
      </c>
      <c r="D158">
        <f t="shared" ref="D158:D189" si="9">LOG10(B158)</f>
        <v>-6.1480274823508103E-2</v>
      </c>
      <c r="E158" t="str">
        <f t="shared" si="7"/>
        <v>ne</v>
      </c>
    </row>
    <row r="159" spans="1:5" outlineLevel="1" x14ac:dyDescent="0.3">
      <c r="A159">
        <v>0.85899999999999999</v>
      </c>
      <c r="B159">
        <v>0.45900000000000002</v>
      </c>
      <c r="C159">
        <f t="shared" si="8"/>
        <v>-6.6006836168757702E-2</v>
      </c>
      <c r="D159">
        <f t="shared" si="9"/>
        <v>-0.33818731446273875</v>
      </c>
      <c r="E159" t="str">
        <f t="shared" si="7"/>
        <v>ne</v>
      </c>
    </row>
    <row r="160" spans="1:5" outlineLevel="1" x14ac:dyDescent="0.3">
      <c r="A160">
        <v>0.86</v>
      </c>
      <c r="B160">
        <v>0.71399999999999997</v>
      </c>
      <c r="C160">
        <f t="shared" si="8"/>
        <v>-6.5501548756432285E-2</v>
      </c>
      <c r="D160">
        <f t="shared" si="9"/>
        <v>-0.14630178822382564</v>
      </c>
      <c r="E160" t="str">
        <f t="shared" si="7"/>
        <v>da</v>
      </c>
    </row>
    <row r="161" spans="1:5" outlineLevel="1" x14ac:dyDescent="0.3">
      <c r="A161">
        <v>0.86199999999999999</v>
      </c>
      <c r="B161">
        <v>0.79900000000000004</v>
      </c>
      <c r="C161">
        <f t="shared" si="8"/>
        <v>-6.4492734175287211E-2</v>
      </c>
      <c r="D161">
        <f t="shared" si="9"/>
        <v>-9.745322068600859E-2</v>
      </c>
      <c r="E161" t="str">
        <f t="shared" si="7"/>
        <v>da</v>
      </c>
    </row>
    <row r="162" spans="1:5" outlineLevel="1" x14ac:dyDescent="0.3">
      <c r="A162">
        <v>0.86699999999999999</v>
      </c>
      <c r="B162">
        <v>0.73599999999999999</v>
      </c>
      <c r="C162">
        <f t="shared" si="8"/>
        <v>-6.198090252378971E-2</v>
      </c>
      <c r="D162">
        <f t="shared" si="9"/>
        <v>-0.13312218566250114</v>
      </c>
      <c r="E162" t="str">
        <f t="shared" si="7"/>
        <v>da</v>
      </c>
    </row>
    <row r="163" spans="1:5" outlineLevel="1" x14ac:dyDescent="0.3">
      <c r="A163">
        <v>0.86699999999999999</v>
      </c>
      <c r="B163">
        <v>0.78900000000000003</v>
      </c>
      <c r="C163">
        <f t="shared" si="8"/>
        <v>-6.198090252378971E-2</v>
      </c>
      <c r="D163">
        <f t="shared" si="9"/>
        <v>-0.10292299679057967</v>
      </c>
      <c r="E163" t="str">
        <f t="shared" si="7"/>
        <v>da</v>
      </c>
    </row>
    <row r="164" spans="1:5" outlineLevel="1" x14ac:dyDescent="0.3">
      <c r="A164">
        <v>0.86899999999999999</v>
      </c>
      <c r="B164">
        <v>0.91700000000000004</v>
      </c>
      <c r="C164">
        <f t="shared" si="8"/>
        <v>-6.0980223551333534E-2</v>
      </c>
      <c r="D164">
        <f t="shared" si="9"/>
        <v>-3.7630664329978893E-2</v>
      </c>
      <c r="E164" t="str">
        <f t="shared" si="7"/>
        <v>ne</v>
      </c>
    </row>
    <row r="165" spans="1:5" outlineLevel="1" x14ac:dyDescent="0.3">
      <c r="A165">
        <v>0.872</v>
      </c>
      <c r="B165">
        <v>0.85599999999999998</v>
      </c>
      <c r="C165">
        <f t="shared" si="8"/>
        <v>-5.9483515067432782E-2</v>
      </c>
      <c r="D165">
        <f t="shared" si="9"/>
        <v>-6.7526235322846781E-2</v>
      </c>
      <c r="E165" t="str">
        <f t="shared" si="7"/>
        <v>ne</v>
      </c>
    </row>
    <row r="166" spans="1:5" outlineLevel="1" x14ac:dyDescent="0.3">
      <c r="A166">
        <v>0.873</v>
      </c>
      <c r="B166">
        <v>0.86699999999999999</v>
      </c>
      <c r="C166">
        <f t="shared" si="8"/>
        <v>-5.8985756294430272E-2</v>
      </c>
      <c r="D166">
        <f t="shared" si="9"/>
        <v>-6.198090252378971E-2</v>
      </c>
      <c r="E166" t="str">
        <f t="shared" si="7"/>
        <v>ne</v>
      </c>
    </row>
    <row r="167" spans="1:5" outlineLevel="1" x14ac:dyDescent="0.3">
      <c r="A167">
        <v>0.875</v>
      </c>
      <c r="B167">
        <v>0.46</v>
      </c>
      <c r="C167">
        <f t="shared" si="8"/>
        <v>-5.7991946977686754E-2</v>
      </c>
      <c r="D167">
        <f t="shared" si="9"/>
        <v>-0.33724216831842591</v>
      </c>
      <c r="E167" t="str">
        <f t="shared" si="7"/>
        <v>ne</v>
      </c>
    </row>
    <row r="168" spans="1:5" outlineLevel="1" x14ac:dyDescent="0.3">
      <c r="A168">
        <v>0.875</v>
      </c>
      <c r="B168">
        <v>0.83899999999999997</v>
      </c>
      <c r="C168">
        <f t="shared" si="8"/>
        <v>-5.7991946977686754E-2</v>
      </c>
      <c r="D168">
        <f t="shared" si="9"/>
        <v>-7.6238039171299746E-2</v>
      </c>
      <c r="E168" t="str">
        <f t="shared" si="7"/>
        <v>ne</v>
      </c>
    </row>
    <row r="169" spans="1:5" outlineLevel="1" x14ac:dyDescent="0.3">
      <c r="A169">
        <v>0.876</v>
      </c>
      <c r="B169">
        <v>0.88200000000000001</v>
      </c>
      <c r="C169">
        <f t="shared" si="8"/>
        <v>-5.7495893831919269E-2</v>
      </c>
      <c r="D169">
        <f t="shared" si="9"/>
        <v>-5.4531414868180264E-2</v>
      </c>
      <c r="E169" t="str">
        <f t="shared" si="7"/>
        <v>ne</v>
      </c>
    </row>
    <row r="170" spans="1:5" outlineLevel="1" x14ac:dyDescent="0.3">
      <c r="A170">
        <v>0.876</v>
      </c>
      <c r="B170">
        <v>0.66</v>
      </c>
      <c r="C170">
        <f t="shared" si="8"/>
        <v>-5.7495893831919269E-2</v>
      </c>
      <c r="D170">
        <f t="shared" si="9"/>
        <v>-0.18045606445813131</v>
      </c>
      <c r="E170" t="str">
        <f t="shared" si="7"/>
        <v>da</v>
      </c>
    </row>
    <row r="171" spans="1:5" outlineLevel="1" x14ac:dyDescent="0.3">
      <c r="A171">
        <v>0.877</v>
      </c>
      <c r="B171">
        <v>0.68400000000000005</v>
      </c>
      <c r="C171">
        <f t="shared" si="8"/>
        <v>-5.7000406633959479E-2</v>
      </c>
      <c r="D171">
        <f t="shared" si="9"/>
        <v>-0.16494389827988373</v>
      </c>
      <c r="E171" t="str">
        <f t="shared" si="7"/>
        <v>da</v>
      </c>
    </row>
    <row r="172" spans="1:5" outlineLevel="1" x14ac:dyDescent="0.3">
      <c r="A172">
        <v>0.877</v>
      </c>
      <c r="B172">
        <v>0.88800000000000001</v>
      </c>
      <c r="C172">
        <f t="shared" si="8"/>
        <v>-5.7000406633959479E-2</v>
      </c>
      <c r="D172">
        <f t="shared" si="9"/>
        <v>-5.1587034221398972E-2</v>
      </c>
      <c r="E172" t="str">
        <f t="shared" si="7"/>
        <v>ne</v>
      </c>
    </row>
    <row r="173" spans="1:5" outlineLevel="1" x14ac:dyDescent="0.3">
      <c r="A173">
        <v>0.877</v>
      </c>
      <c r="B173">
        <v>0.68200000000000005</v>
      </c>
      <c r="C173">
        <f t="shared" si="8"/>
        <v>-5.7000406633959479E-2</v>
      </c>
      <c r="D173">
        <f t="shared" si="9"/>
        <v>-0.16621562534352105</v>
      </c>
      <c r="E173" t="str">
        <f t="shared" si="7"/>
        <v>da</v>
      </c>
    </row>
    <row r="174" spans="1:5" outlineLevel="1" x14ac:dyDescent="0.3">
      <c r="A174">
        <v>0.879</v>
      </c>
      <c r="B174">
        <v>0.36299999999999999</v>
      </c>
      <c r="C174">
        <f t="shared" si="8"/>
        <v>-5.6011124926228104E-2</v>
      </c>
      <c r="D174">
        <f t="shared" si="9"/>
        <v>-0.44009337496388751</v>
      </c>
      <c r="E174" t="str">
        <f t="shared" si="7"/>
        <v>ne</v>
      </c>
    </row>
    <row r="175" spans="1:5" outlineLevel="1" x14ac:dyDescent="0.3">
      <c r="A175">
        <v>0.88200000000000001</v>
      </c>
      <c r="B175">
        <v>0.68400000000000005</v>
      </c>
      <c r="C175">
        <f t="shared" si="8"/>
        <v>-5.4531414868180264E-2</v>
      </c>
      <c r="D175">
        <f t="shared" si="9"/>
        <v>-0.16494389827988373</v>
      </c>
      <c r="E175" t="str">
        <f t="shared" si="7"/>
        <v>da</v>
      </c>
    </row>
    <row r="176" spans="1:5" outlineLevel="1" x14ac:dyDescent="0.3">
      <c r="A176">
        <v>0.88400000000000001</v>
      </c>
      <c r="B176">
        <v>0.89500000000000002</v>
      </c>
      <c r="C176">
        <f t="shared" si="8"/>
        <v>-5.3547734986926908E-2</v>
      </c>
      <c r="D176">
        <f t="shared" si="9"/>
        <v>-4.8176964684088018E-2</v>
      </c>
      <c r="E176" t="str">
        <f t="shared" si="7"/>
        <v>ne</v>
      </c>
    </row>
    <row r="177" spans="1:5" outlineLevel="1" x14ac:dyDescent="0.3">
      <c r="A177">
        <v>0.88800000000000001</v>
      </c>
      <c r="B177">
        <v>0.68799999999999994</v>
      </c>
      <c r="C177">
        <f t="shared" si="8"/>
        <v>-5.1587034221398972E-2</v>
      </c>
      <c r="D177">
        <f t="shared" si="9"/>
        <v>-0.16241156176448873</v>
      </c>
      <c r="E177" t="str">
        <f t="shared" si="7"/>
        <v>da</v>
      </c>
    </row>
    <row r="178" spans="1:5" outlineLevel="1" x14ac:dyDescent="0.3">
      <c r="A178">
        <v>0.89</v>
      </c>
      <c r="B178">
        <v>0.88400000000000001</v>
      </c>
      <c r="C178">
        <f t="shared" si="8"/>
        <v>-5.0609993355087209E-2</v>
      </c>
      <c r="D178">
        <f t="shared" si="9"/>
        <v>-5.3547734986926908E-2</v>
      </c>
      <c r="E178" t="str">
        <f t="shared" si="7"/>
        <v>ne</v>
      </c>
    </row>
    <row r="179" spans="1:5" outlineLevel="1" x14ac:dyDescent="0.3">
      <c r="A179">
        <v>0.89200000000000002</v>
      </c>
      <c r="B179">
        <v>0.88700000000000001</v>
      </c>
      <c r="C179">
        <f t="shared" si="8"/>
        <v>-4.9635145623876928E-2</v>
      </c>
      <c r="D179">
        <f t="shared" si="9"/>
        <v>-5.2076380168273602E-2</v>
      </c>
      <c r="E179" t="str">
        <f t="shared" si="7"/>
        <v>ne</v>
      </c>
    </row>
    <row r="180" spans="1:5" outlineLevel="1" x14ac:dyDescent="0.3">
      <c r="A180">
        <v>0.89300000000000002</v>
      </c>
      <c r="B180">
        <v>0.77400000000000002</v>
      </c>
      <c r="C180">
        <f t="shared" si="8"/>
        <v>-4.9148541111453566E-2</v>
      </c>
      <c r="D180">
        <f t="shared" si="9"/>
        <v>-0.11125903931710739</v>
      </c>
      <c r="E180" t="str">
        <f t="shared" si="7"/>
        <v>da</v>
      </c>
    </row>
    <row r="181" spans="1:5" outlineLevel="1" x14ac:dyDescent="0.3">
      <c r="A181">
        <v>0.89500000000000002</v>
      </c>
      <c r="B181">
        <v>0.83899999999999997</v>
      </c>
      <c r="C181">
        <f t="shared" si="8"/>
        <v>-4.8176964684088018E-2</v>
      </c>
      <c r="D181">
        <f t="shared" si="9"/>
        <v>-7.6238039171299746E-2</v>
      </c>
      <c r="E181" t="str">
        <f t="shared" si="7"/>
        <v>ne</v>
      </c>
    </row>
    <row r="182" spans="1:5" outlineLevel="1" x14ac:dyDescent="0.3">
      <c r="A182">
        <v>0.89600000000000002</v>
      </c>
      <c r="B182">
        <v>0.59</v>
      </c>
      <c r="C182">
        <f t="shared" si="8"/>
        <v>-4.7691990337874794E-2</v>
      </c>
      <c r="D182">
        <f t="shared" si="9"/>
        <v>-0.22914798835785583</v>
      </c>
      <c r="E182" t="str">
        <f t="shared" si="7"/>
        <v>ne</v>
      </c>
    </row>
    <row r="183" spans="1:5" outlineLevel="1" x14ac:dyDescent="0.3">
      <c r="A183">
        <v>0.89700000000000002</v>
      </c>
      <c r="B183">
        <v>0.16700000000000001</v>
      </c>
      <c r="C183">
        <f t="shared" si="8"/>
        <v>-4.7207556955907906E-2</v>
      </c>
      <c r="D183">
        <f t="shared" si="9"/>
        <v>-0.77728352885241669</v>
      </c>
      <c r="E183" t="str">
        <f t="shared" si="7"/>
        <v>ne</v>
      </c>
    </row>
    <row r="184" spans="1:5" outlineLevel="1" x14ac:dyDescent="0.3">
      <c r="A184">
        <v>0.90400000000000003</v>
      </c>
      <c r="B184">
        <v>0.755</v>
      </c>
      <c r="C184">
        <f t="shared" si="8"/>
        <v>-4.3831569524636682E-2</v>
      </c>
      <c r="D184">
        <f t="shared" si="9"/>
        <v>-0.12205304837081175</v>
      </c>
      <c r="E184" t="str">
        <f t="shared" si="7"/>
        <v>da</v>
      </c>
    </row>
    <row r="185" spans="1:5" outlineLevel="1" x14ac:dyDescent="0.3">
      <c r="A185">
        <v>0.90600000000000003</v>
      </c>
      <c r="B185">
        <v>0.77500000000000002</v>
      </c>
      <c r="C185">
        <f t="shared" si="8"/>
        <v>-4.2871802323186915E-2</v>
      </c>
      <c r="D185">
        <f t="shared" si="9"/>
        <v>-0.1106982974936897</v>
      </c>
      <c r="E185" t="str">
        <f t="shared" si="7"/>
        <v>da</v>
      </c>
    </row>
    <row r="186" spans="1:5" outlineLevel="1" x14ac:dyDescent="0.3">
      <c r="A186">
        <v>0.90700000000000003</v>
      </c>
      <c r="B186">
        <v>0.38600000000000001</v>
      </c>
      <c r="C186">
        <f t="shared" si="8"/>
        <v>-4.2392712939904729E-2</v>
      </c>
      <c r="D186">
        <f t="shared" si="9"/>
        <v>-0.41341269532824504</v>
      </c>
      <c r="E186" t="str">
        <f t="shared" si="7"/>
        <v>ne</v>
      </c>
    </row>
    <row r="187" spans="1:5" outlineLevel="1" x14ac:dyDescent="0.3">
      <c r="A187">
        <v>0.90800000000000003</v>
      </c>
      <c r="B187">
        <v>0.48099999999999998</v>
      </c>
      <c r="C187">
        <f t="shared" si="8"/>
        <v>-4.1914151478914877E-2</v>
      </c>
      <c r="D187">
        <f t="shared" si="9"/>
        <v>-0.31785492362616824</v>
      </c>
      <c r="E187" t="str">
        <f t="shared" si="7"/>
        <v>ne</v>
      </c>
    </row>
    <row r="188" spans="1:5" outlineLevel="1" x14ac:dyDescent="0.3">
      <c r="A188">
        <v>0.90900000000000003</v>
      </c>
      <c r="B188">
        <v>0.52700000000000002</v>
      </c>
      <c r="C188">
        <f t="shared" si="8"/>
        <v>-4.1436116778032536E-2</v>
      </c>
      <c r="D188">
        <f t="shared" si="9"/>
        <v>-0.27818938478745336</v>
      </c>
      <c r="E188" t="str">
        <f t="shared" si="7"/>
        <v>ne</v>
      </c>
    </row>
    <row r="189" spans="1:5" outlineLevel="1" x14ac:dyDescent="0.3">
      <c r="A189">
        <v>0.91</v>
      </c>
      <c r="B189">
        <v>0.65800000000000003</v>
      </c>
      <c r="C189">
        <f t="shared" si="8"/>
        <v>-4.0958607678906384E-2</v>
      </c>
      <c r="D189">
        <f t="shared" si="9"/>
        <v>-0.18177410638604449</v>
      </c>
      <c r="E189" t="str">
        <f t="shared" si="7"/>
        <v>da</v>
      </c>
    </row>
    <row r="190" spans="1:5" outlineLevel="1" x14ac:dyDescent="0.3">
      <c r="A190">
        <v>0.91300000000000003</v>
      </c>
      <c r="B190">
        <v>0.33800000000000002</v>
      </c>
      <c r="C190">
        <f t="shared" ref="C190:C210" si="10">LOG10(A190)</f>
        <v>-3.9529222465701036E-2</v>
      </c>
      <c r="D190">
        <f t="shared" ref="D190:D210" si="11">LOG10(B190)</f>
        <v>-0.47108329972234525</v>
      </c>
      <c r="E190" t="str">
        <f t="shared" si="7"/>
        <v>ne</v>
      </c>
    </row>
    <row r="191" spans="1:5" outlineLevel="1" x14ac:dyDescent="0.3">
      <c r="A191">
        <v>0.91400000000000003</v>
      </c>
      <c r="B191">
        <v>0.442</v>
      </c>
      <c r="C191">
        <f t="shared" si="10"/>
        <v>-3.9053804266168564E-2</v>
      </c>
      <c r="D191">
        <f t="shared" si="11"/>
        <v>-0.35457773065090809</v>
      </c>
      <c r="E191" t="str">
        <f t="shared" ref="E191:E210" si="12">IF(ABS($B$211-B191)&lt;=0.1*$B$211,"da","ne")</f>
        <v>ne</v>
      </c>
    </row>
    <row r="192" spans="1:5" outlineLevel="1" x14ac:dyDescent="0.3">
      <c r="A192">
        <v>0.91500000000000004</v>
      </c>
      <c r="B192">
        <v>0.41499999999999998</v>
      </c>
      <c r="C192">
        <f t="shared" si="10"/>
        <v>-3.8578905933551705E-2</v>
      </c>
      <c r="D192">
        <f t="shared" si="11"/>
        <v>-0.38195190328790729</v>
      </c>
      <c r="E192" t="str">
        <f t="shared" si="12"/>
        <v>ne</v>
      </c>
    </row>
    <row r="193" spans="1:5" outlineLevel="1" x14ac:dyDescent="0.3">
      <c r="A193">
        <v>0.91700000000000004</v>
      </c>
      <c r="B193">
        <v>0.74199999999999999</v>
      </c>
      <c r="C193">
        <f t="shared" si="10"/>
        <v>-3.7630664329978893E-2</v>
      </c>
      <c r="D193">
        <f t="shared" si="11"/>
        <v>-0.12959609472097294</v>
      </c>
      <c r="E193" t="str">
        <f t="shared" si="12"/>
        <v>da</v>
      </c>
    </row>
    <row r="194" spans="1:5" outlineLevel="1" x14ac:dyDescent="0.3">
      <c r="A194">
        <v>0.91900000000000004</v>
      </c>
      <c r="B194">
        <v>0.29199999999999998</v>
      </c>
      <c r="C194">
        <f t="shared" si="10"/>
        <v>-3.6684488613888719E-2</v>
      </c>
      <c r="D194">
        <f t="shared" si="11"/>
        <v>-0.53461714855158171</v>
      </c>
      <c r="E194" t="str">
        <f t="shared" si="12"/>
        <v>ne</v>
      </c>
    </row>
    <row r="195" spans="1:5" outlineLevel="1" x14ac:dyDescent="0.3">
      <c r="A195">
        <v>0.92500000000000004</v>
      </c>
      <c r="B195">
        <v>0.72199999999999998</v>
      </c>
      <c r="C195">
        <f t="shared" si="10"/>
        <v>-3.385826726096737E-2</v>
      </c>
      <c r="D195">
        <f t="shared" si="11"/>
        <v>-0.14146280243036088</v>
      </c>
      <c r="E195" t="str">
        <f t="shared" si="12"/>
        <v>da</v>
      </c>
    </row>
    <row r="196" spans="1:5" outlineLevel="1" x14ac:dyDescent="0.3">
      <c r="A196">
        <v>0.92700000000000005</v>
      </c>
      <c r="B196">
        <v>0.65300000000000002</v>
      </c>
      <c r="C196">
        <f t="shared" si="10"/>
        <v>-3.2920265855502902E-2</v>
      </c>
      <c r="D196">
        <f t="shared" si="11"/>
        <v>-0.18508681872492605</v>
      </c>
      <c r="E196" t="str">
        <f t="shared" si="12"/>
        <v>ne</v>
      </c>
    </row>
    <row r="197" spans="1:5" outlineLevel="1" x14ac:dyDescent="0.3">
      <c r="A197">
        <v>0.92700000000000005</v>
      </c>
      <c r="B197">
        <v>8.2000000000000003E-2</v>
      </c>
      <c r="C197">
        <f t="shared" si="10"/>
        <v>-3.2920265855502902E-2</v>
      </c>
      <c r="D197">
        <f t="shared" si="11"/>
        <v>-1.0861861476162833</v>
      </c>
      <c r="E197" t="str">
        <f t="shared" si="12"/>
        <v>ne</v>
      </c>
    </row>
    <row r="198" spans="1:5" outlineLevel="1" x14ac:dyDescent="0.3">
      <c r="A198">
        <v>0.92900000000000005</v>
      </c>
      <c r="B198">
        <v>0.24199999999999999</v>
      </c>
      <c r="C198">
        <f t="shared" si="10"/>
        <v>-3.1984286006358213E-2</v>
      </c>
      <c r="D198">
        <f t="shared" si="11"/>
        <v>-0.61618463401956869</v>
      </c>
      <c r="E198" t="str">
        <f t="shared" si="12"/>
        <v>ne</v>
      </c>
    </row>
    <row r="199" spans="1:5" outlineLevel="1" x14ac:dyDescent="0.3">
      <c r="A199">
        <v>0.93200000000000005</v>
      </c>
      <c r="B199">
        <v>0.58899999999999997</v>
      </c>
      <c r="C199">
        <f t="shared" si="10"/>
        <v>-3.0584087646018613E-2</v>
      </c>
      <c r="D199">
        <f t="shared" si="11"/>
        <v>-0.22988470521289839</v>
      </c>
      <c r="E199" t="str">
        <f t="shared" si="12"/>
        <v>ne</v>
      </c>
    </row>
    <row r="200" spans="1:5" outlineLevel="1" x14ac:dyDescent="0.3">
      <c r="A200">
        <v>0.93400000000000005</v>
      </c>
      <c r="B200">
        <v>0.80900000000000005</v>
      </c>
      <c r="C200">
        <f t="shared" si="10"/>
        <v>-2.9653123769906618E-2</v>
      </c>
      <c r="D200">
        <f t="shared" si="11"/>
        <v>-9.2051478387727662E-2</v>
      </c>
      <c r="E200" t="str">
        <f t="shared" si="12"/>
        <v>ne</v>
      </c>
    </row>
    <row r="201" spans="1:5" outlineLevel="1" x14ac:dyDescent="0.3">
      <c r="A201">
        <v>0.93500000000000005</v>
      </c>
      <c r="B201">
        <v>0.90800000000000003</v>
      </c>
      <c r="C201">
        <f t="shared" si="10"/>
        <v>-2.91883891274822E-2</v>
      </c>
      <c r="D201">
        <f t="shared" si="11"/>
        <v>-4.1914151478914877E-2</v>
      </c>
      <c r="E201" t="str">
        <f t="shared" si="12"/>
        <v>ne</v>
      </c>
    </row>
    <row r="202" spans="1:5" outlineLevel="1" x14ac:dyDescent="0.3">
      <c r="A202">
        <v>0.94</v>
      </c>
      <c r="B202">
        <v>0.79600000000000004</v>
      </c>
      <c r="C202">
        <f t="shared" si="10"/>
        <v>-2.6872146400301365E-2</v>
      </c>
      <c r="D202">
        <f t="shared" si="11"/>
        <v>-9.9086932262330937E-2</v>
      </c>
      <c r="E202" t="str">
        <f t="shared" si="12"/>
        <v>da</v>
      </c>
    </row>
    <row r="203" spans="1:5" outlineLevel="1" x14ac:dyDescent="0.3">
      <c r="A203">
        <v>0.94499999999999995</v>
      </c>
      <c r="B203">
        <v>0.23699999999999999</v>
      </c>
      <c r="C203">
        <f t="shared" si="10"/>
        <v>-2.4568191490737076E-2</v>
      </c>
      <c r="D203">
        <f t="shared" si="11"/>
        <v>-0.62525165398989613</v>
      </c>
      <c r="E203" t="str">
        <f t="shared" si="12"/>
        <v>ne</v>
      </c>
    </row>
    <row r="204" spans="1:5" outlineLevel="1" x14ac:dyDescent="0.3">
      <c r="A204">
        <v>0.94599999999999995</v>
      </c>
      <c r="B204">
        <v>0.17899999999999999</v>
      </c>
      <c r="C204">
        <f t="shared" si="10"/>
        <v>-2.4108863598207259E-2</v>
      </c>
      <c r="D204">
        <f t="shared" si="11"/>
        <v>-0.7471469690201068</v>
      </c>
      <c r="E204" t="str">
        <f t="shared" si="12"/>
        <v>ne</v>
      </c>
    </row>
    <row r="205" spans="1:5" outlineLevel="1" x14ac:dyDescent="0.3">
      <c r="A205">
        <v>0.94899999999999995</v>
      </c>
      <c r="B205">
        <v>0.186</v>
      </c>
      <c r="C205">
        <f t="shared" si="10"/>
        <v>-2.2733787572707352E-2</v>
      </c>
      <c r="D205">
        <f t="shared" si="11"/>
        <v>-0.73048705578208373</v>
      </c>
      <c r="E205" t="str">
        <f t="shared" si="12"/>
        <v>ne</v>
      </c>
    </row>
    <row r="206" spans="1:5" outlineLevel="1" x14ac:dyDescent="0.3">
      <c r="A206">
        <v>0.94899999999999995</v>
      </c>
      <c r="B206">
        <v>0.80600000000000005</v>
      </c>
      <c r="C206">
        <f t="shared" si="10"/>
        <v>-2.2733787572707352E-2</v>
      </c>
      <c r="D206">
        <f t="shared" si="11"/>
        <v>-9.3664958194909331E-2</v>
      </c>
      <c r="E206" t="str">
        <f t="shared" si="12"/>
        <v>ne</v>
      </c>
    </row>
    <row r="207" spans="1:5" outlineLevel="1" x14ac:dyDescent="0.3">
      <c r="A207">
        <v>0.95499999999999996</v>
      </c>
      <c r="B207">
        <v>0.67300000000000004</v>
      </c>
      <c r="C207">
        <f t="shared" si="10"/>
        <v>-1.9996628416253676E-2</v>
      </c>
      <c r="D207">
        <f t="shared" si="11"/>
        <v>-0.17198493577602311</v>
      </c>
      <c r="E207" t="str">
        <f t="shared" si="12"/>
        <v>da</v>
      </c>
    </row>
    <row r="208" spans="1:5" outlineLevel="1" x14ac:dyDescent="0.3">
      <c r="A208">
        <v>0.95899999999999996</v>
      </c>
      <c r="B208">
        <v>0.84299999999999997</v>
      </c>
      <c r="C208">
        <f t="shared" si="10"/>
        <v>-1.8181392829336417E-2</v>
      </c>
      <c r="D208">
        <f t="shared" si="11"/>
        <v>-7.4172425375257686E-2</v>
      </c>
      <c r="E208" t="str">
        <f t="shared" si="12"/>
        <v>ne</v>
      </c>
    </row>
    <row r="209" spans="1:5" outlineLevel="1" x14ac:dyDescent="0.3">
      <c r="A209">
        <v>0.96</v>
      </c>
      <c r="B209">
        <v>0.27</v>
      </c>
      <c r="C209">
        <f t="shared" si="10"/>
        <v>-1.7728766960431602E-2</v>
      </c>
      <c r="D209">
        <f t="shared" si="11"/>
        <v>-0.56863623584101264</v>
      </c>
      <c r="E209" t="str">
        <f t="shared" si="12"/>
        <v>ne</v>
      </c>
    </row>
    <row r="210" spans="1:5" outlineLevel="1" x14ac:dyDescent="0.3">
      <c r="A210">
        <v>0.97</v>
      </c>
      <c r="B210">
        <v>0.51500000000000001</v>
      </c>
      <c r="C210">
        <f t="shared" si="10"/>
        <v>-1.322826573375516E-2</v>
      </c>
      <c r="D210">
        <f t="shared" si="11"/>
        <v>-0.28819277095880896</v>
      </c>
      <c r="E210" t="str">
        <f t="shared" si="12"/>
        <v>ne</v>
      </c>
    </row>
    <row r="211" spans="1:5" x14ac:dyDescent="0.3">
      <c r="B211">
        <f>AVERAGE(B62:B210)</f>
        <v>0.72744966442953019</v>
      </c>
    </row>
    <row r="212" spans="1:5" outlineLevel="1" x14ac:dyDescent="0.3">
      <c r="A212" cm="1">
        <f t="array" ref="A212:D262">_xlfn._xlws.FILTER(A62:D210,E62:E210="da")</f>
        <v>0.48</v>
      </c>
      <c r="B212">
        <v>0.752</v>
      </c>
      <c r="C212">
        <v>-0.31875876262441277</v>
      </c>
      <c r="D212">
        <v>-0.12378215940835775</v>
      </c>
    </row>
    <row r="213" spans="1:5" outlineLevel="1" x14ac:dyDescent="0.3">
      <c r="A213">
        <v>0.54800000000000004</v>
      </c>
      <c r="B213">
        <v>0.78100000000000003</v>
      </c>
      <c r="C213">
        <v>-0.26121944151563081</v>
      </c>
      <c r="D213">
        <v>-0.10734896612269966</v>
      </c>
    </row>
    <row r="214" spans="1:5" outlineLevel="1" x14ac:dyDescent="0.3">
      <c r="A214">
        <v>0.56100000000000005</v>
      </c>
      <c r="B214">
        <v>0.73099999999999998</v>
      </c>
      <c r="C214">
        <v>-0.25103713874383854</v>
      </c>
      <c r="D214">
        <v>-0.13608262304213956</v>
      </c>
    </row>
    <row r="215" spans="1:5" outlineLevel="1" x14ac:dyDescent="0.3">
      <c r="A215">
        <v>0.57599999999999996</v>
      </c>
      <c r="B215">
        <v>0.77600000000000002</v>
      </c>
      <c r="C215">
        <v>-0.239577516576788</v>
      </c>
      <c r="D215">
        <v>-0.11013827874181155</v>
      </c>
    </row>
    <row r="216" spans="1:5" outlineLevel="1" x14ac:dyDescent="0.3">
      <c r="A216">
        <v>0.59299999999999997</v>
      </c>
      <c r="B216">
        <v>0.72099999999999997</v>
      </c>
      <c r="C216">
        <v>-0.22694530663573742</v>
      </c>
      <c r="D216">
        <v>-0.14206473528057098</v>
      </c>
    </row>
    <row r="217" spans="1:5" outlineLevel="1" x14ac:dyDescent="0.3">
      <c r="A217">
        <v>0.60199999999999998</v>
      </c>
      <c r="B217">
        <v>0.8</v>
      </c>
      <c r="C217">
        <v>-0.22040350874217546</v>
      </c>
      <c r="D217">
        <v>-9.6910013008056392E-2</v>
      </c>
    </row>
    <row r="218" spans="1:5" outlineLevel="1" x14ac:dyDescent="0.3">
      <c r="A218">
        <v>0.60799999999999998</v>
      </c>
      <c r="B218">
        <v>0.71399999999999997</v>
      </c>
      <c r="C218">
        <v>-0.21609642072726507</v>
      </c>
      <c r="D218">
        <v>-0.14630178822382564</v>
      </c>
    </row>
    <row r="219" spans="1:5" outlineLevel="1" x14ac:dyDescent="0.3">
      <c r="A219">
        <v>0.61899999999999999</v>
      </c>
      <c r="B219">
        <v>0.77200000000000002</v>
      </c>
      <c r="C219">
        <v>-0.20830935097988201</v>
      </c>
      <c r="D219">
        <v>-0.11238269966426384</v>
      </c>
    </row>
    <row r="220" spans="1:5" outlineLevel="1" x14ac:dyDescent="0.3">
      <c r="A220">
        <v>0.64700000000000002</v>
      </c>
      <c r="B220">
        <v>0.70799999999999996</v>
      </c>
      <c r="C220">
        <v>-0.18909571933129959</v>
      </c>
      <c r="D220">
        <v>-0.14996674231023099</v>
      </c>
    </row>
    <row r="221" spans="1:5" outlineLevel="1" x14ac:dyDescent="0.3">
      <c r="A221">
        <v>0.67200000000000004</v>
      </c>
      <c r="B221">
        <v>0.72699999999999998</v>
      </c>
      <c r="C221">
        <v>-0.17263072694617473</v>
      </c>
      <c r="D221">
        <v>-0.13846558914096219</v>
      </c>
    </row>
    <row r="222" spans="1:5" outlineLevel="1" x14ac:dyDescent="0.3">
      <c r="A222">
        <v>0.69499999999999995</v>
      </c>
      <c r="B222">
        <v>0.745</v>
      </c>
      <c r="C222">
        <v>-0.15801519540988615</v>
      </c>
      <c r="D222">
        <v>-0.12784372725170717</v>
      </c>
    </row>
    <row r="223" spans="1:5" outlineLevel="1" x14ac:dyDescent="0.3">
      <c r="A223">
        <v>0.69499999999999995</v>
      </c>
      <c r="B223">
        <v>0.748</v>
      </c>
      <c r="C223">
        <v>-0.15801519540988615</v>
      </c>
      <c r="D223">
        <v>-0.12609840213553863</v>
      </c>
    </row>
    <row r="224" spans="1:5" outlineLevel="1" x14ac:dyDescent="0.3">
      <c r="A224">
        <v>0.69699999999999995</v>
      </c>
      <c r="B224">
        <v>0.746</v>
      </c>
      <c r="C224">
        <v>-0.15676722190199061</v>
      </c>
      <c r="D224">
        <v>-0.12726117252733121</v>
      </c>
    </row>
    <row r="225" spans="1:4" outlineLevel="1" x14ac:dyDescent="0.3">
      <c r="A225">
        <v>0.69699999999999995</v>
      </c>
      <c r="B225">
        <v>0.76600000000000001</v>
      </c>
      <c r="C225">
        <v>-0.15676722190199061</v>
      </c>
      <c r="D225">
        <v>-0.11577123036739606</v>
      </c>
    </row>
    <row r="226" spans="1:4" outlineLevel="1" x14ac:dyDescent="0.3">
      <c r="A226">
        <v>0.71499999999999997</v>
      </c>
      <c r="B226">
        <v>0.8</v>
      </c>
      <c r="C226">
        <v>-0.14569395819891939</v>
      </c>
      <c r="D226">
        <v>-9.6910013008056392E-2</v>
      </c>
    </row>
    <row r="227" spans="1:4" outlineLevel="1" x14ac:dyDescent="0.3">
      <c r="A227">
        <v>0.72599999999999998</v>
      </c>
      <c r="B227">
        <v>0.78700000000000003</v>
      </c>
      <c r="C227">
        <v>-0.13906337929990631</v>
      </c>
      <c r="D227">
        <v>-0.10402526764093542</v>
      </c>
    </row>
    <row r="228" spans="1:4" outlineLevel="1" x14ac:dyDescent="0.3">
      <c r="A228">
        <v>0.74099999999999999</v>
      </c>
      <c r="B228">
        <v>0.79400000000000004</v>
      </c>
      <c r="C228">
        <v>-0.13018179202067184</v>
      </c>
      <c r="D228">
        <v>-0.10017949757290372</v>
      </c>
    </row>
    <row r="229" spans="1:4" outlineLevel="1" x14ac:dyDescent="0.3">
      <c r="A229">
        <v>0.749</v>
      </c>
      <c r="B229">
        <v>0.79500000000000004</v>
      </c>
      <c r="C229">
        <v>-0.12551818230053352</v>
      </c>
      <c r="D229">
        <v>-9.9632871343529689E-2</v>
      </c>
    </row>
    <row r="230" spans="1:4" outlineLevel="1" x14ac:dyDescent="0.3">
      <c r="A230">
        <v>0.752</v>
      </c>
      <c r="B230">
        <v>0.76100000000000001</v>
      </c>
      <c r="C230">
        <v>-0.12378215940835775</v>
      </c>
      <c r="D230">
        <v>-0.11861534322942717</v>
      </c>
    </row>
    <row r="231" spans="1:4" outlineLevel="1" x14ac:dyDescent="0.3">
      <c r="A231">
        <v>0.755</v>
      </c>
      <c r="B231">
        <v>0.70499999999999996</v>
      </c>
      <c r="C231">
        <v>-0.12205304837081175</v>
      </c>
      <c r="D231">
        <v>-0.15181088300860132</v>
      </c>
    </row>
    <row r="232" spans="1:4" outlineLevel="1" x14ac:dyDescent="0.3">
      <c r="A232">
        <v>0.75700000000000001</v>
      </c>
      <c r="B232">
        <v>0.66100000000000003</v>
      </c>
      <c r="C232">
        <v>-0.12090412049992724</v>
      </c>
      <c r="D232">
        <v>-0.17979854051435976</v>
      </c>
    </row>
    <row r="233" spans="1:4" outlineLevel="1" x14ac:dyDescent="0.3">
      <c r="A233">
        <v>0.76100000000000001</v>
      </c>
      <c r="B233">
        <v>0.745</v>
      </c>
      <c r="C233">
        <v>-0.11861534322942717</v>
      </c>
      <c r="D233">
        <v>-0.12784372725170717</v>
      </c>
    </row>
    <row r="234" spans="1:4" outlineLevel="1" x14ac:dyDescent="0.3">
      <c r="A234">
        <v>0.77100000000000002</v>
      </c>
      <c r="B234">
        <v>0.66700000000000004</v>
      </c>
      <c r="C234">
        <v>-0.11294562194904302</v>
      </c>
      <c r="D234">
        <v>-0.17587416608345102</v>
      </c>
    </row>
    <row r="235" spans="1:4" outlineLevel="1" x14ac:dyDescent="0.3">
      <c r="A235">
        <v>0.78</v>
      </c>
      <c r="B235">
        <v>0.72899999999999998</v>
      </c>
      <c r="C235">
        <v>-0.10790539730951958</v>
      </c>
      <c r="D235">
        <v>-0.13727247168202539</v>
      </c>
    </row>
    <row r="236" spans="1:4" outlineLevel="1" x14ac:dyDescent="0.3">
      <c r="A236">
        <v>0.78200000000000003</v>
      </c>
      <c r="B236">
        <v>0.72699999999999998</v>
      </c>
      <c r="C236">
        <v>-0.10679324694015198</v>
      </c>
      <c r="D236">
        <v>-0.13846558914096219</v>
      </c>
    </row>
    <row r="237" spans="1:4" outlineLevel="1" x14ac:dyDescent="0.3">
      <c r="A237">
        <v>0.78300000000000003</v>
      </c>
      <c r="B237">
        <v>0.65500000000000003</v>
      </c>
      <c r="C237">
        <v>-0.10623823794205658</v>
      </c>
      <c r="D237">
        <v>-0.18375870000821692</v>
      </c>
    </row>
    <row r="238" spans="1:4" outlineLevel="1" x14ac:dyDescent="0.3">
      <c r="A238">
        <v>0.78400000000000003</v>
      </c>
      <c r="B238">
        <v>0.72099999999999997</v>
      </c>
      <c r="C238">
        <v>-0.10568393731556154</v>
      </c>
      <c r="D238">
        <v>-0.14206473528057098</v>
      </c>
    </row>
    <row r="239" spans="1:4" outlineLevel="1" x14ac:dyDescent="0.3">
      <c r="A239">
        <v>0.8</v>
      </c>
      <c r="B239">
        <v>0.753</v>
      </c>
      <c r="C239">
        <v>-9.6910013008056392E-2</v>
      </c>
      <c r="D239">
        <v>-0.12320502379929942</v>
      </c>
    </row>
    <row r="240" spans="1:4" outlineLevel="1" x14ac:dyDescent="0.3">
      <c r="A240">
        <v>0.80400000000000005</v>
      </c>
      <c r="B240">
        <v>0.75600000000000001</v>
      </c>
      <c r="C240">
        <v>-9.4743951251548705E-2</v>
      </c>
      <c r="D240">
        <v>-0.12147820449879346</v>
      </c>
    </row>
    <row r="241" spans="1:4" outlineLevel="1" x14ac:dyDescent="0.3">
      <c r="A241">
        <v>0.80600000000000005</v>
      </c>
      <c r="B241">
        <v>0.69299999999999995</v>
      </c>
      <c r="C241">
        <v>-9.3664958194909331E-2</v>
      </c>
      <c r="D241">
        <v>-0.15926676538819329</v>
      </c>
    </row>
    <row r="242" spans="1:4" outlineLevel="1" x14ac:dyDescent="0.3">
      <c r="A242">
        <v>0.83599999999999997</v>
      </c>
      <c r="B242">
        <v>0.66400000000000003</v>
      </c>
      <c r="C242">
        <v>-7.779372256098363E-2</v>
      </c>
      <c r="D242">
        <v>-0.1778319206319825</v>
      </c>
    </row>
    <row r="243" spans="1:4" outlineLevel="1" x14ac:dyDescent="0.3">
      <c r="A243">
        <v>0.83699999999999997</v>
      </c>
      <c r="B243">
        <v>0.69799999999999995</v>
      </c>
      <c r="C243">
        <v>-7.7274542006740027E-2</v>
      </c>
      <c r="D243">
        <v>-0.15614457737683893</v>
      </c>
    </row>
    <row r="244" spans="1:4" outlineLevel="1" x14ac:dyDescent="0.3">
      <c r="A244">
        <v>0.84099999999999997</v>
      </c>
      <c r="B244">
        <v>0.73499999999999999</v>
      </c>
      <c r="C244">
        <v>-7.5204004202087837E-2</v>
      </c>
      <c r="D244">
        <v>-0.13371266091580511</v>
      </c>
    </row>
    <row r="245" spans="1:4" outlineLevel="1" x14ac:dyDescent="0.3">
      <c r="A245">
        <v>0.85299999999999998</v>
      </c>
      <c r="B245">
        <v>0.73299999999999998</v>
      </c>
      <c r="C245">
        <v>-6.905096883247698E-2</v>
      </c>
      <c r="D245">
        <v>-0.13489602535887207</v>
      </c>
    </row>
    <row r="246" spans="1:4" outlineLevel="1" x14ac:dyDescent="0.3">
      <c r="A246">
        <v>0.86</v>
      </c>
      <c r="B246">
        <v>0.71399999999999997</v>
      </c>
      <c r="C246">
        <v>-6.5501548756432285E-2</v>
      </c>
      <c r="D246">
        <v>-0.14630178822382564</v>
      </c>
    </row>
    <row r="247" spans="1:4" outlineLevel="1" x14ac:dyDescent="0.3">
      <c r="A247">
        <v>0.86199999999999999</v>
      </c>
      <c r="B247">
        <v>0.79900000000000004</v>
      </c>
      <c r="C247">
        <v>-6.4492734175287211E-2</v>
      </c>
      <c r="D247">
        <v>-9.745322068600859E-2</v>
      </c>
    </row>
    <row r="248" spans="1:4" outlineLevel="1" x14ac:dyDescent="0.3">
      <c r="A248">
        <v>0.86699999999999999</v>
      </c>
      <c r="B248">
        <v>0.73599999999999999</v>
      </c>
      <c r="C248">
        <v>-6.198090252378971E-2</v>
      </c>
      <c r="D248">
        <v>-0.13312218566250114</v>
      </c>
    </row>
    <row r="249" spans="1:4" outlineLevel="1" x14ac:dyDescent="0.3">
      <c r="A249">
        <v>0.86699999999999999</v>
      </c>
      <c r="B249">
        <v>0.78900000000000003</v>
      </c>
      <c r="C249">
        <v>-6.198090252378971E-2</v>
      </c>
      <c r="D249">
        <v>-0.10292299679057967</v>
      </c>
    </row>
    <row r="250" spans="1:4" outlineLevel="1" x14ac:dyDescent="0.3">
      <c r="A250">
        <v>0.876</v>
      </c>
      <c r="B250">
        <v>0.66</v>
      </c>
      <c r="C250">
        <v>-5.7495893831919269E-2</v>
      </c>
      <c r="D250">
        <v>-0.18045606445813131</v>
      </c>
    </row>
    <row r="251" spans="1:4" outlineLevel="1" x14ac:dyDescent="0.3">
      <c r="A251">
        <v>0.877</v>
      </c>
      <c r="B251">
        <v>0.68400000000000005</v>
      </c>
      <c r="C251">
        <v>-5.7000406633959479E-2</v>
      </c>
      <c r="D251">
        <v>-0.16494389827988373</v>
      </c>
    </row>
    <row r="252" spans="1:4" outlineLevel="1" x14ac:dyDescent="0.3">
      <c r="A252">
        <v>0.877</v>
      </c>
      <c r="B252">
        <v>0.68200000000000005</v>
      </c>
      <c r="C252">
        <v>-5.7000406633959479E-2</v>
      </c>
      <c r="D252">
        <v>-0.16621562534352105</v>
      </c>
    </row>
    <row r="253" spans="1:4" outlineLevel="1" x14ac:dyDescent="0.3">
      <c r="A253">
        <v>0.88200000000000001</v>
      </c>
      <c r="B253">
        <v>0.68400000000000005</v>
      </c>
      <c r="C253">
        <v>-5.4531414868180264E-2</v>
      </c>
      <c r="D253">
        <v>-0.16494389827988373</v>
      </c>
    </row>
    <row r="254" spans="1:4" outlineLevel="1" x14ac:dyDescent="0.3">
      <c r="A254">
        <v>0.88800000000000001</v>
      </c>
      <c r="B254">
        <v>0.68799999999999994</v>
      </c>
      <c r="C254">
        <v>-5.1587034221398972E-2</v>
      </c>
      <c r="D254">
        <v>-0.16241156176448873</v>
      </c>
    </row>
    <row r="255" spans="1:4" outlineLevel="1" x14ac:dyDescent="0.3">
      <c r="A255">
        <v>0.89300000000000002</v>
      </c>
      <c r="B255">
        <v>0.77400000000000002</v>
      </c>
      <c r="C255">
        <v>-4.9148541111453566E-2</v>
      </c>
      <c r="D255">
        <v>-0.11125903931710739</v>
      </c>
    </row>
    <row r="256" spans="1:4" outlineLevel="1" x14ac:dyDescent="0.3">
      <c r="A256">
        <v>0.90400000000000003</v>
      </c>
      <c r="B256">
        <v>0.755</v>
      </c>
      <c r="C256">
        <v>-4.3831569524636682E-2</v>
      </c>
      <c r="D256">
        <v>-0.12205304837081175</v>
      </c>
    </row>
    <row r="257" spans="1:4" outlineLevel="1" x14ac:dyDescent="0.3">
      <c r="A257">
        <v>0.90600000000000003</v>
      </c>
      <c r="B257">
        <v>0.77500000000000002</v>
      </c>
      <c r="C257">
        <v>-4.2871802323186915E-2</v>
      </c>
      <c r="D257">
        <v>-0.1106982974936897</v>
      </c>
    </row>
    <row r="258" spans="1:4" outlineLevel="1" x14ac:dyDescent="0.3">
      <c r="A258">
        <v>0.91</v>
      </c>
      <c r="B258">
        <v>0.65800000000000003</v>
      </c>
      <c r="C258">
        <v>-4.0958607678906384E-2</v>
      </c>
      <c r="D258">
        <v>-0.18177410638604449</v>
      </c>
    </row>
    <row r="259" spans="1:4" outlineLevel="1" x14ac:dyDescent="0.3">
      <c r="A259">
        <v>0.91700000000000004</v>
      </c>
      <c r="B259">
        <v>0.74199999999999999</v>
      </c>
      <c r="C259">
        <v>-3.7630664329978893E-2</v>
      </c>
      <c r="D259">
        <v>-0.12959609472097294</v>
      </c>
    </row>
    <row r="260" spans="1:4" outlineLevel="1" x14ac:dyDescent="0.3">
      <c r="A260">
        <v>0.92500000000000004</v>
      </c>
      <c r="B260">
        <v>0.72199999999999998</v>
      </c>
      <c r="C260">
        <v>-3.385826726096737E-2</v>
      </c>
      <c r="D260">
        <v>-0.14146280243036088</v>
      </c>
    </row>
    <row r="261" spans="1:4" outlineLevel="1" x14ac:dyDescent="0.3">
      <c r="A261">
        <v>0.94</v>
      </c>
      <c r="B261">
        <v>0.79600000000000004</v>
      </c>
      <c r="C261">
        <v>-2.6872146400301365E-2</v>
      </c>
      <c r="D261">
        <v>-9.9086932262330937E-2</v>
      </c>
    </row>
    <row r="262" spans="1:4" outlineLevel="1" x14ac:dyDescent="0.3">
      <c r="A262">
        <v>0.95499999999999996</v>
      </c>
      <c r="B262">
        <v>0.67300000000000004</v>
      </c>
      <c r="C262">
        <v>-1.9996628416253676E-2</v>
      </c>
      <c r="D262">
        <v>-0.17198493577602311</v>
      </c>
    </row>
  </sheetData>
  <sortState xmlns:xlrd2="http://schemas.microsoft.com/office/spreadsheetml/2017/richdata2" ref="C62:D210">
    <sortCondition ref="C62:C210"/>
  </sortState>
  <dataConsolidate/>
  <conditionalFormatting sqref="B61:B210">
    <cfRule type="cellIs" dxfId="2" priority="1" operator="lessThan">
      <formula>0.2</formula>
    </cfRule>
  </conditionalFormatting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A557B-EC7E-42C4-A3B2-2E37838878E7}">
  <dimension ref="A1:K150"/>
  <sheetViews>
    <sheetView workbookViewId="0">
      <selection activeCell="V26" sqref="V26"/>
    </sheetView>
  </sheetViews>
  <sheetFormatPr defaultRowHeight="14.4" x14ac:dyDescent="0.3"/>
  <sheetData>
    <row r="1" spans="1:11" ht="15.6" x14ac:dyDescent="0.3">
      <c r="A1" t="s">
        <v>8</v>
      </c>
      <c r="B1" t="s">
        <v>10</v>
      </c>
      <c r="J1" s="6" t="s">
        <v>214</v>
      </c>
    </row>
    <row r="2" spans="1:11" x14ac:dyDescent="0.3">
      <c r="A2" s="1">
        <v>48478</v>
      </c>
      <c r="B2">
        <v>4.1000000000000002E-2</v>
      </c>
      <c r="J2" t="s">
        <v>216</v>
      </c>
    </row>
    <row r="3" spans="1:11" x14ac:dyDescent="0.3">
      <c r="A3" s="1">
        <v>48700</v>
      </c>
      <c r="B3">
        <v>-0.13100000000000001</v>
      </c>
      <c r="J3">
        <f>CORREL(podatki!$I$2:$I$150,podatki!$K$2:$K$150)</f>
        <v>-0.16175028008919037</v>
      </c>
      <c r="K3" t="s">
        <v>215</v>
      </c>
    </row>
    <row r="4" spans="1:11" x14ac:dyDescent="0.3">
      <c r="A4" s="1">
        <v>50102</v>
      </c>
      <c r="B4">
        <v>3.6999999999999998E-2</v>
      </c>
      <c r="J4" t="s">
        <v>217</v>
      </c>
    </row>
    <row r="5" spans="1:11" x14ac:dyDescent="0.3">
      <c r="A5" s="1">
        <v>50114</v>
      </c>
      <c r="B5">
        <v>-1.6E-2</v>
      </c>
    </row>
    <row r="6" spans="1:11" x14ac:dyDescent="0.3">
      <c r="A6" s="1">
        <v>50833</v>
      </c>
      <c r="B6">
        <v>-0.185</v>
      </c>
    </row>
    <row r="7" spans="1:11" x14ac:dyDescent="0.3">
      <c r="A7" s="1">
        <v>51651</v>
      </c>
      <c r="B7">
        <v>8.4000000000000005E-2</v>
      </c>
    </row>
    <row r="8" spans="1:11" x14ac:dyDescent="0.3">
      <c r="A8" s="1">
        <v>51969</v>
      </c>
      <c r="B8">
        <v>-3.5999999999999997E-2</v>
      </c>
    </row>
    <row r="9" spans="1:11" x14ac:dyDescent="0.3">
      <c r="A9" s="1">
        <v>52493</v>
      </c>
      <c r="B9">
        <v>-0.10199999999999999</v>
      </c>
    </row>
    <row r="10" spans="1:11" x14ac:dyDescent="0.3">
      <c r="A10" s="1">
        <v>53400</v>
      </c>
      <c r="B10">
        <v>-2.4E-2</v>
      </c>
    </row>
    <row r="11" spans="1:11" x14ac:dyDescent="0.3">
      <c r="A11" s="1">
        <v>53515</v>
      </c>
      <c r="B11">
        <v>2.5999999999999999E-2</v>
      </c>
    </row>
    <row r="12" spans="1:11" x14ac:dyDescent="0.3">
      <c r="A12" s="1">
        <v>53780</v>
      </c>
      <c r="B12">
        <v>1.7999999999999999E-2</v>
      </c>
    </row>
    <row r="13" spans="1:11" x14ac:dyDescent="0.3">
      <c r="A13" s="1">
        <v>54151</v>
      </c>
      <c r="B13">
        <v>-8.9999999999999993E-3</v>
      </c>
    </row>
    <row r="14" spans="1:11" x14ac:dyDescent="0.3">
      <c r="A14" s="1">
        <v>54706</v>
      </c>
      <c r="B14">
        <v>6.0999999999999999E-2</v>
      </c>
    </row>
    <row r="15" spans="1:11" x14ac:dyDescent="0.3">
      <c r="A15" s="1">
        <v>54713</v>
      </c>
      <c r="B15">
        <v>-3.4000000000000002E-2</v>
      </c>
    </row>
    <row r="16" spans="1:11" x14ac:dyDescent="0.3">
      <c r="A16" s="1">
        <v>54914</v>
      </c>
      <c r="B16">
        <v>3.2000000000000001E-2</v>
      </c>
    </row>
    <row r="17" spans="1:2" x14ac:dyDescent="0.3">
      <c r="A17" s="1">
        <v>55008</v>
      </c>
      <c r="B17">
        <v>9.5000000000000001E-2</v>
      </c>
    </row>
    <row r="18" spans="1:2" x14ac:dyDescent="0.3">
      <c r="A18" s="1">
        <v>55160</v>
      </c>
      <c r="B18">
        <v>0.42399999999999999</v>
      </c>
    </row>
    <row r="19" spans="1:2" x14ac:dyDescent="0.3">
      <c r="A19" s="1">
        <v>55700</v>
      </c>
      <c r="B19">
        <v>0.42199999999999999</v>
      </c>
    </row>
    <row r="20" spans="1:2" x14ac:dyDescent="0.3">
      <c r="A20" s="1">
        <v>55809</v>
      </c>
      <c r="B20">
        <v>6.0999999999999999E-2</v>
      </c>
    </row>
    <row r="21" spans="1:2" x14ac:dyDescent="0.3">
      <c r="A21" s="1">
        <v>56101</v>
      </c>
      <c r="B21">
        <v>0.122</v>
      </c>
    </row>
    <row r="22" spans="1:2" x14ac:dyDescent="0.3">
      <c r="A22" s="1">
        <v>56201</v>
      </c>
      <c r="B22">
        <v>-4.7E-2</v>
      </c>
    </row>
    <row r="23" spans="1:2" x14ac:dyDescent="0.3">
      <c r="A23" s="1">
        <v>56498</v>
      </c>
      <c r="B23">
        <v>0.05</v>
      </c>
    </row>
    <row r="24" spans="1:2" x14ac:dyDescent="0.3">
      <c r="A24" s="1">
        <v>56799</v>
      </c>
      <c r="B24">
        <v>-0.14899999999999999</v>
      </c>
    </row>
    <row r="25" spans="1:2" x14ac:dyDescent="0.3">
      <c r="A25" s="1">
        <v>56904</v>
      </c>
      <c r="B25">
        <v>-6.7000000000000004E-2</v>
      </c>
    </row>
    <row r="26" spans="1:2" x14ac:dyDescent="0.3">
      <c r="A26" s="1">
        <v>57122</v>
      </c>
      <c r="B26">
        <v>-0.14699999999999999</v>
      </c>
    </row>
    <row r="27" spans="1:2" x14ac:dyDescent="0.3">
      <c r="A27" s="1">
        <v>57161</v>
      </c>
      <c r="B27">
        <v>-0.106</v>
      </c>
    </row>
    <row r="28" spans="1:2" x14ac:dyDescent="0.3">
      <c r="A28" s="1">
        <v>57349</v>
      </c>
      <c r="B28">
        <v>8.2000000000000003E-2</v>
      </c>
    </row>
    <row r="29" spans="1:2" x14ac:dyDescent="0.3">
      <c r="A29" s="1">
        <v>57586</v>
      </c>
      <c r="B29">
        <v>0.123</v>
      </c>
    </row>
    <row r="30" spans="1:2" x14ac:dyDescent="0.3">
      <c r="A30" s="1">
        <v>57948</v>
      </c>
      <c r="B30">
        <v>3.7999999999999999E-2</v>
      </c>
    </row>
    <row r="31" spans="1:2" x14ac:dyDescent="0.3">
      <c r="A31" s="1">
        <v>57999</v>
      </c>
      <c r="B31">
        <v>0.183</v>
      </c>
    </row>
    <row r="32" spans="1:2" x14ac:dyDescent="0.3">
      <c r="A32" s="1">
        <v>58221</v>
      </c>
      <c r="B32">
        <v>-6.8000000000000005E-2</v>
      </c>
    </row>
    <row r="33" spans="1:2" x14ac:dyDescent="0.3">
      <c r="A33" s="1">
        <v>58709</v>
      </c>
      <c r="B33">
        <v>9.8000000000000004E-2</v>
      </c>
    </row>
    <row r="34" spans="1:2" x14ac:dyDescent="0.3">
      <c r="A34" s="1">
        <v>58968</v>
      </c>
      <c r="B34">
        <v>0.123</v>
      </c>
    </row>
    <row r="35" spans="1:2" x14ac:dyDescent="0.3">
      <c r="A35" s="1">
        <v>59000</v>
      </c>
      <c r="B35">
        <v>8.2000000000000003E-2</v>
      </c>
    </row>
    <row r="36" spans="1:2" x14ac:dyDescent="0.3">
      <c r="A36" s="1">
        <v>59269</v>
      </c>
      <c r="B36">
        <v>-0.246</v>
      </c>
    </row>
    <row r="37" spans="1:2" x14ac:dyDescent="0.3">
      <c r="A37" s="1">
        <v>59302</v>
      </c>
      <c r="B37">
        <v>0.50900000000000001</v>
      </c>
    </row>
    <row r="38" spans="1:2" x14ac:dyDescent="0.3">
      <c r="A38" s="1">
        <v>59305</v>
      </c>
      <c r="B38">
        <v>-5.0000000000000001E-3</v>
      </c>
    </row>
    <row r="39" spans="1:2" x14ac:dyDescent="0.3">
      <c r="A39" s="1">
        <v>59802</v>
      </c>
      <c r="B39">
        <v>-4.5999999999999999E-2</v>
      </c>
    </row>
    <row r="40" spans="1:2" x14ac:dyDescent="0.3">
      <c r="A40" s="1">
        <v>59962</v>
      </c>
      <c r="B40">
        <v>-0.2</v>
      </c>
    </row>
    <row r="41" spans="1:2" x14ac:dyDescent="0.3">
      <c r="A41" s="1">
        <v>60583</v>
      </c>
      <c r="B41">
        <v>-5.2999999999999999E-2</v>
      </c>
    </row>
    <row r="42" spans="1:2" x14ac:dyDescent="0.3">
      <c r="A42" s="1">
        <v>60633</v>
      </c>
      <c r="B42">
        <v>8.8999999999999996E-2</v>
      </c>
    </row>
    <row r="43" spans="1:2" x14ac:dyDescent="0.3">
      <c r="A43" s="1">
        <v>60704</v>
      </c>
      <c r="B43">
        <v>0.28699999999999998</v>
      </c>
    </row>
    <row r="44" spans="1:2" x14ac:dyDescent="0.3">
      <c r="A44" s="1">
        <v>61400</v>
      </c>
      <c r="B44">
        <v>6.0999999999999999E-2</v>
      </c>
    </row>
    <row r="45" spans="1:2" x14ac:dyDescent="0.3">
      <c r="A45" s="1">
        <v>61998</v>
      </c>
      <c r="B45">
        <v>-0.182</v>
      </c>
    </row>
    <row r="46" spans="1:2" x14ac:dyDescent="0.3">
      <c r="A46" s="1">
        <v>62000</v>
      </c>
      <c r="B46">
        <v>-9.7000000000000003E-2</v>
      </c>
    </row>
    <row r="47" spans="1:2" x14ac:dyDescent="0.3">
      <c r="A47" s="1">
        <v>62000</v>
      </c>
      <c r="B47">
        <v>3.4000000000000002E-2</v>
      </c>
    </row>
    <row r="48" spans="1:2" x14ac:dyDescent="0.3">
      <c r="A48" s="1">
        <v>62236</v>
      </c>
      <c r="B48">
        <v>0.54200000000000004</v>
      </c>
    </row>
    <row r="49" spans="1:2" x14ac:dyDescent="0.3">
      <c r="A49" s="1">
        <v>62250</v>
      </c>
      <c r="B49">
        <v>-0.16300000000000001</v>
      </c>
    </row>
    <row r="50" spans="1:2" x14ac:dyDescent="0.3">
      <c r="A50" s="1">
        <v>62300</v>
      </c>
      <c r="B50">
        <v>-8.6999999999999994E-2</v>
      </c>
    </row>
    <row r="51" spans="1:2" x14ac:dyDescent="0.3">
      <c r="A51" s="1">
        <v>62409</v>
      </c>
      <c r="B51">
        <v>0.27300000000000002</v>
      </c>
    </row>
    <row r="52" spans="1:2" x14ac:dyDescent="0.3">
      <c r="A52" s="1">
        <v>62500</v>
      </c>
      <c r="B52">
        <v>0.11600000000000001</v>
      </c>
    </row>
    <row r="53" spans="1:2" x14ac:dyDescent="0.3">
      <c r="A53" s="1">
        <v>63813</v>
      </c>
      <c r="B53">
        <v>0.25700000000000001</v>
      </c>
    </row>
    <row r="54" spans="1:2" x14ac:dyDescent="0.3">
      <c r="A54" s="1">
        <v>63901</v>
      </c>
      <c r="B54">
        <v>-7.6999999999999999E-2</v>
      </c>
    </row>
    <row r="55" spans="1:2" x14ac:dyDescent="0.3">
      <c r="A55" s="1">
        <v>64233</v>
      </c>
      <c r="B55">
        <v>0.152</v>
      </c>
    </row>
    <row r="56" spans="1:2" x14ac:dyDescent="0.3">
      <c r="A56" s="1">
        <v>64281</v>
      </c>
      <c r="B56">
        <v>-5.6000000000000001E-2</v>
      </c>
    </row>
    <row r="57" spans="1:2" x14ac:dyDescent="0.3">
      <c r="A57" s="1">
        <v>64300</v>
      </c>
      <c r="B57">
        <v>-0.23799999999999999</v>
      </c>
    </row>
    <row r="58" spans="1:2" x14ac:dyDescent="0.3">
      <c r="A58" s="1">
        <v>64401</v>
      </c>
      <c r="B58">
        <v>0.11899999999999999</v>
      </c>
    </row>
    <row r="59" spans="1:2" x14ac:dyDescent="0.3">
      <c r="A59" s="1">
        <v>64703</v>
      </c>
      <c r="B59">
        <v>-0.111</v>
      </c>
    </row>
    <row r="60" spans="1:2" x14ac:dyDescent="0.3">
      <c r="A60" s="1">
        <v>64800</v>
      </c>
      <c r="B60">
        <v>-4.1000000000000002E-2</v>
      </c>
    </row>
    <row r="61" spans="1:2" x14ac:dyDescent="0.3">
      <c r="A61" s="1">
        <v>64902</v>
      </c>
      <c r="B61">
        <v>-1.0999999999999999E-2</v>
      </c>
    </row>
    <row r="62" spans="1:2" x14ac:dyDescent="0.3">
      <c r="A62" s="1">
        <v>64958</v>
      </c>
      <c r="B62">
        <v>-3.7999999999999999E-2</v>
      </c>
    </row>
    <row r="63" spans="1:2" x14ac:dyDescent="0.3">
      <c r="A63" s="1">
        <v>65200</v>
      </c>
      <c r="B63">
        <v>-6.9000000000000006E-2</v>
      </c>
    </row>
    <row r="64" spans="1:2" x14ac:dyDescent="0.3">
      <c r="A64" s="1">
        <v>65255</v>
      </c>
      <c r="B64">
        <v>0.311</v>
      </c>
    </row>
    <row r="65" spans="1:2" x14ac:dyDescent="0.3">
      <c r="A65" s="1">
        <v>65474</v>
      </c>
      <c r="B65">
        <v>3.7999999999999999E-2</v>
      </c>
    </row>
    <row r="66" spans="1:2" x14ac:dyDescent="0.3">
      <c r="A66" s="1">
        <v>65656</v>
      </c>
      <c r="B66">
        <v>-0.223</v>
      </c>
    </row>
    <row r="67" spans="1:2" x14ac:dyDescent="0.3">
      <c r="A67" s="1">
        <v>65699</v>
      </c>
      <c r="B67">
        <v>-7.9000000000000001E-2</v>
      </c>
    </row>
    <row r="68" spans="1:2" x14ac:dyDescent="0.3">
      <c r="A68" s="1">
        <v>65900</v>
      </c>
      <c r="B68">
        <v>2.8000000000000001E-2</v>
      </c>
    </row>
    <row r="69" spans="1:2" x14ac:dyDescent="0.3">
      <c r="A69" s="1">
        <v>66005</v>
      </c>
      <c r="B69">
        <v>-6.7000000000000004E-2</v>
      </c>
    </row>
    <row r="70" spans="1:2" x14ac:dyDescent="0.3">
      <c r="A70" s="1">
        <v>66102</v>
      </c>
      <c r="B70">
        <v>-0.13300000000000001</v>
      </c>
    </row>
    <row r="71" spans="1:2" x14ac:dyDescent="0.3">
      <c r="A71" s="1">
        <v>66208</v>
      </c>
      <c r="B71">
        <v>-0.23599999999999999</v>
      </c>
    </row>
    <row r="72" spans="1:2" x14ac:dyDescent="0.3">
      <c r="A72" s="1">
        <v>66253</v>
      </c>
      <c r="B72">
        <v>-0.18</v>
      </c>
    </row>
    <row r="73" spans="1:2" x14ac:dyDescent="0.3">
      <c r="A73" s="1">
        <v>66300</v>
      </c>
      <c r="B73">
        <v>0.218</v>
      </c>
    </row>
    <row r="74" spans="1:2" x14ac:dyDescent="0.3">
      <c r="A74" s="1">
        <v>66402</v>
      </c>
      <c r="B74">
        <v>-0.11</v>
      </c>
    </row>
    <row r="75" spans="1:2" x14ac:dyDescent="0.3">
      <c r="A75" s="1">
        <v>66601</v>
      </c>
      <c r="B75">
        <v>-7.0999999999999994E-2</v>
      </c>
    </row>
    <row r="76" spans="1:2" x14ac:dyDescent="0.3">
      <c r="A76" s="1">
        <v>66603</v>
      </c>
      <c r="B76">
        <v>-0.14899999999999999</v>
      </c>
    </row>
    <row r="77" spans="1:2" x14ac:dyDescent="0.3">
      <c r="A77" s="1">
        <v>66700</v>
      </c>
      <c r="B77">
        <v>-0.16900000000000001</v>
      </c>
    </row>
    <row r="78" spans="1:2" x14ac:dyDescent="0.3">
      <c r="A78" s="1">
        <v>66701</v>
      </c>
      <c r="B78">
        <v>-5.3999999999999999E-2</v>
      </c>
    </row>
    <row r="79" spans="1:2" x14ac:dyDescent="0.3">
      <c r="A79" s="1">
        <v>66900</v>
      </c>
      <c r="B79">
        <v>-0.104</v>
      </c>
    </row>
    <row r="80" spans="1:2" x14ac:dyDescent="0.3">
      <c r="A80" s="1">
        <v>67000</v>
      </c>
      <c r="B80">
        <v>-9.6000000000000002E-2</v>
      </c>
    </row>
    <row r="81" spans="1:2" x14ac:dyDescent="0.3">
      <c r="A81" s="1">
        <v>67000</v>
      </c>
      <c r="B81">
        <v>-0.16700000000000001</v>
      </c>
    </row>
    <row r="82" spans="1:2" x14ac:dyDescent="0.3">
      <c r="A82" s="1">
        <v>67055</v>
      </c>
      <c r="B82">
        <v>-0.16800000000000001</v>
      </c>
    </row>
    <row r="83" spans="1:2" x14ac:dyDescent="0.3">
      <c r="A83" s="1">
        <v>67100</v>
      </c>
      <c r="B83">
        <v>-0.16200000000000001</v>
      </c>
    </row>
    <row r="84" spans="1:2" x14ac:dyDescent="0.3">
      <c r="A84" s="1">
        <v>67102</v>
      </c>
      <c r="B84">
        <v>0.125</v>
      </c>
    </row>
    <row r="85" spans="1:2" x14ac:dyDescent="0.3">
      <c r="A85" s="1">
        <v>67199</v>
      </c>
      <c r="B85">
        <v>-0.13900000000000001</v>
      </c>
    </row>
    <row r="86" spans="1:2" x14ac:dyDescent="0.3">
      <c r="A86" s="1">
        <v>67201</v>
      </c>
      <c r="B86">
        <v>-0.20100000000000001</v>
      </c>
    </row>
    <row r="87" spans="1:2" x14ac:dyDescent="0.3">
      <c r="A87" s="1">
        <v>67299</v>
      </c>
      <c r="B87">
        <v>7.9000000000000001E-2</v>
      </c>
    </row>
    <row r="88" spans="1:2" x14ac:dyDescent="0.3">
      <c r="A88" s="1">
        <v>67300</v>
      </c>
      <c r="B88">
        <v>8.1000000000000003E-2</v>
      </c>
    </row>
    <row r="89" spans="1:2" x14ac:dyDescent="0.3">
      <c r="A89" s="1">
        <v>67333</v>
      </c>
      <c r="B89">
        <v>7.3999999999999996E-2</v>
      </c>
    </row>
    <row r="90" spans="1:2" x14ac:dyDescent="0.3">
      <c r="A90" s="1">
        <v>67355</v>
      </c>
      <c r="B90">
        <v>-0.219</v>
      </c>
    </row>
    <row r="91" spans="1:2" x14ac:dyDescent="0.3">
      <c r="A91" s="1">
        <v>67355</v>
      </c>
      <c r="B91">
        <v>-7.2999999999999995E-2</v>
      </c>
    </row>
    <row r="92" spans="1:2" x14ac:dyDescent="0.3">
      <c r="A92" s="1">
        <v>67401</v>
      </c>
      <c r="B92">
        <v>0.28699999999999998</v>
      </c>
    </row>
    <row r="93" spans="1:2" x14ac:dyDescent="0.3">
      <c r="A93" s="1">
        <v>67500</v>
      </c>
      <c r="B93">
        <v>-0.13700000000000001</v>
      </c>
    </row>
    <row r="94" spans="1:2" x14ac:dyDescent="0.3">
      <c r="A94" s="1">
        <v>67657</v>
      </c>
      <c r="B94">
        <v>0.02</v>
      </c>
    </row>
    <row r="95" spans="1:2" x14ac:dyDescent="0.3">
      <c r="A95" s="1">
        <v>67906</v>
      </c>
      <c r="B95">
        <v>-0.20300000000000001</v>
      </c>
    </row>
    <row r="96" spans="1:2" x14ac:dyDescent="0.3">
      <c r="A96" s="1">
        <v>68000</v>
      </c>
      <c r="B96">
        <v>-0.186</v>
      </c>
    </row>
    <row r="97" spans="1:2" x14ac:dyDescent="0.3">
      <c r="A97" s="1">
        <v>68001</v>
      </c>
      <c r="B97">
        <v>-0.13500000000000001</v>
      </c>
    </row>
    <row r="98" spans="1:2" x14ac:dyDescent="0.3">
      <c r="A98" s="1">
        <v>68034</v>
      </c>
      <c r="B98">
        <v>-9.8000000000000004E-2</v>
      </c>
    </row>
    <row r="99" spans="1:2" x14ac:dyDescent="0.3">
      <c r="A99" s="1">
        <v>68098</v>
      </c>
      <c r="B99">
        <v>0.113</v>
      </c>
    </row>
    <row r="100" spans="1:2" x14ac:dyDescent="0.3">
      <c r="A100" s="1">
        <v>68200</v>
      </c>
      <c r="B100">
        <v>9.8000000000000004E-2</v>
      </c>
    </row>
    <row r="101" spans="1:2" x14ac:dyDescent="0.3">
      <c r="A101" s="1">
        <v>68250</v>
      </c>
      <c r="B101">
        <v>-0.154</v>
      </c>
    </row>
    <row r="102" spans="1:2" x14ac:dyDescent="0.3">
      <c r="A102" s="1">
        <v>68597</v>
      </c>
      <c r="B102">
        <v>-0.14699999999999999</v>
      </c>
    </row>
    <row r="103" spans="1:2" x14ac:dyDescent="0.3">
      <c r="A103" s="1">
        <v>68600</v>
      </c>
      <c r="B103">
        <v>2E-3</v>
      </c>
    </row>
    <row r="104" spans="1:2" x14ac:dyDescent="0.3">
      <c r="A104" s="1">
        <v>68699</v>
      </c>
      <c r="B104">
        <v>-3.4000000000000002E-2</v>
      </c>
    </row>
    <row r="105" spans="1:2" x14ac:dyDescent="0.3">
      <c r="A105" s="1">
        <v>68800</v>
      </c>
      <c r="B105">
        <v>-0.106</v>
      </c>
    </row>
    <row r="106" spans="1:2" x14ac:dyDescent="0.3">
      <c r="A106" s="1">
        <v>68800</v>
      </c>
      <c r="B106">
        <v>-0.124</v>
      </c>
    </row>
    <row r="107" spans="1:2" x14ac:dyDescent="0.3">
      <c r="A107" s="1">
        <v>68999</v>
      </c>
      <c r="B107">
        <v>-0.03</v>
      </c>
    </row>
    <row r="108" spans="1:2" x14ac:dyDescent="0.3">
      <c r="A108" s="1">
        <v>69000</v>
      </c>
      <c r="B108">
        <v>-0.182</v>
      </c>
    </row>
    <row r="109" spans="1:2" x14ac:dyDescent="0.3">
      <c r="A109" s="1">
        <v>69100</v>
      </c>
      <c r="B109">
        <v>-9.1999999999999998E-2</v>
      </c>
    </row>
    <row r="110" spans="1:2" x14ac:dyDescent="0.3">
      <c r="A110" s="1">
        <v>69201</v>
      </c>
      <c r="B110">
        <v>-0.124</v>
      </c>
    </row>
    <row r="111" spans="1:2" x14ac:dyDescent="0.3">
      <c r="A111" s="1">
        <v>69495</v>
      </c>
      <c r="B111">
        <v>8.8999999999999996E-2</v>
      </c>
    </row>
    <row r="112" spans="1:2" x14ac:dyDescent="0.3">
      <c r="A112" s="1">
        <v>69593</v>
      </c>
      <c r="B112">
        <v>-0.14599999999999999</v>
      </c>
    </row>
    <row r="113" spans="1:2" x14ac:dyDescent="0.3">
      <c r="A113" s="1">
        <v>69600</v>
      </c>
      <c r="B113">
        <v>-7.0000000000000007E-2</v>
      </c>
    </row>
    <row r="114" spans="1:2" x14ac:dyDescent="0.3">
      <c r="A114" s="1">
        <v>69652</v>
      </c>
      <c r="B114">
        <v>-0.16600000000000001</v>
      </c>
    </row>
    <row r="115" spans="1:2" x14ac:dyDescent="0.3">
      <c r="A115" s="1">
        <v>69702</v>
      </c>
      <c r="B115">
        <v>-0.16500000000000001</v>
      </c>
    </row>
    <row r="116" spans="1:2" x14ac:dyDescent="0.3">
      <c r="A116" s="1">
        <v>70000</v>
      </c>
      <c r="B116">
        <v>-4.3999999999999997E-2</v>
      </c>
    </row>
    <row r="117" spans="1:2" x14ac:dyDescent="0.3">
      <c r="A117" s="1">
        <v>70600</v>
      </c>
      <c r="B117">
        <v>2.4E-2</v>
      </c>
    </row>
    <row r="118" spans="1:2" x14ac:dyDescent="0.3">
      <c r="A118" s="1">
        <v>70799</v>
      </c>
      <c r="B118">
        <v>-0.11799999999999999</v>
      </c>
    </row>
    <row r="119" spans="1:2" x14ac:dyDescent="0.3">
      <c r="A119" s="1">
        <v>70807</v>
      </c>
      <c r="B119">
        <v>-0.20799999999999999</v>
      </c>
    </row>
    <row r="120" spans="1:2" x14ac:dyDescent="0.3">
      <c r="A120" s="1">
        <v>71400</v>
      </c>
      <c r="B120">
        <v>-0.126</v>
      </c>
    </row>
    <row r="121" spans="1:2" x14ac:dyDescent="0.3">
      <c r="A121" s="1">
        <v>71400</v>
      </c>
      <c r="B121">
        <v>-0.10100000000000001</v>
      </c>
    </row>
    <row r="122" spans="1:2" x14ac:dyDescent="0.3">
      <c r="A122" s="1">
        <v>72000</v>
      </c>
      <c r="B122">
        <v>-9.8000000000000004E-2</v>
      </c>
    </row>
    <row r="123" spans="1:2" x14ac:dyDescent="0.3">
      <c r="A123" s="1">
        <v>72199</v>
      </c>
      <c r="B123">
        <v>-0.153</v>
      </c>
    </row>
    <row r="124" spans="1:2" x14ac:dyDescent="0.3">
      <c r="A124" s="1">
        <v>72200</v>
      </c>
      <c r="B124">
        <v>0.13300000000000001</v>
      </c>
    </row>
    <row r="125" spans="1:2" x14ac:dyDescent="0.3">
      <c r="A125" s="1">
        <v>72400</v>
      </c>
      <c r="B125">
        <v>0.17499999999999999</v>
      </c>
    </row>
    <row r="126" spans="1:2" x14ac:dyDescent="0.3">
      <c r="A126" s="1">
        <v>72400</v>
      </c>
      <c r="B126">
        <v>7.6999999999999999E-2</v>
      </c>
    </row>
    <row r="127" spans="1:2" x14ac:dyDescent="0.3">
      <c r="A127" s="1">
        <v>72500</v>
      </c>
      <c r="B127">
        <v>1.0999999999999999E-2</v>
      </c>
    </row>
    <row r="128" spans="1:2" x14ac:dyDescent="0.3">
      <c r="A128" s="1">
        <v>72500</v>
      </c>
      <c r="B128">
        <v>0.23300000000000001</v>
      </c>
    </row>
    <row r="129" spans="1:2" x14ac:dyDescent="0.3">
      <c r="A129" s="1">
        <v>72600</v>
      </c>
      <c r="B129">
        <v>-3.4000000000000002E-2</v>
      </c>
    </row>
    <row r="130" spans="1:2" x14ac:dyDescent="0.3">
      <c r="A130" s="1">
        <v>72600</v>
      </c>
      <c r="B130">
        <v>-0.24399999999999999</v>
      </c>
    </row>
    <row r="131" spans="1:2" x14ac:dyDescent="0.3">
      <c r="A131" s="1">
        <v>72600</v>
      </c>
      <c r="B131">
        <v>-0.28799999999999998</v>
      </c>
    </row>
    <row r="132" spans="1:2" x14ac:dyDescent="0.3">
      <c r="A132" s="1">
        <v>72700</v>
      </c>
      <c r="B132">
        <v>0.03</v>
      </c>
    </row>
    <row r="133" spans="1:2" x14ac:dyDescent="0.3">
      <c r="A133" s="1">
        <v>72700</v>
      </c>
      <c r="B133">
        <v>8.5999999999999993E-2</v>
      </c>
    </row>
    <row r="134" spans="1:2" x14ac:dyDescent="0.3">
      <c r="A134" s="1">
        <v>73000</v>
      </c>
      <c r="B134">
        <v>0.16</v>
      </c>
    </row>
    <row r="135" spans="1:2" x14ac:dyDescent="0.3">
      <c r="A135" s="1">
        <v>73300</v>
      </c>
      <c r="B135">
        <v>9.2999999999999999E-2</v>
      </c>
    </row>
    <row r="136" spans="1:2" x14ac:dyDescent="0.3">
      <c r="A136" s="1">
        <v>73300</v>
      </c>
      <c r="B136">
        <v>4.2000000000000003E-2</v>
      </c>
    </row>
    <row r="137" spans="1:2" x14ac:dyDescent="0.3">
      <c r="A137" s="1">
        <v>73400</v>
      </c>
      <c r="B137">
        <v>0.13400000000000001</v>
      </c>
    </row>
    <row r="138" spans="1:2" x14ac:dyDescent="0.3">
      <c r="A138" s="1">
        <v>73503</v>
      </c>
      <c r="B138">
        <v>3.1E-2</v>
      </c>
    </row>
    <row r="139" spans="1:2" x14ac:dyDescent="0.3">
      <c r="A139" s="1">
        <v>73800</v>
      </c>
      <c r="B139">
        <v>8.8999999999999996E-2</v>
      </c>
    </row>
    <row r="140" spans="1:2" x14ac:dyDescent="0.3">
      <c r="A140" s="1">
        <v>73800</v>
      </c>
      <c r="B140">
        <v>-8.4000000000000005E-2</v>
      </c>
    </row>
    <row r="141" spans="1:2" x14ac:dyDescent="0.3">
      <c r="A141" s="1">
        <v>73898</v>
      </c>
      <c r="B141">
        <v>-1.4999999999999999E-2</v>
      </c>
    </row>
    <row r="142" spans="1:2" x14ac:dyDescent="0.3">
      <c r="A142" s="1">
        <v>73898</v>
      </c>
      <c r="B142">
        <v>1.2E-2</v>
      </c>
    </row>
    <row r="143" spans="1:2" x14ac:dyDescent="0.3">
      <c r="A143" s="1">
        <v>73900</v>
      </c>
      <c r="B143">
        <v>0.159</v>
      </c>
    </row>
    <row r="144" spans="1:2" x14ac:dyDescent="0.3">
      <c r="A144" s="1">
        <v>73900</v>
      </c>
      <c r="B144">
        <v>-8.3000000000000004E-2</v>
      </c>
    </row>
    <row r="145" spans="1:2" x14ac:dyDescent="0.3">
      <c r="A145" s="1">
        <v>74000</v>
      </c>
      <c r="B145">
        <v>-0.14699999999999999</v>
      </c>
    </row>
    <row r="146" spans="1:2" x14ac:dyDescent="0.3">
      <c r="A146" s="1">
        <v>74400</v>
      </c>
      <c r="B146">
        <v>2.5000000000000001E-2</v>
      </c>
    </row>
    <row r="147" spans="1:2" x14ac:dyDescent="0.3">
      <c r="A147" s="1">
        <v>74700</v>
      </c>
      <c r="B147">
        <v>-8.1000000000000003E-2</v>
      </c>
    </row>
    <row r="148" spans="1:2" x14ac:dyDescent="0.3">
      <c r="A148" s="1">
        <v>75100</v>
      </c>
      <c r="B148">
        <v>-0.25800000000000001</v>
      </c>
    </row>
    <row r="149" spans="1:2" x14ac:dyDescent="0.3">
      <c r="A149" s="1">
        <v>76820</v>
      </c>
      <c r="B149">
        <v>6.7000000000000004E-2</v>
      </c>
    </row>
    <row r="150" spans="1:2" x14ac:dyDescent="0.3">
      <c r="A150" s="1">
        <v>76953</v>
      </c>
      <c r="B150">
        <v>-1.7999999999999999E-2</v>
      </c>
    </row>
  </sheetData>
  <sortState xmlns:xlrd2="http://schemas.microsoft.com/office/spreadsheetml/2017/richdata2" ref="A2:B150">
    <sortCondition ref="A2:A150"/>
  </sortState>
  <conditionalFormatting sqref="B1:B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2FF9C-E497-411C-98BC-25D215ACC2A1}">
  <dimension ref="A1:K262"/>
  <sheetViews>
    <sheetView topLeftCell="F87" workbookViewId="0">
      <selection activeCell="K81" sqref="K81"/>
    </sheetView>
  </sheetViews>
  <sheetFormatPr defaultRowHeight="14.4" x14ac:dyDescent="0.3"/>
  <cols>
    <col min="1" max="1" width="31.77734375" bestFit="1" customWidth="1"/>
    <col min="2" max="2" width="20.6640625" bestFit="1" customWidth="1"/>
    <col min="6" max="6" width="31.77734375" bestFit="1" customWidth="1"/>
    <col min="7" max="7" width="26" bestFit="1" customWidth="1"/>
    <col min="8" max="8" width="31.77734375" bestFit="1" customWidth="1"/>
    <col min="9" max="9" width="29" bestFit="1" customWidth="1"/>
    <col min="10" max="10" width="23.88671875" bestFit="1" customWidth="1"/>
  </cols>
  <sheetData>
    <row r="1" spans="1:3" ht="18" x14ac:dyDescent="0.3">
      <c r="A1" s="7" t="s">
        <v>218</v>
      </c>
    </row>
    <row r="2" spans="1:3" ht="18" x14ac:dyDescent="0.3">
      <c r="A2" s="7" t="s">
        <v>219</v>
      </c>
    </row>
    <row r="3" spans="1:3" ht="15.6" x14ac:dyDescent="0.3">
      <c r="A3" s="6" t="s">
        <v>220</v>
      </c>
    </row>
    <row r="4" spans="1:3" ht="15.6" x14ac:dyDescent="0.3">
      <c r="A4" s="6" t="s">
        <v>221</v>
      </c>
    </row>
    <row r="5" spans="1:3" ht="15.6" x14ac:dyDescent="0.3">
      <c r="A5" s="6" t="s">
        <v>222</v>
      </c>
    </row>
    <row r="7" spans="1:3" ht="15.6" x14ac:dyDescent="0.3">
      <c r="A7" s="6" t="s">
        <v>220</v>
      </c>
    </row>
    <row r="8" spans="1:3" x14ac:dyDescent="0.3">
      <c r="A8" s="2" t="s">
        <v>179</v>
      </c>
      <c r="B8" t="s">
        <v>203</v>
      </c>
    </row>
    <row r="9" spans="1:3" x14ac:dyDescent="0.3">
      <c r="A9" s="3" t="s">
        <v>42</v>
      </c>
      <c r="B9" s="1">
        <v>5984.7647058823532</v>
      </c>
    </row>
    <row r="10" spans="1:3" x14ac:dyDescent="0.3">
      <c r="A10" s="3" t="s">
        <v>69</v>
      </c>
      <c r="B10" s="1">
        <v>5467</v>
      </c>
    </row>
    <row r="11" spans="1:3" x14ac:dyDescent="0.3">
      <c r="A11" s="3" t="s">
        <v>49</v>
      </c>
      <c r="B11" s="1">
        <v>5810.333333333333</v>
      </c>
    </row>
    <row r="12" spans="1:3" x14ac:dyDescent="0.3">
      <c r="A12" s="3" t="s">
        <v>39</v>
      </c>
      <c r="B12" s="1">
        <v>5908.05</v>
      </c>
    </row>
    <row r="13" spans="1:3" x14ac:dyDescent="0.3">
      <c r="A13" s="3" t="s">
        <v>34</v>
      </c>
      <c r="B13" s="1">
        <v>5219.7647058823532</v>
      </c>
    </row>
    <row r="14" spans="1:3" x14ac:dyDescent="0.3">
      <c r="A14" s="3" t="s">
        <v>30</v>
      </c>
      <c r="B14" s="1">
        <v>7128.5</v>
      </c>
      <c r="C14" t="s">
        <v>223</v>
      </c>
    </row>
    <row r="15" spans="1:3" x14ac:dyDescent="0.3">
      <c r="A15" s="3" t="s">
        <v>116</v>
      </c>
      <c r="B15" s="1">
        <v>4441.8571428571431</v>
      </c>
    </row>
    <row r="16" spans="1:3" x14ac:dyDescent="0.3">
      <c r="A16" s="3" t="s">
        <v>58</v>
      </c>
      <c r="B16" s="1">
        <v>5407.5555555555557</v>
      </c>
    </row>
    <row r="17" spans="1:5" x14ac:dyDescent="0.3">
      <c r="A17" s="3" t="s">
        <v>78</v>
      </c>
      <c r="B17" s="1">
        <v>4494.4722222222226</v>
      </c>
    </row>
    <row r="18" spans="1:5" x14ac:dyDescent="0.3">
      <c r="A18" s="3" t="s">
        <v>21</v>
      </c>
      <c r="B18" s="1">
        <v>6914.9047619047615</v>
      </c>
    </row>
    <row r="19" spans="1:5" x14ac:dyDescent="0.3">
      <c r="A19" s="3" t="s">
        <v>180</v>
      </c>
      <c r="B19" s="1">
        <v>5532.8389261744969</v>
      </c>
    </row>
    <row r="21" spans="1:5" ht="15.6" x14ac:dyDescent="0.3">
      <c r="A21" s="6" t="s">
        <v>221</v>
      </c>
    </row>
    <row r="22" spans="1:5" x14ac:dyDescent="0.3">
      <c r="A22" s="3" t="s">
        <v>224</v>
      </c>
    </row>
    <row r="24" spans="1:5" x14ac:dyDescent="0.3">
      <c r="A24" t="s">
        <v>226</v>
      </c>
      <c r="C24" t="s">
        <v>225</v>
      </c>
      <c r="D24" t="s">
        <v>185</v>
      </c>
    </row>
    <row r="25" spans="1:5" x14ac:dyDescent="0.3">
      <c r="A25" t="s">
        <v>230</v>
      </c>
      <c r="B25" t="s">
        <v>227</v>
      </c>
      <c r="C25">
        <f>MIN(podatki!L2:L150)</f>
        <v>8.2000000000000003E-2</v>
      </c>
      <c r="D25" s="1">
        <f>MIN(podatki!G2:G150)</f>
        <v>6.6349999999999998</v>
      </c>
    </row>
    <row r="26" spans="1:5" x14ac:dyDescent="0.3">
      <c r="A26" t="s">
        <v>231</v>
      </c>
      <c r="B26" t="s">
        <v>228</v>
      </c>
      <c r="C26">
        <f>MAX(podatki!L2:L150)</f>
        <v>0.93899999999999995</v>
      </c>
      <c r="D26" s="1">
        <f>MAX(podatki!G2:G150)</f>
        <v>11.647</v>
      </c>
    </row>
    <row r="27" spans="1:5" x14ac:dyDescent="0.3">
      <c r="B27" t="s">
        <v>229</v>
      </c>
      <c r="C27">
        <f>C26-C25</f>
        <v>0.85699999999999998</v>
      </c>
      <c r="D27" s="1">
        <f>D26-D25</f>
        <v>5.0120000000000005</v>
      </c>
    </row>
    <row r="29" spans="1:5" x14ac:dyDescent="0.3">
      <c r="A29" t="s">
        <v>6</v>
      </c>
      <c r="B29" t="s">
        <v>11</v>
      </c>
      <c r="C29" t="s">
        <v>232</v>
      </c>
      <c r="D29" t="s">
        <v>233</v>
      </c>
      <c r="E29" t="s">
        <v>1</v>
      </c>
    </row>
    <row r="30" spans="1:5" x14ac:dyDescent="0.3">
      <c r="A30" s="1">
        <v>10775</v>
      </c>
      <c r="B30">
        <v>0.186</v>
      </c>
      <c r="C30">
        <f>(A30-$D$25)/$D$27</f>
        <v>2148.516560255387</v>
      </c>
      <c r="D30">
        <f>(B30-$C$25)/$C$27</f>
        <v>0.12135355892648775</v>
      </c>
      <c r="E30" t="s">
        <v>21</v>
      </c>
    </row>
    <row r="31" spans="1:5" x14ac:dyDescent="0.3">
      <c r="A31" s="1">
        <v>10933</v>
      </c>
      <c r="B31">
        <v>0.17899999999999999</v>
      </c>
      <c r="C31">
        <f t="shared" ref="C31:C94" si="0">(A31-$D$25)/$D$27</f>
        <v>2180.0409018355945</v>
      </c>
      <c r="D31">
        <f t="shared" ref="D31:D94" si="1">(B31-$C$25)/$C$27</f>
        <v>0.11318553092182029</v>
      </c>
      <c r="E31" t="s">
        <v>21</v>
      </c>
    </row>
    <row r="32" spans="1:5" x14ac:dyDescent="0.3">
      <c r="A32" s="1">
        <v>11117</v>
      </c>
      <c r="B32">
        <v>0.29199999999999998</v>
      </c>
      <c r="C32">
        <f t="shared" si="0"/>
        <v>2216.7527932960893</v>
      </c>
      <c r="D32">
        <f t="shared" si="1"/>
        <v>0.24504084014002331</v>
      </c>
      <c r="E32" t="s">
        <v>21</v>
      </c>
    </row>
    <row r="33" spans="1:5" x14ac:dyDescent="0.3">
      <c r="A33" s="1">
        <v>10878</v>
      </c>
      <c r="B33">
        <v>0.67300000000000004</v>
      </c>
      <c r="C33">
        <f t="shared" si="0"/>
        <v>2169.067238627294</v>
      </c>
      <c r="D33">
        <f t="shared" si="1"/>
        <v>0.68961493582263722</v>
      </c>
      <c r="E33" t="s">
        <v>21</v>
      </c>
    </row>
    <row r="34" spans="1:5" x14ac:dyDescent="0.3">
      <c r="A34" s="1">
        <v>10932</v>
      </c>
      <c r="B34">
        <v>0.33800000000000002</v>
      </c>
      <c r="C34">
        <f t="shared" si="0"/>
        <v>2179.8413806863523</v>
      </c>
      <c r="D34">
        <f t="shared" si="1"/>
        <v>0.29871645274212372</v>
      </c>
      <c r="E34" t="s">
        <v>21</v>
      </c>
    </row>
    <row r="35" spans="1:5" x14ac:dyDescent="0.3">
      <c r="A35" s="1">
        <v>11053</v>
      </c>
      <c r="B35">
        <v>0.27</v>
      </c>
      <c r="C35">
        <f t="shared" si="0"/>
        <v>2203.9834397446125</v>
      </c>
      <c r="D35">
        <f t="shared" si="1"/>
        <v>0.21936989498249709</v>
      </c>
      <c r="E35" t="s">
        <v>21</v>
      </c>
    </row>
    <row r="36" spans="1:5" x14ac:dyDescent="0.3">
      <c r="A36" s="1">
        <v>10867</v>
      </c>
      <c r="B36">
        <v>0.23699999999999999</v>
      </c>
      <c r="C36">
        <f t="shared" si="0"/>
        <v>2166.8725059856342</v>
      </c>
      <c r="D36">
        <f t="shared" si="1"/>
        <v>0.18086347724620766</v>
      </c>
      <c r="E36" t="s">
        <v>21</v>
      </c>
    </row>
    <row r="37" spans="1:5" x14ac:dyDescent="0.3">
      <c r="A37" s="1">
        <v>11647</v>
      </c>
      <c r="B37">
        <v>0.38600000000000001</v>
      </c>
      <c r="C37">
        <f t="shared" si="0"/>
        <v>2322.4990023942537</v>
      </c>
      <c r="D37">
        <f t="shared" si="1"/>
        <v>0.35472578763127188</v>
      </c>
      <c r="E37" t="s">
        <v>21</v>
      </c>
    </row>
    <row r="38" spans="1:5" x14ac:dyDescent="0.3">
      <c r="A38" s="1">
        <v>10643</v>
      </c>
      <c r="B38">
        <v>0.24199999999999999</v>
      </c>
      <c r="C38">
        <f t="shared" si="0"/>
        <v>2122.1797685554666</v>
      </c>
      <c r="D38">
        <f t="shared" si="1"/>
        <v>0.18669778296382727</v>
      </c>
      <c r="E38" t="s">
        <v>30</v>
      </c>
    </row>
    <row r="39" spans="1:5" x14ac:dyDescent="0.3">
      <c r="A39" s="1">
        <v>10906</v>
      </c>
      <c r="B39">
        <v>0.48099999999999998</v>
      </c>
      <c r="C39">
        <f t="shared" si="0"/>
        <v>2174.6538308060653</v>
      </c>
      <c r="D39">
        <f t="shared" si="1"/>
        <v>0.46557759626604434</v>
      </c>
      <c r="E39" t="s">
        <v>21</v>
      </c>
    </row>
    <row r="40" spans="1:5" x14ac:dyDescent="0.3">
      <c r="A40" s="1">
        <v>10796</v>
      </c>
      <c r="B40">
        <v>0.442</v>
      </c>
      <c r="C40">
        <f t="shared" si="0"/>
        <v>2152.706504389465</v>
      </c>
      <c r="D40">
        <f t="shared" si="1"/>
        <v>0.42007001166861141</v>
      </c>
      <c r="E40" t="s">
        <v>30</v>
      </c>
    </row>
    <row r="41" spans="1:5" x14ac:dyDescent="0.3">
      <c r="A41" s="1">
        <v>10575</v>
      </c>
      <c r="B41">
        <v>0.753</v>
      </c>
      <c r="C41">
        <f t="shared" si="0"/>
        <v>2108.6123304070229</v>
      </c>
      <c r="D41">
        <f t="shared" si="1"/>
        <v>0.78296382730455083</v>
      </c>
      <c r="E41" t="s">
        <v>34</v>
      </c>
    </row>
    <row r="42" spans="1:5" x14ac:dyDescent="0.3">
      <c r="A42" s="1">
        <v>10873</v>
      </c>
      <c r="B42">
        <v>0.46</v>
      </c>
      <c r="C42">
        <f t="shared" si="0"/>
        <v>2168.069632881085</v>
      </c>
      <c r="D42">
        <f t="shared" si="1"/>
        <v>0.441073512252042</v>
      </c>
      <c r="E42" t="s">
        <v>21</v>
      </c>
    </row>
    <row r="43" spans="1:5" x14ac:dyDescent="0.3">
      <c r="A43" s="1">
        <v>10776</v>
      </c>
      <c r="B43">
        <v>0.41499999999999998</v>
      </c>
      <c r="C43">
        <f t="shared" si="0"/>
        <v>2148.7160814046288</v>
      </c>
      <c r="D43">
        <f t="shared" si="1"/>
        <v>0.38856476079346552</v>
      </c>
      <c r="E43" t="s">
        <v>30</v>
      </c>
    </row>
    <row r="44" spans="1:5" x14ac:dyDescent="0.3">
      <c r="A44" s="1">
        <v>11342</v>
      </c>
      <c r="B44">
        <v>0.36299999999999999</v>
      </c>
      <c r="C44">
        <f t="shared" si="0"/>
        <v>2261.6450518754987</v>
      </c>
      <c r="D44">
        <f t="shared" si="1"/>
        <v>0.32788798133022168</v>
      </c>
      <c r="E44" t="s">
        <v>21</v>
      </c>
    </row>
    <row r="45" spans="1:5" x14ac:dyDescent="0.3">
      <c r="A45" s="1">
        <v>9880</v>
      </c>
      <c r="B45">
        <v>0.80900000000000005</v>
      </c>
      <c r="C45">
        <f t="shared" si="0"/>
        <v>1969.9451316839584</v>
      </c>
      <c r="D45">
        <f t="shared" si="1"/>
        <v>0.84830805134189047</v>
      </c>
      <c r="E45" t="s">
        <v>39</v>
      </c>
    </row>
    <row r="46" spans="1:5" x14ac:dyDescent="0.3">
      <c r="A46" s="1">
        <v>10707</v>
      </c>
      <c r="B46">
        <v>0.45900000000000002</v>
      </c>
      <c r="C46">
        <f t="shared" si="0"/>
        <v>2134.9491221069429</v>
      </c>
      <c r="D46">
        <f t="shared" si="1"/>
        <v>0.43990665110851812</v>
      </c>
      <c r="E46" t="s">
        <v>21</v>
      </c>
    </row>
    <row r="47" spans="1:5" x14ac:dyDescent="0.3">
      <c r="A47" s="1">
        <v>10556</v>
      </c>
      <c r="B47">
        <v>0.86799999999999999</v>
      </c>
      <c r="C47">
        <f t="shared" si="0"/>
        <v>2104.8214285714284</v>
      </c>
      <c r="D47">
        <f t="shared" si="1"/>
        <v>0.91715285880980169</v>
      </c>
      <c r="E47" t="s">
        <v>42</v>
      </c>
    </row>
    <row r="48" spans="1:5" x14ac:dyDescent="0.3">
      <c r="A48" s="1">
        <v>11023</v>
      </c>
      <c r="B48">
        <v>0.69799999999999995</v>
      </c>
      <c r="C48">
        <f t="shared" si="0"/>
        <v>2197.9978052673582</v>
      </c>
      <c r="D48">
        <f t="shared" si="1"/>
        <v>0.71878646441073513</v>
      </c>
      <c r="E48" t="s">
        <v>30</v>
      </c>
    </row>
    <row r="49" spans="1:5" x14ac:dyDescent="0.3">
      <c r="A49" s="1">
        <v>10823</v>
      </c>
      <c r="B49">
        <v>0.64600000000000002</v>
      </c>
      <c r="C49">
        <f t="shared" si="0"/>
        <v>2158.0935754189941</v>
      </c>
      <c r="D49">
        <f t="shared" si="1"/>
        <v>0.65810968494749134</v>
      </c>
      <c r="E49" t="s">
        <v>21</v>
      </c>
    </row>
    <row r="50" spans="1:5" x14ac:dyDescent="0.3">
      <c r="A50" s="1">
        <v>10704</v>
      </c>
      <c r="B50">
        <v>0.57099999999999995</v>
      </c>
      <c r="C50">
        <f t="shared" si="0"/>
        <v>2134.3505586592178</v>
      </c>
      <c r="D50">
        <f t="shared" si="1"/>
        <v>0.57059509918319717</v>
      </c>
      <c r="E50" t="s">
        <v>21</v>
      </c>
    </row>
    <row r="51" spans="1:5" x14ac:dyDescent="0.3">
      <c r="A51" s="1">
        <v>10669</v>
      </c>
      <c r="B51">
        <v>0.72199999999999998</v>
      </c>
      <c r="C51">
        <f t="shared" si="0"/>
        <v>2127.367318435754</v>
      </c>
      <c r="D51">
        <f t="shared" si="1"/>
        <v>0.74679113185530921</v>
      </c>
      <c r="E51" t="s">
        <v>34</v>
      </c>
    </row>
    <row r="52" spans="1:5" x14ac:dyDescent="0.3">
      <c r="A52" s="1">
        <v>10674</v>
      </c>
      <c r="B52">
        <v>0.65300000000000002</v>
      </c>
      <c r="C52">
        <f t="shared" si="0"/>
        <v>2128.364924181963</v>
      </c>
      <c r="D52">
        <f t="shared" si="1"/>
        <v>0.66627771295215876</v>
      </c>
      <c r="E52" t="s">
        <v>21</v>
      </c>
    </row>
    <row r="53" spans="1:5" x14ac:dyDescent="0.3">
      <c r="A53" s="1">
        <v>10871</v>
      </c>
      <c r="B53">
        <v>0.72099999999999997</v>
      </c>
      <c r="C53">
        <f t="shared" si="0"/>
        <v>2167.6705905826016</v>
      </c>
      <c r="D53">
        <f t="shared" si="1"/>
        <v>0.74562427071178528</v>
      </c>
      <c r="E53" t="s">
        <v>49</v>
      </c>
    </row>
    <row r="54" spans="1:5" x14ac:dyDescent="0.3">
      <c r="A54" s="1">
        <v>11085</v>
      </c>
      <c r="B54">
        <v>0.58899999999999997</v>
      </c>
      <c r="C54">
        <f t="shared" si="0"/>
        <v>2210.3681165203511</v>
      </c>
      <c r="D54">
        <f t="shared" si="1"/>
        <v>0.59159859976662776</v>
      </c>
      <c r="E54" t="s">
        <v>34</v>
      </c>
    </row>
    <row r="55" spans="1:5" x14ac:dyDescent="0.3">
      <c r="A55" s="1">
        <v>10743</v>
      </c>
      <c r="B55">
        <v>0.68400000000000005</v>
      </c>
      <c r="C55">
        <f t="shared" si="0"/>
        <v>2142.1318834796484</v>
      </c>
      <c r="D55">
        <f t="shared" si="1"/>
        <v>0.70245040840140038</v>
      </c>
      <c r="E55" t="s">
        <v>34</v>
      </c>
    </row>
    <row r="56" spans="1:5" x14ac:dyDescent="0.3">
      <c r="A56" s="1">
        <v>10571</v>
      </c>
      <c r="B56">
        <v>0.745</v>
      </c>
      <c r="C56">
        <f t="shared" si="0"/>
        <v>2107.8142458100556</v>
      </c>
      <c r="D56">
        <f t="shared" si="1"/>
        <v>0.77362893815635947</v>
      </c>
      <c r="E56" t="s">
        <v>21</v>
      </c>
    </row>
    <row r="57" spans="1:5" x14ac:dyDescent="0.3">
      <c r="A57" s="1">
        <v>10623</v>
      </c>
      <c r="B57">
        <v>0.86599999999999999</v>
      </c>
      <c r="C57">
        <f t="shared" si="0"/>
        <v>2118.1893455706304</v>
      </c>
      <c r="D57">
        <f t="shared" si="1"/>
        <v>0.91481913652275382</v>
      </c>
      <c r="E57" t="s">
        <v>21</v>
      </c>
    </row>
    <row r="58" spans="1:5" x14ac:dyDescent="0.3">
      <c r="A58" s="1">
        <v>10529</v>
      </c>
      <c r="B58">
        <v>0.80600000000000005</v>
      </c>
      <c r="C58">
        <f t="shared" si="0"/>
        <v>2099.4343575418993</v>
      </c>
      <c r="D58">
        <f t="shared" si="1"/>
        <v>0.84480746791131867</v>
      </c>
      <c r="E58" t="s">
        <v>42</v>
      </c>
    </row>
    <row r="59" spans="1:5" x14ac:dyDescent="0.3">
      <c r="A59" s="1">
        <v>9053</v>
      </c>
      <c r="B59">
        <v>0.77500000000000002</v>
      </c>
      <c r="C59">
        <f t="shared" si="0"/>
        <v>1804.9411412609734</v>
      </c>
      <c r="D59">
        <f t="shared" si="1"/>
        <v>0.80863477246207704</v>
      </c>
      <c r="E59" t="s">
        <v>39</v>
      </c>
    </row>
    <row r="60" spans="1:5" x14ac:dyDescent="0.3">
      <c r="A60" s="1">
        <v>9966</v>
      </c>
      <c r="B60">
        <v>0.59</v>
      </c>
      <c r="C60">
        <f t="shared" si="0"/>
        <v>1987.1039505187548</v>
      </c>
      <c r="D60">
        <f t="shared" si="1"/>
        <v>0.5927654609101517</v>
      </c>
      <c r="E60" t="s">
        <v>39</v>
      </c>
    </row>
    <row r="61" spans="1:5" x14ac:dyDescent="0.3">
      <c r="A61" s="1">
        <v>11488</v>
      </c>
      <c r="B61">
        <v>8.2000000000000003E-2</v>
      </c>
      <c r="C61">
        <f t="shared" si="0"/>
        <v>2290.7751396648041</v>
      </c>
      <c r="D61">
        <f t="shared" si="1"/>
        <v>0</v>
      </c>
      <c r="E61" t="s">
        <v>58</v>
      </c>
    </row>
    <row r="62" spans="1:5" x14ac:dyDescent="0.3">
      <c r="A62" s="1">
        <v>9318</v>
      </c>
      <c r="B62">
        <v>0.91700000000000004</v>
      </c>
      <c r="C62">
        <f t="shared" si="0"/>
        <v>1857.8142458100556</v>
      </c>
      <c r="D62">
        <f t="shared" si="1"/>
        <v>0.9743290548424739</v>
      </c>
      <c r="E62" t="s">
        <v>42</v>
      </c>
    </row>
    <row r="63" spans="1:5" x14ac:dyDescent="0.3">
      <c r="A63" s="1">
        <v>10369</v>
      </c>
      <c r="B63">
        <v>0.91100000000000003</v>
      </c>
      <c r="C63">
        <f t="shared" si="0"/>
        <v>2067.510973663208</v>
      </c>
      <c r="D63">
        <f t="shared" si="1"/>
        <v>0.96732788798133029</v>
      </c>
      <c r="E63" t="s">
        <v>42</v>
      </c>
    </row>
    <row r="64" spans="1:5" x14ac:dyDescent="0.3">
      <c r="A64" s="1">
        <v>9577</v>
      </c>
      <c r="B64">
        <v>0.75600000000000001</v>
      </c>
      <c r="C64">
        <f t="shared" si="0"/>
        <v>1909.490223463687</v>
      </c>
      <c r="D64">
        <f t="shared" si="1"/>
        <v>0.78646441073512263</v>
      </c>
      <c r="E64" t="s">
        <v>39</v>
      </c>
    </row>
    <row r="65" spans="1:11" ht="15.6" x14ac:dyDescent="0.3">
      <c r="A65" s="1">
        <v>9859</v>
      </c>
      <c r="B65">
        <v>0.79900000000000004</v>
      </c>
      <c r="C65">
        <f t="shared" si="0"/>
        <v>1965.75518754988</v>
      </c>
      <c r="D65">
        <f t="shared" si="1"/>
        <v>0.83663943990665124</v>
      </c>
      <c r="E65" t="s">
        <v>39</v>
      </c>
      <c r="H65" s="6" t="s">
        <v>221</v>
      </c>
    </row>
    <row r="66" spans="1:11" x14ac:dyDescent="0.3">
      <c r="A66" s="1">
        <v>9186</v>
      </c>
      <c r="B66">
        <v>0.88400000000000001</v>
      </c>
      <c r="C66">
        <f t="shared" si="0"/>
        <v>1831.4774541101356</v>
      </c>
      <c r="D66">
        <f t="shared" si="1"/>
        <v>0.93582263710618441</v>
      </c>
      <c r="E66" t="s">
        <v>39</v>
      </c>
      <c r="H66" s="2" t="s">
        <v>179</v>
      </c>
      <c r="I66" t="s">
        <v>235</v>
      </c>
      <c r="J66" t="s">
        <v>234</v>
      </c>
    </row>
    <row r="67" spans="1:11" x14ac:dyDescent="0.3">
      <c r="A67" s="1">
        <v>10499</v>
      </c>
      <c r="B67">
        <v>0.82599999999999996</v>
      </c>
      <c r="C67">
        <f t="shared" si="0"/>
        <v>2093.4487230646446</v>
      </c>
      <c r="D67">
        <f t="shared" si="1"/>
        <v>0.86814469078179701</v>
      </c>
      <c r="E67" t="s">
        <v>42</v>
      </c>
      <c r="H67" s="3" t="s">
        <v>42</v>
      </c>
      <c r="I67">
        <v>0.89676710824353101</v>
      </c>
      <c r="J67">
        <v>0.69314820900427199</v>
      </c>
    </row>
    <row r="68" spans="1:11" x14ac:dyDescent="0.3">
      <c r="A68" s="1">
        <v>10576</v>
      </c>
      <c r="B68">
        <v>0.84399999999999997</v>
      </c>
      <c r="C68">
        <f t="shared" si="0"/>
        <v>2108.8118515562646</v>
      </c>
      <c r="D68">
        <f t="shared" si="1"/>
        <v>0.8891481913652276</v>
      </c>
      <c r="E68" t="s">
        <v>21</v>
      </c>
      <c r="H68" s="3" t="s">
        <v>69</v>
      </c>
      <c r="I68">
        <v>0.75038895371450798</v>
      </c>
      <c r="J68">
        <v>0.55204176642724123</v>
      </c>
    </row>
    <row r="69" spans="1:11" x14ac:dyDescent="0.3">
      <c r="A69" s="1">
        <v>10481</v>
      </c>
      <c r="B69">
        <v>0.52700000000000002</v>
      </c>
      <c r="C69">
        <f t="shared" si="0"/>
        <v>2089.8573423782918</v>
      </c>
      <c r="D69">
        <f t="shared" si="1"/>
        <v>0.51925320886814474</v>
      </c>
      <c r="E69" t="s">
        <v>42</v>
      </c>
      <c r="H69" s="3" t="s">
        <v>49</v>
      </c>
      <c r="I69">
        <v>0.70167250097238432</v>
      </c>
      <c r="J69">
        <v>0.74474594306996533</v>
      </c>
    </row>
    <row r="70" spans="1:11" x14ac:dyDescent="0.3">
      <c r="A70" s="1">
        <v>10350</v>
      </c>
      <c r="B70">
        <v>0.85599999999999998</v>
      </c>
      <c r="C70">
        <f t="shared" si="0"/>
        <v>2063.7200718276135</v>
      </c>
      <c r="D70">
        <f t="shared" si="1"/>
        <v>0.90315052508751459</v>
      </c>
      <c r="E70" t="s">
        <v>39</v>
      </c>
      <c r="H70" s="3" t="s">
        <v>39</v>
      </c>
      <c r="I70">
        <v>0.82917152858809806</v>
      </c>
      <c r="J70">
        <v>0.54569034317637677</v>
      </c>
    </row>
    <row r="71" spans="1:11" x14ac:dyDescent="0.3">
      <c r="A71" s="1">
        <v>8836</v>
      </c>
      <c r="B71">
        <v>0.51500000000000001</v>
      </c>
      <c r="C71">
        <f t="shared" si="0"/>
        <v>1761.6450518754987</v>
      </c>
      <c r="D71">
        <f t="shared" si="1"/>
        <v>0.50525087514585765</v>
      </c>
      <c r="E71" t="s">
        <v>69</v>
      </c>
      <c r="H71" s="3" t="s">
        <v>34</v>
      </c>
      <c r="I71">
        <v>0.79374013315944814</v>
      </c>
      <c r="J71">
        <v>0.60477207642833675</v>
      </c>
    </row>
    <row r="72" spans="1:11" x14ac:dyDescent="0.3">
      <c r="A72" s="1">
        <v>10071</v>
      </c>
      <c r="B72">
        <v>0.83</v>
      </c>
      <c r="C72">
        <f t="shared" si="0"/>
        <v>2008.0536711891459</v>
      </c>
      <c r="D72">
        <f t="shared" si="1"/>
        <v>0.87281213535589264</v>
      </c>
      <c r="E72" t="s">
        <v>39</v>
      </c>
      <c r="H72" s="3" t="s">
        <v>30</v>
      </c>
      <c r="I72">
        <v>0.42852975495915985</v>
      </c>
      <c r="J72">
        <v>0.83290103750997613</v>
      </c>
    </row>
    <row r="73" spans="1:11" x14ac:dyDescent="0.3">
      <c r="A73" s="1">
        <v>10382</v>
      </c>
      <c r="B73">
        <v>0.73499999999999999</v>
      </c>
      <c r="C73">
        <f t="shared" si="0"/>
        <v>2070.1047486033517</v>
      </c>
      <c r="D73">
        <f t="shared" si="1"/>
        <v>0.76196032672112024</v>
      </c>
      <c r="E73" t="s">
        <v>42</v>
      </c>
      <c r="H73" s="3" t="s">
        <v>116</v>
      </c>
      <c r="I73">
        <v>0.83480580096682788</v>
      </c>
      <c r="J73">
        <v>0.40853380458328586</v>
      </c>
    </row>
    <row r="74" spans="1:11" x14ac:dyDescent="0.3">
      <c r="A74" s="1">
        <v>10155</v>
      </c>
      <c r="B74">
        <v>0.73299999999999998</v>
      </c>
      <c r="C74">
        <f t="shared" si="0"/>
        <v>2024.8134477254587</v>
      </c>
      <c r="D74">
        <f t="shared" si="1"/>
        <v>0.75962660443407237</v>
      </c>
      <c r="E74" t="s">
        <v>69</v>
      </c>
      <c r="H74" s="3" t="s">
        <v>58</v>
      </c>
      <c r="I74">
        <v>0.73175158822766773</v>
      </c>
      <c r="J74">
        <v>0.55595459785403922</v>
      </c>
    </row>
    <row r="75" spans="1:11" x14ac:dyDescent="0.3">
      <c r="A75" s="1">
        <v>10284</v>
      </c>
      <c r="B75">
        <v>0.93799999999999994</v>
      </c>
      <c r="C75">
        <f t="shared" si="0"/>
        <v>2050.5516759776533</v>
      </c>
      <c r="D75">
        <f t="shared" si="1"/>
        <v>0.99883313885647607</v>
      </c>
      <c r="E75" t="s">
        <v>42</v>
      </c>
      <c r="H75" s="3" t="s">
        <v>78</v>
      </c>
      <c r="I75">
        <v>0.79806819655127725</v>
      </c>
      <c r="J75">
        <v>0.28734925068723949</v>
      </c>
    </row>
    <row r="76" spans="1:11" x14ac:dyDescent="0.3">
      <c r="A76" s="1">
        <v>10817</v>
      </c>
      <c r="B76">
        <v>0.73599999999999999</v>
      </c>
      <c r="C76">
        <f t="shared" si="0"/>
        <v>2156.8964485235433</v>
      </c>
      <c r="D76">
        <f t="shared" si="1"/>
        <v>0.76312718786464417</v>
      </c>
      <c r="E76" t="s">
        <v>34</v>
      </c>
      <c r="H76" s="3" t="s">
        <v>21</v>
      </c>
      <c r="I76">
        <v>0.51469689392676554</v>
      </c>
      <c r="J76">
        <v>0.83553756698210013</v>
      </c>
    </row>
    <row r="77" spans="1:11" x14ac:dyDescent="0.3">
      <c r="A77" s="1">
        <v>9787</v>
      </c>
      <c r="B77">
        <v>0.83499999999999996</v>
      </c>
      <c r="C77">
        <f t="shared" si="0"/>
        <v>1951.389664804469</v>
      </c>
      <c r="D77">
        <f t="shared" si="1"/>
        <v>0.87864644107351231</v>
      </c>
      <c r="E77" t="s">
        <v>42</v>
      </c>
      <c r="H77" s="3" t="s">
        <v>180</v>
      </c>
      <c r="I77">
        <v>0.75315013352337234</v>
      </c>
      <c r="J77">
        <v>0.55810216554095693</v>
      </c>
    </row>
    <row r="78" spans="1:11" x14ac:dyDescent="0.3">
      <c r="A78" s="1">
        <v>9054</v>
      </c>
      <c r="B78">
        <v>0.68799999999999994</v>
      </c>
      <c r="C78">
        <f t="shared" si="0"/>
        <v>1805.1406624102153</v>
      </c>
      <c r="D78">
        <f t="shared" si="1"/>
        <v>0.7071178529754959</v>
      </c>
      <c r="E78" t="s">
        <v>39</v>
      </c>
    </row>
    <row r="79" spans="1:11" x14ac:dyDescent="0.3">
      <c r="A79" s="1">
        <v>10008</v>
      </c>
      <c r="B79">
        <v>0.78900000000000003</v>
      </c>
      <c r="C79">
        <f t="shared" si="0"/>
        <v>1995.4838387869113</v>
      </c>
      <c r="D79">
        <f t="shared" si="1"/>
        <v>0.82497082847141201</v>
      </c>
      <c r="E79" t="s">
        <v>78</v>
      </c>
    </row>
    <row r="80" spans="1:11" x14ac:dyDescent="0.3">
      <c r="A80" s="1">
        <v>10315</v>
      </c>
      <c r="B80">
        <v>0.8</v>
      </c>
      <c r="C80">
        <f t="shared" si="0"/>
        <v>2056.7368316041498</v>
      </c>
      <c r="D80">
        <f t="shared" si="1"/>
        <v>0.83780630105017517</v>
      </c>
      <c r="E80" t="s">
        <v>42</v>
      </c>
      <c r="H80" s="8" t="s">
        <v>179</v>
      </c>
      <c r="I80" s="8" t="s">
        <v>235</v>
      </c>
      <c r="J80" s="8" t="s">
        <v>234</v>
      </c>
      <c r="K80" s="9" t="s">
        <v>236</v>
      </c>
    </row>
    <row r="81" spans="1:11" x14ac:dyDescent="0.3">
      <c r="A81" s="1">
        <v>9557</v>
      </c>
      <c r="B81">
        <v>0.84099999999999997</v>
      </c>
      <c r="C81">
        <f t="shared" si="0"/>
        <v>1905.4998004788506</v>
      </c>
      <c r="D81">
        <f t="shared" si="1"/>
        <v>0.8856476079346558</v>
      </c>
      <c r="E81" t="s">
        <v>39</v>
      </c>
      <c r="H81" s="3" t="s">
        <v>42</v>
      </c>
      <c r="I81" s="10">
        <v>0.89676710824353101</v>
      </c>
      <c r="J81" s="10">
        <v>0.69314820900427199</v>
      </c>
      <c r="K81" s="10">
        <f>ABS(J81-I81)</f>
        <v>0.20361889923925902</v>
      </c>
    </row>
    <row r="82" spans="1:11" x14ac:dyDescent="0.3">
      <c r="A82" s="1">
        <v>10358</v>
      </c>
      <c r="B82">
        <v>0.876</v>
      </c>
      <c r="C82">
        <f t="shared" si="0"/>
        <v>2065.3162410215482</v>
      </c>
      <c r="D82">
        <f t="shared" si="1"/>
        <v>0.92648774795799305</v>
      </c>
      <c r="E82" t="s">
        <v>42</v>
      </c>
      <c r="H82" s="3" t="s">
        <v>69</v>
      </c>
      <c r="I82" s="10">
        <v>0.75038895371450798</v>
      </c>
      <c r="J82" s="10">
        <v>0.55204176642724123</v>
      </c>
      <c r="K82" s="10">
        <f t="shared" ref="K82:K90" si="2">J82-I82</f>
        <v>-0.19834718728726675</v>
      </c>
    </row>
    <row r="83" spans="1:11" x14ac:dyDescent="0.3">
      <c r="A83" s="1">
        <v>9805</v>
      </c>
      <c r="B83">
        <v>0.89500000000000002</v>
      </c>
      <c r="C83">
        <f t="shared" si="0"/>
        <v>1954.9810454908218</v>
      </c>
      <c r="D83">
        <f t="shared" si="1"/>
        <v>0.94865810968494757</v>
      </c>
      <c r="E83" t="s">
        <v>58</v>
      </c>
      <c r="H83" s="3" t="s">
        <v>49</v>
      </c>
      <c r="I83" s="10">
        <v>0.70167250097238432</v>
      </c>
      <c r="J83" s="10">
        <v>0.74474594306996533</v>
      </c>
      <c r="K83" s="10">
        <f t="shared" si="2"/>
        <v>4.3073442097581016E-2</v>
      </c>
    </row>
    <row r="84" spans="1:11" x14ac:dyDescent="0.3">
      <c r="A84" s="1">
        <v>8620</v>
      </c>
      <c r="B84">
        <v>0.66400000000000003</v>
      </c>
      <c r="C84">
        <f t="shared" si="0"/>
        <v>1718.5484836392657</v>
      </c>
      <c r="D84">
        <f t="shared" si="1"/>
        <v>0.67911318553092193</v>
      </c>
      <c r="E84" t="s">
        <v>39</v>
      </c>
      <c r="H84" s="3" t="s">
        <v>39</v>
      </c>
      <c r="I84" s="10">
        <v>0.82917152858809806</v>
      </c>
      <c r="J84" s="10">
        <v>0.54569034317637677</v>
      </c>
      <c r="K84" s="10">
        <f t="shared" si="2"/>
        <v>-0.28348118541172129</v>
      </c>
    </row>
    <row r="85" spans="1:11" x14ac:dyDescent="0.3">
      <c r="A85" s="1">
        <v>10611</v>
      </c>
      <c r="B85">
        <v>0.63800000000000001</v>
      </c>
      <c r="C85">
        <f t="shared" si="0"/>
        <v>2115.7950917797284</v>
      </c>
      <c r="D85">
        <f t="shared" si="1"/>
        <v>0.64877479579929997</v>
      </c>
      <c r="E85" t="s">
        <v>49</v>
      </c>
      <c r="H85" s="3" t="s">
        <v>34</v>
      </c>
      <c r="I85" s="10">
        <v>0.79374013315944814</v>
      </c>
      <c r="J85" s="10">
        <v>0.60477207642833675</v>
      </c>
      <c r="K85" s="10">
        <f t="shared" si="2"/>
        <v>-0.18896805673111139</v>
      </c>
    </row>
    <row r="86" spans="1:11" x14ac:dyDescent="0.3">
      <c r="A86" s="1">
        <v>9962</v>
      </c>
      <c r="B86">
        <v>0.83399999999999996</v>
      </c>
      <c r="C86">
        <f t="shared" si="0"/>
        <v>1986.3058659217875</v>
      </c>
      <c r="D86">
        <f t="shared" si="1"/>
        <v>0.87747957992998837</v>
      </c>
      <c r="E86" t="s">
        <v>39</v>
      </c>
      <c r="H86" s="3" t="s">
        <v>30</v>
      </c>
      <c r="I86" s="10">
        <v>0.42852975495915985</v>
      </c>
      <c r="J86" s="10">
        <v>0.83290103750997613</v>
      </c>
      <c r="K86" s="10">
        <f t="shared" si="2"/>
        <v>0.40437128255081628</v>
      </c>
    </row>
    <row r="87" spans="1:11" x14ac:dyDescent="0.3">
      <c r="A87" s="1">
        <v>10421</v>
      </c>
      <c r="B87">
        <v>0.88700000000000001</v>
      </c>
      <c r="C87">
        <f t="shared" si="0"/>
        <v>2077.8860734237828</v>
      </c>
      <c r="D87">
        <f t="shared" si="1"/>
        <v>0.93932322053675621</v>
      </c>
      <c r="E87" t="s">
        <v>21</v>
      </c>
      <c r="H87" s="3" t="s">
        <v>116</v>
      </c>
      <c r="I87" s="10">
        <v>0.83480580096682788</v>
      </c>
      <c r="J87" s="10">
        <v>0.40853380458328586</v>
      </c>
      <c r="K87" s="10">
        <f t="shared" si="2"/>
        <v>-0.42627199638354202</v>
      </c>
    </row>
    <row r="88" spans="1:11" x14ac:dyDescent="0.3">
      <c r="A88" s="1">
        <v>8648</v>
      </c>
      <c r="B88">
        <v>0.80900000000000005</v>
      </c>
      <c r="C88">
        <f t="shared" si="0"/>
        <v>1724.1350758180365</v>
      </c>
      <c r="D88">
        <f t="shared" si="1"/>
        <v>0.84830805134189047</v>
      </c>
      <c r="E88" t="s">
        <v>39</v>
      </c>
      <c r="H88" s="3" t="s">
        <v>58</v>
      </c>
      <c r="I88" s="10">
        <v>0.73175158822766773</v>
      </c>
      <c r="J88" s="10">
        <v>0.55595459785403922</v>
      </c>
      <c r="K88" s="10">
        <f t="shared" si="2"/>
        <v>-0.1757969903736285</v>
      </c>
    </row>
    <row r="89" spans="1:11" x14ac:dyDescent="0.3">
      <c r="A89" s="1">
        <v>10217</v>
      </c>
      <c r="B89">
        <v>0.93899999999999995</v>
      </c>
      <c r="C89">
        <f t="shared" si="0"/>
        <v>2037.1837589784516</v>
      </c>
      <c r="D89">
        <f t="shared" si="1"/>
        <v>1</v>
      </c>
      <c r="E89" t="s">
        <v>42</v>
      </c>
      <c r="H89" s="3" t="s">
        <v>78</v>
      </c>
      <c r="I89" s="10">
        <v>0.79806819655127725</v>
      </c>
      <c r="J89" s="10">
        <v>0.28734925068723949</v>
      </c>
      <c r="K89" s="10">
        <f t="shared" si="2"/>
        <v>-0.51071894586403777</v>
      </c>
    </row>
    <row r="90" spans="1:11" x14ac:dyDescent="0.3">
      <c r="A90" s="1">
        <v>9076</v>
      </c>
      <c r="B90">
        <v>0.74199999999999999</v>
      </c>
      <c r="C90">
        <f t="shared" si="0"/>
        <v>1809.5301276935354</v>
      </c>
      <c r="D90">
        <f t="shared" si="1"/>
        <v>0.77012835472578767</v>
      </c>
      <c r="E90" t="s">
        <v>58</v>
      </c>
      <c r="H90" s="3" t="s">
        <v>21</v>
      </c>
      <c r="I90" s="10">
        <v>0.51469689392676554</v>
      </c>
      <c r="J90" s="10">
        <v>0.83553756698210013</v>
      </c>
      <c r="K90" s="10">
        <f t="shared" si="2"/>
        <v>0.32084067305533459</v>
      </c>
    </row>
    <row r="91" spans="1:11" x14ac:dyDescent="0.3">
      <c r="A91" s="1">
        <v>10651</v>
      </c>
      <c r="B91">
        <v>0.72699999999999998</v>
      </c>
      <c r="C91">
        <f t="shared" si="0"/>
        <v>2123.7759377494012</v>
      </c>
      <c r="D91">
        <f t="shared" si="1"/>
        <v>0.75262543757292888</v>
      </c>
      <c r="E91" t="s">
        <v>49</v>
      </c>
    </row>
    <row r="92" spans="1:11" x14ac:dyDescent="0.3">
      <c r="A92" s="1">
        <v>9458</v>
      </c>
      <c r="B92">
        <v>0.89100000000000001</v>
      </c>
      <c r="C92">
        <f t="shared" si="0"/>
        <v>1885.7472067039105</v>
      </c>
      <c r="D92">
        <f t="shared" si="1"/>
        <v>0.94399066511085183</v>
      </c>
      <c r="E92" t="s">
        <v>39</v>
      </c>
    </row>
    <row r="93" spans="1:11" x14ac:dyDescent="0.3">
      <c r="A93" s="1">
        <v>9590</v>
      </c>
      <c r="B93">
        <v>0.93100000000000005</v>
      </c>
      <c r="C93">
        <f t="shared" si="0"/>
        <v>1912.0839984038305</v>
      </c>
      <c r="D93">
        <f t="shared" si="1"/>
        <v>0.99066511085180875</v>
      </c>
      <c r="E93" t="s">
        <v>42</v>
      </c>
    </row>
    <row r="94" spans="1:11" x14ac:dyDescent="0.3">
      <c r="A94" s="1">
        <v>9454</v>
      </c>
      <c r="B94">
        <v>0.91800000000000004</v>
      </c>
      <c r="C94">
        <f t="shared" si="0"/>
        <v>1884.9491221069432</v>
      </c>
      <c r="D94">
        <f t="shared" si="1"/>
        <v>0.97549591598599772</v>
      </c>
      <c r="E94" t="s">
        <v>69</v>
      </c>
    </row>
    <row r="95" spans="1:11" x14ac:dyDescent="0.3">
      <c r="A95" s="1">
        <v>9313</v>
      </c>
      <c r="B95">
        <v>0.84299999999999997</v>
      </c>
      <c r="C95">
        <f t="shared" ref="C95:C158" si="3">(A95-$D$25)/$D$27</f>
        <v>1856.8166400638465</v>
      </c>
      <c r="D95">
        <f t="shared" ref="D95:D158" si="4">(B95-$C$25)/$C$27</f>
        <v>0.88798133022170367</v>
      </c>
      <c r="E95" t="s">
        <v>39</v>
      </c>
    </row>
    <row r="96" spans="1:11" x14ac:dyDescent="0.3">
      <c r="A96" s="1">
        <v>8538</v>
      </c>
      <c r="B96">
        <v>0.90800000000000003</v>
      </c>
      <c r="C96">
        <f t="shared" si="3"/>
        <v>1702.1877494014363</v>
      </c>
      <c r="D96">
        <f t="shared" si="4"/>
        <v>0.9638273045507586</v>
      </c>
      <c r="E96" t="s">
        <v>69</v>
      </c>
    </row>
    <row r="97" spans="1:8" x14ac:dyDescent="0.3">
      <c r="A97" s="1">
        <v>10279</v>
      </c>
      <c r="B97">
        <v>0.82299999999999995</v>
      </c>
      <c r="C97">
        <f t="shared" si="3"/>
        <v>2049.5540702314443</v>
      </c>
      <c r="D97">
        <f t="shared" si="4"/>
        <v>0.86464410735122521</v>
      </c>
      <c r="E97" t="s">
        <v>21</v>
      </c>
    </row>
    <row r="98" spans="1:8" x14ac:dyDescent="0.3">
      <c r="A98" s="1">
        <v>9046</v>
      </c>
      <c r="B98">
        <v>0.83899999999999997</v>
      </c>
      <c r="C98">
        <f t="shared" si="3"/>
        <v>1803.5444932162807</v>
      </c>
      <c r="D98">
        <f t="shared" si="4"/>
        <v>0.88331388564760793</v>
      </c>
      <c r="E98" t="s">
        <v>39</v>
      </c>
    </row>
    <row r="99" spans="1:8" x14ac:dyDescent="0.3">
      <c r="A99" s="1">
        <v>9400</v>
      </c>
      <c r="B99">
        <v>0.85599999999999998</v>
      </c>
      <c r="C99">
        <f t="shared" si="3"/>
        <v>1874.1749800478849</v>
      </c>
      <c r="D99">
        <f t="shared" si="4"/>
        <v>0.90315052508751459</v>
      </c>
      <c r="E99" t="s">
        <v>49</v>
      </c>
    </row>
    <row r="100" spans="1:8" x14ac:dyDescent="0.3">
      <c r="A100" s="1">
        <v>9448</v>
      </c>
      <c r="B100">
        <v>0.88200000000000001</v>
      </c>
      <c r="C100">
        <f t="shared" si="3"/>
        <v>1883.7519952114922</v>
      </c>
      <c r="D100">
        <f t="shared" si="4"/>
        <v>0.93348891481913654</v>
      </c>
      <c r="E100" t="s">
        <v>39</v>
      </c>
    </row>
    <row r="101" spans="1:8" x14ac:dyDescent="0.3">
      <c r="A101" s="1">
        <v>9940</v>
      </c>
      <c r="B101">
        <v>0.81200000000000006</v>
      </c>
      <c r="C101">
        <f t="shared" si="3"/>
        <v>1981.9164006384674</v>
      </c>
      <c r="D101">
        <f t="shared" si="4"/>
        <v>0.85180863477246216</v>
      </c>
      <c r="E101" t="s">
        <v>42</v>
      </c>
    </row>
    <row r="102" spans="1:8" x14ac:dyDescent="0.3">
      <c r="A102" s="1">
        <v>9802</v>
      </c>
      <c r="B102">
        <v>0.71399999999999997</v>
      </c>
      <c r="C102">
        <f t="shared" si="3"/>
        <v>1954.3824820430964</v>
      </c>
      <c r="D102">
        <f t="shared" si="4"/>
        <v>0.73745624270711785</v>
      </c>
      <c r="E102" t="s">
        <v>39</v>
      </c>
    </row>
    <row r="103" spans="1:8" x14ac:dyDescent="0.3">
      <c r="A103" s="1">
        <v>10576</v>
      </c>
      <c r="B103">
        <v>0.626</v>
      </c>
      <c r="C103">
        <f t="shared" si="3"/>
        <v>2108.8118515562646</v>
      </c>
      <c r="D103">
        <f t="shared" si="4"/>
        <v>0.63477246207701288</v>
      </c>
      <c r="E103" t="s">
        <v>21</v>
      </c>
    </row>
    <row r="104" spans="1:8" x14ac:dyDescent="0.3">
      <c r="A104" s="1">
        <v>9853</v>
      </c>
      <c r="B104">
        <v>0.627</v>
      </c>
      <c r="C104">
        <f t="shared" si="3"/>
        <v>1964.5580606544293</v>
      </c>
      <c r="D104">
        <f t="shared" si="4"/>
        <v>0.63593932322053681</v>
      </c>
      <c r="E104" t="s">
        <v>69</v>
      </c>
    </row>
    <row r="105" spans="1:8" x14ac:dyDescent="0.3">
      <c r="A105" s="1">
        <v>10189</v>
      </c>
      <c r="B105">
        <v>0.84499999999999997</v>
      </c>
      <c r="C105">
        <f t="shared" si="3"/>
        <v>2031.5971667996805</v>
      </c>
      <c r="D105">
        <f t="shared" si="4"/>
        <v>0.89031505250875154</v>
      </c>
      <c r="E105" t="s">
        <v>69</v>
      </c>
    </row>
    <row r="106" spans="1:8" x14ac:dyDescent="0.3">
      <c r="A106" s="1">
        <v>11000</v>
      </c>
      <c r="B106">
        <v>0.40300000000000002</v>
      </c>
      <c r="C106">
        <f t="shared" si="3"/>
        <v>2193.4088188347964</v>
      </c>
      <c r="D106">
        <f t="shared" si="4"/>
        <v>0.37456242707117854</v>
      </c>
      <c r="E106" t="s">
        <v>49</v>
      </c>
    </row>
    <row r="107" spans="1:8" x14ac:dyDescent="0.3">
      <c r="A107" s="1">
        <v>8091</v>
      </c>
      <c r="B107">
        <v>0.55300000000000005</v>
      </c>
      <c r="C107">
        <f t="shared" si="3"/>
        <v>1613.001795690343</v>
      </c>
      <c r="D107">
        <f t="shared" si="4"/>
        <v>0.5495915985997667</v>
      </c>
      <c r="E107" t="s">
        <v>69</v>
      </c>
    </row>
    <row r="108" spans="1:8" x14ac:dyDescent="0.3">
      <c r="A108" s="1">
        <v>8973</v>
      </c>
      <c r="B108">
        <v>0.79600000000000004</v>
      </c>
      <c r="C108">
        <f t="shared" si="3"/>
        <v>1788.979449321628</v>
      </c>
      <c r="D108">
        <f t="shared" si="4"/>
        <v>0.83313885647607944</v>
      </c>
      <c r="E108" t="s">
        <v>58</v>
      </c>
    </row>
    <row r="109" spans="1:8" x14ac:dyDescent="0.3">
      <c r="A109" s="1">
        <v>9622</v>
      </c>
      <c r="B109">
        <v>0.66700000000000004</v>
      </c>
      <c r="C109">
        <f t="shared" si="3"/>
        <v>1918.4686751795689</v>
      </c>
      <c r="D109">
        <f t="shared" si="4"/>
        <v>0.68261376896149373</v>
      </c>
      <c r="E109" t="s">
        <v>34</v>
      </c>
    </row>
    <row r="110" spans="1:8" x14ac:dyDescent="0.3">
      <c r="A110" s="1">
        <v>10238</v>
      </c>
      <c r="B110">
        <v>0.83899999999999997</v>
      </c>
      <c r="C110">
        <f t="shared" si="3"/>
        <v>2041.3737031125297</v>
      </c>
      <c r="D110">
        <f t="shared" si="4"/>
        <v>0.88331388564760793</v>
      </c>
      <c r="E110" t="s">
        <v>58</v>
      </c>
    </row>
    <row r="111" spans="1:8" ht="15.6" x14ac:dyDescent="0.3">
      <c r="A111" s="1">
        <v>9365</v>
      </c>
      <c r="B111">
        <v>0.86699999999999999</v>
      </c>
      <c r="C111">
        <f t="shared" si="3"/>
        <v>1867.1917398244211</v>
      </c>
      <c r="D111">
        <f t="shared" si="4"/>
        <v>0.91598599766627775</v>
      </c>
      <c r="E111" t="s">
        <v>58</v>
      </c>
      <c r="H111" s="6" t="s">
        <v>222</v>
      </c>
    </row>
    <row r="112" spans="1:8" x14ac:dyDescent="0.3">
      <c r="A112" s="1">
        <v>8117</v>
      </c>
      <c r="B112">
        <v>0.745</v>
      </c>
      <c r="C112">
        <f t="shared" si="3"/>
        <v>1618.1893455706304</v>
      </c>
      <c r="D112">
        <f t="shared" si="4"/>
        <v>0.77362893815635947</v>
      </c>
      <c r="E112" t="s">
        <v>78</v>
      </c>
    </row>
    <row r="113" spans="1:10" x14ac:dyDescent="0.3">
      <c r="A113" s="1">
        <v>9673</v>
      </c>
      <c r="B113">
        <v>0.755</v>
      </c>
      <c r="C113">
        <f t="shared" si="3"/>
        <v>1928.6442537909015</v>
      </c>
      <c r="D113">
        <f t="shared" si="4"/>
        <v>0.7852975495915987</v>
      </c>
      <c r="E113" t="s">
        <v>49</v>
      </c>
      <c r="H113" t="s">
        <v>1</v>
      </c>
      <c r="I113" t="s">
        <v>0</v>
      </c>
      <c r="J113" t="s">
        <v>2</v>
      </c>
    </row>
    <row r="114" spans="1:10" x14ac:dyDescent="0.3">
      <c r="A114" s="1">
        <v>8551</v>
      </c>
      <c r="B114">
        <v>0.79400000000000004</v>
      </c>
      <c r="C114">
        <f t="shared" si="3"/>
        <v>1704.7815243415801</v>
      </c>
      <c r="D114">
        <f t="shared" si="4"/>
        <v>0.83080513418903157</v>
      </c>
      <c r="E114" t="s">
        <v>78</v>
      </c>
      <c r="H114" t="s">
        <v>42</v>
      </c>
      <c r="I114" t="s">
        <v>41</v>
      </c>
      <c r="J114" s="1">
        <v>6965</v>
      </c>
    </row>
    <row r="115" spans="1:10" x14ac:dyDescent="0.3">
      <c r="A115" s="1">
        <v>9487</v>
      </c>
      <c r="B115">
        <v>0.629</v>
      </c>
      <c r="C115">
        <f t="shared" si="3"/>
        <v>1891.5333200319233</v>
      </c>
      <c r="D115">
        <f t="shared" si="4"/>
        <v>0.63827304550758468</v>
      </c>
      <c r="E115" t="s">
        <v>69</v>
      </c>
      <c r="H115" t="s">
        <v>42</v>
      </c>
      <c r="I115" t="s">
        <v>54</v>
      </c>
      <c r="J115" s="1">
        <v>6461</v>
      </c>
    </row>
    <row r="116" spans="1:10" x14ac:dyDescent="0.3">
      <c r="A116" s="1">
        <v>8120</v>
      </c>
      <c r="B116">
        <v>0.72699999999999998</v>
      </c>
      <c r="C116">
        <f t="shared" si="3"/>
        <v>1618.7879090183558</v>
      </c>
      <c r="D116">
        <f t="shared" si="4"/>
        <v>0.75262543757292888</v>
      </c>
      <c r="E116" t="s">
        <v>116</v>
      </c>
      <c r="H116" t="s">
        <v>42</v>
      </c>
      <c r="I116" t="s">
        <v>59</v>
      </c>
      <c r="J116" s="1">
        <v>6372</v>
      </c>
    </row>
    <row r="117" spans="1:10" x14ac:dyDescent="0.3">
      <c r="A117" s="1">
        <v>10016</v>
      </c>
      <c r="B117">
        <v>0.93200000000000005</v>
      </c>
      <c r="C117">
        <f t="shared" si="3"/>
        <v>1997.0800079808457</v>
      </c>
      <c r="D117">
        <f t="shared" si="4"/>
        <v>0.99183197199533268</v>
      </c>
      <c r="E117" t="s">
        <v>42</v>
      </c>
      <c r="H117" t="s">
        <v>42</v>
      </c>
      <c r="I117" t="s">
        <v>60</v>
      </c>
      <c r="J117" s="1">
        <v>6331</v>
      </c>
    </row>
    <row r="118" spans="1:10" x14ac:dyDescent="0.3">
      <c r="A118" s="1">
        <v>9826</v>
      </c>
      <c r="B118">
        <v>0.82499999999999996</v>
      </c>
      <c r="C118">
        <f t="shared" si="3"/>
        <v>1959.1709896249001</v>
      </c>
      <c r="D118">
        <f t="shared" si="4"/>
        <v>0.86697782963827308</v>
      </c>
      <c r="E118" t="s">
        <v>116</v>
      </c>
      <c r="H118" t="s">
        <v>42</v>
      </c>
      <c r="I118" t="s">
        <v>64</v>
      </c>
      <c r="J118" s="1">
        <v>6255</v>
      </c>
    </row>
    <row r="119" spans="1:10" x14ac:dyDescent="0.3">
      <c r="A119" s="1">
        <v>9569</v>
      </c>
      <c r="B119">
        <v>0.50600000000000001</v>
      </c>
      <c r="C119">
        <f t="shared" si="3"/>
        <v>1907.8940542697524</v>
      </c>
      <c r="D119">
        <f t="shared" si="4"/>
        <v>0.49474912485414235</v>
      </c>
      <c r="E119" t="s">
        <v>69</v>
      </c>
      <c r="H119" t="s">
        <v>42</v>
      </c>
      <c r="I119" t="s">
        <v>66</v>
      </c>
      <c r="J119" s="1">
        <v>6189</v>
      </c>
    </row>
    <row r="120" spans="1:10" x14ac:dyDescent="0.3">
      <c r="A120" s="1">
        <v>8189</v>
      </c>
      <c r="B120">
        <v>0.84799999999999998</v>
      </c>
      <c r="C120">
        <f t="shared" si="3"/>
        <v>1632.5548683160414</v>
      </c>
      <c r="D120">
        <f t="shared" si="4"/>
        <v>0.89381563593932323</v>
      </c>
      <c r="E120" t="s">
        <v>78</v>
      </c>
      <c r="H120" t="s">
        <v>42</v>
      </c>
      <c r="I120" t="s">
        <v>71</v>
      </c>
      <c r="J120" s="1">
        <v>6166</v>
      </c>
    </row>
    <row r="121" spans="1:10" x14ac:dyDescent="0.3">
      <c r="A121" s="1">
        <v>8118</v>
      </c>
      <c r="B121">
        <v>0.80100000000000005</v>
      </c>
      <c r="C121">
        <f t="shared" si="3"/>
        <v>1618.3888667198721</v>
      </c>
      <c r="D121">
        <f t="shared" si="4"/>
        <v>0.83897316219369911</v>
      </c>
      <c r="E121" t="s">
        <v>78</v>
      </c>
      <c r="H121" t="s">
        <v>42</v>
      </c>
      <c r="I121" t="s">
        <v>73</v>
      </c>
      <c r="J121" s="1">
        <v>6140</v>
      </c>
    </row>
    <row r="122" spans="1:10" x14ac:dyDescent="0.3">
      <c r="A122" s="1">
        <v>9520</v>
      </c>
      <c r="B122">
        <v>0.90100000000000002</v>
      </c>
      <c r="C122">
        <f t="shared" si="3"/>
        <v>1898.1175179569032</v>
      </c>
      <c r="D122">
        <f t="shared" si="4"/>
        <v>0.95565927654609106</v>
      </c>
      <c r="E122" t="s">
        <v>42</v>
      </c>
      <c r="H122" t="s">
        <v>42</v>
      </c>
      <c r="I122" t="s">
        <v>75</v>
      </c>
      <c r="J122" s="1">
        <v>6078</v>
      </c>
    </row>
    <row r="123" spans="1:10" x14ac:dyDescent="0.3">
      <c r="A123" s="1">
        <v>9693</v>
      </c>
      <c r="B123">
        <v>0.90500000000000003</v>
      </c>
      <c r="C123">
        <f t="shared" si="3"/>
        <v>1932.6346767757379</v>
      </c>
      <c r="D123">
        <f t="shared" si="4"/>
        <v>0.9603267211201868</v>
      </c>
      <c r="E123" t="s">
        <v>42</v>
      </c>
      <c r="H123" t="s">
        <v>42</v>
      </c>
      <c r="I123" t="s">
        <v>79</v>
      </c>
      <c r="J123" s="1">
        <v>6032</v>
      </c>
    </row>
    <row r="124" spans="1:10" x14ac:dyDescent="0.3">
      <c r="A124" s="1">
        <v>8580</v>
      </c>
      <c r="B124">
        <v>0.84799999999999998</v>
      </c>
      <c r="C124">
        <f t="shared" si="3"/>
        <v>1710.5676376695928</v>
      </c>
      <c r="D124">
        <f t="shared" si="4"/>
        <v>0.89381563593932323</v>
      </c>
      <c r="E124" t="s">
        <v>78</v>
      </c>
      <c r="H124" t="s">
        <v>42</v>
      </c>
      <c r="I124" t="s">
        <v>81</v>
      </c>
      <c r="J124" s="1">
        <v>5992</v>
      </c>
    </row>
    <row r="125" spans="1:10" x14ac:dyDescent="0.3">
      <c r="A125" s="1">
        <v>7098</v>
      </c>
      <c r="B125">
        <v>0.69299999999999995</v>
      </c>
      <c r="C125">
        <f t="shared" si="3"/>
        <v>1414.8772944932161</v>
      </c>
      <c r="D125">
        <f t="shared" si="4"/>
        <v>0.71295215869311557</v>
      </c>
      <c r="E125" t="s">
        <v>78</v>
      </c>
      <c r="H125" t="s">
        <v>42</v>
      </c>
      <c r="I125" t="s">
        <v>88</v>
      </c>
      <c r="J125" s="1">
        <v>5882</v>
      </c>
    </row>
    <row r="126" spans="1:10" x14ac:dyDescent="0.3">
      <c r="A126" s="1">
        <v>9629</v>
      </c>
      <c r="B126">
        <v>0.88800000000000001</v>
      </c>
      <c r="C126">
        <f t="shared" si="3"/>
        <v>1919.8653232242616</v>
      </c>
      <c r="D126">
        <f t="shared" si="4"/>
        <v>0.94049008168028014</v>
      </c>
      <c r="E126" t="s">
        <v>69</v>
      </c>
      <c r="H126" t="s">
        <v>42</v>
      </c>
      <c r="I126" t="s">
        <v>92</v>
      </c>
      <c r="J126" s="1">
        <v>5813</v>
      </c>
    </row>
    <row r="127" spans="1:10" x14ac:dyDescent="0.3">
      <c r="A127" s="1">
        <v>7686</v>
      </c>
      <c r="B127">
        <v>0.746</v>
      </c>
      <c r="C127">
        <f t="shared" si="3"/>
        <v>1532.1957302474061</v>
      </c>
      <c r="D127">
        <f t="shared" si="4"/>
        <v>0.7747957992998834</v>
      </c>
      <c r="E127" t="s">
        <v>78</v>
      </c>
      <c r="H127" t="s">
        <v>42</v>
      </c>
      <c r="I127" t="s">
        <v>100</v>
      </c>
      <c r="J127" s="1">
        <v>5581</v>
      </c>
    </row>
    <row r="128" spans="1:10" x14ac:dyDescent="0.3">
      <c r="A128" s="1">
        <v>8087</v>
      </c>
      <c r="B128">
        <v>0.66100000000000003</v>
      </c>
      <c r="C128">
        <f t="shared" si="3"/>
        <v>1612.2037110933757</v>
      </c>
      <c r="D128">
        <f t="shared" si="4"/>
        <v>0.67561260210035012</v>
      </c>
      <c r="E128" t="s">
        <v>78</v>
      </c>
      <c r="H128" t="s">
        <v>42</v>
      </c>
      <c r="I128" t="s">
        <v>117</v>
      </c>
      <c r="J128" s="1">
        <v>5266</v>
      </c>
    </row>
    <row r="129" spans="1:10" x14ac:dyDescent="0.3">
      <c r="A129" s="1">
        <v>8947</v>
      </c>
      <c r="B129">
        <v>0.65800000000000003</v>
      </c>
      <c r="C129">
        <f t="shared" si="3"/>
        <v>1783.7918994413405</v>
      </c>
      <c r="D129">
        <f t="shared" si="4"/>
        <v>0.67211201866977843</v>
      </c>
      <c r="E129" t="s">
        <v>58</v>
      </c>
      <c r="H129" t="s">
        <v>42</v>
      </c>
      <c r="I129" t="s">
        <v>122</v>
      </c>
      <c r="J129" s="1">
        <v>5117</v>
      </c>
    </row>
    <row r="130" spans="1:10" x14ac:dyDescent="0.3">
      <c r="A130" s="1">
        <v>8454</v>
      </c>
      <c r="B130">
        <v>0.68200000000000005</v>
      </c>
      <c r="C130">
        <f t="shared" si="3"/>
        <v>1685.4279728651236</v>
      </c>
      <c r="D130">
        <f t="shared" si="4"/>
        <v>0.70011668611435252</v>
      </c>
      <c r="E130" t="s">
        <v>116</v>
      </c>
      <c r="H130" t="s">
        <v>42</v>
      </c>
      <c r="I130" t="s">
        <v>123</v>
      </c>
      <c r="J130" s="1">
        <v>5101</v>
      </c>
    </row>
    <row r="131" spans="1:10" x14ac:dyDescent="0.3">
      <c r="A131" s="1">
        <v>7838</v>
      </c>
      <c r="B131">
        <v>0.76600000000000001</v>
      </c>
      <c r="C131">
        <f t="shared" si="3"/>
        <v>1562.5229449321625</v>
      </c>
      <c r="D131">
        <f t="shared" si="4"/>
        <v>0.79813302217036175</v>
      </c>
      <c r="E131" t="s">
        <v>78</v>
      </c>
      <c r="H131" t="s">
        <v>69</v>
      </c>
      <c r="I131" t="s">
        <v>68</v>
      </c>
      <c r="J131" s="1">
        <v>6179</v>
      </c>
    </row>
    <row r="132" spans="1:10" x14ac:dyDescent="0.3">
      <c r="A132" s="1">
        <v>9403</v>
      </c>
      <c r="B132">
        <v>0.86</v>
      </c>
      <c r="C132">
        <f t="shared" si="3"/>
        <v>1874.7735434956103</v>
      </c>
      <c r="D132">
        <f t="shared" si="4"/>
        <v>0.90781796966161032</v>
      </c>
      <c r="E132" t="s">
        <v>78</v>
      </c>
      <c r="H132" t="s">
        <v>69</v>
      </c>
      <c r="I132" t="s">
        <v>72</v>
      </c>
      <c r="J132" s="1">
        <v>6152</v>
      </c>
    </row>
    <row r="133" spans="1:10" x14ac:dyDescent="0.3">
      <c r="A133" s="1">
        <v>10240</v>
      </c>
      <c r="B133">
        <v>0.77600000000000002</v>
      </c>
      <c r="C133">
        <f t="shared" si="3"/>
        <v>2041.7727454110134</v>
      </c>
      <c r="D133">
        <f t="shared" si="4"/>
        <v>0.80980163360560098</v>
      </c>
      <c r="E133" t="s">
        <v>34</v>
      </c>
      <c r="H133" t="s">
        <v>69</v>
      </c>
      <c r="I133" t="s">
        <v>93</v>
      </c>
      <c r="J133" s="1">
        <v>5766</v>
      </c>
    </row>
    <row r="134" spans="1:10" x14ac:dyDescent="0.3">
      <c r="A134" s="1">
        <v>8458</v>
      </c>
      <c r="B134">
        <v>0.78700000000000003</v>
      </c>
      <c r="C134">
        <f t="shared" si="3"/>
        <v>1686.2260574620907</v>
      </c>
      <c r="D134">
        <f t="shared" si="4"/>
        <v>0.82263710618436414</v>
      </c>
      <c r="E134" t="s">
        <v>116</v>
      </c>
      <c r="H134" t="s">
        <v>69</v>
      </c>
      <c r="I134" t="s">
        <v>95</v>
      </c>
      <c r="J134" s="1">
        <v>5744</v>
      </c>
    </row>
    <row r="135" spans="1:10" x14ac:dyDescent="0.3">
      <c r="A135" s="1">
        <v>8903</v>
      </c>
      <c r="B135">
        <v>0.80100000000000005</v>
      </c>
      <c r="C135">
        <f t="shared" si="3"/>
        <v>1775.0129688747006</v>
      </c>
      <c r="D135">
        <f t="shared" si="4"/>
        <v>0.83897316219369911</v>
      </c>
      <c r="E135" t="s">
        <v>34</v>
      </c>
      <c r="H135" t="s">
        <v>69</v>
      </c>
      <c r="I135" t="s">
        <v>103</v>
      </c>
      <c r="J135" s="1">
        <v>5534</v>
      </c>
    </row>
    <row r="136" spans="1:10" x14ac:dyDescent="0.3">
      <c r="A136" s="1">
        <v>9073</v>
      </c>
      <c r="B136">
        <v>0.82699999999999996</v>
      </c>
      <c r="C136">
        <f t="shared" si="3"/>
        <v>1808.9315642458098</v>
      </c>
      <c r="D136">
        <f t="shared" si="4"/>
        <v>0.86931155192532095</v>
      </c>
      <c r="E136" t="s">
        <v>39</v>
      </c>
      <c r="H136" t="s">
        <v>69</v>
      </c>
      <c r="I136" t="s">
        <v>104</v>
      </c>
      <c r="J136" s="1">
        <v>5477</v>
      </c>
    </row>
    <row r="137" spans="1:10" x14ac:dyDescent="0.3">
      <c r="A137" s="1">
        <v>9585</v>
      </c>
      <c r="B137">
        <v>0.65500000000000003</v>
      </c>
      <c r="C137">
        <f t="shared" si="3"/>
        <v>1911.0863926576214</v>
      </c>
      <c r="D137">
        <f t="shared" si="4"/>
        <v>0.66861143523920663</v>
      </c>
      <c r="E137" t="s">
        <v>69</v>
      </c>
      <c r="H137" t="s">
        <v>69</v>
      </c>
      <c r="I137" t="s">
        <v>106</v>
      </c>
      <c r="J137" s="1">
        <v>5466</v>
      </c>
    </row>
    <row r="138" spans="1:10" x14ac:dyDescent="0.3">
      <c r="A138" s="1">
        <v>9342</v>
      </c>
      <c r="B138">
        <v>0.752</v>
      </c>
      <c r="C138">
        <f t="shared" si="3"/>
        <v>1862.6027533918593</v>
      </c>
      <c r="D138">
        <f t="shared" si="4"/>
        <v>0.7817969661610269</v>
      </c>
      <c r="E138" t="s">
        <v>34</v>
      </c>
      <c r="H138" t="s">
        <v>69</v>
      </c>
      <c r="I138" t="s">
        <v>114</v>
      </c>
      <c r="J138" s="1">
        <v>5283</v>
      </c>
    </row>
    <row r="139" spans="1:10" x14ac:dyDescent="0.3">
      <c r="A139" s="1">
        <v>9436</v>
      </c>
      <c r="B139">
        <v>0.92400000000000004</v>
      </c>
      <c r="C139">
        <f t="shared" si="3"/>
        <v>1881.3577414205904</v>
      </c>
      <c r="D139">
        <f t="shared" si="4"/>
        <v>0.98249708284714132</v>
      </c>
      <c r="E139" t="s">
        <v>69</v>
      </c>
      <c r="H139" t="s">
        <v>69</v>
      </c>
      <c r="I139" t="s">
        <v>119</v>
      </c>
      <c r="J139" s="1">
        <v>5171</v>
      </c>
    </row>
    <row r="140" spans="1:10" x14ac:dyDescent="0.3">
      <c r="A140" s="1">
        <v>9240</v>
      </c>
      <c r="B140">
        <v>0.875</v>
      </c>
      <c r="C140">
        <f t="shared" si="3"/>
        <v>1842.2515961691938</v>
      </c>
      <c r="D140">
        <f t="shared" si="4"/>
        <v>0.92532088681446911</v>
      </c>
      <c r="E140" t="s">
        <v>34</v>
      </c>
      <c r="H140" t="s">
        <v>69</v>
      </c>
      <c r="I140" t="s">
        <v>126</v>
      </c>
      <c r="J140" s="1">
        <v>5066</v>
      </c>
    </row>
    <row r="141" spans="1:10" x14ac:dyDescent="0.3">
      <c r="A141" s="1">
        <v>9603</v>
      </c>
      <c r="B141">
        <v>0.84</v>
      </c>
      <c r="C141">
        <f t="shared" si="3"/>
        <v>1914.6777733439742</v>
      </c>
      <c r="D141">
        <f t="shared" si="4"/>
        <v>0.88448074679113187</v>
      </c>
      <c r="E141" t="s">
        <v>78</v>
      </c>
      <c r="H141" t="s">
        <v>69</v>
      </c>
      <c r="I141" t="s">
        <v>137</v>
      </c>
      <c r="J141" s="1">
        <v>4891</v>
      </c>
    </row>
    <row r="142" spans="1:10" x14ac:dyDescent="0.3">
      <c r="A142" s="1">
        <v>7678</v>
      </c>
      <c r="B142">
        <v>0.748</v>
      </c>
      <c r="C142">
        <f t="shared" si="3"/>
        <v>1530.5995610534715</v>
      </c>
      <c r="D142">
        <f t="shared" si="4"/>
        <v>0.77712952158693116</v>
      </c>
      <c r="E142" t="s">
        <v>78</v>
      </c>
      <c r="H142" t="s">
        <v>69</v>
      </c>
      <c r="I142" t="s">
        <v>139</v>
      </c>
      <c r="J142" s="1">
        <v>4875</v>
      </c>
    </row>
    <row r="143" spans="1:10" x14ac:dyDescent="0.3">
      <c r="A143" s="1">
        <v>8360</v>
      </c>
      <c r="B143">
        <v>0.84299999999999997</v>
      </c>
      <c r="C143">
        <f t="shared" si="3"/>
        <v>1666.6729848363925</v>
      </c>
      <c r="D143">
        <f t="shared" si="4"/>
        <v>0.88798133022170367</v>
      </c>
      <c r="E143" t="s">
        <v>58</v>
      </c>
      <c r="H143" t="s">
        <v>49</v>
      </c>
      <c r="I143" t="s">
        <v>48</v>
      </c>
      <c r="J143" s="1">
        <v>6584</v>
      </c>
    </row>
    <row r="144" spans="1:10" x14ac:dyDescent="0.3">
      <c r="A144" s="1">
        <v>7158</v>
      </c>
      <c r="B144">
        <v>0.68400000000000005</v>
      </c>
      <c r="C144">
        <f t="shared" si="3"/>
        <v>1426.8485634477254</v>
      </c>
      <c r="D144">
        <f t="shared" si="4"/>
        <v>0.70245040840140038</v>
      </c>
      <c r="E144" t="s">
        <v>78</v>
      </c>
      <c r="H144" t="s">
        <v>49</v>
      </c>
      <c r="I144" t="s">
        <v>84</v>
      </c>
      <c r="J144" s="1">
        <v>5940</v>
      </c>
    </row>
    <row r="145" spans="1:10" x14ac:dyDescent="0.3">
      <c r="A145" s="1">
        <v>8533</v>
      </c>
      <c r="B145">
        <v>0.878</v>
      </c>
      <c r="C145">
        <f t="shared" si="3"/>
        <v>1701.1901436552273</v>
      </c>
      <c r="D145">
        <f t="shared" si="4"/>
        <v>0.92882147024504091</v>
      </c>
      <c r="E145" t="s">
        <v>78</v>
      </c>
      <c r="H145" t="s">
        <v>49</v>
      </c>
      <c r="I145" t="s">
        <v>90</v>
      </c>
      <c r="J145" s="1">
        <v>5845</v>
      </c>
    </row>
    <row r="146" spans="1:10" x14ac:dyDescent="0.3">
      <c r="A146" s="1">
        <v>7744</v>
      </c>
      <c r="B146">
        <v>0.82699999999999996</v>
      </c>
      <c r="C146">
        <f t="shared" si="3"/>
        <v>1543.7679569034315</v>
      </c>
      <c r="D146">
        <f t="shared" si="4"/>
        <v>0.86931155192532095</v>
      </c>
      <c r="E146" t="s">
        <v>78</v>
      </c>
      <c r="H146" t="s">
        <v>49</v>
      </c>
      <c r="I146" t="s">
        <v>98</v>
      </c>
      <c r="J146" s="1">
        <v>5677</v>
      </c>
    </row>
    <row r="147" spans="1:10" x14ac:dyDescent="0.3">
      <c r="A147" s="1">
        <v>9584</v>
      </c>
      <c r="B147">
        <v>0.71399999999999997</v>
      </c>
      <c r="C147">
        <f t="shared" si="3"/>
        <v>1910.8868715083797</v>
      </c>
      <c r="D147">
        <f t="shared" si="4"/>
        <v>0.73745624270711785</v>
      </c>
      <c r="E147" t="s">
        <v>34</v>
      </c>
      <c r="H147" t="s">
        <v>49</v>
      </c>
      <c r="I147" t="s">
        <v>105</v>
      </c>
      <c r="J147" s="1">
        <v>5477</v>
      </c>
    </row>
    <row r="148" spans="1:10" x14ac:dyDescent="0.3">
      <c r="A148" s="1">
        <v>7677</v>
      </c>
      <c r="B148">
        <v>0.85499999999999998</v>
      </c>
      <c r="C148">
        <f t="shared" si="3"/>
        <v>1530.4000399042297</v>
      </c>
      <c r="D148">
        <f t="shared" si="4"/>
        <v>0.90198366394399065</v>
      </c>
      <c r="E148" t="s">
        <v>78</v>
      </c>
      <c r="H148" t="s">
        <v>49</v>
      </c>
      <c r="I148" t="s">
        <v>112</v>
      </c>
      <c r="J148" s="1">
        <v>5339</v>
      </c>
    </row>
    <row r="149" spans="1:10" x14ac:dyDescent="0.3">
      <c r="A149" s="1">
        <v>7288</v>
      </c>
      <c r="B149">
        <v>0.85</v>
      </c>
      <c r="C149">
        <f t="shared" si="3"/>
        <v>1452.7863128491617</v>
      </c>
      <c r="D149">
        <f t="shared" si="4"/>
        <v>0.8961493582263711</v>
      </c>
      <c r="E149" t="s">
        <v>78</v>
      </c>
      <c r="H149" t="s">
        <v>39</v>
      </c>
      <c r="I149" t="s">
        <v>38</v>
      </c>
      <c r="J149" s="1">
        <v>7069</v>
      </c>
    </row>
    <row r="150" spans="1:10" x14ac:dyDescent="0.3">
      <c r="A150" s="1">
        <v>8361</v>
      </c>
      <c r="B150">
        <v>0.82499999999999996</v>
      </c>
      <c r="C150">
        <f t="shared" si="3"/>
        <v>1666.8725059856342</v>
      </c>
      <c r="D150">
        <f t="shared" si="4"/>
        <v>0.86697782963827308</v>
      </c>
      <c r="E150" t="s">
        <v>78</v>
      </c>
      <c r="H150" t="s">
        <v>39</v>
      </c>
      <c r="I150" t="s">
        <v>55</v>
      </c>
      <c r="J150" s="1">
        <v>6435</v>
      </c>
    </row>
    <row r="151" spans="1:10" x14ac:dyDescent="0.3">
      <c r="A151" s="1">
        <v>9266</v>
      </c>
      <c r="B151">
        <v>0.87</v>
      </c>
      <c r="C151">
        <f t="shared" si="3"/>
        <v>1847.439146049481</v>
      </c>
      <c r="D151">
        <f t="shared" si="4"/>
        <v>0.91948658109684955</v>
      </c>
      <c r="E151" t="s">
        <v>34</v>
      </c>
      <c r="H151" t="s">
        <v>39</v>
      </c>
      <c r="I151" t="s">
        <v>56</v>
      </c>
      <c r="J151" s="1">
        <v>6431</v>
      </c>
    </row>
    <row r="152" spans="1:10" x14ac:dyDescent="0.3">
      <c r="A152" s="1">
        <v>9626</v>
      </c>
      <c r="B152">
        <v>0.89800000000000002</v>
      </c>
      <c r="C152">
        <f t="shared" si="3"/>
        <v>1919.266759776536</v>
      </c>
      <c r="D152">
        <f t="shared" si="4"/>
        <v>0.95215869311551937</v>
      </c>
      <c r="E152" t="s">
        <v>34</v>
      </c>
      <c r="H152" t="s">
        <v>39</v>
      </c>
      <c r="I152" t="s">
        <v>61</v>
      </c>
      <c r="J152" s="1">
        <v>6330</v>
      </c>
    </row>
    <row r="153" spans="1:10" x14ac:dyDescent="0.3">
      <c r="A153" s="1">
        <v>9161</v>
      </c>
      <c r="B153">
        <v>0.84699999999999998</v>
      </c>
      <c r="C153">
        <f t="shared" si="3"/>
        <v>1826.4894253790899</v>
      </c>
      <c r="D153">
        <f t="shared" si="4"/>
        <v>0.89264877479579929</v>
      </c>
      <c r="E153" t="s">
        <v>78</v>
      </c>
      <c r="H153" t="s">
        <v>39</v>
      </c>
      <c r="I153" t="s">
        <v>62</v>
      </c>
      <c r="J153" s="1">
        <v>6317</v>
      </c>
    </row>
    <row r="154" spans="1:10" x14ac:dyDescent="0.3">
      <c r="A154" s="1">
        <v>8485</v>
      </c>
      <c r="B154">
        <v>0.82099999999999995</v>
      </c>
      <c r="C154">
        <f t="shared" si="3"/>
        <v>1691.6131284916198</v>
      </c>
      <c r="D154">
        <f t="shared" si="4"/>
        <v>0.86231038506417734</v>
      </c>
      <c r="E154" t="s">
        <v>34</v>
      </c>
      <c r="H154" t="s">
        <v>39</v>
      </c>
      <c r="I154" t="s">
        <v>63</v>
      </c>
      <c r="J154" s="1">
        <v>6309</v>
      </c>
    </row>
    <row r="155" spans="1:10" x14ac:dyDescent="0.3">
      <c r="A155" s="1">
        <v>8541</v>
      </c>
      <c r="B155">
        <v>0.66</v>
      </c>
      <c r="C155">
        <f t="shared" si="3"/>
        <v>1702.7863128491617</v>
      </c>
      <c r="D155">
        <f t="shared" si="4"/>
        <v>0.67444574095682619</v>
      </c>
      <c r="E155" t="s">
        <v>58</v>
      </c>
      <c r="H155" t="s">
        <v>39</v>
      </c>
      <c r="I155" t="s">
        <v>67</v>
      </c>
      <c r="J155" s="1">
        <v>6180</v>
      </c>
    </row>
    <row r="156" spans="1:10" x14ac:dyDescent="0.3">
      <c r="A156" s="1">
        <v>9182</v>
      </c>
      <c r="B156">
        <v>0.70499999999999996</v>
      </c>
      <c r="C156">
        <f t="shared" si="3"/>
        <v>1830.6793695131682</v>
      </c>
      <c r="D156">
        <f t="shared" si="4"/>
        <v>0.72695449241540255</v>
      </c>
      <c r="E156" t="s">
        <v>34</v>
      </c>
      <c r="H156" t="s">
        <v>39</v>
      </c>
      <c r="I156" t="s">
        <v>70</v>
      </c>
      <c r="J156" s="1">
        <v>6172</v>
      </c>
    </row>
    <row r="157" spans="1:10" x14ac:dyDescent="0.3">
      <c r="A157" s="1">
        <v>7364</v>
      </c>
      <c r="B157">
        <v>0.80700000000000005</v>
      </c>
      <c r="C157">
        <f t="shared" si="3"/>
        <v>1467.9499201915401</v>
      </c>
      <c r="D157">
        <f t="shared" si="4"/>
        <v>0.8459743290548426</v>
      </c>
      <c r="E157" t="s">
        <v>78</v>
      </c>
      <c r="H157" t="s">
        <v>39</v>
      </c>
      <c r="I157" t="s">
        <v>76</v>
      </c>
      <c r="J157" s="1">
        <v>6061</v>
      </c>
    </row>
    <row r="158" spans="1:10" x14ac:dyDescent="0.3">
      <c r="A158" s="1">
        <v>9470</v>
      </c>
      <c r="B158">
        <v>0.86299999999999999</v>
      </c>
      <c r="C158">
        <f t="shared" si="3"/>
        <v>1888.1414604948122</v>
      </c>
      <c r="D158">
        <f t="shared" si="4"/>
        <v>0.91131855309218213</v>
      </c>
      <c r="E158" t="s">
        <v>116</v>
      </c>
      <c r="H158" t="s">
        <v>39</v>
      </c>
      <c r="I158" t="s">
        <v>80</v>
      </c>
      <c r="J158" s="1">
        <v>6012</v>
      </c>
    </row>
    <row r="159" spans="1:10" x14ac:dyDescent="0.3">
      <c r="A159" s="1">
        <v>9065</v>
      </c>
      <c r="B159">
        <v>0.70799999999999996</v>
      </c>
      <c r="C159">
        <f t="shared" ref="C159:C178" si="5">(A159-$D$25)/$D$27</f>
        <v>1807.3353950518754</v>
      </c>
      <c r="D159">
        <f t="shared" ref="D159:D178" si="6">(B159-$C$25)/$C$27</f>
        <v>0.73045507584597436</v>
      </c>
      <c r="E159" t="s">
        <v>78</v>
      </c>
      <c r="H159" t="s">
        <v>39</v>
      </c>
      <c r="I159" t="s">
        <v>83</v>
      </c>
      <c r="J159" s="1">
        <v>5972</v>
      </c>
    </row>
    <row r="160" spans="1:10" x14ac:dyDescent="0.3">
      <c r="A160" s="1">
        <v>8031</v>
      </c>
      <c r="B160">
        <v>0.78100000000000003</v>
      </c>
      <c r="C160">
        <f t="shared" si="5"/>
        <v>1601.0305267358337</v>
      </c>
      <c r="D160">
        <f t="shared" si="6"/>
        <v>0.81563593932322065</v>
      </c>
      <c r="E160" t="s">
        <v>78</v>
      </c>
      <c r="H160" t="s">
        <v>39</v>
      </c>
      <c r="I160" t="s">
        <v>85</v>
      </c>
      <c r="J160" s="1">
        <v>5929</v>
      </c>
    </row>
    <row r="161" spans="1:10" x14ac:dyDescent="0.3">
      <c r="A161" s="1">
        <v>9367</v>
      </c>
      <c r="B161">
        <v>0.79500000000000004</v>
      </c>
      <c r="C161">
        <f t="shared" si="5"/>
        <v>1867.5907821229048</v>
      </c>
      <c r="D161">
        <f t="shared" si="6"/>
        <v>0.8319719953325555</v>
      </c>
      <c r="E161" t="s">
        <v>34</v>
      </c>
      <c r="H161" t="s">
        <v>39</v>
      </c>
      <c r="I161" t="s">
        <v>87</v>
      </c>
      <c r="J161" s="1">
        <v>5919</v>
      </c>
    </row>
    <row r="162" spans="1:10" x14ac:dyDescent="0.3">
      <c r="A162" s="1">
        <v>7694</v>
      </c>
      <c r="B162">
        <v>0.76100000000000001</v>
      </c>
      <c r="C162">
        <f t="shared" si="5"/>
        <v>1533.7918994413405</v>
      </c>
      <c r="D162">
        <f t="shared" si="6"/>
        <v>0.79229871645274219</v>
      </c>
      <c r="E162" t="s">
        <v>78</v>
      </c>
      <c r="H162" t="s">
        <v>39</v>
      </c>
      <c r="I162" t="s">
        <v>91</v>
      </c>
      <c r="J162" s="1">
        <v>5840</v>
      </c>
    </row>
    <row r="163" spans="1:10" x14ac:dyDescent="0.3">
      <c r="A163" s="1">
        <v>8542</v>
      </c>
      <c r="B163">
        <v>0.73099999999999998</v>
      </c>
      <c r="C163">
        <f t="shared" si="5"/>
        <v>1702.9858339984037</v>
      </c>
      <c r="D163">
        <f t="shared" si="6"/>
        <v>0.7572928821470245</v>
      </c>
      <c r="E163" t="s">
        <v>78</v>
      </c>
      <c r="H163" t="s">
        <v>39</v>
      </c>
      <c r="I163" t="s">
        <v>94</v>
      </c>
      <c r="J163" s="1">
        <v>5764</v>
      </c>
    </row>
    <row r="164" spans="1:10" x14ac:dyDescent="0.3">
      <c r="A164" s="1">
        <v>7396</v>
      </c>
      <c r="B164">
        <v>0.80300000000000005</v>
      </c>
      <c r="C164">
        <f t="shared" si="5"/>
        <v>1474.3345969672785</v>
      </c>
      <c r="D164">
        <f t="shared" si="6"/>
        <v>0.84130688448074686</v>
      </c>
      <c r="E164" t="s">
        <v>78</v>
      </c>
      <c r="H164" t="s">
        <v>39</v>
      </c>
      <c r="I164" t="s">
        <v>97</v>
      </c>
      <c r="J164" s="1">
        <v>5716</v>
      </c>
    </row>
    <row r="165" spans="1:10" x14ac:dyDescent="0.3">
      <c r="A165" s="1">
        <v>7362</v>
      </c>
      <c r="B165">
        <v>0.77200000000000002</v>
      </c>
      <c r="C165">
        <f t="shared" si="5"/>
        <v>1467.5508778930564</v>
      </c>
      <c r="D165">
        <f t="shared" si="6"/>
        <v>0.80513418903150535</v>
      </c>
      <c r="E165" t="s">
        <v>78</v>
      </c>
      <c r="H165" t="s">
        <v>39</v>
      </c>
      <c r="I165" t="s">
        <v>99</v>
      </c>
      <c r="J165" s="1">
        <v>5653</v>
      </c>
    </row>
    <row r="166" spans="1:10" x14ac:dyDescent="0.3">
      <c r="A166" s="1">
        <v>8145</v>
      </c>
      <c r="B166">
        <v>0.82299999999999995</v>
      </c>
      <c r="C166">
        <f t="shared" si="5"/>
        <v>1623.7759377494012</v>
      </c>
      <c r="D166">
        <f t="shared" si="6"/>
        <v>0.86464410735122521</v>
      </c>
      <c r="E166" t="s">
        <v>78</v>
      </c>
      <c r="H166" t="s">
        <v>39</v>
      </c>
      <c r="I166" t="s">
        <v>101</v>
      </c>
      <c r="J166" s="1">
        <v>5545</v>
      </c>
    </row>
    <row r="167" spans="1:10" x14ac:dyDescent="0.3">
      <c r="A167" s="1">
        <v>7434</v>
      </c>
      <c r="B167">
        <v>0.86599999999999999</v>
      </c>
      <c r="C167">
        <f t="shared" si="5"/>
        <v>1481.9164006384674</v>
      </c>
      <c r="D167">
        <f t="shared" si="6"/>
        <v>0.91481913652275382</v>
      </c>
      <c r="E167" t="s">
        <v>78</v>
      </c>
      <c r="H167" t="s">
        <v>39</v>
      </c>
      <c r="I167" t="s">
        <v>136</v>
      </c>
      <c r="J167" s="1">
        <v>4892</v>
      </c>
    </row>
    <row r="168" spans="1:10" x14ac:dyDescent="0.3">
      <c r="A168" s="1">
        <v>8755</v>
      </c>
      <c r="B168">
        <v>0.77400000000000002</v>
      </c>
      <c r="C168">
        <f t="shared" si="5"/>
        <v>1745.4838387869113</v>
      </c>
      <c r="D168">
        <f t="shared" si="6"/>
        <v>0.80746791131855322</v>
      </c>
      <c r="E168" t="s">
        <v>116</v>
      </c>
      <c r="H168" t="s">
        <v>39</v>
      </c>
      <c r="I168" t="s">
        <v>172</v>
      </c>
      <c r="J168" s="1">
        <v>3615</v>
      </c>
    </row>
    <row r="169" spans="1:10" x14ac:dyDescent="0.3">
      <c r="A169" s="1">
        <v>6635</v>
      </c>
      <c r="B169">
        <v>0.60699999999999998</v>
      </c>
      <c r="C169">
        <f t="shared" si="5"/>
        <v>1322.4990023942537</v>
      </c>
      <c r="D169">
        <f t="shared" si="6"/>
        <v>0.61260210035005835</v>
      </c>
      <c r="E169" t="s">
        <v>78</v>
      </c>
      <c r="H169" t="s">
        <v>34</v>
      </c>
      <c r="I169" t="s">
        <v>33</v>
      </c>
      <c r="J169" s="1">
        <v>7157</v>
      </c>
    </row>
    <row r="170" spans="1:10" x14ac:dyDescent="0.3">
      <c r="A170" s="1">
        <v>7578</v>
      </c>
      <c r="B170">
        <v>0.8</v>
      </c>
      <c r="C170">
        <f t="shared" si="5"/>
        <v>1510.6474461292896</v>
      </c>
      <c r="D170">
        <f t="shared" si="6"/>
        <v>0.83780630105017517</v>
      </c>
      <c r="E170" t="s">
        <v>34</v>
      </c>
      <c r="H170" t="s">
        <v>34</v>
      </c>
      <c r="I170" t="s">
        <v>46</v>
      </c>
      <c r="J170" s="1">
        <v>6647</v>
      </c>
    </row>
    <row r="171" spans="1:10" x14ac:dyDescent="0.3">
      <c r="A171" s="1">
        <v>7876</v>
      </c>
      <c r="B171">
        <v>0.57699999999999996</v>
      </c>
      <c r="C171">
        <f t="shared" si="5"/>
        <v>1570.1047486033517</v>
      </c>
      <c r="D171">
        <f t="shared" si="6"/>
        <v>0.57759626604434067</v>
      </c>
      <c r="E171" t="s">
        <v>78</v>
      </c>
      <c r="H171" t="s">
        <v>34</v>
      </c>
      <c r="I171" t="s">
        <v>50</v>
      </c>
      <c r="J171" s="1">
        <v>6561</v>
      </c>
    </row>
    <row r="172" spans="1:10" x14ac:dyDescent="0.3">
      <c r="A172" s="1">
        <v>7477</v>
      </c>
      <c r="B172">
        <v>0.72099999999999997</v>
      </c>
      <c r="C172">
        <f t="shared" si="5"/>
        <v>1490.4958100558658</v>
      </c>
      <c r="D172">
        <f t="shared" si="6"/>
        <v>0.74562427071178528</v>
      </c>
      <c r="E172" t="s">
        <v>39</v>
      </c>
      <c r="H172" t="s">
        <v>34</v>
      </c>
      <c r="I172" t="s">
        <v>51</v>
      </c>
      <c r="J172" s="1">
        <v>6494</v>
      </c>
    </row>
    <row r="173" spans="1:10" x14ac:dyDescent="0.3">
      <c r="A173" s="1">
        <v>6958</v>
      </c>
      <c r="B173">
        <v>0.72899999999999998</v>
      </c>
      <c r="C173">
        <f t="shared" si="5"/>
        <v>1386.9443335993615</v>
      </c>
      <c r="D173">
        <f t="shared" si="6"/>
        <v>0.75495915985997675</v>
      </c>
      <c r="E173" t="s">
        <v>78</v>
      </c>
      <c r="H173" t="s">
        <v>34</v>
      </c>
      <c r="I173" t="s">
        <v>74</v>
      </c>
      <c r="J173" s="1">
        <v>6106</v>
      </c>
    </row>
    <row r="174" spans="1:10" x14ac:dyDescent="0.3">
      <c r="A174" s="1">
        <v>7926</v>
      </c>
      <c r="B174">
        <v>0.91500000000000004</v>
      </c>
      <c r="C174">
        <f t="shared" si="5"/>
        <v>1580.0808060654429</v>
      </c>
      <c r="D174">
        <f t="shared" si="6"/>
        <v>0.97199533255542603</v>
      </c>
      <c r="E174" t="s">
        <v>78</v>
      </c>
      <c r="H174" t="s">
        <v>34</v>
      </c>
      <c r="I174" t="s">
        <v>108</v>
      </c>
      <c r="J174" s="1">
        <v>5410</v>
      </c>
    </row>
    <row r="175" spans="1:10" x14ac:dyDescent="0.3">
      <c r="A175" s="1">
        <v>9782</v>
      </c>
      <c r="B175">
        <v>0.80100000000000005</v>
      </c>
      <c r="C175">
        <f t="shared" si="5"/>
        <v>1950.39205905826</v>
      </c>
      <c r="D175">
        <f t="shared" si="6"/>
        <v>0.83897316219369911</v>
      </c>
      <c r="E175" t="s">
        <v>78</v>
      </c>
      <c r="H175" t="s">
        <v>34</v>
      </c>
      <c r="I175" t="s">
        <v>133</v>
      </c>
      <c r="J175" s="1">
        <v>4948</v>
      </c>
    </row>
    <row r="176" spans="1:10" x14ac:dyDescent="0.3">
      <c r="A176" s="1">
        <v>7676</v>
      </c>
      <c r="B176">
        <v>0.16700000000000001</v>
      </c>
      <c r="C176">
        <f t="shared" si="5"/>
        <v>1530.2005187549878</v>
      </c>
      <c r="D176">
        <f t="shared" si="6"/>
        <v>9.9183197199533266E-2</v>
      </c>
      <c r="E176" t="s">
        <v>78</v>
      </c>
      <c r="H176" t="s">
        <v>34</v>
      </c>
      <c r="I176" t="s">
        <v>135</v>
      </c>
      <c r="J176" s="1">
        <v>4918</v>
      </c>
    </row>
    <row r="177" spans="1:10" x14ac:dyDescent="0.3">
      <c r="A177" s="1">
        <v>7943</v>
      </c>
      <c r="B177">
        <v>0.82099999999999995</v>
      </c>
      <c r="C177">
        <f t="shared" si="5"/>
        <v>1583.4726656025537</v>
      </c>
      <c r="D177">
        <f t="shared" si="6"/>
        <v>0.86231038506417734</v>
      </c>
      <c r="E177" t="s">
        <v>78</v>
      </c>
      <c r="H177" t="s">
        <v>34</v>
      </c>
      <c r="I177" t="s">
        <v>138</v>
      </c>
      <c r="J177" s="1">
        <v>4887</v>
      </c>
    </row>
    <row r="178" spans="1:10" x14ac:dyDescent="0.3">
      <c r="A178" s="1">
        <v>7695</v>
      </c>
      <c r="B178">
        <v>0.92400000000000004</v>
      </c>
      <c r="C178">
        <f t="shared" si="5"/>
        <v>1533.9914205905825</v>
      </c>
      <c r="D178">
        <f t="shared" si="6"/>
        <v>0.98249708284714132</v>
      </c>
      <c r="E178" t="s">
        <v>116</v>
      </c>
      <c r="H178" t="s">
        <v>34</v>
      </c>
      <c r="I178" t="s">
        <v>140</v>
      </c>
      <c r="J178" s="1">
        <v>4854</v>
      </c>
    </row>
    <row r="179" spans="1:10" x14ac:dyDescent="0.3">
      <c r="H179" t="s">
        <v>34</v>
      </c>
      <c r="I179" t="s">
        <v>147</v>
      </c>
      <c r="J179" s="1">
        <v>4721</v>
      </c>
    </row>
    <row r="180" spans="1:10" x14ac:dyDescent="0.3">
      <c r="H180" t="s">
        <v>34</v>
      </c>
      <c r="I180" t="s">
        <v>151</v>
      </c>
      <c r="J180" s="1">
        <v>4596</v>
      </c>
    </row>
    <row r="181" spans="1:10" x14ac:dyDescent="0.3">
      <c r="H181" t="s">
        <v>34</v>
      </c>
      <c r="I181" t="s">
        <v>152</v>
      </c>
      <c r="J181" s="1">
        <v>4584</v>
      </c>
    </row>
    <row r="182" spans="1:10" x14ac:dyDescent="0.3">
      <c r="H182" t="s">
        <v>34</v>
      </c>
      <c r="I182" t="s">
        <v>154</v>
      </c>
      <c r="J182" s="1">
        <v>4517</v>
      </c>
    </row>
    <row r="183" spans="1:10" x14ac:dyDescent="0.3">
      <c r="H183" t="s">
        <v>34</v>
      </c>
      <c r="I183" t="s">
        <v>156</v>
      </c>
      <c r="J183" s="1">
        <v>4395</v>
      </c>
    </row>
    <row r="184" spans="1:10" x14ac:dyDescent="0.3">
      <c r="H184" t="s">
        <v>34</v>
      </c>
      <c r="I184" t="s">
        <v>161</v>
      </c>
      <c r="J184" s="1">
        <v>4283</v>
      </c>
    </row>
    <row r="185" spans="1:10" x14ac:dyDescent="0.3">
      <c r="H185" t="s">
        <v>34</v>
      </c>
      <c r="I185" t="s">
        <v>170</v>
      </c>
      <c r="J185" s="1">
        <v>3658</v>
      </c>
    </row>
    <row r="186" spans="1:10" x14ac:dyDescent="0.3">
      <c r="H186" s="13" t="s">
        <v>30</v>
      </c>
      <c r="I186" s="13" t="s">
        <v>29</v>
      </c>
      <c r="J186" s="14">
        <v>7277</v>
      </c>
    </row>
    <row r="187" spans="1:10" x14ac:dyDescent="0.3">
      <c r="H187" t="s">
        <v>30</v>
      </c>
      <c r="I187" t="s">
        <v>32</v>
      </c>
      <c r="J187" s="1">
        <v>7183</v>
      </c>
    </row>
    <row r="188" spans="1:10" x14ac:dyDescent="0.3">
      <c r="H188" t="s">
        <v>30</v>
      </c>
      <c r="I188" t="s">
        <v>36</v>
      </c>
      <c r="J188" s="1">
        <v>7103</v>
      </c>
    </row>
    <row r="189" spans="1:10" x14ac:dyDescent="0.3">
      <c r="H189" t="s">
        <v>30</v>
      </c>
      <c r="I189" t="s">
        <v>43</v>
      </c>
      <c r="J189" s="1">
        <v>6951</v>
      </c>
    </row>
    <row r="190" spans="1:10" x14ac:dyDescent="0.3">
      <c r="H190" t="s">
        <v>116</v>
      </c>
      <c r="I190" t="s">
        <v>115</v>
      </c>
      <c r="J190" s="1">
        <v>5269</v>
      </c>
    </row>
    <row r="191" spans="1:10" x14ac:dyDescent="0.3">
      <c r="H191" t="s">
        <v>116</v>
      </c>
      <c r="I191" t="s">
        <v>118</v>
      </c>
      <c r="J191" s="1">
        <v>5198</v>
      </c>
    </row>
    <row r="192" spans="1:10" x14ac:dyDescent="0.3">
      <c r="H192" t="s">
        <v>116</v>
      </c>
      <c r="I192" t="s">
        <v>130</v>
      </c>
      <c r="J192" s="1">
        <v>5025</v>
      </c>
    </row>
    <row r="193" spans="8:10" x14ac:dyDescent="0.3">
      <c r="H193" t="s">
        <v>116</v>
      </c>
      <c r="I193" t="s">
        <v>134</v>
      </c>
      <c r="J193" s="1">
        <v>4934</v>
      </c>
    </row>
    <row r="194" spans="8:10" x14ac:dyDescent="0.3">
      <c r="H194" t="s">
        <v>116</v>
      </c>
      <c r="I194" t="s">
        <v>158</v>
      </c>
      <c r="J194" s="1">
        <v>4325</v>
      </c>
    </row>
    <row r="195" spans="8:10" x14ac:dyDescent="0.3">
      <c r="H195" t="s">
        <v>116</v>
      </c>
      <c r="I195" t="s">
        <v>168</v>
      </c>
      <c r="J195" s="1">
        <v>3819</v>
      </c>
    </row>
    <row r="196" spans="8:10" x14ac:dyDescent="0.3">
      <c r="H196" t="s">
        <v>116</v>
      </c>
      <c r="I196" t="s">
        <v>178</v>
      </c>
      <c r="J196" s="1">
        <v>2523</v>
      </c>
    </row>
    <row r="197" spans="8:10" x14ac:dyDescent="0.3">
      <c r="H197" t="s">
        <v>58</v>
      </c>
      <c r="I197" t="s">
        <v>57</v>
      </c>
      <c r="J197" s="1">
        <v>6377</v>
      </c>
    </row>
    <row r="198" spans="8:10" x14ac:dyDescent="0.3">
      <c r="H198" t="s">
        <v>58</v>
      </c>
      <c r="I198" t="s">
        <v>82</v>
      </c>
      <c r="J198" s="1">
        <v>5985</v>
      </c>
    </row>
    <row r="199" spans="8:10" x14ac:dyDescent="0.3">
      <c r="H199" t="s">
        <v>58</v>
      </c>
      <c r="I199" t="s">
        <v>89</v>
      </c>
      <c r="J199" s="1">
        <v>5880</v>
      </c>
    </row>
    <row r="200" spans="8:10" x14ac:dyDescent="0.3">
      <c r="H200" t="s">
        <v>58</v>
      </c>
      <c r="I200" t="s">
        <v>107</v>
      </c>
      <c r="J200" s="1">
        <v>5411</v>
      </c>
    </row>
    <row r="201" spans="8:10" x14ac:dyDescent="0.3">
      <c r="H201" t="s">
        <v>58</v>
      </c>
      <c r="I201" t="s">
        <v>109</v>
      </c>
      <c r="J201" s="1">
        <v>5384</v>
      </c>
    </row>
    <row r="202" spans="8:10" x14ac:dyDescent="0.3">
      <c r="H202" t="s">
        <v>58</v>
      </c>
      <c r="I202" t="s">
        <v>110</v>
      </c>
      <c r="J202" s="1">
        <v>5345</v>
      </c>
    </row>
    <row r="203" spans="8:10" x14ac:dyDescent="0.3">
      <c r="H203" t="s">
        <v>58</v>
      </c>
      <c r="I203" t="s">
        <v>129</v>
      </c>
      <c r="J203" s="1">
        <v>5030</v>
      </c>
    </row>
    <row r="204" spans="8:10" x14ac:dyDescent="0.3">
      <c r="H204" t="s">
        <v>58</v>
      </c>
      <c r="I204" t="s">
        <v>143</v>
      </c>
      <c r="J204" s="1">
        <v>4830</v>
      </c>
    </row>
    <row r="205" spans="8:10" x14ac:dyDescent="0.3">
      <c r="H205" t="s">
        <v>58</v>
      </c>
      <c r="I205" t="s">
        <v>155</v>
      </c>
      <c r="J205" s="1">
        <v>4426</v>
      </c>
    </row>
    <row r="206" spans="8:10" x14ac:dyDescent="0.3">
      <c r="H206" t="s">
        <v>78</v>
      </c>
      <c r="I206" t="s">
        <v>77</v>
      </c>
      <c r="J206" s="1">
        <v>6049</v>
      </c>
    </row>
    <row r="207" spans="8:10" x14ac:dyDescent="0.3">
      <c r="H207" t="s">
        <v>78</v>
      </c>
      <c r="I207" t="s">
        <v>111</v>
      </c>
      <c r="J207" s="1">
        <v>5342</v>
      </c>
    </row>
    <row r="208" spans="8:10" x14ac:dyDescent="0.3">
      <c r="H208" t="s">
        <v>78</v>
      </c>
      <c r="I208" t="s">
        <v>113</v>
      </c>
      <c r="J208" s="1">
        <v>5306</v>
      </c>
    </row>
    <row r="209" spans="8:10" x14ac:dyDescent="0.3">
      <c r="H209" t="s">
        <v>78</v>
      </c>
      <c r="I209" t="s">
        <v>120</v>
      </c>
      <c r="J209" s="1">
        <v>5142</v>
      </c>
    </row>
    <row r="210" spans="8:10" x14ac:dyDescent="0.3">
      <c r="H210" t="s">
        <v>78</v>
      </c>
      <c r="I210" t="s">
        <v>121</v>
      </c>
      <c r="J210" s="1">
        <v>5132</v>
      </c>
    </row>
    <row r="211" spans="8:10" x14ac:dyDescent="0.3">
      <c r="H211" t="s">
        <v>78</v>
      </c>
      <c r="I211" t="s">
        <v>124</v>
      </c>
      <c r="J211" s="1">
        <v>5088</v>
      </c>
    </row>
    <row r="212" spans="8:10" x14ac:dyDescent="0.3">
      <c r="H212" t="s">
        <v>78</v>
      </c>
      <c r="I212" t="s">
        <v>125</v>
      </c>
      <c r="J212" s="1">
        <v>5074</v>
      </c>
    </row>
    <row r="213" spans="8:10" x14ac:dyDescent="0.3">
      <c r="H213" t="s">
        <v>78</v>
      </c>
      <c r="I213" t="s">
        <v>127</v>
      </c>
      <c r="J213" s="1">
        <v>5051</v>
      </c>
    </row>
    <row r="214" spans="8:10" x14ac:dyDescent="0.3">
      <c r="H214" t="s">
        <v>78</v>
      </c>
      <c r="I214" t="s">
        <v>128</v>
      </c>
      <c r="J214" s="1">
        <v>5045</v>
      </c>
    </row>
    <row r="215" spans="8:10" x14ac:dyDescent="0.3">
      <c r="H215" t="s">
        <v>78</v>
      </c>
      <c r="I215" t="s">
        <v>131</v>
      </c>
      <c r="J215" s="1">
        <v>4984</v>
      </c>
    </row>
    <row r="216" spans="8:10" x14ac:dyDescent="0.3">
      <c r="H216" t="s">
        <v>78</v>
      </c>
      <c r="I216" t="s">
        <v>132</v>
      </c>
      <c r="J216" s="1">
        <v>4956</v>
      </c>
    </row>
    <row r="217" spans="8:10" x14ac:dyDescent="0.3">
      <c r="H217" t="s">
        <v>78</v>
      </c>
      <c r="I217" t="s">
        <v>141</v>
      </c>
      <c r="J217" s="1">
        <v>4852</v>
      </c>
    </row>
    <row r="218" spans="8:10" x14ac:dyDescent="0.3">
      <c r="H218" t="s">
        <v>78</v>
      </c>
      <c r="I218" t="s">
        <v>142</v>
      </c>
      <c r="J218" s="1">
        <v>4834</v>
      </c>
    </row>
    <row r="219" spans="8:10" x14ac:dyDescent="0.3">
      <c r="H219" t="s">
        <v>78</v>
      </c>
      <c r="I219" t="s">
        <v>144</v>
      </c>
      <c r="J219" s="1">
        <v>4794</v>
      </c>
    </row>
    <row r="220" spans="8:10" x14ac:dyDescent="0.3">
      <c r="H220" t="s">
        <v>78</v>
      </c>
      <c r="I220" t="s">
        <v>145</v>
      </c>
      <c r="J220" s="1">
        <v>4759</v>
      </c>
    </row>
    <row r="221" spans="8:10" x14ac:dyDescent="0.3">
      <c r="H221" t="s">
        <v>78</v>
      </c>
      <c r="I221" t="s">
        <v>146</v>
      </c>
      <c r="J221" s="1">
        <v>4723</v>
      </c>
    </row>
    <row r="222" spans="8:10" x14ac:dyDescent="0.3">
      <c r="H222" t="s">
        <v>78</v>
      </c>
      <c r="I222" t="s">
        <v>148</v>
      </c>
      <c r="J222" s="1">
        <v>4636</v>
      </c>
    </row>
    <row r="223" spans="8:10" x14ac:dyDescent="0.3">
      <c r="H223" t="s">
        <v>78</v>
      </c>
      <c r="I223" t="s">
        <v>149</v>
      </c>
      <c r="J223" s="1">
        <v>4625</v>
      </c>
    </row>
    <row r="224" spans="8:10" x14ac:dyDescent="0.3">
      <c r="H224" t="s">
        <v>78</v>
      </c>
      <c r="I224" t="s">
        <v>150</v>
      </c>
      <c r="J224" s="1">
        <v>4607</v>
      </c>
    </row>
    <row r="225" spans="8:10" x14ac:dyDescent="0.3">
      <c r="H225" t="s">
        <v>78</v>
      </c>
      <c r="I225" t="s">
        <v>153</v>
      </c>
      <c r="J225" s="1">
        <v>4574</v>
      </c>
    </row>
    <row r="226" spans="8:10" x14ac:dyDescent="0.3">
      <c r="H226" t="s">
        <v>78</v>
      </c>
      <c r="I226" t="s">
        <v>157</v>
      </c>
      <c r="J226" s="1">
        <v>4355</v>
      </c>
    </row>
    <row r="227" spans="8:10" x14ac:dyDescent="0.3">
      <c r="H227" t="s">
        <v>78</v>
      </c>
      <c r="I227" t="s">
        <v>159</v>
      </c>
      <c r="J227" s="1">
        <v>4308</v>
      </c>
    </row>
    <row r="228" spans="8:10" x14ac:dyDescent="0.3">
      <c r="H228" t="s">
        <v>78</v>
      </c>
      <c r="I228" t="s">
        <v>160</v>
      </c>
      <c r="J228" s="1">
        <v>4289</v>
      </c>
    </row>
    <row r="229" spans="8:10" x14ac:dyDescent="0.3">
      <c r="H229" t="s">
        <v>78</v>
      </c>
      <c r="I229" t="s">
        <v>162</v>
      </c>
      <c r="J229" s="1">
        <v>4275</v>
      </c>
    </row>
    <row r="230" spans="8:10" x14ac:dyDescent="0.3">
      <c r="H230" t="s">
        <v>78</v>
      </c>
      <c r="I230" t="s">
        <v>163</v>
      </c>
      <c r="J230" s="1">
        <v>4227</v>
      </c>
    </row>
    <row r="231" spans="8:10" x14ac:dyDescent="0.3">
      <c r="H231" t="s">
        <v>78</v>
      </c>
      <c r="I231" t="s">
        <v>164</v>
      </c>
      <c r="J231" s="1">
        <v>4208</v>
      </c>
    </row>
    <row r="232" spans="8:10" x14ac:dyDescent="0.3">
      <c r="H232" t="s">
        <v>78</v>
      </c>
      <c r="I232" t="s">
        <v>165</v>
      </c>
      <c r="J232" s="1">
        <v>4107</v>
      </c>
    </row>
    <row r="233" spans="8:10" x14ac:dyDescent="0.3">
      <c r="H233" t="s">
        <v>78</v>
      </c>
      <c r="I233" t="s">
        <v>166</v>
      </c>
      <c r="J233" s="1">
        <v>4073</v>
      </c>
    </row>
    <row r="234" spans="8:10" x14ac:dyDescent="0.3">
      <c r="H234" t="s">
        <v>78</v>
      </c>
      <c r="I234" t="s">
        <v>167</v>
      </c>
      <c r="J234" s="1">
        <v>3849</v>
      </c>
    </row>
    <row r="235" spans="8:10" x14ac:dyDescent="0.3">
      <c r="H235" t="s">
        <v>78</v>
      </c>
      <c r="I235" t="s">
        <v>169</v>
      </c>
      <c r="J235" s="1">
        <v>3775</v>
      </c>
    </row>
    <row r="236" spans="8:10" x14ac:dyDescent="0.3">
      <c r="H236" t="s">
        <v>78</v>
      </c>
      <c r="I236" t="s">
        <v>171</v>
      </c>
      <c r="J236" s="1">
        <v>3623</v>
      </c>
    </row>
    <row r="237" spans="8:10" x14ac:dyDescent="0.3">
      <c r="H237" t="s">
        <v>78</v>
      </c>
      <c r="I237" t="s">
        <v>173</v>
      </c>
      <c r="J237" s="1">
        <v>3600</v>
      </c>
    </row>
    <row r="238" spans="8:10" x14ac:dyDescent="0.3">
      <c r="H238" t="s">
        <v>78</v>
      </c>
      <c r="I238" t="s">
        <v>174</v>
      </c>
      <c r="J238" s="1">
        <v>3512</v>
      </c>
    </row>
    <row r="239" spans="8:10" x14ac:dyDescent="0.3">
      <c r="H239" t="s">
        <v>78</v>
      </c>
      <c r="I239" t="s">
        <v>175</v>
      </c>
      <c r="J239" s="1">
        <v>3467</v>
      </c>
    </row>
    <row r="240" spans="8:10" x14ac:dyDescent="0.3">
      <c r="H240" t="s">
        <v>78</v>
      </c>
      <c r="I240" t="s">
        <v>176</v>
      </c>
      <c r="J240" s="1">
        <v>3415</v>
      </c>
    </row>
    <row r="241" spans="8:10" x14ac:dyDescent="0.3">
      <c r="H241" t="s">
        <v>78</v>
      </c>
      <c r="I241" t="s">
        <v>177</v>
      </c>
      <c r="J241" s="1">
        <v>3145</v>
      </c>
    </row>
    <row r="242" spans="8:10" x14ac:dyDescent="0.3">
      <c r="H242" s="11" t="s">
        <v>21</v>
      </c>
      <c r="I242" s="11" t="s">
        <v>20</v>
      </c>
      <c r="J242" s="12">
        <v>7842</v>
      </c>
    </row>
    <row r="243" spans="8:10" x14ac:dyDescent="0.3">
      <c r="H243" s="11" t="s">
        <v>21</v>
      </c>
      <c r="I243" s="11" t="s">
        <v>22</v>
      </c>
      <c r="J243" s="12">
        <v>7620</v>
      </c>
    </row>
    <row r="244" spans="8:10" x14ac:dyDescent="0.3">
      <c r="H244" s="11" t="s">
        <v>21</v>
      </c>
      <c r="I244" s="11" t="s">
        <v>23</v>
      </c>
      <c r="J244" s="12">
        <v>7571</v>
      </c>
    </row>
    <row r="245" spans="8:10" x14ac:dyDescent="0.3">
      <c r="H245" s="11" t="s">
        <v>21</v>
      </c>
      <c r="I245" s="11" t="s">
        <v>24</v>
      </c>
      <c r="J245" s="12">
        <v>7554</v>
      </c>
    </row>
    <row r="246" spans="8:10" x14ac:dyDescent="0.3">
      <c r="H246" s="11" t="s">
        <v>21</v>
      </c>
      <c r="I246" s="11" t="s">
        <v>25</v>
      </c>
      <c r="J246" s="12">
        <v>7464</v>
      </c>
    </row>
    <row r="247" spans="8:10" x14ac:dyDescent="0.3">
      <c r="H247" s="11" t="s">
        <v>21</v>
      </c>
      <c r="I247" s="11" t="s">
        <v>26</v>
      </c>
      <c r="J247" s="12">
        <v>7392</v>
      </c>
    </row>
    <row r="248" spans="8:10" x14ac:dyDescent="0.3">
      <c r="H248" s="11" t="s">
        <v>21</v>
      </c>
      <c r="I248" s="11" t="s">
        <v>27</v>
      </c>
      <c r="J248" s="12">
        <v>7363</v>
      </c>
    </row>
    <row r="249" spans="8:10" x14ac:dyDescent="0.3">
      <c r="H249" s="11" t="s">
        <v>21</v>
      </c>
      <c r="I249" s="11" t="s">
        <v>28</v>
      </c>
      <c r="J249" s="12">
        <v>7324</v>
      </c>
    </row>
    <row r="250" spans="8:10" x14ac:dyDescent="0.3">
      <c r="H250" s="11" t="s">
        <v>21</v>
      </c>
      <c r="I250" s="11" t="s">
        <v>31</v>
      </c>
      <c r="J250" s="12">
        <v>7268</v>
      </c>
    </row>
    <row r="251" spans="8:10" x14ac:dyDescent="0.3">
      <c r="H251" t="s">
        <v>21</v>
      </c>
      <c r="I251" t="s">
        <v>35</v>
      </c>
      <c r="J251" s="1">
        <v>7155</v>
      </c>
    </row>
    <row r="252" spans="8:10" x14ac:dyDescent="0.3">
      <c r="H252" t="s">
        <v>21</v>
      </c>
      <c r="I252" t="s">
        <v>37</v>
      </c>
      <c r="J252" s="1">
        <v>7085</v>
      </c>
    </row>
    <row r="253" spans="8:10" x14ac:dyDescent="0.3">
      <c r="H253" t="s">
        <v>21</v>
      </c>
      <c r="I253" t="s">
        <v>40</v>
      </c>
      <c r="J253" s="1">
        <v>7064</v>
      </c>
    </row>
    <row r="254" spans="8:10" x14ac:dyDescent="0.3">
      <c r="H254" t="s">
        <v>21</v>
      </c>
      <c r="I254" t="s">
        <v>44</v>
      </c>
      <c r="J254" s="1">
        <v>6834</v>
      </c>
    </row>
    <row r="255" spans="8:10" x14ac:dyDescent="0.3">
      <c r="H255" t="s">
        <v>21</v>
      </c>
      <c r="I255" t="s">
        <v>45</v>
      </c>
      <c r="J255" s="1">
        <v>6690</v>
      </c>
    </row>
    <row r="256" spans="8:10" x14ac:dyDescent="0.3">
      <c r="H256" t="s">
        <v>21</v>
      </c>
      <c r="I256" t="s">
        <v>47</v>
      </c>
      <c r="J256" s="1">
        <v>6602</v>
      </c>
    </row>
    <row r="257" spans="8:10" x14ac:dyDescent="0.3">
      <c r="H257" t="s">
        <v>21</v>
      </c>
      <c r="I257" t="s">
        <v>52</v>
      </c>
      <c r="J257" s="1">
        <v>6491</v>
      </c>
    </row>
    <row r="258" spans="8:10" x14ac:dyDescent="0.3">
      <c r="H258" t="s">
        <v>21</v>
      </c>
      <c r="I258" t="s">
        <v>53</v>
      </c>
      <c r="J258" s="1">
        <v>6483</v>
      </c>
    </row>
    <row r="259" spans="8:10" x14ac:dyDescent="0.3">
      <c r="H259" t="s">
        <v>21</v>
      </c>
      <c r="I259" t="s">
        <v>65</v>
      </c>
      <c r="J259" s="1">
        <v>6223</v>
      </c>
    </row>
    <row r="260" spans="8:10" x14ac:dyDescent="0.3">
      <c r="H260" t="s">
        <v>21</v>
      </c>
      <c r="I260" t="s">
        <v>86</v>
      </c>
      <c r="J260" s="1">
        <v>5929</v>
      </c>
    </row>
    <row r="261" spans="8:10" x14ac:dyDescent="0.3">
      <c r="H261" t="s">
        <v>21</v>
      </c>
      <c r="I261" t="s">
        <v>96</v>
      </c>
      <c r="J261" s="1">
        <v>5723</v>
      </c>
    </row>
    <row r="262" spans="8:10" x14ac:dyDescent="0.3">
      <c r="H262" t="s">
        <v>21</v>
      </c>
      <c r="I262" t="s">
        <v>102</v>
      </c>
      <c r="J262" s="1">
        <v>5536</v>
      </c>
    </row>
  </sheetData>
  <sortState xmlns:xlrd2="http://schemas.microsoft.com/office/spreadsheetml/2017/richdata2" ref="H114:J262">
    <sortCondition ref="I114:I262"/>
  </sortState>
  <conditionalFormatting sqref="H113:J262">
    <cfRule type="top10" dxfId="1" priority="3" rank="10"/>
  </conditionalFormatting>
  <conditionalFormatting sqref="K81:K9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E1BEA-3E83-4D84-B783-917C673B52A6}">
  <dimension ref="A1:K155"/>
  <sheetViews>
    <sheetView topLeftCell="A18" workbookViewId="0">
      <selection activeCell="D6" sqref="D6"/>
    </sheetView>
  </sheetViews>
  <sheetFormatPr defaultRowHeight="14.4" x14ac:dyDescent="0.3"/>
  <cols>
    <col min="4" max="4" width="20" bestFit="1" customWidth="1"/>
    <col min="5" max="5" width="12.5546875" customWidth="1"/>
    <col min="10" max="10" width="21.6640625" customWidth="1"/>
  </cols>
  <sheetData>
    <row r="1" spans="1:11" ht="18" x14ac:dyDescent="0.3">
      <c r="A1" s="7" t="s">
        <v>237</v>
      </c>
    </row>
    <row r="2" spans="1:11" ht="18" x14ac:dyDescent="0.3">
      <c r="A2" s="7" t="s">
        <v>238</v>
      </c>
    </row>
    <row r="3" spans="1:11" ht="15.6" x14ac:dyDescent="0.3">
      <c r="A3" s="6" t="s">
        <v>239</v>
      </c>
    </row>
    <row r="4" spans="1:11" ht="15.6" x14ac:dyDescent="0.3">
      <c r="A4" s="6" t="s">
        <v>240</v>
      </c>
    </row>
    <row r="6" spans="1:11" x14ac:dyDescent="0.3">
      <c r="A6" t="s">
        <v>0</v>
      </c>
      <c r="B6" t="s">
        <v>2</v>
      </c>
      <c r="C6" t="s">
        <v>242</v>
      </c>
      <c r="D6" t="s">
        <v>241</v>
      </c>
      <c r="E6" t="s">
        <v>243</v>
      </c>
      <c r="F6" t="s">
        <v>244</v>
      </c>
    </row>
    <row r="7" spans="1:11" x14ac:dyDescent="0.3">
      <c r="A7" t="s">
        <v>20</v>
      </c>
      <c r="B7" s="1">
        <v>7842</v>
      </c>
      <c r="C7" s="1">
        <f>IFERROR((AVERAGE(podatki!G2+podatki!H2+podatki!J2)-podatki!L2),"Error")</f>
        <v>12.492000000000001</v>
      </c>
      <c r="D7" s="13">
        <f>RANK(Sheet3!B7,Sheet3!$B$7:$B$155)</f>
        <v>1</v>
      </c>
      <c r="E7">
        <f>RANK(Sheet3!C7,Sheet3!$C$7:$C$155)</f>
        <v>8</v>
      </c>
      <c r="F7">
        <f>E7-D7</f>
        <v>7</v>
      </c>
    </row>
    <row r="8" spans="1:11" x14ac:dyDescent="0.3">
      <c r="A8" t="s">
        <v>22</v>
      </c>
      <c r="B8" s="1">
        <v>7620</v>
      </c>
      <c r="C8" s="1">
        <f>IFERROR((AVERAGE(podatki!G3+podatki!H3+podatki!J3)-podatki!L3),"Error")</f>
        <v>12.654</v>
      </c>
      <c r="D8" s="13">
        <f>RANK(Sheet3!B8,Sheet3!$B$7:$B$155)</f>
        <v>2</v>
      </c>
      <c r="E8">
        <f>RANK(Sheet3!C8,Sheet3!$C$7:$C$155)</f>
        <v>6</v>
      </c>
      <c r="F8">
        <f t="shared" ref="F8:F71" si="0">E8-D8</f>
        <v>4</v>
      </c>
      <c r="I8" t="s">
        <v>245</v>
      </c>
      <c r="J8" t="s">
        <v>246</v>
      </c>
      <c r="K8" t="s">
        <v>2</v>
      </c>
    </row>
    <row r="9" spans="1:11" x14ac:dyDescent="0.3">
      <c r="A9" t="s">
        <v>23</v>
      </c>
      <c r="B9" s="1">
        <v>7571</v>
      </c>
      <c r="C9" s="1">
        <f>IFERROR((AVERAGE(podatki!G4+podatki!H4+podatki!J4)-podatki!L4),"Error")</f>
        <v>12.686000000000002</v>
      </c>
      <c r="D9" s="13">
        <f>RANK(Sheet3!B9,Sheet3!$B$7:$B$155)</f>
        <v>3</v>
      </c>
      <c r="E9">
        <f>RANK(Sheet3!C9,Sheet3!$C$7:$C$155)</f>
        <v>5</v>
      </c>
      <c r="F9">
        <f t="shared" si="0"/>
        <v>2</v>
      </c>
      <c r="I9">
        <v>1</v>
      </c>
      <c r="J9" t="s">
        <v>57</v>
      </c>
      <c r="K9" t="s">
        <v>20</v>
      </c>
    </row>
    <row r="10" spans="1:11" x14ac:dyDescent="0.3">
      <c r="A10" t="s">
        <v>24</v>
      </c>
      <c r="B10" s="1">
        <v>7554</v>
      </c>
      <c r="C10" s="1">
        <f>IFERROR((AVERAGE(podatki!G5+podatki!H5+podatki!J5)-podatki!L5),"Error")</f>
        <v>12.143000000000001</v>
      </c>
      <c r="D10" s="13">
        <f>RANK(Sheet3!B10,Sheet3!$B$7:$B$155)</f>
        <v>4</v>
      </c>
      <c r="E10">
        <f>RANK(Sheet3!C10,Sheet3!$C$7:$C$155)</f>
        <v>17</v>
      </c>
      <c r="F10">
        <f t="shared" si="0"/>
        <v>13</v>
      </c>
      <c r="I10">
        <v>2</v>
      </c>
      <c r="J10" t="s">
        <v>28</v>
      </c>
      <c r="K10" t="s">
        <v>22</v>
      </c>
    </row>
    <row r="11" spans="1:11" x14ac:dyDescent="0.3">
      <c r="A11" t="s">
        <v>25</v>
      </c>
      <c r="B11" s="1">
        <v>7464</v>
      </c>
      <c r="C11" s="1">
        <f>IFERROR((AVERAGE(podatki!G6+podatki!H6+podatki!J6)-podatki!L6),"Error")</f>
        <v>12.449000000000002</v>
      </c>
      <c r="D11" s="13">
        <f>RANK(Sheet3!B11,Sheet3!$B$7:$B$155)</f>
        <v>5</v>
      </c>
      <c r="E11">
        <f>RANK(Sheet3!C11,Sheet3!$C$7:$C$155)</f>
        <v>9</v>
      </c>
      <c r="F11">
        <f t="shared" si="0"/>
        <v>4</v>
      </c>
      <c r="I11">
        <v>3</v>
      </c>
      <c r="J11" t="s">
        <v>37</v>
      </c>
      <c r="K11" t="s">
        <v>23</v>
      </c>
    </row>
    <row r="12" spans="1:11" x14ac:dyDescent="0.3">
      <c r="A12" t="s">
        <v>26</v>
      </c>
      <c r="B12" s="1">
        <v>7392</v>
      </c>
      <c r="C12" s="1">
        <f>IFERROR((AVERAGE(podatki!G7+podatki!H7+podatki!J7)-podatki!L7),"Error")</f>
        <v>12.697000000000003</v>
      </c>
      <c r="D12" s="13">
        <f>RANK(Sheet3!B12,Sheet3!$B$7:$B$155)</f>
        <v>6</v>
      </c>
      <c r="E12">
        <f>RANK(Sheet3!C12,Sheet3!$C$7:$C$155)</f>
        <v>4</v>
      </c>
      <c r="F12">
        <f t="shared" si="0"/>
        <v>-2</v>
      </c>
      <c r="I12">
        <v>4</v>
      </c>
      <c r="J12" t="s">
        <v>26</v>
      </c>
      <c r="K12" t="s">
        <v>24</v>
      </c>
    </row>
    <row r="13" spans="1:11" x14ac:dyDescent="0.3">
      <c r="A13" t="s">
        <v>27</v>
      </c>
      <c r="B13" s="1">
        <v>7363</v>
      </c>
      <c r="C13" s="1">
        <f>IFERROR((AVERAGE(podatki!G8+podatki!H8+podatki!J8)-podatki!L8),"Error")</f>
        <v>12.509</v>
      </c>
      <c r="D13" s="13">
        <f>RANK(Sheet3!B13,Sheet3!$B$7:$B$155)</f>
        <v>7</v>
      </c>
      <c r="E13">
        <f>RANK(Sheet3!C13,Sheet3!$C$7:$C$155)</f>
        <v>7</v>
      </c>
      <c r="F13">
        <f t="shared" si="0"/>
        <v>0</v>
      </c>
      <c r="I13">
        <v>5</v>
      </c>
      <c r="J13" t="s">
        <v>23</v>
      </c>
      <c r="K13" t="s">
        <v>25</v>
      </c>
    </row>
    <row r="14" spans="1:11" x14ac:dyDescent="0.3">
      <c r="A14" t="s">
        <v>28</v>
      </c>
      <c r="B14" s="1">
        <v>7324</v>
      </c>
      <c r="C14" s="1">
        <f>IFERROR((AVERAGE(podatki!G9+podatki!H9+podatki!J9)-podatki!L9),"Error")</f>
        <v>13.076000000000001</v>
      </c>
      <c r="D14" s="13">
        <f>RANK(Sheet3!B14,Sheet3!$B$7:$B$155)</f>
        <v>8</v>
      </c>
      <c r="E14">
        <f>RANK(Sheet3!C14,Sheet3!$C$7:$C$155)</f>
        <v>2</v>
      </c>
      <c r="F14">
        <f t="shared" si="0"/>
        <v>-6</v>
      </c>
      <c r="I14">
        <v>6</v>
      </c>
      <c r="J14" t="s">
        <v>22</v>
      </c>
      <c r="K14" t="s">
        <v>26</v>
      </c>
    </row>
    <row r="15" spans="1:11" x14ac:dyDescent="0.3">
      <c r="A15" t="s">
        <v>29</v>
      </c>
      <c r="B15" s="1">
        <v>7277</v>
      </c>
      <c r="C15" s="1">
        <f>IFERROR((AVERAGE(podatki!G10+podatki!H10+podatki!J10)-podatki!L10),"Error")</f>
        <v>12.278000000000002</v>
      </c>
      <c r="D15" s="13">
        <f>RANK(Sheet3!B15,Sheet3!$B$7:$B$155)</f>
        <v>9</v>
      </c>
      <c r="E15">
        <f>RANK(Sheet3!C15,Sheet3!$C$7:$C$155)</f>
        <v>10</v>
      </c>
      <c r="F15">
        <f t="shared" si="0"/>
        <v>1</v>
      </c>
      <c r="I15">
        <v>7</v>
      </c>
      <c r="J15" t="s">
        <v>27</v>
      </c>
      <c r="K15" t="s">
        <v>27</v>
      </c>
    </row>
    <row r="16" spans="1:11" x14ac:dyDescent="0.3">
      <c r="A16" t="s">
        <v>31</v>
      </c>
      <c r="B16" s="1">
        <v>7268</v>
      </c>
      <c r="C16" s="1">
        <f>IFERROR((AVERAGE(podatki!G11+podatki!H11+podatki!J11)-podatki!L11),"Error")</f>
        <v>12.266999999999999</v>
      </c>
      <c r="D16" s="13">
        <f>RANK(Sheet3!B16,Sheet3!$B$7:$B$155)</f>
        <v>10</v>
      </c>
      <c r="E16">
        <f>RANK(Sheet3!C16,Sheet3!$C$7:$C$155)</f>
        <v>12</v>
      </c>
      <c r="F16">
        <f t="shared" si="0"/>
        <v>2</v>
      </c>
      <c r="I16">
        <v>8</v>
      </c>
      <c r="J16" t="s">
        <v>20</v>
      </c>
      <c r="K16" t="s">
        <v>28</v>
      </c>
    </row>
    <row r="17" spans="1:11" x14ac:dyDescent="0.3">
      <c r="A17" t="s">
        <v>32</v>
      </c>
      <c r="B17" s="1">
        <v>7183</v>
      </c>
      <c r="C17" s="1">
        <f>IFERROR((AVERAGE(podatki!G12+podatki!H12+podatki!J12)-podatki!L12),"Error")</f>
        <v>12.207999999999998</v>
      </c>
      <c r="D17">
        <f>RANK(Sheet3!B17,Sheet3!$B$7:$B$155)</f>
        <v>11</v>
      </c>
      <c r="E17">
        <f>RANK(Sheet3!C17,Sheet3!$C$7:$C$155)</f>
        <v>13</v>
      </c>
      <c r="F17">
        <f t="shared" si="0"/>
        <v>2</v>
      </c>
      <c r="I17">
        <v>9</v>
      </c>
      <c r="J17" t="s">
        <v>25</v>
      </c>
      <c r="K17" t="s">
        <v>29</v>
      </c>
    </row>
    <row r="18" spans="1:11" x14ac:dyDescent="0.3">
      <c r="A18" t="s">
        <v>33</v>
      </c>
      <c r="B18" s="1">
        <v>7157</v>
      </c>
      <c r="C18" s="1">
        <f>IFERROR((AVERAGE(podatki!G13+podatki!H13+podatki!J13)-podatki!L13),"Error")</f>
        <v>11.561</v>
      </c>
      <c r="D18">
        <f>RANK(Sheet3!B18,Sheet3!$B$7:$B$155)</f>
        <v>12</v>
      </c>
      <c r="E18">
        <f>RANK(Sheet3!C18,Sheet3!$C$7:$C$155)</f>
        <v>31</v>
      </c>
      <c r="F18">
        <f t="shared" si="0"/>
        <v>19</v>
      </c>
      <c r="I18">
        <v>10</v>
      </c>
      <c r="J18" t="s">
        <v>29</v>
      </c>
      <c r="K18" t="s">
        <v>31</v>
      </c>
    </row>
    <row r="19" spans="1:11" x14ac:dyDescent="0.3">
      <c r="A19" t="s">
        <v>35</v>
      </c>
      <c r="B19" s="1">
        <v>7155</v>
      </c>
      <c r="C19" s="1">
        <f>IFERROR((AVERAGE(podatki!G14+podatki!H14+podatki!J14)-podatki!L14),"Error")</f>
        <v>12.190999999999999</v>
      </c>
      <c r="D19">
        <f>RANK(Sheet3!B19,Sheet3!$B$7:$B$155)</f>
        <v>13</v>
      </c>
      <c r="E19">
        <f>RANK(Sheet3!C19,Sheet3!$C$7:$C$155)</f>
        <v>15</v>
      </c>
      <c r="F19">
        <f t="shared" si="0"/>
        <v>2</v>
      </c>
    </row>
    <row r="20" spans="1:11" x14ac:dyDescent="0.3">
      <c r="A20" t="s">
        <v>36</v>
      </c>
      <c r="B20" s="1">
        <v>7103</v>
      </c>
      <c r="C20" s="1">
        <f>IFERROR((AVERAGE(podatki!G15+podatki!H15+podatki!J15)-podatki!L15),"Error")</f>
        <v>12.202000000000002</v>
      </c>
      <c r="D20">
        <f>RANK(Sheet3!B20,Sheet3!$B$7:$B$155)</f>
        <v>14</v>
      </c>
      <c r="E20">
        <f>RANK(Sheet3!C20,Sheet3!$C$7:$C$155)</f>
        <v>14</v>
      </c>
      <c r="F20">
        <f t="shared" si="0"/>
        <v>0</v>
      </c>
    </row>
    <row r="21" spans="1:11" x14ac:dyDescent="0.3">
      <c r="A21" t="s">
        <v>37</v>
      </c>
      <c r="B21" s="1">
        <v>7085</v>
      </c>
      <c r="C21" s="1">
        <f>IFERROR((AVERAGE(podatki!G16+podatki!H16+podatki!J16)-podatki!L16),"Error")</f>
        <v>12.805</v>
      </c>
      <c r="D21">
        <f>RANK(Sheet3!B21,Sheet3!$B$7:$B$155)</f>
        <v>15</v>
      </c>
      <c r="E21">
        <f>RANK(Sheet3!C21,Sheet3!$C$7:$C$155)</f>
        <v>3</v>
      </c>
      <c r="F21">
        <f t="shared" si="0"/>
        <v>-12</v>
      </c>
    </row>
    <row r="22" spans="1:11" x14ac:dyDescent="0.3">
      <c r="A22" t="s">
        <v>38</v>
      </c>
      <c r="B22" s="1">
        <v>7069</v>
      </c>
      <c r="C22" s="1">
        <f>IFERROR((AVERAGE(podatki!G17+podatki!H17+podatki!J17)-podatki!L17),"Error")</f>
        <v>10.896000000000001</v>
      </c>
      <c r="D22">
        <f>RANK(Sheet3!B22,Sheet3!$B$7:$B$155)</f>
        <v>16</v>
      </c>
      <c r="E22">
        <f>RANK(Sheet3!C22,Sheet3!$C$7:$C$155)</f>
        <v>51</v>
      </c>
      <c r="F22">
        <f t="shared" si="0"/>
        <v>35</v>
      </c>
    </row>
    <row r="23" spans="1:11" x14ac:dyDescent="0.3">
      <c r="A23" t="s">
        <v>40</v>
      </c>
      <c r="B23" s="1">
        <v>7064</v>
      </c>
      <c r="C23" s="1">
        <f>IFERROR((AVERAGE(podatki!G18+podatki!H18+podatki!J18)-podatki!L18),"Error")</f>
        <v>12.041</v>
      </c>
      <c r="D23">
        <f>RANK(Sheet3!B23,Sheet3!$B$7:$B$155)</f>
        <v>17</v>
      </c>
      <c r="E23">
        <f>RANK(Sheet3!C23,Sheet3!$C$7:$C$155)</f>
        <v>19</v>
      </c>
      <c r="F23">
        <f t="shared" si="0"/>
        <v>2</v>
      </c>
    </row>
    <row r="24" spans="1:11" x14ac:dyDescent="0.3">
      <c r="A24" t="s">
        <v>41</v>
      </c>
      <c r="B24" s="1">
        <v>6965</v>
      </c>
      <c r="C24" s="1">
        <f>IFERROR((AVERAGE(podatki!G19+podatki!H19+podatki!J19)-podatki!L19),"Error")</f>
        <v>11.492999999999999</v>
      </c>
      <c r="D24">
        <f>RANK(Sheet3!B24,Sheet3!$B$7:$B$155)</f>
        <v>18</v>
      </c>
      <c r="E24">
        <f>RANK(Sheet3!C24,Sheet3!$C$7:$C$155)</f>
        <v>33</v>
      </c>
      <c r="F24">
        <f t="shared" si="0"/>
        <v>15</v>
      </c>
    </row>
    <row r="25" spans="1:11" x14ac:dyDescent="0.3">
      <c r="A25" t="s">
        <v>43</v>
      </c>
      <c r="B25" s="1">
        <v>6951</v>
      </c>
      <c r="C25" s="1">
        <f>IFERROR((AVERAGE(podatki!G20+podatki!H20+podatki!J20)-podatki!L20),"Error")</f>
        <v>12.081999999999999</v>
      </c>
      <c r="D25">
        <f>RANK(Sheet3!B25,Sheet3!$B$7:$B$155)</f>
        <v>19</v>
      </c>
      <c r="E25">
        <f>RANK(Sheet3!C25,Sheet3!$C$7:$C$155)</f>
        <v>18</v>
      </c>
      <c r="F25">
        <f t="shared" si="0"/>
        <v>-1</v>
      </c>
    </row>
    <row r="26" spans="1:11" x14ac:dyDescent="0.3">
      <c r="A26" t="s">
        <v>44</v>
      </c>
      <c r="B26" s="1">
        <v>6834</v>
      </c>
      <c r="C26" s="1">
        <f>IFERROR((AVERAGE(podatki!G21+podatki!H21+podatki!J21)-podatki!L21),"Error")</f>
        <v>11.866</v>
      </c>
      <c r="D26">
        <f>RANK(Sheet3!B26,Sheet3!$B$7:$B$155)</f>
        <v>20</v>
      </c>
      <c r="E26">
        <f>RANK(Sheet3!C26,Sheet3!$C$7:$C$155)</f>
        <v>22</v>
      </c>
      <c r="F26">
        <f t="shared" si="0"/>
        <v>2</v>
      </c>
    </row>
    <row r="27" spans="1:11" x14ac:dyDescent="0.3">
      <c r="A27" t="s">
        <v>45</v>
      </c>
      <c r="B27" s="1">
        <v>6690</v>
      </c>
      <c r="C27" s="1">
        <f>IFERROR((AVERAGE(podatki!G22+podatki!H22+podatki!J22)-podatki!L22),"Error")</f>
        <v>11.897</v>
      </c>
      <c r="D27">
        <f>RANK(Sheet3!B27,Sheet3!$B$7:$B$155)</f>
        <v>21</v>
      </c>
      <c r="E27">
        <f>RANK(Sheet3!C27,Sheet3!$C$7:$C$155)</f>
        <v>20</v>
      </c>
      <c r="F27">
        <f t="shared" si="0"/>
        <v>-1</v>
      </c>
    </row>
    <row r="28" spans="1:11" x14ac:dyDescent="0.3">
      <c r="A28" t="s">
        <v>46</v>
      </c>
      <c r="B28" s="1">
        <v>6647</v>
      </c>
      <c r="C28" s="1">
        <f>IFERROR((AVERAGE(podatki!G23+podatki!H23+podatki!J23)-podatki!L23),"Error")</f>
        <v>11.734000000000002</v>
      </c>
      <c r="D28">
        <f>RANK(Sheet3!B28,Sheet3!$B$7:$B$155)</f>
        <v>22</v>
      </c>
      <c r="E28">
        <f>RANK(Sheet3!C28,Sheet3!$C$7:$C$155)</f>
        <v>27</v>
      </c>
      <c r="F28">
        <f t="shared" si="0"/>
        <v>5</v>
      </c>
    </row>
    <row r="29" spans="1:11" x14ac:dyDescent="0.3">
      <c r="A29" t="s">
        <v>47</v>
      </c>
      <c r="B29" s="1">
        <v>6602</v>
      </c>
      <c r="C29" s="1">
        <f>IFERROR((AVERAGE(podatki!G24+podatki!H24+podatki!J24)-podatki!L24),"Error")</f>
        <v>11.879</v>
      </c>
      <c r="D29">
        <f>RANK(Sheet3!B29,Sheet3!$B$7:$B$155)</f>
        <v>23</v>
      </c>
      <c r="E29">
        <f>RANK(Sheet3!C29,Sheet3!$C$7:$C$155)</f>
        <v>21</v>
      </c>
      <c r="F29">
        <f t="shared" si="0"/>
        <v>-2</v>
      </c>
    </row>
    <row r="30" spans="1:11" x14ac:dyDescent="0.3">
      <c r="A30" t="s">
        <v>48</v>
      </c>
      <c r="B30" s="1">
        <v>6584</v>
      </c>
      <c r="C30" s="1">
        <f>IFERROR((AVERAGE(podatki!G25+podatki!H25+podatki!J25)-podatki!L25),"Error")</f>
        <v>11.832000000000001</v>
      </c>
      <c r="D30">
        <f>RANK(Sheet3!B30,Sheet3!$B$7:$B$155)</f>
        <v>24</v>
      </c>
      <c r="E30">
        <f>RANK(Sheet3!C30,Sheet3!$C$7:$C$155)</f>
        <v>23</v>
      </c>
      <c r="F30">
        <f t="shared" si="0"/>
        <v>-1</v>
      </c>
    </row>
    <row r="31" spans="1:11" x14ac:dyDescent="0.3">
      <c r="A31" t="s">
        <v>50</v>
      </c>
      <c r="B31" s="1">
        <v>6561</v>
      </c>
      <c r="C31" s="1">
        <f>IFERROR((AVERAGE(podatki!G26+podatki!H26+podatki!J26)-podatki!L26),"Error")</f>
        <v>12.272</v>
      </c>
      <c r="D31">
        <f>RANK(Sheet3!B31,Sheet3!$B$7:$B$155)</f>
        <v>25</v>
      </c>
      <c r="E31">
        <f>RANK(Sheet3!C31,Sheet3!$C$7:$C$155)</f>
        <v>11</v>
      </c>
      <c r="F31">
        <f t="shared" si="0"/>
        <v>-14</v>
      </c>
    </row>
    <row r="32" spans="1:11" x14ac:dyDescent="0.3">
      <c r="A32" t="s">
        <v>51</v>
      </c>
      <c r="B32" s="1">
        <v>6494</v>
      </c>
      <c r="C32" s="1">
        <f>IFERROR((AVERAGE(podatki!G27+podatki!H27+podatki!J27)-podatki!L27),"Error")</f>
        <v>11.827000000000002</v>
      </c>
      <c r="D32">
        <f>RANK(Sheet3!B32,Sheet3!$B$7:$B$155)</f>
        <v>26</v>
      </c>
      <c r="E32">
        <f>RANK(Sheet3!C32,Sheet3!$C$7:$C$155)</f>
        <v>24</v>
      </c>
      <c r="F32">
        <f t="shared" si="0"/>
        <v>-2</v>
      </c>
    </row>
    <row r="33" spans="1:6" x14ac:dyDescent="0.3">
      <c r="A33" t="s">
        <v>52</v>
      </c>
      <c r="B33" s="1">
        <v>6491</v>
      </c>
      <c r="C33" s="1">
        <f>IFERROR((AVERAGE(podatki!G28+podatki!H28+podatki!J28)-podatki!L28),"Error")</f>
        <v>11.519</v>
      </c>
      <c r="D33">
        <f>RANK(Sheet3!B33,Sheet3!$B$7:$B$155)</f>
        <v>27</v>
      </c>
      <c r="E33">
        <f>RANK(Sheet3!C33,Sheet3!$C$7:$C$155)</f>
        <v>32</v>
      </c>
      <c r="F33">
        <f t="shared" si="0"/>
        <v>5</v>
      </c>
    </row>
    <row r="34" spans="1:6" x14ac:dyDescent="0.3">
      <c r="A34" t="s">
        <v>53</v>
      </c>
      <c r="B34" s="1">
        <v>6483</v>
      </c>
      <c r="C34" s="1">
        <f>IFERROR((AVERAGE(podatki!G29+podatki!H29+podatki!J29)-podatki!L29),"Error")</f>
        <v>11.33</v>
      </c>
      <c r="D34">
        <f>RANK(Sheet3!B34,Sheet3!$B$7:$B$155)</f>
        <v>28</v>
      </c>
      <c r="E34">
        <f>RANK(Sheet3!C34,Sheet3!$C$7:$C$155)</f>
        <v>37</v>
      </c>
      <c r="F34">
        <f t="shared" si="0"/>
        <v>9</v>
      </c>
    </row>
    <row r="35" spans="1:6" x14ac:dyDescent="0.3">
      <c r="A35" t="s">
        <v>54</v>
      </c>
      <c r="B35" s="1">
        <v>6461</v>
      </c>
      <c r="C35" s="1">
        <f>IFERROR((AVERAGE(podatki!G30+podatki!H30+podatki!J30)-podatki!L30),"Error")</f>
        <v>11.620000000000001</v>
      </c>
      <c r="D35">
        <f>RANK(Sheet3!B35,Sheet3!$B$7:$B$155)</f>
        <v>29</v>
      </c>
      <c r="E35">
        <f>RANK(Sheet3!C35,Sheet3!$C$7:$C$155)</f>
        <v>29</v>
      </c>
      <c r="F35">
        <f t="shared" si="0"/>
        <v>0</v>
      </c>
    </row>
    <row r="36" spans="1:6" x14ac:dyDescent="0.3">
      <c r="A36" t="s">
        <v>55</v>
      </c>
      <c r="B36" s="1">
        <v>6435</v>
      </c>
      <c r="C36" s="1">
        <f>IFERROR((AVERAGE(podatki!G31+podatki!H31+podatki!J31)-podatki!L31),"Error")</f>
        <v>9.9970000000000017</v>
      </c>
      <c r="D36">
        <f>RANK(Sheet3!B36,Sheet3!$B$7:$B$155)</f>
        <v>30</v>
      </c>
      <c r="E36">
        <f>RANK(Sheet3!C36,Sheet3!$C$7:$C$155)</f>
        <v>95</v>
      </c>
      <c r="F36">
        <f t="shared" si="0"/>
        <v>65</v>
      </c>
    </row>
    <row r="37" spans="1:6" x14ac:dyDescent="0.3">
      <c r="A37" t="s">
        <v>56</v>
      </c>
      <c r="B37" s="1">
        <v>6431</v>
      </c>
      <c r="C37" s="1">
        <f>IFERROR((AVERAGE(podatki!G32+podatki!H32+podatki!J32)-podatki!L32),"Error")</f>
        <v>11.197000000000001</v>
      </c>
      <c r="D37">
        <f>RANK(Sheet3!B37,Sheet3!$B$7:$B$155)</f>
        <v>31</v>
      </c>
      <c r="E37">
        <f>RANK(Sheet3!C37,Sheet3!$C$7:$C$155)</f>
        <v>42</v>
      </c>
      <c r="F37">
        <f t="shared" si="0"/>
        <v>11</v>
      </c>
    </row>
    <row r="38" spans="1:6" x14ac:dyDescent="0.3">
      <c r="A38" t="s">
        <v>57</v>
      </c>
      <c r="B38" s="1">
        <v>6377</v>
      </c>
      <c r="C38" s="1">
        <f>IFERROR((AVERAGE(podatki!G33+podatki!H33+podatki!J33)-podatki!L33),"Error")</f>
        <v>13.247999999999998</v>
      </c>
      <c r="D38">
        <f>RANK(Sheet3!B38,Sheet3!$B$7:$B$155)</f>
        <v>32</v>
      </c>
      <c r="E38">
        <f>RANK(Sheet3!C38,Sheet3!$C$7:$C$155)</f>
        <v>1</v>
      </c>
      <c r="F38">
        <f t="shared" si="0"/>
        <v>-31</v>
      </c>
    </row>
    <row r="39" spans="1:6" x14ac:dyDescent="0.3">
      <c r="A39" t="s">
        <v>59</v>
      </c>
      <c r="B39" s="1">
        <v>6372</v>
      </c>
      <c r="C39" s="1">
        <f>IFERROR((AVERAGE(podatki!G34+podatki!H34+podatki!J34)-podatki!L34),"Error")</f>
        <v>10.090999999999999</v>
      </c>
      <c r="D39">
        <f>RANK(Sheet3!B39,Sheet3!$B$7:$B$155)</f>
        <v>33</v>
      </c>
      <c r="E39">
        <f>RANK(Sheet3!C39,Sheet3!$C$7:$C$155)</f>
        <v>89</v>
      </c>
      <c r="F39">
        <f t="shared" si="0"/>
        <v>56</v>
      </c>
    </row>
    <row r="40" spans="1:6" x14ac:dyDescent="0.3">
      <c r="A40" t="s">
        <v>60</v>
      </c>
      <c r="B40" s="1">
        <v>6331</v>
      </c>
      <c r="C40" s="1">
        <f>IFERROR((AVERAGE(podatki!G35+podatki!H35+podatki!J35)-podatki!L35),"Error")</f>
        <v>11.16</v>
      </c>
      <c r="D40">
        <f>RANK(Sheet3!B40,Sheet3!$B$7:$B$155)</f>
        <v>34</v>
      </c>
      <c r="E40">
        <f>RANK(Sheet3!C40,Sheet3!$C$7:$C$155)</f>
        <v>44</v>
      </c>
      <c r="F40">
        <f t="shared" si="0"/>
        <v>10</v>
      </c>
    </row>
    <row r="41" spans="1:6" x14ac:dyDescent="0.3">
      <c r="A41" t="s">
        <v>61</v>
      </c>
      <c r="B41" s="1">
        <v>6330</v>
      </c>
      <c r="C41" s="1">
        <f>IFERROR((AVERAGE(podatki!G36+podatki!H36+podatki!J36)-podatki!L36),"Error")</f>
        <v>10.507</v>
      </c>
      <c r="D41">
        <f>RANK(Sheet3!B41,Sheet3!$B$7:$B$155)</f>
        <v>35</v>
      </c>
      <c r="E41">
        <f>RANK(Sheet3!C41,Sheet3!$C$7:$C$155)</f>
        <v>69</v>
      </c>
      <c r="F41">
        <f t="shared" si="0"/>
        <v>34</v>
      </c>
    </row>
    <row r="42" spans="1:6" x14ac:dyDescent="0.3">
      <c r="A42" t="s">
        <v>62</v>
      </c>
      <c r="B42" s="1">
        <v>6317</v>
      </c>
      <c r="C42" s="1">
        <f>IFERROR((AVERAGE(podatki!G37+podatki!H37+podatki!J37)-podatki!L37),"Error")</f>
        <v>10.753</v>
      </c>
      <c r="D42">
        <f>RANK(Sheet3!B42,Sheet3!$B$7:$B$155)</f>
        <v>36</v>
      </c>
      <c r="E42">
        <f>RANK(Sheet3!C42,Sheet3!$C$7:$C$155)</f>
        <v>60</v>
      </c>
      <c r="F42">
        <f t="shared" si="0"/>
        <v>24</v>
      </c>
    </row>
    <row r="43" spans="1:6" x14ac:dyDescent="0.3">
      <c r="A43" t="s">
        <v>63</v>
      </c>
      <c r="B43" s="1">
        <v>6309</v>
      </c>
      <c r="C43" s="1">
        <f>IFERROR((AVERAGE(podatki!G38+podatki!H38+podatki!J38)-podatki!L38),"Error")</f>
        <v>10.069000000000001</v>
      </c>
      <c r="D43">
        <f>RANK(Sheet3!B43,Sheet3!$B$7:$B$155)</f>
        <v>37</v>
      </c>
      <c r="E43">
        <f>RANK(Sheet3!C43,Sheet3!$C$7:$C$155)</f>
        <v>92</v>
      </c>
      <c r="F43">
        <f t="shared" si="0"/>
        <v>55</v>
      </c>
    </row>
    <row r="44" spans="1:6" x14ac:dyDescent="0.3">
      <c r="A44" t="s">
        <v>64</v>
      </c>
      <c r="B44" s="1">
        <v>6255</v>
      </c>
      <c r="C44" s="1">
        <f>IFERROR((AVERAGE(podatki!G39+podatki!H39+podatki!J39)-podatki!L39),"Error")</f>
        <v>11.381</v>
      </c>
      <c r="D44">
        <f>RANK(Sheet3!B44,Sheet3!$B$7:$B$155)</f>
        <v>38</v>
      </c>
      <c r="E44">
        <f>RANK(Sheet3!C44,Sheet3!$C$7:$C$155)</f>
        <v>36</v>
      </c>
      <c r="F44">
        <f t="shared" si="0"/>
        <v>-2</v>
      </c>
    </row>
    <row r="45" spans="1:6" x14ac:dyDescent="0.3">
      <c r="A45" t="s">
        <v>65</v>
      </c>
      <c r="B45" s="1">
        <v>6223</v>
      </c>
      <c r="C45" s="1">
        <f>IFERROR((AVERAGE(podatki!G40+podatki!H40+podatki!J40)-podatki!L40),"Error")</f>
        <v>11.297000000000001</v>
      </c>
      <c r="D45">
        <f>RANK(Sheet3!B45,Sheet3!$B$7:$B$155)</f>
        <v>39</v>
      </c>
      <c r="E45">
        <f>RANK(Sheet3!C45,Sheet3!$C$7:$C$155)</f>
        <v>39</v>
      </c>
      <c r="F45">
        <f t="shared" si="0"/>
        <v>0</v>
      </c>
    </row>
    <row r="46" spans="1:6" x14ac:dyDescent="0.3">
      <c r="A46" t="s">
        <v>66</v>
      </c>
      <c r="B46" s="1">
        <v>6189</v>
      </c>
      <c r="C46" s="1">
        <f>IFERROR((AVERAGE(podatki!G41+podatki!H41+podatki!J41)-podatki!L41),"Error")</f>
        <v>11.804000000000002</v>
      </c>
      <c r="D46">
        <f>RANK(Sheet3!B46,Sheet3!$B$7:$B$155)</f>
        <v>40</v>
      </c>
      <c r="E46">
        <f>RANK(Sheet3!C46,Sheet3!$C$7:$C$155)</f>
        <v>25</v>
      </c>
      <c r="F46">
        <f t="shared" si="0"/>
        <v>-15</v>
      </c>
    </row>
    <row r="47" spans="1:6" x14ac:dyDescent="0.3">
      <c r="A47" t="s">
        <v>67</v>
      </c>
      <c r="B47" s="1">
        <v>6180</v>
      </c>
      <c r="C47" s="1">
        <f>IFERROR((AVERAGE(podatki!G42+podatki!H42+podatki!J42)-podatki!L42),"Error")</f>
        <v>11.262</v>
      </c>
      <c r="D47">
        <f>RANK(Sheet3!B47,Sheet3!$B$7:$B$155)</f>
        <v>41</v>
      </c>
      <c r="E47">
        <f>RANK(Sheet3!C47,Sheet3!$C$7:$C$155)</f>
        <v>40</v>
      </c>
      <c r="F47">
        <f t="shared" si="0"/>
        <v>-1</v>
      </c>
    </row>
    <row r="48" spans="1:6" x14ac:dyDescent="0.3">
      <c r="A48" t="s">
        <v>68</v>
      </c>
      <c r="B48" s="1">
        <v>6179</v>
      </c>
      <c r="C48" s="1">
        <f>IFERROR((AVERAGE(podatki!G43+podatki!H43+podatki!J43)-podatki!L43),"Error")</f>
        <v>10.209</v>
      </c>
      <c r="D48">
        <f>RANK(Sheet3!B48,Sheet3!$B$7:$B$155)</f>
        <v>42</v>
      </c>
      <c r="E48">
        <f>RANK(Sheet3!C48,Sheet3!$C$7:$C$155)</f>
        <v>80</v>
      </c>
      <c r="F48">
        <f t="shared" si="0"/>
        <v>38</v>
      </c>
    </row>
    <row r="49" spans="1:6" x14ac:dyDescent="0.3">
      <c r="A49" t="s">
        <v>70</v>
      </c>
      <c r="B49" s="1">
        <v>6172</v>
      </c>
      <c r="C49" s="1">
        <f>IFERROR((AVERAGE(podatki!G44+podatki!H44+podatki!J44)-podatki!L44),"Error")</f>
        <v>10.865</v>
      </c>
      <c r="D49">
        <f>RANK(Sheet3!B49,Sheet3!$B$7:$B$155)</f>
        <v>43</v>
      </c>
      <c r="E49">
        <f>RANK(Sheet3!C49,Sheet3!$C$7:$C$155)</f>
        <v>52</v>
      </c>
      <c r="F49">
        <f t="shared" si="0"/>
        <v>9</v>
      </c>
    </row>
    <row r="50" spans="1:6" x14ac:dyDescent="0.3">
      <c r="A50" t="s">
        <v>71</v>
      </c>
      <c r="B50" s="1">
        <v>6166</v>
      </c>
      <c r="C50" s="1">
        <f>IFERROR((AVERAGE(podatki!G45+podatki!H45+podatki!J45)-podatki!L45),"Error")</f>
        <v>11.385999999999999</v>
      </c>
      <c r="D50">
        <f>RANK(Sheet3!B50,Sheet3!$B$7:$B$155)</f>
        <v>44</v>
      </c>
      <c r="E50">
        <f>RANK(Sheet3!C50,Sheet3!$C$7:$C$155)</f>
        <v>35</v>
      </c>
      <c r="F50">
        <f t="shared" si="0"/>
        <v>-9</v>
      </c>
    </row>
    <row r="51" spans="1:6" x14ac:dyDescent="0.3">
      <c r="A51" t="s">
        <v>72</v>
      </c>
      <c r="B51" s="1">
        <v>6152</v>
      </c>
      <c r="C51" s="1">
        <f>IFERROR((AVERAGE(podatki!G46+podatki!H46+podatki!J46)-podatki!L46),"Error")</f>
        <v>11.226999999999999</v>
      </c>
      <c r="D51">
        <f>RANK(Sheet3!B51,Sheet3!$B$7:$B$155)</f>
        <v>45</v>
      </c>
      <c r="E51">
        <f>RANK(Sheet3!C51,Sheet3!$C$7:$C$155)</f>
        <v>41</v>
      </c>
      <c r="F51">
        <f t="shared" si="0"/>
        <v>-4</v>
      </c>
    </row>
    <row r="52" spans="1:6" x14ac:dyDescent="0.3">
      <c r="A52" t="s">
        <v>73</v>
      </c>
      <c r="B52" s="1">
        <v>6140</v>
      </c>
      <c r="C52" s="1">
        <f>IFERROR((AVERAGE(podatki!G47+podatki!H47+podatki!J47)-podatki!L47),"Error")</f>
        <v>11.023000000000001</v>
      </c>
      <c r="D52">
        <f>RANK(Sheet3!B52,Sheet3!$B$7:$B$155)</f>
        <v>46</v>
      </c>
      <c r="E52">
        <f>RANK(Sheet3!C52,Sheet3!$C$7:$C$155)</f>
        <v>47</v>
      </c>
      <c r="F52">
        <f t="shared" si="0"/>
        <v>1</v>
      </c>
    </row>
    <row r="53" spans="1:6" x14ac:dyDescent="0.3">
      <c r="A53" t="s">
        <v>74</v>
      </c>
      <c r="B53" s="1">
        <v>6106</v>
      </c>
      <c r="C53" s="1">
        <f>IFERROR((AVERAGE(podatki!G48+podatki!H48+podatki!J48)-podatki!L48),"Error")</f>
        <v>11.791</v>
      </c>
      <c r="D53">
        <f>RANK(Sheet3!B53,Sheet3!$B$7:$B$155)</f>
        <v>47</v>
      </c>
      <c r="E53">
        <f>RANK(Sheet3!C53,Sheet3!$C$7:$C$155)</f>
        <v>26</v>
      </c>
      <c r="F53">
        <f t="shared" si="0"/>
        <v>-21</v>
      </c>
    </row>
    <row r="54" spans="1:6" x14ac:dyDescent="0.3">
      <c r="A54" t="s">
        <v>75</v>
      </c>
      <c r="B54" s="1">
        <v>6078</v>
      </c>
      <c r="C54" s="1">
        <f>IFERROR((AVERAGE(podatki!G49+podatki!H49+podatki!J49)-podatki!L49),"Error")</f>
        <v>10.603000000000002</v>
      </c>
      <c r="D54">
        <f>RANK(Sheet3!B54,Sheet3!$B$7:$B$155)</f>
        <v>48</v>
      </c>
      <c r="E54">
        <f>RANK(Sheet3!C54,Sheet3!$C$7:$C$155)</f>
        <v>65</v>
      </c>
      <c r="F54">
        <f t="shared" si="0"/>
        <v>17</v>
      </c>
    </row>
    <row r="55" spans="1:6" x14ac:dyDescent="0.3">
      <c r="A55" t="s">
        <v>76</v>
      </c>
      <c r="B55" s="1">
        <v>6061</v>
      </c>
      <c r="C55" s="1">
        <f>IFERROR((AVERAGE(podatki!G50+podatki!H50+podatki!J50)-podatki!L50),"Error")</f>
        <v>10.016</v>
      </c>
      <c r="D55">
        <f>RANK(Sheet3!B55,Sheet3!$B$7:$B$155)</f>
        <v>49</v>
      </c>
      <c r="E55">
        <f>RANK(Sheet3!C55,Sheet3!$C$7:$C$155)</f>
        <v>93</v>
      </c>
      <c r="F55">
        <f t="shared" si="0"/>
        <v>44</v>
      </c>
    </row>
    <row r="56" spans="1:6" x14ac:dyDescent="0.3">
      <c r="A56" t="s">
        <v>77</v>
      </c>
      <c r="B56" s="1">
        <v>6049</v>
      </c>
      <c r="C56" s="1">
        <f>IFERROR((AVERAGE(podatki!G51+podatki!H51+podatki!J51)-podatki!L51),"Error")</f>
        <v>10.990999999999998</v>
      </c>
      <c r="D56">
        <f>RANK(Sheet3!B56,Sheet3!$B$7:$B$155)</f>
        <v>50</v>
      </c>
      <c r="E56">
        <f>RANK(Sheet3!C56,Sheet3!$C$7:$C$155)</f>
        <v>48</v>
      </c>
      <c r="F56">
        <f t="shared" si="0"/>
        <v>-2</v>
      </c>
    </row>
    <row r="57" spans="1:6" x14ac:dyDescent="0.3">
      <c r="A57" t="s">
        <v>79</v>
      </c>
      <c r="B57" s="1">
        <v>6032</v>
      </c>
      <c r="C57" s="1">
        <f>IFERROR((AVERAGE(podatki!G52+podatki!H52+podatki!J52)-podatki!L52),"Error")</f>
        <v>11.156999999999998</v>
      </c>
      <c r="D57">
        <f>RANK(Sheet3!B57,Sheet3!$B$7:$B$155)</f>
        <v>51</v>
      </c>
      <c r="E57">
        <f>RANK(Sheet3!C57,Sheet3!$C$7:$C$155)</f>
        <v>45</v>
      </c>
      <c r="F57">
        <f t="shared" si="0"/>
        <v>-6</v>
      </c>
    </row>
    <row r="58" spans="1:6" x14ac:dyDescent="0.3">
      <c r="A58" t="s">
        <v>80</v>
      </c>
      <c r="B58" s="1">
        <v>6012</v>
      </c>
      <c r="C58" s="1">
        <f>IFERROR((AVERAGE(podatki!G53+podatki!H53+podatki!J53)-podatki!L53),"Error")</f>
        <v>10.4</v>
      </c>
      <c r="D58">
        <f>RANK(Sheet3!B58,Sheet3!$B$7:$B$155)</f>
        <v>52</v>
      </c>
      <c r="E58">
        <f>RANK(Sheet3!C58,Sheet3!$C$7:$C$155)</f>
        <v>71</v>
      </c>
      <c r="F58">
        <f t="shared" si="0"/>
        <v>19</v>
      </c>
    </row>
    <row r="59" spans="1:6" x14ac:dyDescent="0.3">
      <c r="A59" t="s">
        <v>81</v>
      </c>
      <c r="B59" s="1">
        <v>5992</v>
      </c>
      <c r="C59" s="1">
        <f>IFERROR((AVERAGE(podatki!G54+podatki!H54+podatki!J54)-podatki!L54),"Error")</f>
        <v>11.180000000000001</v>
      </c>
      <c r="D59">
        <f>RANK(Sheet3!B59,Sheet3!$B$7:$B$155)</f>
        <v>53</v>
      </c>
      <c r="E59">
        <f>RANK(Sheet3!C59,Sheet3!$C$7:$C$155)</f>
        <v>43</v>
      </c>
      <c r="F59">
        <f t="shared" si="0"/>
        <v>-10</v>
      </c>
    </row>
    <row r="60" spans="1:6" x14ac:dyDescent="0.3">
      <c r="A60" t="s">
        <v>82</v>
      </c>
      <c r="B60" s="1">
        <v>5985</v>
      </c>
      <c r="C60" s="1">
        <f>IFERROR((AVERAGE(podatki!G55+podatki!H55+podatki!J55)-podatki!L55),"Error")</f>
        <v>10.682</v>
      </c>
      <c r="D60">
        <f>RANK(Sheet3!B60,Sheet3!$B$7:$B$155)</f>
        <v>54</v>
      </c>
      <c r="E60">
        <f>RANK(Sheet3!C60,Sheet3!$C$7:$C$155)</f>
        <v>63</v>
      </c>
      <c r="F60">
        <f t="shared" si="0"/>
        <v>9</v>
      </c>
    </row>
    <row r="61" spans="1:6" x14ac:dyDescent="0.3">
      <c r="A61" t="s">
        <v>83</v>
      </c>
      <c r="B61" s="1">
        <v>5972</v>
      </c>
      <c r="C61" s="1">
        <f>IFERROR((AVERAGE(podatki!G56+podatki!H56+podatki!J56)-podatki!L56),"Error")</f>
        <v>9.6560000000000006</v>
      </c>
      <c r="D61">
        <f>RANK(Sheet3!B61,Sheet3!$B$7:$B$155)</f>
        <v>55</v>
      </c>
      <c r="E61">
        <f>RANK(Sheet3!C61,Sheet3!$C$7:$C$155)</f>
        <v>105</v>
      </c>
      <c r="F61">
        <f t="shared" si="0"/>
        <v>50</v>
      </c>
    </row>
    <row r="62" spans="1:6" x14ac:dyDescent="0.3">
      <c r="A62" t="s">
        <v>84</v>
      </c>
      <c r="B62" s="1">
        <v>5940</v>
      </c>
      <c r="C62" s="1">
        <f>IFERROR((AVERAGE(podatki!G57+podatki!H57+podatki!J57)-podatki!L57),"Error")</f>
        <v>11.653</v>
      </c>
      <c r="D62">
        <f>RANK(Sheet3!B62,Sheet3!$B$7:$B$155)</f>
        <v>56</v>
      </c>
      <c r="E62">
        <f>RANK(Sheet3!C62,Sheet3!$C$7:$C$155)</f>
        <v>28</v>
      </c>
      <c r="F62">
        <f t="shared" si="0"/>
        <v>-28</v>
      </c>
    </row>
    <row r="63" spans="1:6" x14ac:dyDescent="0.3">
      <c r="A63" t="s">
        <v>85</v>
      </c>
      <c r="B63" s="1">
        <v>5929</v>
      </c>
      <c r="C63" s="1">
        <f>IFERROR((AVERAGE(podatki!G58+podatki!H58+podatki!J58)-podatki!L58),"Error")</f>
        <v>10.853999999999999</v>
      </c>
      <c r="D63">
        <f>RANK(Sheet3!B63,Sheet3!$B$7:$B$155)</f>
        <v>57</v>
      </c>
      <c r="E63">
        <f>RANK(Sheet3!C63,Sheet3!$C$7:$C$155)</f>
        <v>55</v>
      </c>
      <c r="F63">
        <f t="shared" si="0"/>
        <v>-2</v>
      </c>
    </row>
    <row r="64" spans="1:6" x14ac:dyDescent="0.3">
      <c r="A64" t="s">
        <v>86</v>
      </c>
      <c r="B64" s="1">
        <v>5929</v>
      </c>
      <c r="C64" s="1">
        <f>IFERROR((AVERAGE(podatki!G59+podatki!H59+podatki!J59)-podatki!L59),"Error")</f>
        <v>11.304999999999998</v>
      </c>
      <c r="D64">
        <f>RANK(Sheet3!B64,Sheet3!$B$7:$B$155)</f>
        <v>57</v>
      </c>
      <c r="E64">
        <f>RANK(Sheet3!C64,Sheet3!$C$7:$C$155)</f>
        <v>38</v>
      </c>
      <c r="F64">
        <f t="shared" si="0"/>
        <v>-19</v>
      </c>
    </row>
    <row r="65" spans="1:6" x14ac:dyDescent="0.3">
      <c r="A65" t="s">
        <v>87</v>
      </c>
      <c r="B65" s="1">
        <v>5919</v>
      </c>
      <c r="C65" s="1">
        <f>IFERROR((AVERAGE(podatki!G60+podatki!H60+podatki!J60)-podatki!L60),"Error")</f>
        <v>9.5079999999999991</v>
      </c>
      <c r="D65">
        <f>RANK(Sheet3!B65,Sheet3!$B$7:$B$155)</f>
        <v>59</v>
      </c>
      <c r="E65">
        <f>RANK(Sheet3!C65,Sheet3!$C$7:$C$155)</f>
        <v>107</v>
      </c>
      <c r="F65">
        <f t="shared" si="0"/>
        <v>48</v>
      </c>
    </row>
    <row r="66" spans="1:6" x14ac:dyDescent="0.3">
      <c r="A66" t="s">
        <v>88</v>
      </c>
      <c r="B66" s="1">
        <v>5882</v>
      </c>
      <c r="C66" s="1">
        <f>IFERROR((AVERAGE(podatki!G61+podatki!H61+podatki!J61)-podatki!L61),"Error")</f>
        <v>10.956</v>
      </c>
      <c r="D66">
        <f>RANK(Sheet3!B66,Sheet3!$B$7:$B$155)</f>
        <v>60</v>
      </c>
      <c r="E66">
        <f>RANK(Sheet3!C66,Sheet3!$C$7:$C$155)</f>
        <v>50</v>
      </c>
      <c r="F66">
        <f t="shared" si="0"/>
        <v>-10</v>
      </c>
    </row>
    <row r="67" spans="1:6" x14ac:dyDescent="0.3">
      <c r="A67" t="s">
        <v>89</v>
      </c>
      <c r="B67" s="1">
        <v>5880</v>
      </c>
      <c r="C67" s="1">
        <f>IFERROR((AVERAGE(podatki!G62+podatki!H62+podatki!J62)-podatki!L62),"Error")</f>
        <v>10.081</v>
      </c>
      <c r="D67">
        <f>RANK(Sheet3!B67,Sheet3!$B$7:$B$155)</f>
        <v>61</v>
      </c>
      <c r="E67">
        <f>RANK(Sheet3!C67,Sheet3!$C$7:$C$155)</f>
        <v>90</v>
      </c>
      <c r="F67">
        <f t="shared" si="0"/>
        <v>29</v>
      </c>
    </row>
    <row r="68" spans="1:6" x14ac:dyDescent="0.3">
      <c r="A68" t="s">
        <v>90</v>
      </c>
      <c r="B68" s="1">
        <v>5845</v>
      </c>
      <c r="C68" s="1">
        <f>IFERROR((AVERAGE(podatki!G63+podatki!H63+podatki!J63)-podatki!L63),"Error")</f>
        <v>11.395</v>
      </c>
      <c r="D68">
        <f>RANK(Sheet3!B68,Sheet3!$B$7:$B$155)</f>
        <v>62</v>
      </c>
      <c r="E68">
        <f>RANK(Sheet3!C68,Sheet3!$C$7:$C$155)</f>
        <v>34</v>
      </c>
      <c r="F68">
        <f t="shared" si="0"/>
        <v>-28</v>
      </c>
    </row>
    <row r="69" spans="1:6" x14ac:dyDescent="0.3">
      <c r="A69" t="s">
        <v>91</v>
      </c>
      <c r="B69" s="1">
        <v>5840</v>
      </c>
      <c r="C69" s="1">
        <f>IFERROR((AVERAGE(podatki!G64+podatki!H64+podatki!J64)-podatki!L64),"Error")</f>
        <v>10.221</v>
      </c>
      <c r="D69">
        <f>RANK(Sheet3!B69,Sheet3!$B$7:$B$155)</f>
        <v>63</v>
      </c>
      <c r="E69">
        <f>RANK(Sheet3!C69,Sheet3!$C$7:$C$155)</f>
        <v>78</v>
      </c>
      <c r="F69">
        <f t="shared" si="0"/>
        <v>15</v>
      </c>
    </row>
    <row r="70" spans="1:6" x14ac:dyDescent="0.3">
      <c r="A70" t="s">
        <v>92</v>
      </c>
      <c r="B70" s="1">
        <v>5813</v>
      </c>
      <c r="C70" s="1">
        <f>IFERROR((AVERAGE(podatki!G65+podatki!H65+podatki!J65)-podatki!L65),"Error")</f>
        <v>10.234999999999999</v>
      </c>
      <c r="D70">
        <f>RANK(Sheet3!B70,Sheet3!$B$7:$B$155)</f>
        <v>64</v>
      </c>
      <c r="E70">
        <f>RANK(Sheet3!C70,Sheet3!$C$7:$C$155)</f>
        <v>77</v>
      </c>
      <c r="F70">
        <f t="shared" si="0"/>
        <v>13</v>
      </c>
    </row>
    <row r="71" spans="1:6" x14ac:dyDescent="0.3">
      <c r="A71" t="s">
        <v>93</v>
      </c>
      <c r="B71" s="1">
        <v>5766</v>
      </c>
      <c r="C71" s="1">
        <f>IFERROR((AVERAGE(podatki!G66+podatki!H66+podatki!J66)-podatki!L66),"Error")</f>
        <v>10.215</v>
      </c>
      <c r="D71">
        <f>RANK(Sheet3!B71,Sheet3!$B$7:$B$155)</f>
        <v>65</v>
      </c>
      <c r="E71">
        <f>RANK(Sheet3!C71,Sheet3!$C$7:$C$155)</f>
        <v>79</v>
      </c>
      <c r="F71">
        <f t="shared" si="0"/>
        <v>14</v>
      </c>
    </row>
    <row r="72" spans="1:6" x14ac:dyDescent="0.3">
      <c r="A72" t="s">
        <v>94</v>
      </c>
      <c r="B72" s="1">
        <v>5764</v>
      </c>
      <c r="C72" s="1">
        <f>IFERROR((AVERAGE(podatki!G67+podatki!H67+podatki!J67)-podatki!L67),"Error")</f>
        <v>10.133000000000001</v>
      </c>
      <c r="D72">
        <f>RANK(Sheet3!B72,Sheet3!$B$7:$B$155)</f>
        <v>66</v>
      </c>
      <c r="E72">
        <f>RANK(Sheet3!C72,Sheet3!$C$7:$C$155)</f>
        <v>85</v>
      </c>
      <c r="F72">
        <f t="shared" ref="F72:F135" si="1">E72-D72</f>
        <v>19</v>
      </c>
    </row>
    <row r="73" spans="1:6" x14ac:dyDescent="0.3">
      <c r="A73" t="s">
        <v>95</v>
      </c>
      <c r="B73" s="1">
        <v>5744</v>
      </c>
      <c r="C73" s="1">
        <f>IFERROR((AVERAGE(podatki!G68+podatki!H68+podatki!J68)-podatki!L68),"Error")</f>
        <v>9.458000000000002</v>
      </c>
      <c r="D73">
        <f>RANK(Sheet3!B73,Sheet3!$B$7:$B$155)</f>
        <v>67</v>
      </c>
      <c r="E73">
        <f>RANK(Sheet3!C73,Sheet3!$C$7:$C$155)</f>
        <v>109</v>
      </c>
      <c r="F73">
        <f t="shared" si="1"/>
        <v>42</v>
      </c>
    </row>
    <row r="74" spans="1:6" x14ac:dyDescent="0.3">
      <c r="A74" t="s">
        <v>96</v>
      </c>
      <c r="B74" s="1">
        <v>5723</v>
      </c>
      <c r="C74" s="1">
        <f>IFERROR((AVERAGE(podatki!G69+podatki!H69+podatki!J69)-podatki!L69),"Error")</f>
        <v>10.861000000000001</v>
      </c>
      <c r="D74">
        <f>RANK(Sheet3!B74,Sheet3!$B$7:$B$155)</f>
        <v>68</v>
      </c>
      <c r="E74">
        <f>RANK(Sheet3!C74,Sheet3!$C$7:$C$155)</f>
        <v>54</v>
      </c>
      <c r="F74">
        <f t="shared" si="1"/>
        <v>-14</v>
      </c>
    </row>
    <row r="75" spans="1:6" x14ac:dyDescent="0.3">
      <c r="A75" t="s">
        <v>97</v>
      </c>
      <c r="B75" s="1">
        <v>5716</v>
      </c>
      <c r="C75" s="1">
        <f>IFERROR((AVERAGE(podatki!G70+podatki!H70+podatki!J70)-podatki!L70),"Error")</f>
        <v>9.8919999999999995</v>
      </c>
      <c r="D75">
        <f>RANK(Sheet3!B75,Sheet3!$B$7:$B$155)</f>
        <v>69</v>
      </c>
      <c r="E75">
        <f>RANK(Sheet3!C75,Sheet3!$C$7:$C$155)</f>
        <v>98</v>
      </c>
      <c r="F75">
        <f t="shared" si="1"/>
        <v>29</v>
      </c>
    </row>
    <row r="76" spans="1:6" x14ac:dyDescent="0.3">
      <c r="A76" t="s">
        <v>98</v>
      </c>
      <c r="B76" s="1">
        <v>5677</v>
      </c>
      <c r="C76" s="1">
        <f>IFERROR((AVERAGE(podatki!G71+podatki!H71+podatki!J71)-podatki!L71),"Error")</f>
        <v>10.187000000000001</v>
      </c>
      <c r="D76">
        <f>RANK(Sheet3!B76,Sheet3!$B$7:$B$155)</f>
        <v>70</v>
      </c>
      <c r="E76">
        <f>RANK(Sheet3!C76,Sheet3!$C$7:$C$155)</f>
        <v>82</v>
      </c>
      <c r="F76">
        <f t="shared" si="1"/>
        <v>12</v>
      </c>
    </row>
    <row r="77" spans="1:6" x14ac:dyDescent="0.3">
      <c r="A77" t="s">
        <v>99</v>
      </c>
      <c r="B77" s="1">
        <v>5653</v>
      </c>
      <c r="C77" s="1">
        <f>IFERROR((AVERAGE(podatki!G72+podatki!H72+podatki!J72)-podatki!L72),"Error")</f>
        <v>10.335000000000001</v>
      </c>
      <c r="D77">
        <f>RANK(Sheet3!B77,Sheet3!$B$7:$B$155)</f>
        <v>71</v>
      </c>
      <c r="E77">
        <f>RANK(Sheet3!C77,Sheet3!$C$7:$C$155)</f>
        <v>74</v>
      </c>
      <c r="F77">
        <f t="shared" si="1"/>
        <v>3</v>
      </c>
    </row>
    <row r="78" spans="1:6" x14ac:dyDescent="0.3">
      <c r="A78" t="s">
        <v>100</v>
      </c>
      <c r="B78" s="1">
        <v>5581</v>
      </c>
      <c r="C78" s="1">
        <f>IFERROR((AVERAGE(podatki!G73+podatki!H73+podatki!J73)-podatki!L73),"Error")</f>
        <v>10.694000000000001</v>
      </c>
      <c r="D78">
        <f>RANK(Sheet3!B78,Sheet3!$B$7:$B$155)</f>
        <v>72</v>
      </c>
      <c r="E78">
        <f>RANK(Sheet3!C78,Sheet3!$C$7:$C$155)</f>
        <v>62</v>
      </c>
      <c r="F78">
        <f t="shared" si="1"/>
        <v>-10</v>
      </c>
    </row>
    <row r="79" spans="1:6" x14ac:dyDescent="0.3">
      <c r="A79" t="s">
        <v>101</v>
      </c>
      <c r="B79" s="1">
        <v>5545</v>
      </c>
      <c r="C79" s="1">
        <f>IFERROR((AVERAGE(podatki!G74+podatki!H74+podatki!J74)-podatki!L74),"Error")</f>
        <v>10.800999999999998</v>
      </c>
      <c r="D79">
        <f>RANK(Sheet3!B79,Sheet3!$B$7:$B$155)</f>
        <v>73</v>
      </c>
      <c r="E79">
        <f>RANK(Sheet3!C79,Sheet3!$C$7:$C$155)</f>
        <v>57</v>
      </c>
      <c r="F79">
        <f t="shared" si="1"/>
        <v>-16</v>
      </c>
    </row>
    <row r="80" spans="1:6" x14ac:dyDescent="0.3">
      <c r="A80" t="s">
        <v>102</v>
      </c>
      <c r="B80" s="1">
        <v>5536</v>
      </c>
      <c r="C80" s="1">
        <f>IFERROR((AVERAGE(podatki!G75+podatki!H75+podatki!J75)-podatki!L75),"Error")</f>
        <v>11.565000000000001</v>
      </c>
      <c r="D80">
        <f>RANK(Sheet3!B80,Sheet3!$B$7:$B$155)</f>
        <v>74</v>
      </c>
      <c r="E80">
        <f>RANK(Sheet3!C80,Sheet3!$C$7:$C$155)</f>
        <v>30</v>
      </c>
      <c r="F80">
        <f t="shared" si="1"/>
        <v>-44</v>
      </c>
    </row>
    <row r="81" spans="1:6" x14ac:dyDescent="0.3">
      <c r="A81" t="s">
        <v>103</v>
      </c>
      <c r="B81" s="1">
        <v>5534</v>
      </c>
      <c r="C81" s="1">
        <f>IFERROR((AVERAGE(podatki!G76+podatki!H76+podatki!J76)-podatki!L76),"Error")</f>
        <v>10.786</v>
      </c>
      <c r="D81">
        <f>RANK(Sheet3!B81,Sheet3!$B$7:$B$155)</f>
        <v>75</v>
      </c>
      <c r="E81">
        <f>RANK(Sheet3!C81,Sheet3!$C$7:$C$155)</f>
        <v>58</v>
      </c>
      <c r="F81">
        <f t="shared" si="1"/>
        <v>-17</v>
      </c>
    </row>
    <row r="82" spans="1:6" x14ac:dyDescent="0.3">
      <c r="A82" t="s">
        <v>104</v>
      </c>
      <c r="B82" s="1">
        <v>5477</v>
      </c>
      <c r="C82" s="1">
        <f>IFERROR((AVERAGE(podatki!G77+podatki!H77+podatki!J77)-podatki!L77),"Error")</f>
        <v>10.965</v>
      </c>
      <c r="D82">
        <f>RANK(Sheet3!B82,Sheet3!$B$7:$B$155)</f>
        <v>76</v>
      </c>
      <c r="E82">
        <f>RANK(Sheet3!C82,Sheet3!$C$7:$C$155)</f>
        <v>49</v>
      </c>
      <c r="F82">
        <f t="shared" si="1"/>
        <v>-27</v>
      </c>
    </row>
    <row r="83" spans="1:6" x14ac:dyDescent="0.3">
      <c r="A83" t="s">
        <v>105</v>
      </c>
      <c r="B83" s="1">
        <v>5477</v>
      </c>
      <c r="C83" s="1">
        <f>IFERROR((AVERAGE(podatki!G78+podatki!H78+podatki!J78)-podatki!L78),"Error")</f>
        <v>12.15</v>
      </c>
      <c r="D83">
        <f>RANK(Sheet3!B83,Sheet3!$B$7:$B$155)</f>
        <v>76</v>
      </c>
      <c r="E83">
        <f>RANK(Sheet3!C83,Sheet3!$C$7:$C$155)</f>
        <v>16</v>
      </c>
      <c r="F83">
        <f t="shared" si="1"/>
        <v>-60</v>
      </c>
    </row>
    <row r="84" spans="1:6" x14ac:dyDescent="0.3">
      <c r="A84" t="s">
        <v>106</v>
      </c>
      <c r="B84" s="1">
        <v>5466</v>
      </c>
      <c r="C84" s="1">
        <f>IFERROR((AVERAGE(podatki!G79+podatki!H79+podatki!J79)-podatki!L79),"Error")</f>
        <v>9.2299999999999986</v>
      </c>
      <c r="D84">
        <f>RANK(Sheet3!B84,Sheet3!$B$7:$B$155)</f>
        <v>78</v>
      </c>
      <c r="E84">
        <f>RANK(Sheet3!C84,Sheet3!$C$7:$C$155)</f>
        <v>114</v>
      </c>
      <c r="F84">
        <f t="shared" si="1"/>
        <v>36</v>
      </c>
    </row>
    <row r="85" spans="1:6" x14ac:dyDescent="0.3">
      <c r="A85" t="s">
        <v>107</v>
      </c>
      <c r="B85" s="1">
        <v>5411</v>
      </c>
      <c r="C85" s="1">
        <f>IFERROR((AVERAGE(podatki!G80+podatki!H80+podatki!J80)-podatki!L80),"Error")</f>
        <v>9.9670000000000005</v>
      </c>
      <c r="D85">
        <f>RANK(Sheet3!B85,Sheet3!$B$7:$B$155)</f>
        <v>79</v>
      </c>
      <c r="E85">
        <f>RANK(Sheet3!C85,Sheet3!$C$7:$C$155)</f>
        <v>96</v>
      </c>
      <c r="F85">
        <f t="shared" si="1"/>
        <v>17</v>
      </c>
    </row>
    <row r="86" spans="1:6" x14ac:dyDescent="0.3">
      <c r="A86" t="s">
        <v>108</v>
      </c>
      <c r="B86" s="1">
        <v>5410</v>
      </c>
      <c r="C86" s="1">
        <f>IFERROR((AVERAGE(podatki!G81+podatki!H81+podatki!J81)-podatki!L81),"Error")</f>
        <v>10.553000000000001</v>
      </c>
      <c r="D86">
        <f>RANK(Sheet3!B86,Sheet3!$B$7:$B$155)</f>
        <v>80</v>
      </c>
      <c r="E86">
        <f>RANK(Sheet3!C86,Sheet3!$C$7:$C$155)</f>
        <v>68</v>
      </c>
      <c r="F86">
        <f t="shared" si="1"/>
        <v>-12</v>
      </c>
    </row>
    <row r="87" spans="1:6" x14ac:dyDescent="0.3">
      <c r="A87" t="s">
        <v>109</v>
      </c>
      <c r="B87" s="1">
        <v>5384</v>
      </c>
      <c r="C87" s="1">
        <f>IFERROR((AVERAGE(podatki!G82+podatki!H82+podatki!J82)-podatki!L82),"Error")</f>
        <v>11.110999999999999</v>
      </c>
      <c r="D87">
        <f>RANK(Sheet3!B87,Sheet3!$B$7:$B$155)</f>
        <v>81</v>
      </c>
      <c r="E87">
        <f>RANK(Sheet3!C87,Sheet3!$C$7:$C$155)</f>
        <v>46</v>
      </c>
      <c r="F87">
        <f t="shared" si="1"/>
        <v>-35</v>
      </c>
    </row>
    <row r="88" spans="1:6" x14ac:dyDescent="0.3">
      <c r="A88" t="s">
        <v>110</v>
      </c>
      <c r="B88" s="1">
        <v>5345</v>
      </c>
      <c r="C88" s="1">
        <f>IFERROR((AVERAGE(podatki!G83+podatki!H83+podatki!J83)-podatki!L83),"Error")</f>
        <v>10.181999999999999</v>
      </c>
      <c r="D88">
        <f>RANK(Sheet3!B88,Sheet3!$B$7:$B$155)</f>
        <v>82</v>
      </c>
      <c r="E88">
        <f>RANK(Sheet3!C88,Sheet3!$C$7:$C$155)</f>
        <v>83</v>
      </c>
      <c r="F88">
        <f t="shared" si="1"/>
        <v>1</v>
      </c>
    </row>
    <row r="89" spans="1:6" x14ac:dyDescent="0.3">
      <c r="A89" t="s">
        <v>111</v>
      </c>
      <c r="B89" s="1">
        <v>5342</v>
      </c>
      <c r="C89" s="1">
        <f>IFERROR((AVERAGE(podatki!G84+podatki!H84+podatki!J84)-podatki!L84),"Error")</f>
        <v>8.7030000000000012</v>
      </c>
      <c r="D89">
        <f>RANK(Sheet3!B89,Sheet3!$B$7:$B$155)</f>
        <v>83</v>
      </c>
      <c r="E89">
        <f>RANK(Sheet3!C89,Sheet3!$C$7:$C$155)</f>
        <v>127</v>
      </c>
      <c r="F89">
        <f t="shared" si="1"/>
        <v>44</v>
      </c>
    </row>
    <row r="90" spans="1:6" x14ac:dyDescent="0.3">
      <c r="A90" t="s">
        <v>112</v>
      </c>
      <c r="B90" s="1">
        <v>5339</v>
      </c>
      <c r="C90" s="1">
        <f>IFERROR((AVERAGE(podatki!G85+podatki!H85+podatki!J85)-podatki!L85),"Error")</f>
        <v>10.632999999999999</v>
      </c>
      <c r="D90">
        <f>RANK(Sheet3!B90,Sheet3!$B$7:$B$155)</f>
        <v>84</v>
      </c>
      <c r="E90">
        <f>RANK(Sheet3!C90,Sheet3!$C$7:$C$155)</f>
        <v>64</v>
      </c>
      <c r="F90">
        <f t="shared" si="1"/>
        <v>-20</v>
      </c>
    </row>
    <row r="91" spans="1:6" x14ac:dyDescent="0.3">
      <c r="A91" t="s">
        <v>113</v>
      </c>
      <c r="B91" s="1">
        <v>5306</v>
      </c>
      <c r="C91" s="1">
        <f>IFERROR((AVERAGE(podatki!G86+podatki!H86+podatki!J86)-podatki!L86),"Error")</f>
        <v>9.1419999999999995</v>
      </c>
      <c r="D91">
        <f>RANK(Sheet3!B91,Sheet3!$B$7:$B$155)</f>
        <v>85</v>
      </c>
      <c r="E91">
        <f>RANK(Sheet3!C91,Sheet3!$C$7:$C$155)</f>
        <v>117</v>
      </c>
      <c r="F91">
        <f t="shared" si="1"/>
        <v>32</v>
      </c>
    </row>
    <row r="92" spans="1:6" x14ac:dyDescent="0.3">
      <c r="A92" t="s">
        <v>114</v>
      </c>
      <c r="B92" s="1">
        <v>5283</v>
      </c>
      <c r="C92" s="1">
        <f>IFERROR((AVERAGE(podatki!G87+podatki!H87+podatki!J87)-podatki!L87),"Error")</f>
        <v>10.481999999999999</v>
      </c>
      <c r="D92">
        <f>RANK(Sheet3!B92,Sheet3!$B$7:$B$155)</f>
        <v>86</v>
      </c>
      <c r="E92">
        <f>RANK(Sheet3!C92,Sheet3!$C$7:$C$155)</f>
        <v>70</v>
      </c>
      <c r="F92">
        <f t="shared" si="1"/>
        <v>-16</v>
      </c>
    </row>
    <row r="93" spans="1:6" x14ac:dyDescent="0.3">
      <c r="A93" t="s">
        <v>115</v>
      </c>
      <c r="B93" s="1">
        <v>5269</v>
      </c>
      <c r="C93" s="1">
        <f>IFERROR((AVERAGE(podatki!G88+podatki!H88+podatki!J88)-podatki!L88),"Error")</f>
        <v>8.9489999999999981</v>
      </c>
      <c r="D93">
        <f>RANK(Sheet3!B93,Sheet3!$B$7:$B$155)</f>
        <v>87</v>
      </c>
      <c r="E93">
        <f>RANK(Sheet3!C93,Sheet3!$C$7:$C$155)</f>
        <v>122</v>
      </c>
      <c r="F93">
        <f t="shared" si="1"/>
        <v>35</v>
      </c>
    </row>
    <row r="94" spans="1:6" x14ac:dyDescent="0.3">
      <c r="A94" t="s">
        <v>117</v>
      </c>
      <c r="B94" s="1">
        <v>5266</v>
      </c>
      <c r="C94" s="1">
        <f>IFERROR((AVERAGE(podatki!G89+podatki!H89+podatki!J89)-podatki!L89),"Error")</f>
        <v>10.802999999999999</v>
      </c>
      <c r="D94">
        <f>RANK(Sheet3!B94,Sheet3!$B$7:$B$155)</f>
        <v>88</v>
      </c>
      <c r="E94">
        <f>RANK(Sheet3!C94,Sheet3!$C$7:$C$155)</f>
        <v>56</v>
      </c>
      <c r="F94">
        <f t="shared" si="1"/>
        <v>-32</v>
      </c>
    </row>
    <row r="95" spans="1:6" x14ac:dyDescent="0.3">
      <c r="A95" t="s">
        <v>118</v>
      </c>
      <c r="B95" s="1">
        <v>5198</v>
      </c>
      <c r="C95" s="1">
        <f>IFERROR((AVERAGE(podatki!G90+podatki!H90+podatki!J90)-podatki!L90),"Error")</f>
        <v>10.768000000000001</v>
      </c>
      <c r="D95">
        <f>RANK(Sheet3!B95,Sheet3!$B$7:$B$155)</f>
        <v>89</v>
      </c>
      <c r="E95">
        <f>RANK(Sheet3!C95,Sheet3!$C$7:$C$155)</f>
        <v>59</v>
      </c>
      <c r="F95">
        <f t="shared" si="1"/>
        <v>-30</v>
      </c>
    </row>
    <row r="96" spans="1:6" x14ac:dyDescent="0.3">
      <c r="A96" t="s">
        <v>119</v>
      </c>
      <c r="B96" s="1">
        <v>5171</v>
      </c>
      <c r="C96" s="1">
        <f>IFERROR((AVERAGE(podatki!G91+podatki!H91+podatki!J91)-podatki!L91),"Error")</f>
        <v>10.713000000000001</v>
      </c>
      <c r="D96">
        <f>RANK(Sheet3!B96,Sheet3!$B$7:$B$155)</f>
        <v>90</v>
      </c>
      <c r="E96">
        <f>RANK(Sheet3!C96,Sheet3!$C$7:$C$155)</f>
        <v>61</v>
      </c>
      <c r="F96">
        <f t="shared" si="1"/>
        <v>-29</v>
      </c>
    </row>
    <row r="97" spans="1:6" x14ac:dyDescent="0.3">
      <c r="A97" t="s">
        <v>120</v>
      </c>
      <c r="B97" s="1">
        <v>5142</v>
      </c>
      <c r="C97" s="1">
        <f>IFERROR((AVERAGE(podatki!G92+podatki!H92+podatki!J92)-podatki!L92),"Error")</f>
        <v>8.782</v>
      </c>
      <c r="D97">
        <f>RANK(Sheet3!B97,Sheet3!$B$7:$B$155)</f>
        <v>91</v>
      </c>
      <c r="E97">
        <f>RANK(Sheet3!C97,Sheet3!$C$7:$C$155)</f>
        <v>125</v>
      </c>
      <c r="F97">
        <f t="shared" si="1"/>
        <v>34</v>
      </c>
    </row>
    <row r="98" spans="1:6" x14ac:dyDescent="0.3">
      <c r="A98" t="s">
        <v>121</v>
      </c>
      <c r="B98" s="1">
        <v>5132</v>
      </c>
      <c r="C98" s="1">
        <f>IFERROR((AVERAGE(podatki!G93+podatki!H93+podatki!J93)-podatki!L93),"Error")</f>
        <v>8.7219999999999995</v>
      </c>
      <c r="D98">
        <f>RANK(Sheet3!B98,Sheet3!$B$7:$B$155)</f>
        <v>92</v>
      </c>
      <c r="E98">
        <f>RANK(Sheet3!C98,Sheet3!$C$7:$C$155)</f>
        <v>126</v>
      </c>
      <c r="F98">
        <f t="shared" si="1"/>
        <v>34</v>
      </c>
    </row>
    <row r="99" spans="1:6" x14ac:dyDescent="0.3">
      <c r="A99" t="s">
        <v>122</v>
      </c>
      <c r="B99" s="1">
        <v>5117</v>
      </c>
      <c r="C99" s="1">
        <f>IFERROR((AVERAGE(podatki!G94+podatki!H94+podatki!J94)-podatki!L94),"Error")</f>
        <v>10.100999999999999</v>
      </c>
      <c r="D99">
        <f>RANK(Sheet3!B99,Sheet3!$B$7:$B$155)</f>
        <v>93</v>
      </c>
      <c r="E99">
        <f>RANK(Sheet3!C99,Sheet3!$C$7:$C$155)</f>
        <v>88</v>
      </c>
      <c r="F99">
        <f t="shared" si="1"/>
        <v>-5</v>
      </c>
    </row>
    <row r="100" spans="1:6" x14ac:dyDescent="0.3">
      <c r="A100" t="s">
        <v>123</v>
      </c>
      <c r="B100" s="1">
        <v>5101</v>
      </c>
      <c r="C100" s="1">
        <f>IFERROR((AVERAGE(podatki!G95+podatki!H95+podatki!J95)-podatki!L95),"Error")</f>
        <v>10.343999999999999</v>
      </c>
      <c r="D100">
        <f>RANK(Sheet3!B100,Sheet3!$B$7:$B$155)</f>
        <v>94</v>
      </c>
      <c r="E100">
        <f>RANK(Sheet3!C100,Sheet3!$C$7:$C$155)</f>
        <v>73</v>
      </c>
      <c r="F100">
        <f t="shared" si="1"/>
        <v>-21</v>
      </c>
    </row>
    <row r="101" spans="1:6" x14ac:dyDescent="0.3">
      <c r="A101" t="s">
        <v>124</v>
      </c>
      <c r="B101" s="1">
        <v>5088</v>
      </c>
      <c r="C101" s="1">
        <f>IFERROR((AVERAGE(podatki!G96+podatki!H96+podatki!J96)-podatki!L96),"Error")</f>
        <v>9.266</v>
      </c>
      <c r="D101">
        <f>RANK(Sheet3!B101,Sheet3!$B$7:$B$155)</f>
        <v>95</v>
      </c>
      <c r="E101">
        <f>RANK(Sheet3!C101,Sheet3!$C$7:$C$155)</f>
        <v>112</v>
      </c>
      <c r="F101">
        <f t="shared" si="1"/>
        <v>17</v>
      </c>
    </row>
    <row r="102" spans="1:6" x14ac:dyDescent="0.3">
      <c r="A102" t="s">
        <v>125</v>
      </c>
      <c r="B102" s="1">
        <v>5074</v>
      </c>
      <c r="C102" s="1">
        <f>IFERROR((AVERAGE(podatki!G97+podatki!H97+podatki!J97)-podatki!L97),"Error")</f>
        <v>7.8520000000000003</v>
      </c>
      <c r="D102">
        <f>RANK(Sheet3!B102,Sheet3!$B$7:$B$155)</f>
        <v>96</v>
      </c>
      <c r="E102">
        <f>RANK(Sheet3!C102,Sheet3!$C$7:$C$155)</f>
        <v>143</v>
      </c>
      <c r="F102">
        <f t="shared" si="1"/>
        <v>47</v>
      </c>
    </row>
    <row r="103" spans="1:6" x14ac:dyDescent="0.3">
      <c r="A103" t="s">
        <v>126</v>
      </c>
      <c r="B103" s="1">
        <v>5066</v>
      </c>
      <c r="C103" s="1">
        <f>IFERROR((AVERAGE(podatki!G98+podatki!H98+podatki!J98)-podatki!L98),"Error")</f>
        <v>10.601000000000001</v>
      </c>
      <c r="D103">
        <f>RANK(Sheet3!B103,Sheet3!$B$7:$B$155)</f>
        <v>97</v>
      </c>
      <c r="E103">
        <f>RANK(Sheet3!C103,Sheet3!$C$7:$C$155)</f>
        <v>66</v>
      </c>
      <c r="F103">
        <f t="shared" si="1"/>
        <v>-31</v>
      </c>
    </row>
    <row r="104" spans="1:6" x14ac:dyDescent="0.3">
      <c r="A104" t="s">
        <v>127</v>
      </c>
      <c r="B104" s="1">
        <v>5051</v>
      </c>
      <c r="C104" s="1">
        <f>IFERROR((AVERAGE(podatki!G99+podatki!H99+podatki!J99)-podatki!L99),"Error")</f>
        <v>8.3269999999999982</v>
      </c>
      <c r="D104">
        <f>RANK(Sheet3!B104,Sheet3!$B$7:$B$155)</f>
        <v>98</v>
      </c>
      <c r="E104">
        <f>RANK(Sheet3!C104,Sheet3!$C$7:$C$155)</f>
        <v>135</v>
      </c>
      <c r="F104">
        <f t="shared" si="1"/>
        <v>37</v>
      </c>
    </row>
    <row r="105" spans="1:6" x14ac:dyDescent="0.3">
      <c r="A105" t="s">
        <v>128</v>
      </c>
      <c r="B105" s="1">
        <v>5045</v>
      </c>
      <c r="C105" s="1">
        <f>IFERROR((AVERAGE(podatki!G100+podatki!H100+podatki!J100)-podatki!L100),"Error")</f>
        <v>8.6720000000000006</v>
      </c>
      <c r="D105">
        <f>RANK(Sheet3!B105,Sheet3!$B$7:$B$155)</f>
        <v>99</v>
      </c>
      <c r="E105">
        <f>RANK(Sheet3!C105,Sheet3!$C$7:$C$155)</f>
        <v>128</v>
      </c>
      <c r="F105">
        <f t="shared" si="1"/>
        <v>29</v>
      </c>
    </row>
    <row r="106" spans="1:6" x14ac:dyDescent="0.3">
      <c r="A106" t="s">
        <v>129</v>
      </c>
      <c r="B106" s="1">
        <v>5030</v>
      </c>
      <c r="C106" s="1">
        <f>IFERROR((AVERAGE(podatki!G101+podatki!H101+podatki!J101)-podatki!L101),"Error")</f>
        <v>9.9269999999999996</v>
      </c>
      <c r="D106">
        <f>RANK(Sheet3!B106,Sheet3!$B$7:$B$155)</f>
        <v>100</v>
      </c>
      <c r="E106">
        <f>RANK(Sheet3!C106,Sheet3!$C$7:$C$155)</f>
        <v>97</v>
      </c>
      <c r="F106">
        <f t="shared" si="1"/>
        <v>-3</v>
      </c>
    </row>
    <row r="107" spans="1:6" x14ac:dyDescent="0.3">
      <c r="A107" t="s">
        <v>130</v>
      </c>
      <c r="B107" s="1">
        <v>5025</v>
      </c>
      <c r="C107" s="1">
        <f>IFERROR((AVERAGE(podatki!G102+podatki!H102+podatki!J102)-podatki!L102),"Error")</f>
        <v>9.3420000000000005</v>
      </c>
      <c r="D107">
        <f>RANK(Sheet3!B107,Sheet3!$B$7:$B$155)</f>
        <v>101</v>
      </c>
      <c r="E107">
        <f>RANK(Sheet3!C107,Sheet3!$C$7:$C$155)</f>
        <v>111</v>
      </c>
      <c r="F107">
        <f t="shared" si="1"/>
        <v>10</v>
      </c>
    </row>
    <row r="108" spans="1:6" x14ac:dyDescent="0.3">
      <c r="A108" t="s">
        <v>131</v>
      </c>
      <c r="B108" s="1">
        <v>4984</v>
      </c>
      <c r="C108" s="1">
        <f>IFERROR((AVERAGE(podatki!G103+podatki!H103+podatki!J103)-podatki!L103),"Error")</f>
        <v>8.4079999999999995</v>
      </c>
      <c r="D108">
        <f>RANK(Sheet3!B108,Sheet3!$B$7:$B$155)</f>
        <v>102</v>
      </c>
      <c r="E108">
        <f>RANK(Sheet3!C108,Sheet3!$C$7:$C$155)</f>
        <v>133</v>
      </c>
      <c r="F108">
        <f t="shared" si="1"/>
        <v>31</v>
      </c>
    </row>
    <row r="109" spans="1:6" x14ac:dyDescent="0.3">
      <c r="A109" t="s">
        <v>132</v>
      </c>
      <c r="B109" s="1">
        <v>4956</v>
      </c>
      <c r="C109" s="1">
        <f>IFERROR((AVERAGE(podatki!G104+podatki!H104+podatki!J104)-podatki!L104),"Error")</f>
        <v>10.152000000000001</v>
      </c>
      <c r="D109">
        <f>RANK(Sheet3!B109,Sheet3!$B$7:$B$155)</f>
        <v>103</v>
      </c>
      <c r="E109">
        <f>RANK(Sheet3!C109,Sheet3!$C$7:$C$155)</f>
        <v>84</v>
      </c>
      <c r="F109">
        <f t="shared" si="1"/>
        <v>-19</v>
      </c>
    </row>
    <row r="110" spans="1:6" x14ac:dyDescent="0.3">
      <c r="A110" t="s">
        <v>133</v>
      </c>
      <c r="B110" s="1">
        <v>4948</v>
      </c>
      <c r="C110" s="1">
        <f>IFERROR((AVERAGE(podatki!G105+podatki!H105+podatki!J105)-podatki!L105),"Error")</f>
        <v>10.862</v>
      </c>
      <c r="D110">
        <f>RANK(Sheet3!B110,Sheet3!$B$7:$B$155)</f>
        <v>104</v>
      </c>
      <c r="E110">
        <f>RANK(Sheet3!C110,Sheet3!$C$7:$C$155)</f>
        <v>53</v>
      </c>
      <c r="F110">
        <f t="shared" si="1"/>
        <v>-51</v>
      </c>
    </row>
    <row r="111" spans="1:6" x14ac:dyDescent="0.3">
      <c r="A111" t="s">
        <v>134</v>
      </c>
      <c r="B111" s="1">
        <v>4934</v>
      </c>
      <c r="C111" s="1">
        <f>IFERROR((AVERAGE(podatki!G106+podatki!H106+podatki!J106)-podatki!L106),"Error")</f>
        <v>9.048</v>
      </c>
      <c r="D111">
        <f>RANK(Sheet3!B111,Sheet3!$B$7:$B$155)</f>
        <v>105</v>
      </c>
      <c r="E111">
        <f>RANK(Sheet3!C111,Sheet3!$C$7:$C$155)</f>
        <v>119</v>
      </c>
      <c r="F111">
        <f t="shared" si="1"/>
        <v>14</v>
      </c>
    </row>
    <row r="112" spans="1:6" x14ac:dyDescent="0.3">
      <c r="A112" t="s">
        <v>135</v>
      </c>
      <c r="B112" s="1">
        <v>4918</v>
      </c>
      <c r="C112" s="1">
        <f>IFERROR((AVERAGE(podatki!G107+podatki!H107+podatki!J107)-podatki!L107),"Error")</f>
        <v>9.4360000000000017</v>
      </c>
      <c r="D112">
        <f>RANK(Sheet3!B112,Sheet3!$B$7:$B$155)</f>
        <v>106</v>
      </c>
      <c r="E112">
        <f>RANK(Sheet3!C112,Sheet3!$C$7:$C$155)</f>
        <v>110</v>
      </c>
      <c r="F112">
        <f t="shared" si="1"/>
        <v>4</v>
      </c>
    </row>
    <row r="113" spans="1:6" x14ac:dyDescent="0.3">
      <c r="A113" t="s">
        <v>136</v>
      </c>
      <c r="B113" s="1">
        <v>4892</v>
      </c>
      <c r="C113" s="1">
        <f>IFERROR((AVERAGE(podatki!G108+podatki!H108+podatki!J108)-podatki!L108),"Error")</f>
        <v>9.7220000000000013</v>
      </c>
      <c r="D113">
        <f>RANK(Sheet3!B113,Sheet3!$B$7:$B$155)</f>
        <v>107</v>
      </c>
      <c r="E113">
        <f>RANK(Sheet3!C113,Sheet3!$C$7:$C$155)</f>
        <v>104</v>
      </c>
      <c r="F113">
        <f t="shared" si="1"/>
        <v>-3</v>
      </c>
    </row>
    <row r="114" spans="1:6" x14ac:dyDescent="0.3">
      <c r="A114" t="s">
        <v>137</v>
      </c>
      <c r="B114" s="1">
        <v>4891</v>
      </c>
      <c r="C114" s="1">
        <f>IFERROR((AVERAGE(podatki!G109+podatki!H109+podatki!J109)-podatki!L109),"Error")</f>
        <v>10.384</v>
      </c>
      <c r="D114">
        <f>RANK(Sheet3!B114,Sheet3!$B$7:$B$155)</f>
        <v>108</v>
      </c>
      <c r="E114">
        <f>RANK(Sheet3!C114,Sheet3!$C$7:$C$155)</f>
        <v>72</v>
      </c>
      <c r="F114">
        <f t="shared" si="1"/>
        <v>-36</v>
      </c>
    </row>
    <row r="115" spans="1:6" x14ac:dyDescent="0.3">
      <c r="A115" t="s">
        <v>138</v>
      </c>
      <c r="B115" s="1">
        <v>4887</v>
      </c>
      <c r="C115" s="1">
        <f>IFERROR((AVERAGE(podatki!G110+podatki!H110+podatki!J110)-podatki!L110),"Error")</f>
        <v>9.8719999999999999</v>
      </c>
      <c r="D115">
        <f>RANK(Sheet3!B115,Sheet3!$B$7:$B$155)</f>
        <v>109</v>
      </c>
      <c r="E115">
        <f>RANK(Sheet3!C115,Sheet3!$C$7:$C$155)</f>
        <v>99</v>
      </c>
      <c r="F115">
        <f t="shared" si="1"/>
        <v>-10</v>
      </c>
    </row>
    <row r="116" spans="1:6" x14ac:dyDescent="0.3">
      <c r="A116" t="s">
        <v>139</v>
      </c>
      <c r="B116" s="1">
        <v>4875</v>
      </c>
      <c r="C116" s="1">
        <f>IFERROR((AVERAGE(podatki!G111+podatki!H111+podatki!J111)-podatki!L111),"Error")</f>
        <v>10.124000000000001</v>
      </c>
      <c r="D116">
        <f>RANK(Sheet3!B116,Sheet3!$B$7:$B$155)</f>
        <v>110</v>
      </c>
      <c r="E116">
        <f>RANK(Sheet3!C116,Sheet3!$C$7:$C$155)</f>
        <v>86</v>
      </c>
      <c r="F116">
        <f t="shared" si="1"/>
        <v>-24</v>
      </c>
    </row>
    <row r="117" spans="1:6" x14ac:dyDescent="0.3">
      <c r="A117" t="s">
        <v>140</v>
      </c>
      <c r="B117" s="1">
        <v>4854</v>
      </c>
      <c r="C117" s="1">
        <f>IFERROR((AVERAGE(podatki!G112+podatki!H112+podatki!J112)-podatki!L112),"Error")</f>
        <v>9.7410000000000014</v>
      </c>
      <c r="D117">
        <f>RANK(Sheet3!B117,Sheet3!$B$7:$B$155)</f>
        <v>111</v>
      </c>
      <c r="E117">
        <f>RANK(Sheet3!C117,Sheet3!$C$7:$C$155)</f>
        <v>103</v>
      </c>
      <c r="F117">
        <f t="shared" si="1"/>
        <v>-8</v>
      </c>
    </row>
    <row r="118" spans="1:6" x14ac:dyDescent="0.3">
      <c r="A118" t="s">
        <v>141</v>
      </c>
      <c r="B118" s="1">
        <v>4852</v>
      </c>
      <c r="C118" s="1">
        <f>IFERROR((AVERAGE(podatki!G113+podatki!H113+podatki!J113)-podatki!L113),"Error")</f>
        <v>10.27</v>
      </c>
      <c r="D118">
        <f>RANK(Sheet3!B118,Sheet3!$B$7:$B$155)</f>
        <v>112</v>
      </c>
      <c r="E118">
        <f>RANK(Sheet3!C118,Sheet3!$C$7:$C$155)</f>
        <v>76</v>
      </c>
      <c r="F118">
        <f t="shared" si="1"/>
        <v>-36</v>
      </c>
    </row>
    <row r="119" spans="1:6" x14ac:dyDescent="0.3">
      <c r="A119" t="s">
        <v>142</v>
      </c>
      <c r="B119" s="1">
        <v>4834</v>
      </c>
      <c r="C119" s="1">
        <f>IFERROR((AVERAGE(podatki!G114+podatki!H114+podatki!J114)-podatki!L114),"Error")</f>
        <v>8.2970000000000006</v>
      </c>
      <c r="D119">
        <f>RANK(Sheet3!B119,Sheet3!$B$7:$B$155)</f>
        <v>113</v>
      </c>
      <c r="E119">
        <f>RANK(Sheet3!C119,Sheet3!$C$7:$C$155)</f>
        <v>137</v>
      </c>
      <c r="F119">
        <f t="shared" si="1"/>
        <v>24</v>
      </c>
    </row>
    <row r="120" spans="1:6" x14ac:dyDescent="0.3">
      <c r="A120" t="s">
        <v>143</v>
      </c>
      <c r="B120" s="1">
        <v>4830</v>
      </c>
      <c r="C120" s="1">
        <f>IFERROR((AVERAGE(podatki!G115+podatki!H115+podatki!J115)-podatki!L115),"Error")</f>
        <v>9.2409999999999997</v>
      </c>
      <c r="D120">
        <f>RANK(Sheet3!B120,Sheet3!$B$7:$B$155)</f>
        <v>114</v>
      </c>
      <c r="E120">
        <f>RANK(Sheet3!C120,Sheet3!$C$7:$C$155)</f>
        <v>113</v>
      </c>
      <c r="F120">
        <f t="shared" si="1"/>
        <v>-1</v>
      </c>
    </row>
    <row r="121" spans="1:6" x14ac:dyDescent="0.3">
      <c r="A121" t="s">
        <v>144</v>
      </c>
      <c r="B121" s="1">
        <v>4794</v>
      </c>
      <c r="C121" s="1">
        <f>IFERROR((AVERAGE(podatki!G116+podatki!H116+podatki!J116)-podatki!L116),"Error")</f>
        <v>8.1000000000000014</v>
      </c>
      <c r="D121">
        <f>RANK(Sheet3!B121,Sheet3!$B$7:$B$155)</f>
        <v>115</v>
      </c>
      <c r="E121">
        <f>RANK(Sheet3!C121,Sheet3!$C$7:$C$155)</f>
        <v>139</v>
      </c>
      <c r="F121">
        <f t="shared" si="1"/>
        <v>24</v>
      </c>
    </row>
    <row r="122" spans="1:6" x14ac:dyDescent="0.3">
      <c r="A122" t="s">
        <v>145</v>
      </c>
      <c r="B122" s="1">
        <v>4759</v>
      </c>
      <c r="C122" s="1">
        <f>IFERROR((AVERAGE(podatki!G117+podatki!H117+podatki!J117)-podatki!L117),"Error")</f>
        <v>9.1319999999999997</v>
      </c>
      <c r="D122">
        <f>RANK(Sheet3!B122,Sheet3!$B$7:$B$155)</f>
        <v>116</v>
      </c>
      <c r="E122">
        <f>RANK(Sheet3!C122,Sheet3!$C$7:$C$155)</f>
        <v>118</v>
      </c>
      <c r="F122">
        <f t="shared" si="1"/>
        <v>2</v>
      </c>
    </row>
    <row r="123" spans="1:6" x14ac:dyDescent="0.3">
      <c r="A123" t="s">
        <v>146</v>
      </c>
      <c r="B123" s="1">
        <v>4723</v>
      </c>
      <c r="C123" s="1">
        <f>IFERROR((AVERAGE(podatki!G118+podatki!H118+podatki!J118)-podatki!L118),"Error")</f>
        <v>8.3379999999999992</v>
      </c>
      <c r="D123">
        <f>RANK(Sheet3!B123,Sheet3!$B$7:$B$155)</f>
        <v>117</v>
      </c>
      <c r="E123">
        <f>RANK(Sheet3!C123,Sheet3!$C$7:$C$155)</f>
        <v>134</v>
      </c>
      <c r="F123">
        <f t="shared" si="1"/>
        <v>17</v>
      </c>
    </row>
    <row r="124" spans="1:6" x14ac:dyDescent="0.3">
      <c r="A124" t="s">
        <v>147</v>
      </c>
      <c r="B124" s="1">
        <v>4721</v>
      </c>
      <c r="C124" s="1">
        <f>IFERROR((AVERAGE(podatki!G119+podatki!H119+podatki!J119)-podatki!L119),"Error")</f>
        <v>10.188000000000001</v>
      </c>
      <c r="D124">
        <f>RANK(Sheet3!B124,Sheet3!$B$7:$B$155)</f>
        <v>118</v>
      </c>
      <c r="E124">
        <f>RANK(Sheet3!C124,Sheet3!$C$7:$C$155)</f>
        <v>81</v>
      </c>
      <c r="F124">
        <f t="shared" si="1"/>
        <v>-37</v>
      </c>
    </row>
    <row r="125" spans="1:6" x14ac:dyDescent="0.3">
      <c r="A125" t="s">
        <v>148</v>
      </c>
      <c r="B125" s="1">
        <v>4636</v>
      </c>
      <c r="C125" s="1">
        <f>IFERROR((AVERAGE(podatki!G120+podatki!H120+podatki!J120)-podatki!L120),"Error")</f>
        <v>8.3119999999999994</v>
      </c>
      <c r="D125">
        <f>RANK(Sheet3!B125,Sheet3!$B$7:$B$155)</f>
        <v>119</v>
      </c>
      <c r="E125">
        <f>RANK(Sheet3!C125,Sheet3!$C$7:$C$155)</f>
        <v>136</v>
      </c>
      <c r="F125">
        <f t="shared" si="1"/>
        <v>17</v>
      </c>
    </row>
    <row r="126" spans="1:6" x14ac:dyDescent="0.3">
      <c r="A126" t="s">
        <v>149</v>
      </c>
      <c r="B126" s="1">
        <v>4625</v>
      </c>
      <c r="C126" s="1">
        <f>IFERROR((AVERAGE(podatki!G121+podatki!H121+podatki!J121)-podatki!L121),"Error")</f>
        <v>7.8930000000000007</v>
      </c>
      <c r="D126">
        <f>RANK(Sheet3!B126,Sheet3!$B$7:$B$155)</f>
        <v>120</v>
      </c>
      <c r="E126">
        <f>RANK(Sheet3!C126,Sheet3!$C$7:$C$155)</f>
        <v>141</v>
      </c>
      <c r="F126">
        <f t="shared" si="1"/>
        <v>21</v>
      </c>
    </row>
    <row r="127" spans="1:6" x14ac:dyDescent="0.3">
      <c r="A127" t="s">
        <v>150</v>
      </c>
      <c r="B127" s="1">
        <v>4607</v>
      </c>
      <c r="C127" s="1">
        <f>IFERROR((AVERAGE(podatki!G122+podatki!H122+podatki!J122)-podatki!L122),"Error")</f>
        <v>9.0030000000000019</v>
      </c>
      <c r="D127">
        <f>RANK(Sheet3!B127,Sheet3!$B$7:$B$155)</f>
        <v>121</v>
      </c>
      <c r="E127">
        <f>RANK(Sheet3!C127,Sheet3!$C$7:$C$155)</f>
        <v>120</v>
      </c>
      <c r="F127">
        <f t="shared" si="1"/>
        <v>-1</v>
      </c>
    </row>
    <row r="128" spans="1:6" x14ac:dyDescent="0.3">
      <c r="A128" t="s">
        <v>151</v>
      </c>
      <c r="B128" s="1">
        <v>4596</v>
      </c>
      <c r="C128" s="1">
        <f>IFERROR((AVERAGE(podatki!G123+podatki!H123+podatki!J123)-podatki!L123),"Error")</f>
        <v>9.7430000000000021</v>
      </c>
      <c r="D128">
        <f>RANK(Sheet3!B128,Sheet3!$B$7:$B$155)</f>
        <v>122</v>
      </c>
      <c r="E128">
        <f>RANK(Sheet3!C128,Sheet3!$C$7:$C$155)</f>
        <v>102</v>
      </c>
      <c r="F128">
        <f t="shared" si="1"/>
        <v>-20</v>
      </c>
    </row>
    <row r="129" spans="1:6" x14ac:dyDescent="0.3">
      <c r="A129" t="s">
        <v>152</v>
      </c>
      <c r="B129" s="1">
        <v>4584</v>
      </c>
      <c r="C129" s="1">
        <f>IFERROR((AVERAGE(podatki!G124+podatki!H124+podatki!J124)-podatki!L124),"Error")</f>
        <v>10.101000000000001</v>
      </c>
      <c r="D129">
        <f>RANK(Sheet3!B129,Sheet3!$B$7:$B$155)</f>
        <v>123</v>
      </c>
      <c r="E129">
        <f>RANK(Sheet3!C129,Sheet3!$C$7:$C$155)</f>
        <v>87</v>
      </c>
      <c r="F129">
        <f t="shared" si="1"/>
        <v>-36</v>
      </c>
    </row>
    <row r="130" spans="1:6" x14ac:dyDescent="0.3">
      <c r="A130" t="s">
        <v>153</v>
      </c>
      <c r="B130" s="1">
        <v>4574</v>
      </c>
      <c r="C130" s="1">
        <f>IFERROR((AVERAGE(podatki!G125+podatki!H125+podatki!J125)-podatki!L125),"Error")</f>
        <v>9.8509999999999991</v>
      </c>
      <c r="D130">
        <f>RANK(Sheet3!B130,Sheet3!$B$7:$B$155)</f>
        <v>124</v>
      </c>
      <c r="E130">
        <f>RANK(Sheet3!C130,Sheet3!$C$7:$C$155)</f>
        <v>100</v>
      </c>
      <c r="F130">
        <f t="shared" si="1"/>
        <v>-24</v>
      </c>
    </row>
    <row r="131" spans="1:6" x14ac:dyDescent="0.3">
      <c r="A131" t="s">
        <v>154</v>
      </c>
      <c r="B131" s="1">
        <v>4517</v>
      </c>
      <c r="C131" s="1">
        <f>IFERROR((AVERAGE(podatki!G126+podatki!H126+podatki!J126)-podatki!L126),"Error")</f>
        <v>9.1430000000000007</v>
      </c>
      <c r="D131">
        <f>RANK(Sheet3!B131,Sheet3!$B$7:$B$155)</f>
        <v>125</v>
      </c>
      <c r="E131">
        <f>RANK(Sheet3!C131,Sheet3!$C$7:$C$155)</f>
        <v>116</v>
      </c>
      <c r="F131">
        <f t="shared" si="1"/>
        <v>-9</v>
      </c>
    </row>
    <row r="132" spans="1:6" x14ac:dyDescent="0.3">
      <c r="A132" t="s">
        <v>155</v>
      </c>
      <c r="B132" s="1">
        <v>4426</v>
      </c>
      <c r="C132" s="1">
        <f>IFERROR((AVERAGE(podatki!G127+podatki!H127+podatki!J127)-podatki!L127),"Error")</f>
        <v>9.5359999999999996</v>
      </c>
      <c r="D132">
        <f>RANK(Sheet3!B132,Sheet3!$B$7:$B$155)</f>
        <v>126</v>
      </c>
      <c r="E132">
        <f>RANK(Sheet3!C132,Sheet3!$C$7:$C$155)</f>
        <v>106</v>
      </c>
      <c r="F132">
        <f t="shared" si="1"/>
        <v>-20</v>
      </c>
    </row>
    <row r="133" spans="1:6" x14ac:dyDescent="0.3">
      <c r="A133" t="s">
        <v>156</v>
      </c>
      <c r="B133" s="1">
        <v>4395</v>
      </c>
      <c r="C133" s="1">
        <f>IFERROR((AVERAGE(podatki!G128+podatki!H128+podatki!J128)-podatki!L128),"Error")</f>
        <v>9.9990000000000006</v>
      </c>
      <c r="D133">
        <f>RANK(Sheet3!B133,Sheet3!$B$7:$B$155)</f>
        <v>127</v>
      </c>
      <c r="E133">
        <f>RANK(Sheet3!C133,Sheet3!$C$7:$C$155)</f>
        <v>94</v>
      </c>
      <c r="F133">
        <f t="shared" si="1"/>
        <v>-33</v>
      </c>
    </row>
    <row r="134" spans="1:6" x14ac:dyDescent="0.3">
      <c r="A134" t="s">
        <v>157</v>
      </c>
      <c r="B134" s="1">
        <v>4355</v>
      </c>
      <c r="C134" s="1">
        <f>IFERROR((AVERAGE(podatki!G129+podatki!H129+podatki!J129)-podatki!L129),"Error")</f>
        <v>7.754999999999999</v>
      </c>
      <c r="D134">
        <f>RANK(Sheet3!B134,Sheet3!$B$7:$B$155)</f>
        <v>128</v>
      </c>
      <c r="E134">
        <f>RANK(Sheet3!C134,Sheet3!$C$7:$C$155)</f>
        <v>146</v>
      </c>
      <c r="F134">
        <f t="shared" si="1"/>
        <v>18</v>
      </c>
    </row>
    <row r="135" spans="1:6" x14ac:dyDescent="0.3">
      <c r="A135" t="s">
        <v>158</v>
      </c>
      <c r="B135" s="1">
        <v>4325</v>
      </c>
      <c r="C135" s="1">
        <f>IFERROR((AVERAGE(podatki!G130+podatki!H130+podatki!J130)-podatki!L130),"Error")</f>
        <v>10.275</v>
      </c>
      <c r="D135">
        <f>RANK(Sheet3!B135,Sheet3!$B$7:$B$155)</f>
        <v>129</v>
      </c>
      <c r="E135">
        <f>RANK(Sheet3!C135,Sheet3!$C$7:$C$155)</f>
        <v>75</v>
      </c>
      <c r="F135">
        <f t="shared" si="1"/>
        <v>-54</v>
      </c>
    </row>
    <row r="136" spans="1:6" x14ac:dyDescent="0.3">
      <c r="A136" t="s">
        <v>159</v>
      </c>
      <c r="B136" s="1">
        <v>4308</v>
      </c>
      <c r="C136" s="1">
        <f>IFERROR((AVERAGE(podatki!G131+podatki!H131+podatki!J131)-podatki!L131),"Error")</f>
        <v>9.7739999999999991</v>
      </c>
      <c r="D136">
        <f>RANK(Sheet3!B136,Sheet3!$B$7:$B$155)</f>
        <v>130</v>
      </c>
      <c r="E136">
        <f>RANK(Sheet3!C136,Sheet3!$C$7:$C$155)</f>
        <v>101</v>
      </c>
      <c r="F136">
        <f t="shared" ref="F136:F155" si="2">E136-D136</f>
        <v>-29</v>
      </c>
    </row>
    <row r="137" spans="1:6" x14ac:dyDescent="0.3">
      <c r="A137" t="s">
        <v>160</v>
      </c>
      <c r="B137" s="1">
        <v>4289</v>
      </c>
      <c r="C137" s="1">
        <f>IFERROR((AVERAGE(podatki!G132+podatki!H132+podatki!J132)-podatki!L132),"Error")</f>
        <v>8.4239999999999995</v>
      </c>
      <c r="D137">
        <f>RANK(Sheet3!B137,Sheet3!$B$7:$B$155)</f>
        <v>131</v>
      </c>
      <c r="E137">
        <f>RANK(Sheet3!C137,Sheet3!$C$7:$C$155)</f>
        <v>132</v>
      </c>
      <c r="F137">
        <f t="shared" si="2"/>
        <v>1</v>
      </c>
    </row>
    <row r="138" spans="1:6" x14ac:dyDescent="0.3">
      <c r="A138" t="s">
        <v>161</v>
      </c>
      <c r="B138" s="1">
        <v>4283</v>
      </c>
      <c r="C138" s="1">
        <f>IFERROR((AVERAGE(podatki!G133+podatki!H133+podatki!J133)-podatki!L133),"Error")</f>
        <v>10.071000000000002</v>
      </c>
      <c r="D138">
        <f>RANK(Sheet3!B138,Sheet3!$B$7:$B$155)</f>
        <v>132</v>
      </c>
      <c r="E138">
        <f>RANK(Sheet3!C138,Sheet3!$C$7:$C$155)</f>
        <v>91</v>
      </c>
      <c r="F138">
        <f t="shared" si="2"/>
        <v>-41</v>
      </c>
    </row>
    <row r="139" spans="1:6" x14ac:dyDescent="0.3">
      <c r="A139" t="s">
        <v>162</v>
      </c>
      <c r="B139" s="1">
        <v>4275</v>
      </c>
      <c r="C139" s="1">
        <f>IFERROR((AVERAGE(podatki!G134+podatki!H134+podatki!J134)-podatki!L134),"Error")</f>
        <v>8.4490000000000016</v>
      </c>
      <c r="D139">
        <f>RANK(Sheet3!B139,Sheet3!$B$7:$B$155)</f>
        <v>133</v>
      </c>
      <c r="E139">
        <f>RANK(Sheet3!C139,Sheet3!$C$7:$C$155)</f>
        <v>131</v>
      </c>
      <c r="F139">
        <f t="shared" si="2"/>
        <v>-2</v>
      </c>
    </row>
    <row r="140" spans="1:6" x14ac:dyDescent="0.3">
      <c r="A140" t="s">
        <v>163</v>
      </c>
      <c r="B140" s="1">
        <v>4227</v>
      </c>
      <c r="C140" s="1">
        <f>IFERROR((AVERAGE(podatki!G135+podatki!H135+podatki!J135)-podatki!L135),"Error")</f>
        <v>9.1669999999999998</v>
      </c>
      <c r="D140">
        <f>RANK(Sheet3!B140,Sheet3!$B$7:$B$155)</f>
        <v>134</v>
      </c>
      <c r="E140">
        <f>RANK(Sheet3!C140,Sheet3!$C$7:$C$155)</f>
        <v>115</v>
      </c>
      <c r="F140">
        <f t="shared" si="2"/>
        <v>-19</v>
      </c>
    </row>
    <row r="141" spans="1:6" x14ac:dyDescent="0.3">
      <c r="A141" t="s">
        <v>164</v>
      </c>
      <c r="B141" s="1">
        <v>4208</v>
      </c>
      <c r="C141" s="1">
        <f>IFERROR((AVERAGE(podatki!G136+podatki!H136+podatki!J136)-podatki!L136),"Error")</f>
        <v>7.8310000000000004</v>
      </c>
      <c r="D141">
        <f>RANK(Sheet3!B141,Sheet3!$B$7:$B$155)</f>
        <v>135</v>
      </c>
      <c r="E141">
        <f>RANK(Sheet3!C141,Sheet3!$C$7:$C$155)</f>
        <v>144</v>
      </c>
      <c r="F141">
        <f t="shared" si="2"/>
        <v>9</v>
      </c>
    </row>
    <row r="142" spans="1:6" x14ac:dyDescent="0.3">
      <c r="A142" t="s">
        <v>165</v>
      </c>
      <c r="B142" s="1">
        <v>4107</v>
      </c>
      <c r="C142" s="1">
        <f>IFERROR((AVERAGE(podatki!G137+podatki!H137+podatki!J137)-podatki!L137),"Error")</f>
        <v>7.7780000000000005</v>
      </c>
      <c r="D142">
        <f>RANK(Sheet3!B142,Sheet3!$B$7:$B$155)</f>
        <v>136</v>
      </c>
      <c r="E142">
        <f>RANK(Sheet3!C142,Sheet3!$C$7:$C$155)</f>
        <v>145</v>
      </c>
      <c r="F142">
        <f t="shared" si="2"/>
        <v>9</v>
      </c>
    </row>
    <row r="143" spans="1:6" x14ac:dyDescent="0.3">
      <c r="A143" t="s">
        <v>166</v>
      </c>
      <c r="B143" s="1">
        <v>4073</v>
      </c>
      <c r="C143" s="1">
        <f>IFERROR((AVERAGE(podatki!G138+podatki!H138+podatki!J138)-podatki!L138),"Error")</f>
        <v>8.8119999999999994</v>
      </c>
      <c r="D143">
        <f>RANK(Sheet3!B143,Sheet3!$B$7:$B$155)</f>
        <v>137</v>
      </c>
      <c r="E143">
        <f>RANK(Sheet3!C143,Sheet3!$C$7:$C$155)</f>
        <v>124</v>
      </c>
      <c r="F143">
        <f t="shared" si="2"/>
        <v>-13</v>
      </c>
    </row>
    <row r="144" spans="1:6" x14ac:dyDescent="0.3">
      <c r="A144" t="s">
        <v>167</v>
      </c>
      <c r="B144" s="1">
        <v>3849</v>
      </c>
      <c r="C144" s="1">
        <f>IFERROR((AVERAGE(podatki!G139+podatki!H139+podatki!J139)-podatki!L139),"Error")</f>
        <v>7.9150000000000009</v>
      </c>
      <c r="D144">
        <f>RANK(Sheet3!B144,Sheet3!$B$7:$B$155)</f>
        <v>138</v>
      </c>
      <c r="E144">
        <f>RANK(Sheet3!C144,Sheet3!$C$7:$C$155)</f>
        <v>140</v>
      </c>
      <c r="F144">
        <f t="shared" si="2"/>
        <v>2</v>
      </c>
    </row>
    <row r="145" spans="1:6" x14ac:dyDescent="0.3">
      <c r="A145" t="s">
        <v>168</v>
      </c>
      <c r="B145" s="1">
        <v>3819</v>
      </c>
      <c r="C145" s="1">
        <f>IFERROR((AVERAGE(podatki!G140+podatki!H140+podatki!J140)-podatki!L140),"Error")</f>
        <v>9.4770000000000003</v>
      </c>
      <c r="D145">
        <f>RANK(Sheet3!B145,Sheet3!$B$7:$B$155)</f>
        <v>139</v>
      </c>
      <c r="E145">
        <f>RANK(Sheet3!C145,Sheet3!$C$7:$C$155)</f>
        <v>108</v>
      </c>
      <c r="F145">
        <f t="shared" si="2"/>
        <v>-31</v>
      </c>
    </row>
    <row r="146" spans="1:6" x14ac:dyDescent="0.3">
      <c r="A146" t="s">
        <v>169</v>
      </c>
      <c r="B146" s="1">
        <v>3775</v>
      </c>
      <c r="C146" s="1">
        <f>IFERROR((AVERAGE(podatki!G141+podatki!H141+podatki!J141)-podatki!L141),"Error")</f>
        <v>7.1440000000000001</v>
      </c>
      <c r="D146">
        <f>RANK(Sheet3!B146,Sheet3!$B$7:$B$155)</f>
        <v>140</v>
      </c>
      <c r="E146">
        <f>RANK(Sheet3!C146,Sheet3!$C$7:$C$155)</f>
        <v>149</v>
      </c>
      <c r="F146">
        <f t="shared" si="2"/>
        <v>9</v>
      </c>
    </row>
    <row r="147" spans="1:6" x14ac:dyDescent="0.3">
      <c r="A147" t="s">
        <v>170</v>
      </c>
      <c r="B147" s="1">
        <v>3658</v>
      </c>
      <c r="C147" s="1">
        <f>IFERROR((AVERAGE(podatki!G142+podatki!H142+podatki!J142)-podatki!L142),"Error")</f>
        <v>8.2119999999999997</v>
      </c>
      <c r="D147">
        <f>RANK(Sheet3!B147,Sheet3!$B$7:$B$155)</f>
        <v>141</v>
      </c>
      <c r="E147">
        <f>RANK(Sheet3!C147,Sheet3!$C$7:$C$155)</f>
        <v>138</v>
      </c>
      <c r="F147">
        <f t="shared" si="2"/>
        <v>-3</v>
      </c>
    </row>
    <row r="148" spans="1:6" x14ac:dyDescent="0.3">
      <c r="A148" t="s">
        <v>171</v>
      </c>
      <c r="B148" s="1">
        <v>3623</v>
      </c>
      <c r="C148" s="1">
        <f>IFERROR((AVERAGE(podatki!G143+podatki!H143+podatki!J143)-podatki!L143),"Error")</f>
        <v>8.8339999999999996</v>
      </c>
      <c r="D148">
        <f>RANK(Sheet3!B148,Sheet3!$B$7:$B$155)</f>
        <v>142</v>
      </c>
      <c r="E148">
        <f>RANK(Sheet3!C148,Sheet3!$C$7:$C$155)</f>
        <v>123</v>
      </c>
      <c r="F148">
        <f t="shared" si="2"/>
        <v>-19</v>
      </c>
    </row>
    <row r="149" spans="1:6" x14ac:dyDescent="0.3">
      <c r="A149" t="s">
        <v>172</v>
      </c>
      <c r="B149" s="1">
        <v>3615</v>
      </c>
      <c r="C149" s="1">
        <f>IFERROR((AVERAGE(podatki!G144+podatki!H144+podatki!J144)-podatki!L144),"Error")</f>
        <v>7.8889999999999993</v>
      </c>
      <c r="D149">
        <f>RANK(Sheet3!B149,Sheet3!$B$7:$B$155)</f>
        <v>143</v>
      </c>
      <c r="E149">
        <f>RANK(Sheet3!C149,Sheet3!$C$7:$C$155)</f>
        <v>142</v>
      </c>
      <c r="F149">
        <f t="shared" si="2"/>
        <v>-1</v>
      </c>
    </row>
    <row r="150" spans="1:6" x14ac:dyDescent="0.3">
      <c r="A150" t="s">
        <v>173</v>
      </c>
      <c r="B150" s="1">
        <v>3600</v>
      </c>
      <c r="C150" s="1">
        <f>IFERROR((AVERAGE(podatki!G145+podatki!H145+podatki!J145)-podatki!L145),"Error")</f>
        <v>7.5460000000000003</v>
      </c>
      <c r="D150">
        <f>RANK(Sheet3!B150,Sheet3!$B$7:$B$155)</f>
        <v>144</v>
      </c>
      <c r="E150">
        <f>RANK(Sheet3!C150,Sheet3!$C$7:$C$155)</f>
        <v>148</v>
      </c>
      <c r="F150">
        <f t="shared" si="2"/>
        <v>4</v>
      </c>
    </row>
    <row r="151" spans="1:6" x14ac:dyDescent="0.3">
      <c r="A151" t="s">
        <v>174</v>
      </c>
      <c r="B151" s="1">
        <v>3512</v>
      </c>
      <c r="C151" s="1">
        <f>IFERROR((AVERAGE(podatki!G146+podatki!H146+podatki!J146)-podatki!L146),"Error")</f>
        <v>8.5130000000000017</v>
      </c>
      <c r="D151">
        <f>RANK(Sheet3!B151,Sheet3!$B$7:$B$155)</f>
        <v>145</v>
      </c>
      <c r="E151">
        <f>RANK(Sheet3!C151,Sheet3!$C$7:$C$155)</f>
        <v>130</v>
      </c>
      <c r="F151">
        <f t="shared" si="2"/>
        <v>-15</v>
      </c>
    </row>
    <row r="152" spans="1:6" x14ac:dyDescent="0.3">
      <c r="A152" t="s">
        <v>175</v>
      </c>
      <c r="B152" s="1">
        <v>3467</v>
      </c>
      <c r="C152" s="1">
        <f>IFERROR((AVERAGE(podatki!G147+podatki!H147+podatki!J147)-podatki!L147),"Error")</f>
        <v>10.589</v>
      </c>
      <c r="D152">
        <f>RANK(Sheet3!B152,Sheet3!$B$7:$B$155)</f>
        <v>146</v>
      </c>
      <c r="E152">
        <f>RANK(Sheet3!C152,Sheet3!$C$7:$C$155)</f>
        <v>67</v>
      </c>
      <c r="F152">
        <f t="shared" si="2"/>
        <v>-79</v>
      </c>
    </row>
    <row r="153" spans="1:6" x14ac:dyDescent="0.3">
      <c r="A153" t="s">
        <v>176</v>
      </c>
      <c r="B153" s="1">
        <v>3415</v>
      </c>
      <c r="C153" s="1">
        <f>IFERROR((AVERAGE(podatki!G148+podatki!H148+podatki!J148)-podatki!L148),"Error")</f>
        <v>8.9580000000000002</v>
      </c>
      <c r="D153">
        <f>RANK(Sheet3!B153,Sheet3!$B$7:$B$155)</f>
        <v>147</v>
      </c>
      <c r="E153">
        <f>RANK(Sheet3!C153,Sheet3!$C$7:$C$155)</f>
        <v>121</v>
      </c>
      <c r="F153">
        <f t="shared" si="2"/>
        <v>-26</v>
      </c>
    </row>
    <row r="154" spans="1:6" x14ac:dyDescent="0.3">
      <c r="A154" t="s">
        <v>177</v>
      </c>
      <c r="B154" s="1">
        <v>3145</v>
      </c>
      <c r="C154" s="1">
        <f>IFERROR((AVERAGE(podatki!G149+podatki!H149+podatki!J149)-podatki!L149),"Error")</f>
        <v>8.5489999999999995</v>
      </c>
      <c r="D154">
        <f>RANK(Sheet3!B154,Sheet3!$B$7:$B$155)</f>
        <v>148</v>
      </c>
      <c r="E154">
        <f>RANK(Sheet3!C154,Sheet3!$C$7:$C$155)</f>
        <v>129</v>
      </c>
      <c r="F154">
        <f t="shared" si="2"/>
        <v>-19</v>
      </c>
    </row>
    <row r="155" spans="1:6" x14ac:dyDescent="0.3">
      <c r="A155" t="s">
        <v>178</v>
      </c>
      <c r="B155" s="1">
        <v>2523</v>
      </c>
      <c r="C155" s="1">
        <f>IFERROR((AVERAGE(podatki!G150+podatki!H150+podatki!J150)-podatki!L150),"Error")</f>
        <v>7.6159999999999988</v>
      </c>
      <c r="D155">
        <f>RANK(Sheet3!B155,Sheet3!$B$7:$B$155)</f>
        <v>149</v>
      </c>
      <c r="E155">
        <f>RANK(Sheet3!C155,Sheet3!$C$7:$C$155)</f>
        <v>147</v>
      </c>
      <c r="F155">
        <f t="shared" si="2"/>
        <v>-2</v>
      </c>
    </row>
  </sheetData>
  <conditionalFormatting sqref="E7:E155">
    <cfRule type="top10" dxfId="0" priority="1" bottom="1" rank="10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A9249-9C44-471D-8CB4-CAC3C213A2BD}">
  <sheetPr filterMode="1"/>
  <dimension ref="A1:K316"/>
  <sheetViews>
    <sheetView topLeftCell="A3" zoomScaleNormal="100" workbookViewId="0">
      <selection activeCell="B145" sqref="B145"/>
    </sheetView>
  </sheetViews>
  <sheetFormatPr defaultRowHeight="14.4" x14ac:dyDescent="0.3"/>
  <cols>
    <col min="2" max="2" width="30.44140625" customWidth="1"/>
    <col min="5" max="5" width="21.109375" customWidth="1"/>
  </cols>
  <sheetData>
    <row r="1" spans="1:11" ht="18" x14ac:dyDescent="0.3">
      <c r="A1" s="7" t="s">
        <v>247</v>
      </c>
    </row>
    <row r="2" spans="1:11" ht="18" x14ac:dyDescent="0.3">
      <c r="A2" s="7" t="s">
        <v>248</v>
      </c>
    </row>
    <row r="3" spans="1:11" ht="15.6" x14ac:dyDescent="0.3">
      <c r="A3" s="6" t="s">
        <v>249</v>
      </c>
    </row>
    <row r="4" spans="1:11" ht="15.6" x14ac:dyDescent="0.3">
      <c r="A4" s="6" t="s">
        <v>250</v>
      </c>
    </row>
    <row r="5" spans="1:11" ht="18" x14ac:dyDescent="0.3">
      <c r="A5" s="15" t="s">
        <v>251</v>
      </c>
    </row>
    <row r="6" spans="1:11" ht="15.6" x14ac:dyDescent="0.3">
      <c r="A6" s="16" t="s">
        <v>252</v>
      </c>
    </row>
    <row r="7" spans="1:11" ht="15.6" x14ac:dyDescent="0.3">
      <c r="A7" s="16" t="s">
        <v>253</v>
      </c>
    </row>
    <row r="9" spans="1:11" x14ac:dyDescent="0.3">
      <c r="B9">
        <f>COUNTA(B32:B145)</f>
        <v>114</v>
      </c>
    </row>
    <row r="11" spans="1:11" hidden="1" x14ac:dyDescent="0.3">
      <c r="A11" t="s">
        <v>20</v>
      </c>
      <c r="B11" t="s">
        <v>21</v>
      </c>
      <c r="C11" s="1">
        <v>10775</v>
      </c>
      <c r="D11" s="1">
        <v>7842</v>
      </c>
      <c r="I11" t="s">
        <v>169</v>
      </c>
      <c r="J11">
        <v>7.9619999999999997</v>
      </c>
      <c r="K11">
        <v>3.7020687000000003</v>
      </c>
    </row>
    <row r="12" spans="1:11" hidden="1" x14ac:dyDescent="0.3">
      <c r="A12" t="s">
        <v>22</v>
      </c>
      <c r="B12" t="s">
        <v>21</v>
      </c>
      <c r="C12" s="1">
        <v>10933</v>
      </c>
      <c r="D12" s="1">
        <v>7620</v>
      </c>
      <c r="I12" t="s">
        <v>168</v>
      </c>
      <c r="J12">
        <v>10.506</v>
      </c>
      <c r="K12">
        <v>5.3890162000000004</v>
      </c>
    </row>
    <row r="13" spans="1:11" hidden="1" x14ac:dyDescent="0.3">
      <c r="A13" t="s">
        <v>23</v>
      </c>
      <c r="B13" t="s">
        <v>21</v>
      </c>
      <c r="C13" s="1">
        <v>11117</v>
      </c>
      <c r="D13" s="1">
        <v>7571</v>
      </c>
      <c r="I13" t="s">
        <v>167</v>
      </c>
      <c r="J13">
        <v>8.9207999999999998</v>
      </c>
      <c r="K13">
        <v>4.3293164000000015</v>
      </c>
    </row>
    <row r="14" spans="1:11" hidden="1" x14ac:dyDescent="0.3">
      <c r="A14" t="s">
        <v>24</v>
      </c>
      <c r="B14" t="s">
        <v>21</v>
      </c>
      <c r="C14" s="1">
        <v>10878</v>
      </c>
      <c r="D14" s="1">
        <v>7554</v>
      </c>
      <c r="I14" t="s">
        <v>166</v>
      </c>
      <c r="J14">
        <v>9.7739999999999991</v>
      </c>
      <c r="K14">
        <v>5.0352374000000006</v>
      </c>
    </row>
    <row r="15" spans="1:11" hidden="1" x14ac:dyDescent="0.3">
      <c r="A15" t="s">
        <v>25</v>
      </c>
      <c r="B15" t="s">
        <v>21</v>
      </c>
      <c r="C15" s="1">
        <v>10932</v>
      </c>
      <c r="D15" s="1">
        <v>7464</v>
      </c>
      <c r="I15" t="s">
        <v>165</v>
      </c>
      <c r="J15">
        <v>8.8344000000000005</v>
      </c>
      <c r="K15">
        <v>4.0938898999999997</v>
      </c>
    </row>
    <row r="16" spans="1:11" hidden="1" x14ac:dyDescent="0.3">
      <c r="A16" t="s">
        <v>26</v>
      </c>
      <c r="B16" t="s">
        <v>21</v>
      </c>
      <c r="C16" s="1">
        <v>11053</v>
      </c>
      <c r="D16" s="1">
        <v>7392</v>
      </c>
      <c r="I16" t="s">
        <v>164</v>
      </c>
      <c r="J16">
        <v>8.8751999999999995</v>
      </c>
      <c r="K16">
        <v>4.3611117999999998</v>
      </c>
    </row>
    <row r="17" spans="1:11" hidden="1" x14ac:dyDescent="0.3">
      <c r="A17" t="s">
        <v>27</v>
      </c>
      <c r="B17" t="s">
        <v>21</v>
      </c>
      <c r="C17" s="1">
        <v>10867</v>
      </c>
      <c r="D17" s="1">
        <v>7363</v>
      </c>
      <c r="I17" t="s">
        <v>163</v>
      </c>
      <c r="J17">
        <v>10.250399999999999</v>
      </c>
      <c r="K17">
        <v>4.9752801</v>
      </c>
    </row>
    <row r="18" spans="1:11" hidden="1" x14ac:dyDescent="0.3">
      <c r="A18" t="s">
        <v>28</v>
      </c>
      <c r="B18" t="s">
        <v>21</v>
      </c>
      <c r="C18" s="1">
        <v>11647</v>
      </c>
      <c r="D18" s="1">
        <v>7324</v>
      </c>
      <c r="I18" t="s">
        <v>162</v>
      </c>
      <c r="J18">
        <v>9.2327999999999992</v>
      </c>
      <c r="K18">
        <v>5.1041801000000007</v>
      </c>
    </row>
    <row r="19" spans="1:11" hidden="1" x14ac:dyDescent="0.3">
      <c r="A19" t="s">
        <v>29</v>
      </c>
      <c r="B19" t="s">
        <v>30</v>
      </c>
      <c r="C19" s="1">
        <v>10643</v>
      </c>
      <c r="D19" s="1">
        <v>7277</v>
      </c>
      <c r="I19" t="s">
        <v>161</v>
      </c>
      <c r="J19">
        <v>11.240400000000001</v>
      </c>
      <c r="K19">
        <v>5.5986704000000005</v>
      </c>
    </row>
    <row r="20" spans="1:11" hidden="1" x14ac:dyDescent="0.3">
      <c r="A20" t="s">
        <v>31</v>
      </c>
      <c r="B20" t="s">
        <v>21</v>
      </c>
      <c r="C20" s="1">
        <v>10906</v>
      </c>
      <c r="D20" s="1">
        <v>7268</v>
      </c>
      <c r="I20" t="s">
        <v>160</v>
      </c>
      <c r="J20">
        <v>9.6372</v>
      </c>
      <c r="K20">
        <v>4.4032250000000008</v>
      </c>
    </row>
    <row r="21" spans="1:11" hidden="1" x14ac:dyDescent="0.3">
      <c r="A21" t="s">
        <v>32</v>
      </c>
      <c r="B21" t="s">
        <v>30</v>
      </c>
      <c r="C21" s="1">
        <v>10796</v>
      </c>
      <c r="D21" s="1">
        <v>7183</v>
      </c>
      <c r="I21" t="s">
        <v>159</v>
      </c>
      <c r="J21">
        <v>10.877999999999998</v>
      </c>
      <c r="K21">
        <v>5.0550835999999997</v>
      </c>
    </row>
    <row r="22" spans="1:11" x14ac:dyDescent="0.3">
      <c r="B22" t="s">
        <v>0</v>
      </c>
      <c r="C22" t="s">
        <v>255</v>
      </c>
      <c r="D22" t="s">
        <v>2</v>
      </c>
      <c r="E22" t="s">
        <v>254</v>
      </c>
    </row>
    <row r="23" spans="1:11" hidden="1" x14ac:dyDescent="0.3">
      <c r="B23" t="s">
        <v>35</v>
      </c>
      <c r="C23" s="1">
        <v>10873</v>
      </c>
      <c r="D23" s="1">
        <v>7155</v>
      </c>
      <c r="I23" t="s">
        <v>157</v>
      </c>
      <c r="J23">
        <v>8.8368000000000002</v>
      </c>
      <c r="K23">
        <v>3.9250410000000002</v>
      </c>
    </row>
    <row r="24" spans="1:11" hidden="1" x14ac:dyDescent="0.3">
      <c r="B24" t="s">
        <v>36</v>
      </c>
      <c r="C24" s="1">
        <v>10776</v>
      </c>
      <c r="D24" s="1">
        <v>7103</v>
      </c>
      <c r="I24" t="s">
        <v>156</v>
      </c>
      <c r="J24">
        <v>11.0184</v>
      </c>
      <c r="K24">
        <v>5.8022653999999996</v>
      </c>
    </row>
    <row r="25" spans="1:11" hidden="1" x14ac:dyDescent="0.3">
      <c r="B25" t="s">
        <v>37</v>
      </c>
      <c r="C25" s="1">
        <v>11342</v>
      </c>
      <c r="D25" s="1">
        <v>7085</v>
      </c>
      <c r="I25" t="s">
        <v>155</v>
      </c>
      <c r="J25">
        <v>10.2492</v>
      </c>
      <c r="K25">
        <v>5.9005734000000007</v>
      </c>
    </row>
    <row r="26" spans="1:11" hidden="1" x14ac:dyDescent="0.3">
      <c r="B26" t="s">
        <v>38</v>
      </c>
      <c r="C26" s="1">
        <v>9880</v>
      </c>
      <c r="D26" s="1">
        <v>7069</v>
      </c>
      <c r="I26" t="s">
        <v>154</v>
      </c>
      <c r="J26">
        <v>10.181999999999999</v>
      </c>
      <c r="K26">
        <v>5.2968574000000004</v>
      </c>
    </row>
    <row r="27" spans="1:11" hidden="1" x14ac:dyDescent="0.3">
      <c r="B27" t="s">
        <v>40</v>
      </c>
      <c r="C27" s="1">
        <v>10707</v>
      </c>
      <c r="D27" s="1">
        <v>7064</v>
      </c>
      <c r="I27" t="s">
        <v>153</v>
      </c>
      <c r="J27">
        <v>10.9932</v>
      </c>
      <c r="K27">
        <v>5.460674899999999</v>
      </c>
    </row>
    <row r="28" spans="1:11" hidden="1" x14ac:dyDescent="0.3">
      <c r="B28" t="s">
        <v>41</v>
      </c>
      <c r="C28" s="1">
        <v>10556</v>
      </c>
      <c r="D28" s="1">
        <v>6965</v>
      </c>
      <c r="I28" t="s">
        <v>152</v>
      </c>
      <c r="J28">
        <v>11.5512</v>
      </c>
      <c r="K28">
        <v>5.6175659999999992</v>
      </c>
    </row>
    <row r="29" spans="1:11" hidden="1" x14ac:dyDescent="0.3">
      <c r="B29" t="s">
        <v>43</v>
      </c>
      <c r="C29" s="1">
        <v>11023</v>
      </c>
      <c r="D29" s="1">
        <v>6951</v>
      </c>
      <c r="I29" t="s">
        <v>151</v>
      </c>
      <c r="J29">
        <v>11.119199999999999</v>
      </c>
      <c r="K29">
        <v>5.3370675000000007</v>
      </c>
    </row>
    <row r="30" spans="1:11" hidden="1" x14ac:dyDescent="0.3">
      <c r="B30" t="s">
        <v>44</v>
      </c>
      <c r="C30" s="1">
        <v>10823</v>
      </c>
      <c r="D30" s="1">
        <v>6834</v>
      </c>
      <c r="I30" t="s">
        <v>150</v>
      </c>
      <c r="J30">
        <v>10.033200000000001</v>
      </c>
      <c r="K30">
        <v>5.2815910000000006</v>
      </c>
    </row>
    <row r="31" spans="1:11" hidden="1" x14ac:dyDescent="0.3">
      <c r="B31" t="s">
        <v>45</v>
      </c>
      <c r="C31" s="1">
        <v>10704</v>
      </c>
      <c r="D31" s="1">
        <v>6690</v>
      </c>
      <c r="I31" t="s">
        <v>149</v>
      </c>
      <c r="J31">
        <v>8.7455999999999996</v>
      </c>
      <c r="K31">
        <v>4.6835511000000007</v>
      </c>
    </row>
    <row r="32" spans="1:11" x14ac:dyDescent="0.3">
      <c r="B32" t="s">
        <v>77</v>
      </c>
      <c r="C32" s="20">
        <f>10008/(1000)</f>
        <v>10.007999999999999</v>
      </c>
      <c r="D32" s="20">
        <f>6049/(1000)</f>
        <v>6.0490000000000004</v>
      </c>
      <c r="E32">
        <f>1.2*C32</f>
        <v>12.009599999999999</v>
      </c>
    </row>
    <row r="33" spans="2:11" hidden="1" x14ac:dyDescent="0.3">
      <c r="B33" t="s">
        <v>47</v>
      </c>
      <c r="C33" s="1">
        <f>10674/(1000)</f>
        <v>10.673999999999999</v>
      </c>
      <c r="D33" s="1">
        <f>6602/(1000)</f>
        <v>6.6020000000000003</v>
      </c>
      <c r="I33" t="s">
        <v>147</v>
      </c>
      <c r="J33">
        <v>11.5008</v>
      </c>
      <c r="K33">
        <v>5.6140474000000005</v>
      </c>
    </row>
    <row r="34" spans="2:11" hidden="1" x14ac:dyDescent="0.3">
      <c r="B34" t="s">
        <v>48</v>
      </c>
      <c r="C34" s="1">
        <f>10871/(1000)</f>
        <v>10.871</v>
      </c>
      <c r="D34" s="1">
        <f>6584/(1000)</f>
        <v>6.5839999999999996</v>
      </c>
      <c r="I34" t="s">
        <v>146</v>
      </c>
      <c r="J34">
        <v>9.2927999999999997</v>
      </c>
      <c r="K34">
        <v>4.6153495000000007</v>
      </c>
    </row>
    <row r="35" spans="2:11" x14ac:dyDescent="0.3">
      <c r="B35" t="s">
        <v>175</v>
      </c>
      <c r="C35" s="20">
        <f>9782/(1000)</f>
        <v>9.782</v>
      </c>
      <c r="D35" s="20">
        <f>3467/(1000)</f>
        <v>3.4670000000000001</v>
      </c>
      <c r="E35">
        <f t="shared" ref="E35:E36" si="0">1.2*C35</f>
        <v>11.7384</v>
      </c>
    </row>
    <row r="36" spans="2:11" x14ac:dyDescent="0.3">
      <c r="B36" t="s">
        <v>108</v>
      </c>
      <c r="C36" s="20">
        <f>9622/(1000)</f>
        <v>9.6219999999999999</v>
      </c>
      <c r="D36" s="20">
        <f>5410/(1000)</f>
        <v>5.41</v>
      </c>
      <c r="E36">
        <f t="shared" si="0"/>
        <v>11.5464</v>
      </c>
    </row>
    <row r="37" spans="2:11" hidden="1" x14ac:dyDescent="0.3">
      <c r="B37" t="s">
        <v>52</v>
      </c>
      <c r="C37" s="1">
        <f>10571/(1000)</f>
        <v>10.571</v>
      </c>
      <c r="D37" s="1">
        <f>6491/(1000)</f>
        <v>6.4909999999999997</v>
      </c>
      <c r="I37" t="s">
        <v>143</v>
      </c>
      <c r="J37">
        <v>10.031999999999998</v>
      </c>
      <c r="K37">
        <v>5.7699967999999986</v>
      </c>
    </row>
    <row r="38" spans="2:11" hidden="1" x14ac:dyDescent="0.3">
      <c r="B38" t="s">
        <v>53</v>
      </c>
      <c r="C38" s="1">
        <f>10623/(1000)</f>
        <v>10.622999999999999</v>
      </c>
      <c r="D38" s="1">
        <f>6483/(1000)</f>
        <v>6.4829999999999997</v>
      </c>
      <c r="I38" t="s">
        <v>142</v>
      </c>
      <c r="J38">
        <v>9.2135999999999996</v>
      </c>
      <c r="K38">
        <v>4.5841859999999999</v>
      </c>
    </row>
    <row r="39" spans="2:11" hidden="1" x14ac:dyDescent="0.3">
      <c r="B39" t="s">
        <v>54</v>
      </c>
      <c r="C39" s="1">
        <f>10529/(1000)</f>
        <v>10.529</v>
      </c>
      <c r="D39" s="1">
        <f>6461/(1000)</f>
        <v>6.4610000000000003</v>
      </c>
      <c r="I39" t="s">
        <v>141</v>
      </c>
      <c r="J39">
        <v>11.5236</v>
      </c>
      <c r="K39">
        <v>5.6105375000000013</v>
      </c>
    </row>
    <row r="40" spans="2:11" hidden="1" x14ac:dyDescent="0.3">
      <c r="B40" t="s">
        <v>55</v>
      </c>
      <c r="C40" s="1">
        <f>9053/(1000)</f>
        <v>9.0530000000000008</v>
      </c>
      <c r="D40" s="1">
        <f>6435/(1000)</f>
        <v>6.4349999999999996</v>
      </c>
      <c r="I40" t="s">
        <v>140</v>
      </c>
      <c r="J40">
        <v>11.087999999999999</v>
      </c>
      <c r="K40">
        <v>5.2626453999999994</v>
      </c>
    </row>
    <row r="41" spans="2:11" hidden="1" x14ac:dyDescent="0.3">
      <c r="B41" t="s">
        <v>56</v>
      </c>
      <c r="C41" s="1">
        <f>9966/(1000)</f>
        <v>9.9659999999999993</v>
      </c>
      <c r="D41" s="1">
        <f>6431/(1000)</f>
        <v>6.431</v>
      </c>
      <c r="I41" t="s">
        <v>139</v>
      </c>
      <c r="J41">
        <v>11.3232</v>
      </c>
      <c r="K41">
        <v>5.9855118000000003</v>
      </c>
    </row>
    <row r="42" spans="2:11" hidden="1" x14ac:dyDescent="0.3">
      <c r="B42" t="s">
        <v>57</v>
      </c>
      <c r="C42" s="1">
        <f>11488/(1000)</f>
        <v>11.488</v>
      </c>
      <c r="D42" s="1">
        <f>6377/(1000)</f>
        <v>6.3769999999999998</v>
      </c>
      <c r="I42" t="s">
        <v>138</v>
      </c>
      <c r="J42">
        <v>11.2104</v>
      </c>
      <c r="K42">
        <v>5.3675607000000003</v>
      </c>
    </row>
    <row r="43" spans="2:11" hidden="1" x14ac:dyDescent="0.3">
      <c r="B43" t="s">
        <v>59</v>
      </c>
      <c r="C43" s="1">
        <f>9318/(1000)</f>
        <v>9.3179999999999996</v>
      </c>
      <c r="D43" s="1">
        <f>6372/(1000)</f>
        <v>6.3719999999999999</v>
      </c>
      <c r="I43" t="s">
        <v>137</v>
      </c>
      <c r="J43">
        <v>11.502000000000001</v>
      </c>
      <c r="K43">
        <v>5.6785830000000006</v>
      </c>
    </row>
    <row r="44" spans="2:11" hidden="1" x14ac:dyDescent="0.3">
      <c r="B44" t="s">
        <v>60</v>
      </c>
      <c r="C44" s="1">
        <f>10369/(1000)</f>
        <v>10.369</v>
      </c>
      <c r="D44" s="1">
        <f>6331/(1000)</f>
        <v>6.3310000000000004</v>
      </c>
      <c r="I44" t="s">
        <v>136</v>
      </c>
      <c r="J44">
        <v>10.887600000000001</v>
      </c>
      <c r="K44">
        <v>5.6333586000000011</v>
      </c>
    </row>
    <row r="45" spans="2:11" hidden="1" x14ac:dyDescent="0.3">
      <c r="B45" t="s">
        <v>61</v>
      </c>
      <c r="C45" s="1">
        <f>9577/(1000)</f>
        <v>9.577</v>
      </c>
      <c r="D45" s="1">
        <f>6330/(1000)</f>
        <v>6.33</v>
      </c>
      <c r="I45" t="s">
        <v>135</v>
      </c>
      <c r="J45">
        <v>10.6836</v>
      </c>
      <c r="K45">
        <v>5.1270841000000003</v>
      </c>
    </row>
    <row r="46" spans="2:11" hidden="1" x14ac:dyDescent="0.3">
      <c r="B46" t="s">
        <v>62</v>
      </c>
      <c r="C46" s="1">
        <f>9859/(1000)</f>
        <v>9.859</v>
      </c>
      <c r="D46" s="1">
        <f>6317/(1000)</f>
        <v>6.3170000000000002</v>
      </c>
      <c r="I46" t="s">
        <v>134</v>
      </c>
      <c r="J46">
        <v>10.1496</v>
      </c>
      <c r="K46">
        <v>5.0096226000000001</v>
      </c>
    </row>
    <row r="47" spans="2:11" hidden="1" x14ac:dyDescent="0.3">
      <c r="B47" t="s">
        <v>63</v>
      </c>
      <c r="C47" s="1">
        <f>9186/(1000)</f>
        <v>9.1859999999999999</v>
      </c>
      <c r="D47" s="1">
        <f>6309/(1000)</f>
        <v>6.3090000000000002</v>
      </c>
      <c r="I47" t="s">
        <v>133</v>
      </c>
      <c r="J47">
        <v>12.288</v>
      </c>
      <c r="K47">
        <v>5.9067008999999997</v>
      </c>
    </row>
    <row r="48" spans="2:11" hidden="1" x14ac:dyDescent="0.3">
      <c r="B48" t="s">
        <v>64</v>
      </c>
      <c r="C48" s="1">
        <f>10499/(1000)</f>
        <v>10.499000000000001</v>
      </c>
      <c r="D48" s="1">
        <f>6255/(1000)</f>
        <v>6.2549999999999999</v>
      </c>
      <c r="I48" t="s">
        <v>132</v>
      </c>
      <c r="J48">
        <v>11.2836</v>
      </c>
      <c r="K48">
        <v>5.7313531000000006</v>
      </c>
    </row>
    <row r="49" spans="2:11" hidden="1" x14ac:dyDescent="0.3">
      <c r="B49" t="s">
        <v>65</v>
      </c>
      <c r="C49" s="1">
        <f>10576/(1000)</f>
        <v>10.576000000000001</v>
      </c>
      <c r="D49" s="1">
        <f>6223/(1000)</f>
        <v>6.2229999999999999</v>
      </c>
      <c r="I49" t="s">
        <v>131</v>
      </c>
      <c r="J49">
        <v>9.4055999999999997</v>
      </c>
      <c r="K49">
        <v>4.6131293000000007</v>
      </c>
    </row>
    <row r="50" spans="2:11" hidden="1" x14ac:dyDescent="0.3">
      <c r="B50" t="s">
        <v>66</v>
      </c>
      <c r="C50" s="1">
        <f>10481/(1000)</f>
        <v>10.481</v>
      </c>
      <c r="D50" s="1">
        <f>6189/(1000)</f>
        <v>6.1890000000000001</v>
      </c>
      <c r="I50" t="s">
        <v>130</v>
      </c>
      <c r="J50">
        <v>10.1448</v>
      </c>
      <c r="K50">
        <v>5.6133081000000002</v>
      </c>
    </row>
    <row r="51" spans="2:11" hidden="1" x14ac:dyDescent="0.3">
      <c r="B51" t="s">
        <v>67</v>
      </c>
      <c r="C51" s="1">
        <f>10350/(1000)</f>
        <v>10.35</v>
      </c>
      <c r="D51" s="1">
        <f>6180/(1000)</f>
        <v>6.18</v>
      </c>
      <c r="I51" t="s">
        <v>129</v>
      </c>
      <c r="J51">
        <v>10.736399999999998</v>
      </c>
      <c r="K51">
        <v>5.8292482000000003</v>
      </c>
    </row>
    <row r="52" spans="2:11" hidden="1" x14ac:dyDescent="0.3">
      <c r="B52" t="s">
        <v>68</v>
      </c>
      <c r="C52" s="1">
        <f>8836/(1000)</f>
        <v>8.8360000000000003</v>
      </c>
      <c r="D52" s="1">
        <f>6179/(1000)</f>
        <v>6.1790000000000003</v>
      </c>
      <c r="I52" t="s">
        <v>128</v>
      </c>
      <c r="J52">
        <v>9.7043999999999997</v>
      </c>
      <c r="K52">
        <v>4.4534333000000004</v>
      </c>
    </row>
    <row r="53" spans="2:11" hidden="1" x14ac:dyDescent="0.3">
      <c r="B53" t="s">
        <v>70</v>
      </c>
      <c r="C53" s="1">
        <f>10071/(1000)</f>
        <v>10.071</v>
      </c>
      <c r="D53" s="1">
        <f>6172/(1000)</f>
        <v>6.1719999999999997</v>
      </c>
      <c r="I53" t="s">
        <v>127</v>
      </c>
      <c r="J53">
        <v>9.2232000000000003</v>
      </c>
      <c r="K53">
        <v>4.8250299000000005</v>
      </c>
    </row>
    <row r="54" spans="2:11" hidden="1" x14ac:dyDescent="0.3">
      <c r="B54" t="s">
        <v>71</v>
      </c>
      <c r="C54" s="1">
        <f>10382/(1000)</f>
        <v>10.382</v>
      </c>
      <c r="D54" s="1">
        <f>6166/(1000)</f>
        <v>6.1660000000000004</v>
      </c>
      <c r="I54" t="s">
        <v>126</v>
      </c>
      <c r="J54">
        <v>11.554799999999998</v>
      </c>
      <c r="K54">
        <v>6.6428247999999996</v>
      </c>
    </row>
    <row r="55" spans="2:11" hidden="1" x14ac:dyDescent="0.3">
      <c r="B55" t="s">
        <v>72</v>
      </c>
      <c r="C55" s="1">
        <f>10155/(1000)</f>
        <v>10.154999999999999</v>
      </c>
      <c r="D55" s="1">
        <f>6152/(1000)</f>
        <v>6.1520000000000001</v>
      </c>
      <c r="I55" t="s">
        <v>125</v>
      </c>
      <c r="J55">
        <v>8.5175999999999998</v>
      </c>
      <c r="K55">
        <v>4.5679353000000003</v>
      </c>
    </row>
    <row r="56" spans="2:11" hidden="1" x14ac:dyDescent="0.3">
      <c r="B56" t="s">
        <v>73</v>
      </c>
      <c r="C56" s="1">
        <f>10284/(1000)</f>
        <v>10.284000000000001</v>
      </c>
      <c r="D56" s="1">
        <f>6140/(1000)</f>
        <v>6.14</v>
      </c>
      <c r="I56" t="s">
        <v>124</v>
      </c>
      <c r="J56">
        <v>10.295999999999999</v>
      </c>
      <c r="K56">
        <v>5.3397550999999996</v>
      </c>
    </row>
    <row r="57" spans="2:11" x14ac:dyDescent="0.3">
      <c r="B57" t="s">
        <v>141</v>
      </c>
      <c r="C57" s="20">
        <f>9603/(1000)</f>
        <v>9.6029999999999998</v>
      </c>
      <c r="D57" s="20">
        <f>4852/(1000)</f>
        <v>4.8520000000000003</v>
      </c>
      <c r="E57">
        <f>1.2*C57</f>
        <v>11.5236</v>
      </c>
    </row>
    <row r="58" spans="2:11" hidden="1" x14ac:dyDescent="0.3">
      <c r="B58" t="s">
        <v>75</v>
      </c>
      <c r="C58" s="1">
        <f>9787/(1000)</f>
        <v>9.7870000000000008</v>
      </c>
      <c r="D58" s="1">
        <f>6078/(1000)</f>
        <v>6.0780000000000003</v>
      </c>
      <c r="I58" t="s">
        <v>122</v>
      </c>
      <c r="J58">
        <v>11.423999999999999</v>
      </c>
      <c r="K58">
        <v>5.7945044999999995</v>
      </c>
    </row>
    <row r="59" spans="2:11" hidden="1" x14ac:dyDescent="0.3">
      <c r="B59" t="s">
        <v>76</v>
      </c>
      <c r="C59" s="1">
        <f>9054/(1000)</f>
        <v>9.0540000000000003</v>
      </c>
      <c r="D59" s="1">
        <f>6061/(1000)</f>
        <v>6.0609999999999999</v>
      </c>
      <c r="I59" t="s">
        <v>121</v>
      </c>
      <c r="J59">
        <v>9.7416</v>
      </c>
      <c r="K59">
        <v>4.9515297999999994</v>
      </c>
    </row>
    <row r="60" spans="2:11" x14ac:dyDescent="0.3">
      <c r="B60" t="s">
        <v>132</v>
      </c>
      <c r="C60" s="20">
        <f>9403/(1000)</f>
        <v>9.4030000000000005</v>
      </c>
      <c r="D60" s="20">
        <f>4956/(1000)</f>
        <v>4.9560000000000004</v>
      </c>
      <c r="E60">
        <f>1.2*C60</f>
        <v>11.2836</v>
      </c>
    </row>
    <row r="61" spans="2:11" hidden="1" x14ac:dyDescent="0.3">
      <c r="B61" t="s">
        <v>79</v>
      </c>
      <c r="C61" s="1">
        <f>10315/(1000)</f>
        <v>10.315</v>
      </c>
      <c r="D61" s="1">
        <f>6032/(1000)</f>
        <v>6.032</v>
      </c>
      <c r="I61" t="s">
        <v>119</v>
      </c>
      <c r="J61">
        <v>11.482800000000001</v>
      </c>
      <c r="K61">
        <v>6.2808278</v>
      </c>
    </row>
    <row r="62" spans="2:11" hidden="1" x14ac:dyDescent="0.3">
      <c r="B62" t="s">
        <v>80</v>
      </c>
      <c r="C62" s="1">
        <f>9557/(1000)</f>
        <v>9.5570000000000004</v>
      </c>
      <c r="D62" s="1">
        <f>6012/(1000)</f>
        <v>6.0119999999999996</v>
      </c>
      <c r="I62" t="s">
        <v>118</v>
      </c>
      <c r="J62">
        <v>11.7912</v>
      </c>
      <c r="K62">
        <v>6.6848961000000013</v>
      </c>
    </row>
    <row r="63" spans="2:11" hidden="1" x14ac:dyDescent="0.3">
      <c r="B63" t="s">
        <v>81</v>
      </c>
      <c r="C63" s="1">
        <f>10358/(1000)</f>
        <v>10.358000000000001</v>
      </c>
      <c r="D63" s="1">
        <f>5992/(1000)</f>
        <v>5.992</v>
      </c>
      <c r="I63" t="s">
        <v>117</v>
      </c>
      <c r="J63">
        <v>12.0192</v>
      </c>
      <c r="K63">
        <v>6.4429470000000002</v>
      </c>
    </row>
    <row r="64" spans="2:11" hidden="1" x14ac:dyDescent="0.3">
      <c r="B64" t="s">
        <v>82</v>
      </c>
      <c r="C64" s="1">
        <f>9805/(1000)</f>
        <v>9.8049999999999997</v>
      </c>
      <c r="D64" s="1">
        <f>5985/(1000)</f>
        <v>5.9850000000000003</v>
      </c>
      <c r="I64" t="s">
        <v>115</v>
      </c>
      <c r="J64">
        <v>9.743999999999998</v>
      </c>
      <c r="K64">
        <v>5.5367788000000004</v>
      </c>
    </row>
    <row r="65" spans="2:11" hidden="1" x14ac:dyDescent="0.3">
      <c r="B65" t="s">
        <v>83</v>
      </c>
      <c r="C65" s="1">
        <f>8620/(1000)</f>
        <v>8.6199999999999992</v>
      </c>
      <c r="D65" s="1">
        <f>5972/(1000)</f>
        <v>5.9720000000000004</v>
      </c>
      <c r="I65" t="s">
        <v>114</v>
      </c>
      <c r="J65">
        <v>11.384399999999999</v>
      </c>
      <c r="K65">
        <v>6.1718254999999997</v>
      </c>
    </row>
    <row r="66" spans="2:11" hidden="1" x14ac:dyDescent="0.3">
      <c r="B66" t="s">
        <v>84</v>
      </c>
      <c r="C66" s="1">
        <f>10611/(1000)</f>
        <v>10.611000000000001</v>
      </c>
      <c r="D66" s="1">
        <f>5940/(1000)</f>
        <v>5.94</v>
      </c>
      <c r="I66" t="s">
        <v>113</v>
      </c>
      <c r="J66">
        <v>10.261200000000001</v>
      </c>
      <c r="K66">
        <v>4.7474331000000003</v>
      </c>
    </row>
    <row r="67" spans="2:11" hidden="1" x14ac:dyDescent="0.3">
      <c r="B67" t="s">
        <v>85</v>
      </c>
      <c r="C67" s="1">
        <f>9962/(1000)</f>
        <v>9.9619999999999997</v>
      </c>
      <c r="D67" s="1">
        <f>5929/(1000)</f>
        <v>5.9290000000000003</v>
      </c>
      <c r="I67" t="s">
        <v>112</v>
      </c>
      <c r="J67">
        <v>11.6076</v>
      </c>
      <c r="K67">
        <v>6.4314294000000007</v>
      </c>
    </row>
    <row r="68" spans="2:11" hidden="1" x14ac:dyDescent="0.3">
      <c r="B68" t="s">
        <v>86</v>
      </c>
      <c r="C68" s="1">
        <f>10421/(1000)</f>
        <v>10.420999999999999</v>
      </c>
      <c r="D68" s="1">
        <f>5929/(1000)</f>
        <v>5.9290000000000003</v>
      </c>
      <c r="I68" t="s">
        <v>111</v>
      </c>
      <c r="J68">
        <v>9.7404000000000011</v>
      </c>
      <c r="K68">
        <v>4.7459201000000002</v>
      </c>
    </row>
    <row r="69" spans="2:11" hidden="1" x14ac:dyDescent="0.3">
      <c r="B69" t="s">
        <v>87</v>
      </c>
      <c r="C69" s="1">
        <f>8648/(1000)</f>
        <v>8.6479999999999997</v>
      </c>
      <c r="D69" s="1">
        <f>5919/(1000)</f>
        <v>5.9189999999999996</v>
      </c>
      <c r="I69" t="s">
        <v>110</v>
      </c>
      <c r="J69">
        <v>11.238</v>
      </c>
      <c r="K69">
        <v>6.2258195999999995</v>
      </c>
    </row>
    <row r="70" spans="2:11" hidden="1" x14ac:dyDescent="0.3">
      <c r="B70" t="s">
        <v>88</v>
      </c>
      <c r="C70" s="1">
        <f>10217/(1000)</f>
        <v>10.217000000000001</v>
      </c>
      <c r="D70" s="1">
        <f>5882/(1000)</f>
        <v>5.8819999999999997</v>
      </c>
      <c r="I70" t="s">
        <v>109</v>
      </c>
      <c r="J70">
        <v>12.285599999999999</v>
      </c>
      <c r="K70">
        <v>6.5901397999999993</v>
      </c>
    </row>
    <row r="71" spans="2:11" hidden="1" x14ac:dyDescent="0.3">
      <c r="B71" t="s">
        <v>89</v>
      </c>
      <c r="C71" s="1">
        <f>9076/(1000)</f>
        <v>9.0760000000000005</v>
      </c>
      <c r="D71" s="1">
        <f>5880/(1000)</f>
        <v>5.88</v>
      </c>
      <c r="I71" t="s">
        <v>108</v>
      </c>
      <c r="J71">
        <v>11.5464</v>
      </c>
      <c r="K71">
        <v>6.0403172000000005</v>
      </c>
    </row>
    <row r="72" spans="2:11" hidden="1" x14ac:dyDescent="0.3">
      <c r="B72" t="s">
        <v>90</v>
      </c>
      <c r="C72" s="1">
        <f>10651/(1000)</f>
        <v>10.651</v>
      </c>
      <c r="D72" s="1">
        <f>5845/(1000)</f>
        <v>5.8449999999999998</v>
      </c>
      <c r="I72" t="s">
        <v>107</v>
      </c>
      <c r="J72">
        <v>10.7676</v>
      </c>
      <c r="K72">
        <v>6.3110435999999996</v>
      </c>
    </row>
    <row r="73" spans="2:11" hidden="1" x14ac:dyDescent="0.3">
      <c r="B73" t="s">
        <v>91</v>
      </c>
      <c r="C73" s="1">
        <f>9458/(1000)</f>
        <v>9.4580000000000002</v>
      </c>
      <c r="D73" s="1">
        <f>5840/(1000)</f>
        <v>5.84</v>
      </c>
      <c r="I73" t="s">
        <v>106</v>
      </c>
      <c r="J73">
        <v>9.7091999999999992</v>
      </c>
      <c r="K73">
        <v>5.8714769999999996</v>
      </c>
    </row>
    <row r="74" spans="2:11" hidden="1" x14ac:dyDescent="0.3">
      <c r="B74" t="s">
        <v>92</v>
      </c>
      <c r="C74" s="1">
        <f>9590/(1000)</f>
        <v>9.59</v>
      </c>
      <c r="D74" s="1">
        <f>5813/(1000)</f>
        <v>5.8129999999999997</v>
      </c>
      <c r="I74" t="s">
        <v>104</v>
      </c>
      <c r="J74">
        <v>12.226799999999999</v>
      </c>
      <c r="K74">
        <v>6.2684812000000001</v>
      </c>
    </row>
    <row r="75" spans="2:11" hidden="1" x14ac:dyDescent="0.3">
      <c r="B75" t="s">
        <v>93</v>
      </c>
      <c r="C75" s="1">
        <f>9454/(1000)</f>
        <v>9.4540000000000006</v>
      </c>
      <c r="D75" s="1">
        <f>5766/(1000)</f>
        <v>5.766</v>
      </c>
      <c r="I75" t="s">
        <v>105</v>
      </c>
      <c r="J75">
        <v>13.2</v>
      </c>
      <c r="K75">
        <v>7.0720371999999996</v>
      </c>
    </row>
    <row r="76" spans="2:11" hidden="1" x14ac:dyDescent="0.3">
      <c r="B76" t="s">
        <v>94</v>
      </c>
      <c r="C76" s="1">
        <f>9313/(1000)</f>
        <v>9.3130000000000006</v>
      </c>
      <c r="D76" s="1">
        <f>5764/(1000)</f>
        <v>5.7640000000000002</v>
      </c>
      <c r="I76" t="s">
        <v>103</v>
      </c>
      <c r="J76">
        <v>11.823599999999999</v>
      </c>
      <c r="K76">
        <v>6.1901394000000005</v>
      </c>
    </row>
    <row r="77" spans="2:11" hidden="1" x14ac:dyDescent="0.3">
      <c r="B77" t="s">
        <v>95</v>
      </c>
      <c r="C77" s="1">
        <f>8538/(1000)</f>
        <v>8.5380000000000003</v>
      </c>
      <c r="D77" s="1">
        <f>5744/(1000)</f>
        <v>5.7439999999999998</v>
      </c>
      <c r="I77" t="s">
        <v>102</v>
      </c>
      <c r="J77">
        <v>12.6912</v>
      </c>
      <c r="K77">
        <v>6.8035114999999999</v>
      </c>
    </row>
    <row r="78" spans="2:11" hidden="1" x14ac:dyDescent="0.3">
      <c r="B78" t="s">
        <v>96</v>
      </c>
      <c r="C78" s="1">
        <f>10279/(1000)</f>
        <v>10.279</v>
      </c>
      <c r="D78" s="1">
        <f>5723/(1000)</f>
        <v>5.7229999999999999</v>
      </c>
      <c r="I78" t="s">
        <v>101</v>
      </c>
      <c r="J78">
        <v>11.7624</v>
      </c>
      <c r="K78">
        <v>6.4140034000000004</v>
      </c>
    </row>
    <row r="79" spans="2:11" hidden="1" x14ac:dyDescent="0.3">
      <c r="B79" t="s">
        <v>97</v>
      </c>
      <c r="C79" s="1">
        <f>9046/(1000)</f>
        <v>9.0459999999999994</v>
      </c>
      <c r="D79" s="1">
        <f>5716/(1000)</f>
        <v>5.7160000000000002</v>
      </c>
      <c r="I79" t="s">
        <v>100</v>
      </c>
      <c r="J79">
        <v>11.927999999999999</v>
      </c>
      <c r="K79">
        <v>6.2225385000000006</v>
      </c>
    </row>
    <row r="80" spans="2:11" hidden="1" x14ac:dyDescent="0.3">
      <c r="B80" t="s">
        <v>98</v>
      </c>
      <c r="C80" s="1">
        <f>9400/(1000)</f>
        <v>9.4</v>
      </c>
      <c r="D80" s="1">
        <f>5677/(1000)</f>
        <v>5.6769999999999996</v>
      </c>
      <c r="I80" t="s">
        <v>99</v>
      </c>
      <c r="J80">
        <v>11.3376</v>
      </c>
      <c r="K80">
        <v>6.3773788000000016</v>
      </c>
    </row>
    <row r="81" spans="2:11" hidden="1" x14ac:dyDescent="0.3">
      <c r="B81" t="s">
        <v>99</v>
      </c>
      <c r="C81" s="1">
        <f>9448/(1000)</f>
        <v>9.4480000000000004</v>
      </c>
      <c r="D81" s="1">
        <f>5653/(1000)</f>
        <v>5.6529999999999996</v>
      </c>
      <c r="I81" t="s">
        <v>98</v>
      </c>
      <c r="J81">
        <v>11.28</v>
      </c>
      <c r="K81">
        <v>6.0722957999999991</v>
      </c>
    </row>
    <row r="82" spans="2:11" hidden="1" x14ac:dyDescent="0.3">
      <c r="B82" t="s">
        <v>100</v>
      </c>
      <c r="C82" s="1">
        <f>9940/(1000)</f>
        <v>9.94</v>
      </c>
      <c r="D82" s="1">
        <f>5581/(1000)</f>
        <v>5.5810000000000004</v>
      </c>
      <c r="I82" t="s">
        <v>97</v>
      </c>
      <c r="J82">
        <v>10.855199999999998</v>
      </c>
      <c r="K82">
        <v>5.9622004999999998</v>
      </c>
    </row>
    <row r="83" spans="2:11" hidden="1" x14ac:dyDescent="0.3">
      <c r="B83" t="s">
        <v>101</v>
      </c>
      <c r="C83" s="1">
        <f>9802/(1000)</f>
        <v>9.8019999999999996</v>
      </c>
      <c r="D83" s="1">
        <f>5545/(1000)</f>
        <v>5.5449999999999999</v>
      </c>
      <c r="I83" t="s">
        <v>96</v>
      </c>
      <c r="J83">
        <v>12.3348</v>
      </c>
      <c r="K83">
        <v>6.0152356999999999</v>
      </c>
    </row>
    <row r="84" spans="2:11" hidden="1" x14ac:dyDescent="0.3">
      <c r="B84" t="s">
        <v>102</v>
      </c>
      <c r="C84" s="1">
        <f>10576/(1000)</f>
        <v>10.576000000000001</v>
      </c>
      <c r="D84" s="1">
        <f>5536/(1000)</f>
        <v>5.5359999999999996</v>
      </c>
      <c r="I84" t="s">
        <v>95</v>
      </c>
      <c r="J84">
        <v>10.2456</v>
      </c>
      <c r="K84">
        <v>6.1627923999999998</v>
      </c>
    </row>
    <row r="85" spans="2:11" hidden="1" x14ac:dyDescent="0.3">
      <c r="B85" t="s">
        <v>103</v>
      </c>
      <c r="C85" s="1">
        <f>9853/(1000)</f>
        <v>9.8529999999999998</v>
      </c>
      <c r="D85" s="1">
        <f>5534/(1000)</f>
        <v>5.5339999999999998</v>
      </c>
      <c r="I85" t="s">
        <v>94</v>
      </c>
      <c r="J85">
        <v>11.175600000000001</v>
      </c>
      <c r="K85">
        <v>6.1415364999999991</v>
      </c>
    </row>
    <row r="86" spans="2:11" hidden="1" x14ac:dyDescent="0.3">
      <c r="B86" t="s">
        <v>104</v>
      </c>
      <c r="C86" s="1">
        <f>10189/(1000)</f>
        <v>10.189</v>
      </c>
      <c r="D86" s="1">
        <f>5477/(1000)</f>
        <v>5.4770000000000003</v>
      </c>
      <c r="I86" t="s">
        <v>93</v>
      </c>
      <c r="J86">
        <v>11.344800000000001</v>
      </c>
      <c r="K86">
        <v>6.1148163000000011</v>
      </c>
    </row>
    <row r="87" spans="2:11" hidden="1" x14ac:dyDescent="0.3">
      <c r="B87" t="s">
        <v>105</v>
      </c>
      <c r="C87" s="1">
        <f>11000/(1000)</f>
        <v>11</v>
      </c>
      <c r="D87" s="1">
        <f>5477/(1000)</f>
        <v>5.4770000000000003</v>
      </c>
      <c r="I87" t="s">
        <v>92</v>
      </c>
      <c r="J87">
        <v>11.507999999999999</v>
      </c>
      <c r="K87">
        <v>6.0941915</v>
      </c>
    </row>
    <row r="88" spans="2:11" hidden="1" x14ac:dyDescent="0.3">
      <c r="B88" t="s">
        <v>106</v>
      </c>
      <c r="C88" s="1">
        <f>8091/(1000)</f>
        <v>8.0909999999999993</v>
      </c>
      <c r="D88" s="1">
        <f>5466/(1000)</f>
        <v>5.4660000000000002</v>
      </c>
      <c r="I88" t="s">
        <v>91</v>
      </c>
      <c r="J88">
        <v>11.349600000000001</v>
      </c>
      <c r="K88">
        <v>6.1205558999999994</v>
      </c>
    </row>
    <row r="89" spans="2:11" hidden="1" x14ac:dyDescent="0.3">
      <c r="B89" t="s">
        <v>107</v>
      </c>
      <c r="C89" s="1">
        <f>8973/(1000)</f>
        <v>8.9730000000000008</v>
      </c>
      <c r="D89" s="1">
        <f>5411/(1000)</f>
        <v>5.4109999999999996</v>
      </c>
      <c r="I89" t="s">
        <v>90</v>
      </c>
      <c r="J89">
        <v>12.7812</v>
      </c>
      <c r="K89">
        <v>6.4337023000000002</v>
      </c>
    </row>
    <row r="90" spans="2:11" x14ac:dyDescent="0.3">
      <c r="B90" t="s">
        <v>161</v>
      </c>
      <c r="C90" s="20">
        <f>9367/(1000)</f>
        <v>9.3670000000000009</v>
      </c>
      <c r="D90" s="20">
        <f>4283/(1000)</f>
        <v>4.2830000000000004</v>
      </c>
      <c r="E90">
        <f>1.2*C90</f>
        <v>11.240400000000001</v>
      </c>
    </row>
    <row r="91" spans="2:11" hidden="1" x14ac:dyDescent="0.3">
      <c r="B91" t="s">
        <v>109</v>
      </c>
      <c r="C91" s="1">
        <f>10238/(1000)</f>
        <v>10.238</v>
      </c>
      <c r="D91" s="1">
        <f>5384/(1000)</f>
        <v>5.3840000000000003</v>
      </c>
      <c r="I91" t="s">
        <v>88</v>
      </c>
      <c r="J91">
        <v>12.260400000000001</v>
      </c>
      <c r="K91">
        <v>6.5275292000000009</v>
      </c>
    </row>
    <row r="92" spans="2:11" hidden="1" x14ac:dyDescent="0.3">
      <c r="B92" t="s">
        <v>110</v>
      </c>
      <c r="C92" s="1">
        <f>9365/(1000)</f>
        <v>9.3650000000000002</v>
      </c>
      <c r="D92" s="1">
        <f>5345/(1000)</f>
        <v>5.3449999999999998</v>
      </c>
      <c r="I92" t="s">
        <v>87</v>
      </c>
      <c r="J92">
        <v>10.377599999999999</v>
      </c>
      <c r="K92">
        <v>5.9761926000000001</v>
      </c>
    </row>
    <row r="93" spans="2:11" x14ac:dyDescent="0.3">
      <c r="B93" t="s">
        <v>138</v>
      </c>
      <c r="C93" s="20">
        <f>9342/(1000)</f>
        <v>9.3420000000000005</v>
      </c>
      <c r="D93" s="20">
        <f>4887/(1000)</f>
        <v>4.8869999999999996</v>
      </c>
      <c r="E93">
        <f>1.2*C93</f>
        <v>11.2104</v>
      </c>
    </row>
    <row r="94" spans="2:11" hidden="1" x14ac:dyDescent="0.3">
      <c r="B94" t="s">
        <v>112</v>
      </c>
      <c r="C94" s="1">
        <f>9673/(1000)</f>
        <v>9.673</v>
      </c>
      <c r="D94" s="1">
        <f>5339/(1000)</f>
        <v>5.3390000000000004</v>
      </c>
      <c r="I94" t="s">
        <v>86</v>
      </c>
      <c r="J94">
        <v>12.505199999999999</v>
      </c>
      <c r="K94">
        <v>6.8020918999999989</v>
      </c>
    </row>
    <row r="95" spans="2:11" x14ac:dyDescent="0.3">
      <c r="B95" t="s">
        <v>151</v>
      </c>
      <c r="C95" s="20">
        <f>9266/(1000)</f>
        <v>9.266</v>
      </c>
      <c r="D95" s="20">
        <f>4596/(1000)</f>
        <v>4.5960000000000001</v>
      </c>
      <c r="E95">
        <f>1.2*C95</f>
        <v>11.119199999999999</v>
      </c>
    </row>
    <row r="96" spans="2:11" hidden="1" x14ac:dyDescent="0.3">
      <c r="B96" t="s">
        <v>114</v>
      </c>
      <c r="C96" s="1">
        <f>9487/(1000)</f>
        <v>9.4870000000000001</v>
      </c>
      <c r="D96" s="1">
        <f>5283/(1000)</f>
        <v>5.2830000000000004</v>
      </c>
      <c r="I96" t="s">
        <v>83</v>
      </c>
      <c r="J96">
        <v>10.343999999999999</v>
      </c>
      <c r="K96">
        <v>6.1296715000000006</v>
      </c>
    </row>
    <row r="97" spans="2:11" hidden="1" x14ac:dyDescent="0.3">
      <c r="B97" t="s">
        <v>115</v>
      </c>
      <c r="C97" s="1">
        <f>8120/(1000)</f>
        <v>8.1199999999999992</v>
      </c>
      <c r="D97" s="1">
        <f>5269/(1000)</f>
        <v>5.2690000000000001</v>
      </c>
      <c r="I97" t="s">
        <v>82</v>
      </c>
      <c r="J97">
        <v>11.766</v>
      </c>
      <c r="K97">
        <v>6.6328132000000002</v>
      </c>
    </row>
    <row r="98" spans="2:11" hidden="1" x14ac:dyDescent="0.3">
      <c r="B98" t="s">
        <v>117</v>
      </c>
      <c r="C98" s="1">
        <f>10016/(1000)</f>
        <v>10.016</v>
      </c>
      <c r="D98" s="1">
        <f>5266/(1000)</f>
        <v>5.266</v>
      </c>
      <c r="I98" t="s">
        <v>81</v>
      </c>
      <c r="J98">
        <v>12.429600000000001</v>
      </c>
      <c r="K98">
        <v>6.5524113000000002</v>
      </c>
    </row>
    <row r="99" spans="2:11" hidden="1" x14ac:dyDescent="0.3">
      <c r="B99" t="s">
        <v>118</v>
      </c>
      <c r="C99" s="1">
        <f>9826/(1000)</f>
        <v>9.8260000000000005</v>
      </c>
      <c r="D99" s="1">
        <f>5198/(1000)</f>
        <v>5.1980000000000004</v>
      </c>
      <c r="I99" t="s">
        <v>80</v>
      </c>
      <c r="J99">
        <v>11.468400000000001</v>
      </c>
      <c r="K99">
        <v>6.2506949000000009</v>
      </c>
    </row>
    <row r="100" spans="2:11" hidden="1" x14ac:dyDescent="0.3">
      <c r="B100" t="s">
        <v>119</v>
      </c>
      <c r="C100" s="1">
        <f>9569/(1000)</f>
        <v>9.5690000000000008</v>
      </c>
      <c r="D100" s="1">
        <f>5171/(1000)</f>
        <v>5.1710000000000003</v>
      </c>
      <c r="I100" t="s">
        <v>79</v>
      </c>
      <c r="J100">
        <v>12.377999999999998</v>
      </c>
      <c r="K100">
        <v>6.4454131000000006</v>
      </c>
    </row>
    <row r="101" spans="2:11" x14ac:dyDescent="0.3">
      <c r="B101" t="s">
        <v>153</v>
      </c>
      <c r="C101" s="20">
        <f>9161/(1000)</f>
        <v>9.1609999999999996</v>
      </c>
      <c r="D101" s="20">
        <f>4574/(1000)</f>
        <v>4.5739999999999998</v>
      </c>
      <c r="E101">
        <f t="shared" ref="E101:E102" si="1">1.2*C101</f>
        <v>10.9932</v>
      </c>
    </row>
    <row r="102" spans="2:11" x14ac:dyDescent="0.3">
      <c r="B102" t="s">
        <v>159</v>
      </c>
      <c r="C102" s="20">
        <f>9065/(1000)</f>
        <v>9.0649999999999995</v>
      </c>
      <c r="D102" s="20">
        <f>4308/(1000)</f>
        <v>4.3079999999999998</v>
      </c>
      <c r="E102">
        <f t="shared" si="1"/>
        <v>10.877999999999998</v>
      </c>
    </row>
    <row r="103" spans="2:11" hidden="1" x14ac:dyDescent="0.3">
      <c r="B103" t="s">
        <v>122</v>
      </c>
      <c r="C103" s="1">
        <f>9520/(1000)</f>
        <v>9.52</v>
      </c>
      <c r="D103" s="1">
        <f>5117/(1000)</f>
        <v>5.117</v>
      </c>
      <c r="I103" t="s">
        <v>75</v>
      </c>
      <c r="J103">
        <v>11.744400000000001</v>
      </c>
      <c r="K103">
        <v>6.3453016999999994</v>
      </c>
    </row>
    <row r="104" spans="2:11" hidden="1" x14ac:dyDescent="0.3">
      <c r="B104" t="s">
        <v>123</v>
      </c>
      <c r="C104" s="1">
        <f>9693/(1000)</f>
        <v>9.6929999999999996</v>
      </c>
      <c r="D104" s="1">
        <f>5101/(1000)</f>
        <v>5.101</v>
      </c>
      <c r="I104" t="s">
        <v>74</v>
      </c>
      <c r="J104">
        <v>12.980399999999999</v>
      </c>
      <c r="K104">
        <v>6.7651807000000002</v>
      </c>
    </row>
    <row r="105" spans="2:11" x14ac:dyDescent="0.3">
      <c r="B105" t="s">
        <v>135</v>
      </c>
      <c r="C105" s="20">
        <f>8903/(1000)</f>
        <v>8.9030000000000005</v>
      </c>
      <c r="D105" s="20">
        <f>4918/(1000)</f>
        <v>4.9180000000000001</v>
      </c>
      <c r="E105">
        <f t="shared" ref="E105:E106" si="2">1.2*C105</f>
        <v>10.6836</v>
      </c>
    </row>
    <row r="106" spans="2:11" x14ac:dyDescent="0.3">
      <c r="B106" t="s">
        <v>124</v>
      </c>
      <c r="C106" s="20">
        <f>8580/(1000)</f>
        <v>8.58</v>
      </c>
      <c r="D106" s="20">
        <f>5088/(1000)</f>
        <v>5.0880000000000001</v>
      </c>
      <c r="E106">
        <f t="shared" si="2"/>
        <v>10.295999999999999</v>
      </c>
    </row>
    <row r="107" spans="2:11" hidden="1" x14ac:dyDescent="0.3">
      <c r="B107" t="s">
        <v>126</v>
      </c>
      <c r="C107" s="1">
        <f>9629/(1000)</f>
        <v>9.6289999999999996</v>
      </c>
      <c r="D107" s="1">
        <f>5066/(1000)</f>
        <v>5.0659999999999998</v>
      </c>
      <c r="I107" t="s">
        <v>71</v>
      </c>
      <c r="J107">
        <v>12.458399999999999</v>
      </c>
      <c r="K107">
        <v>6.7664769999999983</v>
      </c>
    </row>
    <row r="108" spans="2:11" x14ac:dyDescent="0.3">
      <c r="B108" t="s">
        <v>113</v>
      </c>
      <c r="C108" s="20">
        <f>8551/(1000)</f>
        <v>8.5510000000000002</v>
      </c>
      <c r="D108" s="20">
        <f>5306/(1000)</f>
        <v>5.306</v>
      </c>
      <c r="E108">
        <f t="shared" ref="E108:E109" si="3">1.2*C108</f>
        <v>10.261200000000001</v>
      </c>
    </row>
    <row r="109" spans="2:11" x14ac:dyDescent="0.3">
      <c r="B109" t="s">
        <v>163</v>
      </c>
      <c r="C109" s="20">
        <f>8542/(1000)</f>
        <v>8.5419999999999998</v>
      </c>
      <c r="D109" s="20">
        <f>4227/(1000)</f>
        <v>4.2270000000000003</v>
      </c>
      <c r="E109">
        <f t="shared" si="3"/>
        <v>10.250399999999999</v>
      </c>
    </row>
    <row r="110" spans="2:11" hidden="1" x14ac:dyDescent="0.3">
      <c r="B110" t="s">
        <v>129</v>
      </c>
      <c r="C110" s="1">
        <f>8947/(1000)</f>
        <v>8.9469999999999992</v>
      </c>
      <c r="D110" s="1">
        <f>5030/(1000)</f>
        <v>5.03</v>
      </c>
      <c r="I110" t="s">
        <v>67</v>
      </c>
      <c r="J110">
        <v>12.42</v>
      </c>
      <c r="K110">
        <v>6.7380207999999993</v>
      </c>
    </row>
    <row r="111" spans="2:11" hidden="1" x14ac:dyDescent="0.3">
      <c r="B111" t="s">
        <v>130</v>
      </c>
      <c r="C111" s="1">
        <f>8454/(1000)</f>
        <v>8.4540000000000006</v>
      </c>
      <c r="D111" s="1">
        <f>5025/(1000)</f>
        <v>5.0250000000000004</v>
      </c>
      <c r="I111" t="s">
        <v>66</v>
      </c>
      <c r="J111">
        <v>12.577199999999999</v>
      </c>
      <c r="K111">
        <v>7.1629019999999999</v>
      </c>
    </row>
    <row r="112" spans="2:11" x14ac:dyDescent="0.3">
      <c r="B112" t="s">
        <v>145</v>
      </c>
      <c r="C112" s="20">
        <f>8533/(1000)</f>
        <v>8.5329999999999995</v>
      </c>
      <c r="D112" s="20">
        <f>4759/(1000)</f>
        <v>4.7590000000000003</v>
      </c>
      <c r="E112">
        <f t="shared" ref="E112:E114" si="4">1.2*C112</f>
        <v>10.239599999999999</v>
      </c>
    </row>
    <row r="113" spans="2:11" x14ac:dyDescent="0.3">
      <c r="B113" t="s">
        <v>150</v>
      </c>
      <c r="C113" s="20">
        <f>8361/(1000)</f>
        <v>8.3610000000000007</v>
      </c>
      <c r="D113" s="20">
        <f>4607/(1000)</f>
        <v>4.6070000000000002</v>
      </c>
      <c r="E113">
        <f t="shared" si="4"/>
        <v>10.033200000000001</v>
      </c>
    </row>
    <row r="114" spans="2:11" x14ac:dyDescent="0.3">
      <c r="B114" t="s">
        <v>120</v>
      </c>
      <c r="C114" s="20">
        <f>8189/(1000)</f>
        <v>8.1890000000000001</v>
      </c>
      <c r="D114" s="20">
        <f>5142/(1000)</f>
        <v>5.1420000000000003</v>
      </c>
      <c r="E114">
        <f t="shared" si="4"/>
        <v>9.8268000000000004</v>
      </c>
    </row>
    <row r="115" spans="2:11" hidden="1" x14ac:dyDescent="0.3">
      <c r="B115" t="s">
        <v>134</v>
      </c>
      <c r="C115" s="1">
        <f>8458/(1000)</f>
        <v>8.4580000000000002</v>
      </c>
      <c r="D115" s="1">
        <f>4934/(1000)</f>
        <v>4.9340000000000002</v>
      </c>
      <c r="I115" t="s">
        <v>62</v>
      </c>
      <c r="J115">
        <v>11.8308</v>
      </c>
      <c r="K115">
        <v>6.4017292000000001</v>
      </c>
    </row>
    <row r="116" spans="2:11" x14ac:dyDescent="0.3">
      <c r="B116" t="s">
        <v>166</v>
      </c>
      <c r="C116" s="20">
        <f>8145/(1000)</f>
        <v>8.1449999999999996</v>
      </c>
      <c r="D116" s="20">
        <f>4073/(1000)</f>
        <v>4.0730000000000004</v>
      </c>
      <c r="E116">
        <f>1.2*C116</f>
        <v>9.7739999999999991</v>
      </c>
    </row>
    <row r="117" spans="2:11" hidden="1" x14ac:dyDescent="0.3">
      <c r="B117" t="s">
        <v>136</v>
      </c>
      <c r="C117" s="1">
        <f>9073/(1000)</f>
        <v>9.0730000000000004</v>
      </c>
      <c r="D117" s="1">
        <f>4892/(1000)</f>
        <v>4.8920000000000003</v>
      </c>
      <c r="I117" t="s">
        <v>60</v>
      </c>
      <c r="J117">
        <v>12.4428</v>
      </c>
      <c r="K117">
        <v>6.5986874000000002</v>
      </c>
    </row>
    <row r="118" spans="2:11" hidden="1" x14ac:dyDescent="0.3">
      <c r="B118" t="s">
        <v>137</v>
      </c>
      <c r="C118" s="1">
        <f>9585/(1000)</f>
        <v>9.5850000000000009</v>
      </c>
      <c r="D118" s="1">
        <f>4891/(1000)</f>
        <v>4.891</v>
      </c>
      <c r="I118" t="s">
        <v>59</v>
      </c>
      <c r="J118">
        <v>11.1816</v>
      </c>
      <c r="K118">
        <v>6.1404498999999992</v>
      </c>
    </row>
    <row r="119" spans="2:11" x14ac:dyDescent="0.3">
      <c r="B119" t="s">
        <v>121</v>
      </c>
      <c r="C119" s="20">
        <f>8118/(1000)</f>
        <v>8.1180000000000003</v>
      </c>
      <c r="D119" s="20">
        <f>5132/(1000)</f>
        <v>5.1319999999999997</v>
      </c>
      <c r="E119">
        <f>1.2*C119</f>
        <v>9.7416</v>
      </c>
    </row>
    <row r="120" spans="2:11" hidden="1" x14ac:dyDescent="0.3">
      <c r="B120" t="s">
        <v>139</v>
      </c>
      <c r="C120" s="1">
        <f>9436/(1000)</f>
        <v>9.4359999999999999</v>
      </c>
      <c r="D120" s="1">
        <f>4875/(1000)</f>
        <v>4.875</v>
      </c>
      <c r="I120" t="s">
        <v>56</v>
      </c>
      <c r="J120">
        <v>11.959199999999999</v>
      </c>
      <c r="K120">
        <v>6.9004855999999997</v>
      </c>
    </row>
    <row r="121" spans="2:11" x14ac:dyDescent="0.3">
      <c r="B121" t="s">
        <v>111</v>
      </c>
      <c r="C121" s="20">
        <f>8117/(1000)</f>
        <v>8.1170000000000009</v>
      </c>
      <c r="D121" s="20">
        <f>5342/(1000)</f>
        <v>5.3419999999999996</v>
      </c>
      <c r="E121">
        <f t="shared" ref="E121:E123" si="5">1.2*C121</f>
        <v>9.7404000000000011</v>
      </c>
    </row>
    <row r="122" spans="2:11" x14ac:dyDescent="0.3">
      <c r="B122" t="s">
        <v>128</v>
      </c>
      <c r="C122" s="20">
        <f>8087/(1000)</f>
        <v>8.0869999999999997</v>
      </c>
      <c r="D122" s="20">
        <f>5045/(1000)</f>
        <v>5.0449999999999999</v>
      </c>
      <c r="E122">
        <f t="shared" si="5"/>
        <v>9.7043999999999997</v>
      </c>
    </row>
    <row r="123" spans="2:11" x14ac:dyDescent="0.3">
      <c r="B123" t="s">
        <v>160</v>
      </c>
      <c r="C123" s="20">
        <f>8031/(1000)</f>
        <v>8.0310000000000006</v>
      </c>
      <c r="D123" s="20">
        <f>4289/(1000)</f>
        <v>4.2889999999999997</v>
      </c>
      <c r="E123">
        <f t="shared" si="5"/>
        <v>9.6372</v>
      </c>
    </row>
    <row r="124" spans="2:11" hidden="1" x14ac:dyDescent="0.3">
      <c r="B124" t="s">
        <v>143</v>
      </c>
      <c r="C124" s="1">
        <f>8360/(1000)</f>
        <v>8.36</v>
      </c>
      <c r="D124" s="1">
        <f>4830/(1000)</f>
        <v>4.83</v>
      </c>
      <c r="I124" t="s">
        <v>52</v>
      </c>
      <c r="J124">
        <v>12.6852</v>
      </c>
      <c r="K124">
        <v>6.9292164000000005</v>
      </c>
    </row>
    <row r="125" spans="2:11" x14ac:dyDescent="0.3">
      <c r="B125" t="s">
        <v>177</v>
      </c>
      <c r="C125" s="20">
        <f>7943/(1000)</f>
        <v>7.9429999999999996</v>
      </c>
      <c r="D125" s="20">
        <f>3145/(1000)</f>
        <v>3.145</v>
      </c>
      <c r="E125">
        <f t="shared" ref="E125:E135" si="6">1.2*C125</f>
        <v>9.5315999999999992</v>
      </c>
    </row>
    <row r="126" spans="2:11" x14ac:dyDescent="0.3">
      <c r="B126" t="s">
        <v>174</v>
      </c>
      <c r="C126" s="20">
        <f>7926/(1000)</f>
        <v>7.9260000000000002</v>
      </c>
      <c r="D126" s="20">
        <f>3512/(1000)</f>
        <v>3.512</v>
      </c>
      <c r="E126">
        <f t="shared" si="6"/>
        <v>9.5112000000000005</v>
      </c>
    </row>
    <row r="127" spans="2:11" x14ac:dyDescent="0.3">
      <c r="B127" t="s">
        <v>171</v>
      </c>
      <c r="C127" s="20">
        <f>7876/(1000)</f>
        <v>7.8760000000000003</v>
      </c>
      <c r="D127" s="20">
        <f>3623/(1000)</f>
        <v>3.6230000000000002</v>
      </c>
      <c r="E127">
        <f t="shared" si="6"/>
        <v>9.4512</v>
      </c>
    </row>
    <row r="128" spans="2:11" x14ac:dyDescent="0.3">
      <c r="B128" t="s">
        <v>131</v>
      </c>
      <c r="C128" s="20">
        <f>7838/(1000)</f>
        <v>7.8380000000000001</v>
      </c>
      <c r="D128" s="20">
        <f>4984/(1000)</f>
        <v>4.984</v>
      </c>
      <c r="E128">
        <f t="shared" si="6"/>
        <v>9.4055999999999997</v>
      </c>
    </row>
    <row r="129" spans="2:11" x14ac:dyDescent="0.3">
      <c r="B129" t="s">
        <v>146</v>
      </c>
      <c r="C129" s="20">
        <f>7744/(1000)</f>
        <v>7.7439999999999998</v>
      </c>
      <c r="D129" s="20">
        <f>4723/(1000)</f>
        <v>4.7229999999999999</v>
      </c>
      <c r="E129">
        <f t="shared" si="6"/>
        <v>9.2927999999999997</v>
      </c>
    </row>
    <row r="130" spans="2:11" x14ac:dyDescent="0.3">
      <c r="B130" t="s">
        <v>162</v>
      </c>
      <c r="C130" s="20">
        <f>7694/(1000)</f>
        <v>7.694</v>
      </c>
      <c r="D130" s="20">
        <f>4275/(1000)</f>
        <v>4.2750000000000004</v>
      </c>
      <c r="E130">
        <f t="shared" si="6"/>
        <v>9.2327999999999992</v>
      </c>
    </row>
    <row r="131" spans="2:11" x14ac:dyDescent="0.3">
      <c r="B131" t="s">
        <v>127</v>
      </c>
      <c r="C131" s="20">
        <f>7686/(1000)</f>
        <v>7.6859999999999999</v>
      </c>
      <c r="D131" s="20">
        <f>5051/(1000)</f>
        <v>5.0510000000000002</v>
      </c>
      <c r="E131">
        <f t="shared" si="6"/>
        <v>9.2232000000000003</v>
      </c>
    </row>
    <row r="132" spans="2:11" x14ac:dyDescent="0.3">
      <c r="B132" t="s">
        <v>142</v>
      </c>
      <c r="C132" s="20">
        <f>7678/(1000)</f>
        <v>7.6779999999999999</v>
      </c>
      <c r="D132" s="20">
        <f>4834/(1000)</f>
        <v>4.8339999999999996</v>
      </c>
      <c r="E132">
        <f t="shared" si="6"/>
        <v>9.2135999999999996</v>
      </c>
    </row>
    <row r="133" spans="2:11" x14ac:dyDescent="0.3">
      <c r="B133" t="s">
        <v>148</v>
      </c>
      <c r="C133" s="20">
        <f>7677/(1000)</f>
        <v>7.6769999999999996</v>
      </c>
      <c r="D133" s="20">
        <f>4636/(1000)</f>
        <v>4.6360000000000001</v>
      </c>
      <c r="E133">
        <f t="shared" si="6"/>
        <v>9.2123999999999988</v>
      </c>
    </row>
    <row r="134" spans="2:11" x14ac:dyDescent="0.3">
      <c r="B134" t="s">
        <v>176</v>
      </c>
      <c r="C134" s="20">
        <f>7676/(1000)</f>
        <v>7.6760000000000002</v>
      </c>
      <c r="D134" s="20">
        <f>3415/(1000)</f>
        <v>3.415</v>
      </c>
      <c r="E134">
        <f t="shared" si="6"/>
        <v>9.2111999999999998</v>
      </c>
    </row>
    <row r="135" spans="2:11" x14ac:dyDescent="0.3">
      <c r="B135" t="s">
        <v>167</v>
      </c>
      <c r="C135" s="20">
        <f>7434/(1000)</f>
        <v>7.4340000000000002</v>
      </c>
      <c r="D135" s="20">
        <f>3849/(1000)</f>
        <v>3.8490000000000002</v>
      </c>
      <c r="E135">
        <f t="shared" si="6"/>
        <v>8.9207999999999998</v>
      </c>
    </row>
    <row r="136" spans="2:11" hidden="1" x14ac:dyDescent="0.3">
      <c r="B136" t="s">
        <v>155</v>
      </c>
      <c r="C136" s="1">
        <f>8541/(1000)</f>
        <v>8.5410000000000004</v>
      </c>
      <c r="D136" s="1">
        <f>4426/(1000)</f>
        <v>4.4260000000000002</v>
      </c>
      <c r="I136" t="s">
        <v>37</v>
      </c>
      <c r="J136">
        <v>13.6104</v>
      </c>
      <c r="K136">
        <v>7.681225200000001</v>
      </c>
    </row>
    <row r="137" spans="2:11" x14ac:dyDescent="0.3">
      <c r="B137" t="s">
        <v>164</v>
      </c>
      <c r="C137" s="20">
        <f>7396/(1000)</f>
        <v>7.3959999999999999</v>
      </c>
      <c r="D137" s="20">
        <f>4208/(1000)</f>
        <v>4.2080000000000002</v>
      </c>
      <c r="E137">
        <f t="shared" ref="E137:E138" si="7">1.2*C137</f>
        <v>8.8751999999999995</v>
      </c>
    </row>
    <row r="138" spans="2:11" x14ac:dyDescent="0.3">
      <c r="B138" t="s">
        <v>157</v>
      </c>
      <c r="C138" s="20">
        <f>7364/(1000)</f>
        <v>7.3639999999999999</v>
      </c>
      <c r="D138" s="20">
        <f>4355/(1000)</f>
        <v>4.3550000000000004</v>
      </c>
      <c r="E138">
        <f t="shared" si="7"/>
        <v>8.8368000000000002</v>
      </c>
    </row>
    <row r="139" spans="2:11" hidden="1" x14ac:dyDescent="0.3">
      <c r="B139" t="s">
        <v>158</v>
      </c>
      <c r="C139" s="1">
        <f>9470/(1000)</f>
        <v>9.4700000000000006</v>
      </c>
      <c r="D139" s="1">
        <f>4325/(1000)</f>
        <v>4.3250000000000002</v>
      </c>
      <c r="I139" t="s">
        <v>33</v>
      </c>
      <c r="J139">
        <v>12.69</v>
      </c>
      <c r="K139">
        <v>7.0260037999999998</v>
      </c>
    </row>
    <row r="140" spans="2:11" x14ac:dyDescent="0.3">
      <c r="B140" t="s">
        <v>165</v>
      </c>
      <c r="C140" s="20">
        <f>7362/(1000)</f>
        <v>7.3620000000000001</v>
      </c>
      <c r="D140" s="20">
        <f>4107/(1000)</f>
        <v>4.1070000000000002</v>
      </c>
      <c r="E140">
        <f t="shared" ref="E140:E145" si="8">1.2*C140</f>
        <v>8.8344000000000005</v>
      </c>
    </row>
    <row r="141" spans="2:11" x14ac:dyDescent="0.3">
      <c r="B141" t="s">
        <v>149</v>
      </c>
      <c r="C141" s="20">
        <f>7288/(1000)</f>
        <v>7.2880000000000003</v>
      </c>
      <c r="D141" s="20">
        <f>4625/(1000)</f>
        <v>4.625</v>
      </c>
      <c r="E141">
        <f t="shared" si="8"/>
        <v>8.7455999999999996</v>
      </c>
    </row>
    <row r="142" spans="2:11" x14ac:dyDescent="0.3">
      <c r="B142" t="s">
        <v>144</v>
      </c>
      <c r="C142" s="20">
        <f>7158/(1000)</f>
        <v>7.1580000000000004</v>
      </c>
      <c r="D142" s="20">
        <f>4794/(1000)</f>
        <v>4.7939999999999996</v>
      </c>
      <c r="E142">
        <f t="shared" si="8"/>
        <v>8.5896000000000008</v>
      </c>
    </row>
    <row r="143" spans="2:11" x14ac:dyDescent="0.3">
      <c r="B143" t="s">
        <v>125</v>
      </c>
      <c r="C143" s="20">
        <f>7098/(1000)</f>
        <v>7.0979999999999999</v>
      </c>
      <c r="D143" s="20">
        <f>5074/(1000)</f>
        <v>5.0739999999999998</v>
      </c>
      <c r="E143">
        <f t="shared" si="8"/>
        <v>8.5175999999999998</v>
      </c>
    </row>
    <row r="144" spans="2:11" x14ac:dyDescent="0.3">
      <c r="B144" t="s">
        <v>173</v>
      </c>
      <c r="C144" s="20">
        <f>6958/(1000)</f>
        <v>6.9580000000000002</v>
      </c>
      <c r="D144" s="20">
        <f>3600/(1000)</f>
        <v>3.6</v>
      </c>
      <c r="E144">
        <f t="shared" si="8"/>
        <v>8.3496000000000006</v>
      </c>
    </row>
    <row r="145" spans="1:11" x14ac:dyDescent="0.3">
      <c r="B145" t="s">
        <v>169</v>
      </c>
      <c r="C145" s="20">
        <f>6635/(1000)</f>
        <v>6.6349999999999998</v>
      </c>
      <c r="D145" s="20">
        <f>3775/(1000)</f>
        <v>3.7749999999999999</v>
      </c>
      <c r="E145">
        <f t="shared" si="8"/>
        <v>7.9619999999999997</v>
      </c>
    </row>
    <row r="146" spans="1:11" x14ac:dyDescent="0.3">
      <c r="C146" s="1"/>
      <c r="D146" s="1">
        <f>AVERAGE(D32:D145)</f>
        <v>5.307192982456141</v>
      </c>
    </row>
    <row r="147" spans="1:11" x14ac:dyDescent="0.3">
      <c r="C147" s="1"/>
      <c r="D147" s="1"/>
    </row>
    <row r="148" spans="1:11" x14ac:dyDescent="0.3">
      <c r="C148" s="1"/>
      <c r="D148" s="1"/>
    </row>
    <row r="149" spans="1:11" hidden="1" x14ac:dyDescent="0.3">
      <c r="A149" t="s">
        <v>168</v>
      </c>
      <c r="B149" t="s">
        <v>116</v>
      </c>
      <c r="C149" s="1">
        <v>8755</v>
      </c>
      <c r="D149" s="1">
        <v>3819</v>
      </c>
      <c r="I149" t="s">
        <v>22</v>
      </c>
      <c r="J149">
        <v>13.1196</v>
      </c>
      <c r="K149">
        <v>7.7993851000000003</v>
      </c>
    </row>
    <row r="150" spans="1:11" x14ac:dyDescent="0.3">
      <c r="C150" s="1"/>
      <c r="D150" s="1"/>
    </row>
    <row r="151" spans="1:11" x14ac:dyDescent="0.3">
      <c r="C151" s="1"/>
      <c r="D151" s="1">
        <f>1000</f>
        <v>1000</v>
      </c>
    </row>
    <row r="152" spans="1:11" ht="100.8" x14ac:dyDescent="0.3">
      <c r="C152" s="1"/>
      <c r="D152" s="1"/>
      <c r="I152" s="17" t="s">
        <v>256</v>
      </c>
    </row>
    <row r="153" spans="1:11" hidden="1" x14ac:dyDescent="0.3">
      <c r="A153" t="s">
        <v>172</v>
      </c>
      <c r="B153" t="s">
        <v>39</v>
      </c>
      <c r="C153" s="1">
        <v>7477</v>
      </c>
      <c r="D153" s="1">
        <v>3615</v>
      </c>
    </row>
    <row r="154" spans="1:11" x14ac:dyDescent="0.3">
      <c r="C154" s="1"/>
      <c r="D154" s="1"/>
    </row>
    <row r="155" spans="1:11" x14ac:dyDescent="0.3">
      <c r="C155" s="1"/>
      <c r="D155" s="1"/>
    </row>
    <row r="156" spans="1:11" x14ac:dyDescent="0.3">
      <c r="C156" s="1"/>
      <c r="D156" s="1"/>
    </row>
    <row r="157" spans="1:11" x14ac:dyDescent="0.3">
      <c r="C157" s="1"/>
      <c r="D157" s="1"/>
    </row>
    <row r="158" spans="1:11" x14ac:dyDescent="0.3">
      <c r="C158" s="1"/>
      <c r="D158" s="1"/>
    </row>
    <row r="159" spans="1:11" hidden="1" x14ac:dyDescent="0.3">
      <c r="A159" t="s">
        <v>178</v>
      </c>
      <c r="B159" t="s">
        <v>116</v>
      </c>
      <c r="C159" s="1">
        <v>7695</v>
      </c>
      <c r="D159" s="1">
        <v>2523</v>
      </c>
    </row>
    <row r="164" spans="2:6" x14ac:dyDescent="0.3">
      <c r="B164" t="s">
        <v>0</v>
      </c>
      <c r="C164" t="s">
        <v>2</v>
      </c>
      <c r="D164" t="s">
        <v>9</v>
      </c>
      <c r="E164" t="s">
        <v>257</v>
      </c>
      <c r="F164" t="s">
        <v>258</v>
      </c>
    </row>
    <row r="165" spans="2:6" x14ac:dyDescent="0.3">
      <c r="B165" t="s">
        <v>178</v>
      </c>
      <c r="C165" s="1">
        <v>2523</v>
      </c>
      <c r="D165">
        <v>0.38200000000000001</v>
      </c>
      <c r="E165">
        <f>(C165-$C$165)/$C$316</f>
        <v>0</v>
      </c>
      <c r="F165">
        <f>(D165-$D$314)/$D$316</f>
        <v>0</v>
      </c>
    </row>
    <row r="166" spans="2:6" x14ac:dyDescent="0.3">
      <c r="B166" t="s">
        <v>177</v>
      </c>
      <c r="C166" s="1">
        <v>3145</v>
      </c>
      <c r="D166">
        <v>0.67700000000000005</v>
      </c>
      <c r="E166">
        <f t="shared" ref="E166:E229" si="9">(C166-$C$165)/$C$316</f>
        <v>0.11693927429968039</v>
      </c>
      <c r="F166">
        <f t="shared" ref="F166:F229" si="10">(D166-$D$314)/$D$316</f>
        <v>0.5017006802721089</v>
      </c>
    </row>
    <row r="167" spans="2:6" x14ac:dyDescent="0.3">
      <c r="B167" t="s">
        <v>176</v>
      </c>
      <c r="C167" s="1">
        <v>3415</v>
      </c>
      <c r="D167">
        <v>0.89700000000000002</v>
      </c>
      <c r="E167">
        <f t="shared" si="9"/>
        <v>0.16770069561947734</v>
      </c>
      <c r="F167">
        <f t="shared" si="10"/>
        <v>0.87585034013605445</v>
      </c>
    </row>
    <row r="168" spans="2:6" x14ac:dyDescent="0.3">
      <c r="B168" t="s">
        <v>175</v>
      </c>
      <c r="C168" s="1">
        <v>3467</v>
      </c>
      <c r="D168">
        <v>0.82399999999999995</v>
      </c>
      <c r="E168">
        <f t="shared" si="9"/>
        <v>0.17747696935514196</v>
      </c>
      <c r="F168">
        <f t="shared" si="10"/>
        <v>0.75170068027210879</v>
      </c>
    </row>
    <row r="169" spans="2:6" x14ac:dyDescent="0.3">
      <c r="B169" t="s">
        <v>174</v>
      </c>
      <c r="C169" s="1">
        <v>3512</v>
      </c>
      <c r="D169">
        <v>0.71499999999999997</v>
      </c>
      <c r="E169">
        <f t="shared" si="9"/>
        <v>0.18593720624177476</v>
      </c>
      <c r="F169">
        <f t="shared" si="10"/>
        <v>0.56632653061224492</v>
      </c>
    </row>
    <row r="170" spans="2:6" x14ac:dyDescent="0.3">
      <c r="B170" t="s">
        <v>173</v>
      </c>
      <c r="C170" s="1">
        <v>3600</v>
      </c>
      <c r="D170">
        <v>0.78</v>
      </c>
      <c r="E170">
        <f t="shared" si="9"/>
        <v>0.20248166948674562</v>
      </c>
      <c r="F170">
        <f t="shared" si="10"/>
        <v>0.67687074829931981</v>
      </c>
    </row>
    <row r="171" spans="2:6" x14ac:dyDescent="0.3">
      <c r="B171" t="s">
        <v>172</v>
      </c>
      <c r="C171" s="1">
        <v>3615</v>
      </c>
      <c r="D171">
        <v>0.59299999999999997</v>
      </c>
      <c r="E171">
        <f t="shared" si="9"/>
        <v>0.20530174844895657</v>
      </c>
      <c r="F171">
        <f t="shared" si="10"/>
        <v>0.35884353741496594</v>
      </c>
    </row>
    <row r="172" spans="2:6" x14ac:dyDescent="0.3">
      <c r="B172" t="s">
        <v>171</v>
      </c>
      <c r="C172" s="1">
        <v>3623</v>
      </c>
      <c r="D172">
        <v>0.83299999999999996</v>
      </c>
      <c r="E172">
        <f t="shared" si="9"/>
        <v>0.20680579056213574</v>
      </c>
      <c r="F172">
        <f t="shared" si="10"/>
        <v>0.76700680272108845</v>
      </c>
    </row>
    <row r="173" spans="2:6" x14ac:dyDescent="0.3">
      <c r="B173" t="s">
        <v>170</v>
      </c>
      <c r="C173" s="1">
        <v>3658</v>
      </c>
      <c r="D173">
        <v>0.60199999999999998</v>
      </c>
      <c r="E173">
        <f t="shared" si="9"/>
        <v>0.2133859748072946</v>
      </c>
      <c r="F173">
        <f t="shared" si="10"/>
        <v>0.37414965986394555</v>
      </c>
    </row>
    <row r="174" spans="2:6" x14ac:dyDescent="0.3">
      <c r="B174" t="s">
        <v>169</v>
      </c>
      <c r="C174" s="1">
        <v>3775</v>
      </c>
      <c r="D174">
        <v>0.626</v>
      </c>
      <c r="E174">
        <f t="shared" si="9"/>
        <v>0.23538259071253995</v>
      </c>
      <c r="F174">
        <f t="shared" si="10"/>
        <v>0.41496598639455784</v>
      </c>
    </row>
    <row r="175" spans="2:6" x14ac:dyDescent="0.3">
      <c r="B175" t="s">
        <v>168</v>
      </c>
      <c r="C175" s="1">
        <v>3819</v>
      </c>
      <c r="D175">
        <v>0.89300000000000002</v>
      </c>
      <c r="E175">
        <f t="shared" si="9"/>
        <v>0.24365482233502539</v>
      </c>
      <c r="F175">
        <f t="shared" si="10"/>
        <v>0.86904761904761907</v>
      </c>
    </row>
    <row r="176" spans="2:6" x14ac:dyDescent="0.3">
      <c r="B176" t="s">
        <v>167</v>
      </c>
      <c r="C176" s="1">
        <v>3849</v>
      </c>
      <c r="D176">
        <v>0.71699999999999997</v>
      </c>
      <c r="E176">
        <f t="shared" si="9"/>
        <v>0.24929498025944727</v>
      </c>
      <c r="F176">
        <f t="shared" si="10"/>
        <v>0.56972789115646261</v>
      </c>
    </row>
    <row r="177" spans="2:6" x14ac:dyDescent="0.3">
      <c r="B177" t="s">
        <v>166</v>
      </c>
      <c r="C177" s="1">
        <v>4073</v>
      </c>
      <c r="D177">
        <v>0.78200000000000003</v>
      </c>
      <c r="E177">
        <f t="shared" si="9"/>
        <v>0.29140815942846399</v>
      </c>
      <c r="F177">
        <f t="shared" si="10"/>
        <v>0.6802721088435375</v>
      </c>
    </row>
    <row r="178" spans="2:6" x14ac:dyDescent="0.3">
      <c r="B178" t="s">
        <v>165</v>
      </c>
      <c r="C178" s="1">
        <v>4107</v>
      </c>
      <c r="D178">
        <v>0.61899999999999999</v>
      </c>
      <c r="E178">
        <f t="shared" si="9"/>
        <v>0.29780033840947545</v>
      </c>
      <c r="F178">
        <f t="shared" si="10"/>
        <v>0.40306122448979592</v>
      </c>
    </row>
    <row r="179" spans="2:6" x14ac:dyDescent="0.3">
      <c r="B179" t="s">
        <v>164</v>
      </c>
      <c r="C179" s="1">
        <v>4208</v>
      </c>
      <c r="D179">
        <v>0.55200000000000005</v>
      </c>
      <c r="E179">
        <f t="shared" si="9"/>
        <v>0.31678887008836248</v>
      </c>
      <c r="F179">
        <f t="shared" si="10"/>
        <v>0.2891156462585035</v>
      </c>
    </row>
    <row r="180" spans="2:6" x14ac:dyDescent="0.3">
      <c r="B180" t="s">
        <v>163</v>
      </c>
      <c r="C180" s="1">
        <v>4227</v>
      </c>
      <c r="D180">
        <v>0.56100000000000005</v>
      </c>
      <c r="E180">
        <f t="shared" si="9"/>
        <v>0.32036097010716302</v>
      </c>
      <c r="F180">
        <f t="shared" si="10"/>
        <v>0.30442176870748311</v>
      </c>
    </row>
    <row r="181" spans="2:6" x14ac:dyDescent="0.3">
      <c r="B181" t="s">
        <v>162</v>
      </c>
      <c r="C181" s="1">
        <v>4275</v>
      </c>
      <c r="D181">
        <v>0.752</v>
      </c>
      <c r="E181">
        <f t="shared" si="9"/>
        <v>0.329385222786238</v>
      </c>
      <c r="F181">
        <f t="shared" si="10"/>
        <v>0.62925170068027214</v>
      </c>
    </row>
    <row r="182" spans="2:6" x14ac:dyDescent="0.3">
      <c r="B182" t="s">
        <v>161</v>
      </c>
      <c r="C182" s="1">
        <v>4283</v>
      </c>
      <c r="D182">
        <v>0.749</v>
      </c>
      <c r="E182">
        <f t="shared" si="9"/>
        <v>0.33088926489941717</v>
      </c>
      <c r="F182">
        <f t="shared" si="10"/>
        <v>0.62414965986394555</v>
      </c>
    </row>
    <row r="183" spans="2:6" x14ac:dyDescent="0.3">
      <c r="B183" t="s">
        <v>160</v>
      </c>
      <c r="C183" s="1">
        <v>4289</v>
      </c>
      <c r="D183">
        <v>0.54800000000000004</v>
      </c>
      <c r="E183">
        <f t="shared" si="9"/>
        <v>0.33201729648430156</v>
      </c>
      <c r="F183">
        <f t="shared" si="10"/>
        <v>0.28231292517006812</v>
      </c>
    </row>
    <row r="184" spans="2:6" x14ac:dyDescent="0.3">
      <c r="B184" t="s">
        <v>159</v>
      </c>
      <c r="C184" s="1">
        <v>4308</v>
      </c>
      <c r="D184">
        <v>0.64700000000000002</v>
      </c>
      <c r="E184">
        <f t="shared" si="9"/>
        <v>0.3355893965031021</v>
      </c>
      <c r="F184">
        <f t="shared" si="10"/>
        <v>0.45068027210884359</v>
      </c>
    </row>
    <row r="185" spans="2:6" x14ac:dyDescent="0.3">
      <c r="B185" t="s">
        <v>158</v>
      </c>
      <c r="C185" s="1">
        <v>4325</v>
      </c>
      <c r="D185">
        <v>0.84099999999999997</v>
      </c>
      <c r="E185">
        <f t="shared" si="9"/>
        <v>0.3387854859936078</v>
      </c>
      <c r="F185">
        <f t="shared" si="10"/>
        <v>0.78061224489795922</v>
      </c>
    </row>
    <row r="186" spans="2:6" x14ac:dyDescent="0.3">
      <c r="B186" t="s">
        <v>157</v>
      </c>
      <c r="C186" s="1">
        <v>4355</v>
      </c>
      <c r="D186">
        <v>0.57899999999999996</v>
      </c>
      <c r="E186">
        <f t="shared" si="9"/>
        <v>0.34442564391802971</v>
      </c>
      <c r="F186">
        <f t="shared" si="10"/>
        <v>0.3350340136054421</v>
      </c>
    </row>
    <row r="187" spans="2:6" x14ac:dyDescent="0.3">
      <c r="B187" t="s">
        <v>156</v>
      </c>
      <c r="C187" s="1">
        <v>4395</v>
      </c>
      <c r="D187">
        <v>0.755</v>
      </c>
      <c r="E187">
        <f t="shared" si="9"/>
        <v>0.35194585448392557</v>
      </c>
      <c r="F187">
        <f t="shared" si="10"/>
        <v>0.63435374149659862</v>
      </c>
    </row>
    <row r="188" spans="2:6" x14ac:dyDescent="0.3">
      <c r="B188" t="s">
        <v>155</v>
      </c>
      <c r="C188" s="1">
        <v>4426</v>
      </c>
      <c r="D188">
        <v>0.876</v>
      </c>
      <c r="E188">
        <f t="shared" si="9"/>
        <v>0.35777401767249484</v>
      </c>
      <c r="F188">
        <f t="shared" si="10"/>
        <v>0.84013605442176875</v>
      </c>
    </row>
    <row r="189" spans="2:6" x14ac:dyDescent="0.3">
      <c r="B189" t="s">
        <v>154</v>
      </c>
      <c r="C189" s="1">
        <v>4517</v>
      </c>
      <c r="D189">
        <v>0.65300000000000002</v>
      </c>
      <c r="E189">
        <f t="shared" si="9"/>
        <v>0.37488249670990786</v>
      </c>
      <c r="F189">
        <f t="shared" si="10"/>
        <v>0.46088435374149667</v>
      </c>
    </row>
    <row r="190" spans="2:6" x14ac:dyDescent="0.3">
      <c r="B190" t="s">
        <v>153</v>
      </c>
      <c r="C190" s="1">
        <v>4574</v>
      </c>
      <c r="D190">
        <v>0.71899999999999997</v>
      </c>
      <c r="E190">
        <f t="shared" si="9"/>
        <v>0.38559879676630948</v>
      </c>
      <c r="F190">
        <f t="shared" si="10"/>
        <v>0.5731292517006803</v>
      </c>
    </row>
    <row r="191" spans="2:6" x14ac:dyDescent="0.3">
      <c r="B191" t="s">
        <v>152</v>
      </c>
      <c r="C191" s="1">
        <v>4584</v>
      </c>
      <c r="D191">
        <v>0.52500000000000002</v>
      </c>
      <c r="E191">
        <f t="shared" si="9"/>
        <v>0.38747884940778343</v>
      </c>
      <c r="F191">
        <f t="shared" si="10"/>
        <v>0.24319727891156467</v>
      </c>
    </row>
    <row r="192" spans="2:6" x14ac:dyDescent="0.3">
      <c r="B192" t="s">
        <v>151</v>
      </c>
      <c r="C192" s="1">
        <v>4596</v>
      </c>
      <c r="D192">
        <v>0.65600000000000003</v>
      </c>
      <c r="E192">
        <f t="shared" si="9"/>
        <v>0.38973491257755216</v>
      </c>
      <c r="F192">
        <f t="shared" si="10"/>
        <v>0.4659863945578232</v>
      </c>
    </row>
    <row r="193" spans="2:6" x14ac:dyDescent="0.3">
      <c r="B193" t="s">
        <v>150</v>
      </c>
      <c r="C193" s="1">
        <v>4607</v>
      </c>
      <c r="D193">
        <v>0.77900000000000003</v>
      </c>
      <c r="E193">
        <f t="shared" si="9"/>
        <v>0.39180297048317353</v>
      </c>
      <c r="F193">
        <f t="shared" si="10"/>
        <v>0.67517006802721091</v>
      </c>
    </row>
    <row r="194" spans="2:6" x14ac:dyDescent="0.3">
      <c r="B194" t="s">
        <v>149</v>
      </c>
      <c r="C194" s="1">
        <v>4625</v>
      </c>
      <c r="D194">
        <v>0.73499999999999999</v>
      </c>
      <c r="E194">
        <f t="shared" si="9"/>
        <v>0.39518706523782665</v>
      </c>
      <c r="F194">
        <f t="shared" si="10"/>
        <v>0.60034013605442171</v>
      </c>
    </row>
    <row r="195" spans="2:6" x14ac:dyDescent="0.3">
      <c r="B195" t="s">
        <v>148</v>
      </c>
      <c r="C195" s="1">
        <v>4636</v>
      </c>
      <c r="D195">
        <v>0.70899999999999996</v>
      </c>
      <c r="E195">
        <f t="shared" si="9"/>
        <v>0.39725512314344802</v>
      </c>
      <c r="F195">
        <f t="shared" si="10"/>
        <v>0.55612244897959184</v>
      </c>
    </row>
    <row r="196" spans="2:6" x14ac:dyDescent="0.3">
      <c r="B196" t="s">
        <v>147</v>
      </c>
      <c r="C196" s="1">
        <v>4721</v>
      </c>
      <c r="D196">
        <v>0.60799999999999998</v>
      </c>
      <c r="E196">
        <f t="shared" si="9"/>
        <v>0.41323557059597671</v>
      </c>
      <c r="F196">
        <f t="shared" si="10"/>
        <v>0.38435374149659862</v>
      </c>
    </row>
    <row r="197" spans="2:6" x14ac:dyDescent="0.3">
      <c r="B197" t="s">
        <v>146</v>
      </c>
      <c r="C197" s="1">
        <v>4723</v>
      </c>
      <c r="D197">
        <v>0.69699999999999995</v>
      </c>
      <c r="E197">
        <f t="shared" si="9"/>
        <v>0.41361158112427149</v>
      </c>
      <c r="F197">
        <f t="shared" si="10"/>
        <v>0.5357142857142857</v>
      </c>
    </row>
    <row r="198" spans="2:6" x14ac:dyDescent="0.3">
      <c r="B198" t="s">
        <v>145</v>
      </c>
      <c r="C198" s="1">
        <v>4759</v>
      </c>
      <c r="D198">
        <v>0.73699999999999999</v>
      </c>
      <c r="E198">
        <f t="shared" si="9"/>
        <v>0.42037977063357773</v>
      </c>
      <c r="F198">
        <f t="shared" si="10"/>
        <v>0.6037414965986394</v>
      </c>
    </row>
    <row r="199" spans="2:6" x14ac:dyDescent="0.3">
      <c r="B199" t="s">
        <v>144</v>
      </c>
      <c r="C199" s="1">
        <v>4794</v>
      </c>
      <c r="D199">
        <v>0.88200000000000001</v>
      </c>
      <c r="E199">
        <f t="shared" si="9"/>
        <v>0.42695995487873661</v>
      </c>
      <c r="F199">
        <f t="shared" si="10"/>
        <v>0.85034013605442182</v>
      </c>
    </row>
    <row r="200" spans="2:6" x14ac:dyDescent="0.3">
      <c r="B200" t="s">
        <v>143</v>
      </c>
      <c r="C200" s="1">
        <v>4830</v>
      </c>
      <c r="D200">
        <v>0.95899999999999996</v>
      </c>
      <c r="E200">
        <f t="shared" si="9"/>
        <v>0.43372814438804286</v>
      </c>
      <c r="F200">
        <f t="shared" si="10"/>
        <v>0.98129251700680276</v>
      </c>
    </row>
    <row r="201" spans="2:6" x14ac:dyDescent="0.3">
      <c r="B201" t="s">
        <v>142</v>
      </c>
      <c r="C201" s="1">
        <v>4834</v>
      </c>
      <c r="D201">
        <v>0.69499999999999995</v>
      </c>
      <c r="E201">
        <f t="shared" si="9"/>
        <v>0.43448016544463247</v>
      </c>
      <c r="F201">
        <f t="shared" si="10"/>
        <v>0.53231292517006801</v>
      </c>
    </row>
    <row r="202" spans="2:6" x14ac:dyDescent="0.3">
      <c r="B202" t="s">
        <v>141</v>
      </c>
      <c r="C202" s="1">
        <v>4852</v>
      </c>
      <c r="D202">
        <v>0.73099999999999998</v>
      </c>
      <c r="E202">
        <f t="shared" si="9"/>
        <v>0.43786426019928559</v>
      </c>
      <c r="F202">
        <f t="shared" si="10"/>
        <v>0.59353741496598644</v>
      </c>
    </row>
    <row r="203" spans="2:6" x14ac:dyDescent="0.3">
      <c r="B203" t="s">
        <v>140</v>
      </c>
      <c r="C203" s="1">
        <v>4854</v>
      </c>
      <c r="D203">
        <v>0.63</v>
      </c>
      <c r="E203">
        <f t="shared" si="9"/>
        <v>0.43824027072758037</v>
      </c>
      <c r="F203">
        <f t="shared" si="10"/>
        <v>0.42176870748299322</v>
      </c>
    </row>
    <row r="204" spans="2:6" x14ac:dyDescent="0.3">
      <c r="B204" t="s">
        <v>139</v>
      </c>
      <c r="C204" s="1">
        <v>4875</v>
      </c>
      <c r="D204">
        <v>0.72399999999999998</v>
      </c>
      <c r="E204">
        <f t="shared" si="9"/>
        <v>0.44218838127467569</v>
      </c>
      <c r="F204">
        <f t="shared" si="10"/>
        <v>0.58163265306122447</v>
      </c>
    </row>
    <row r="205" spans="2:6" x14ac:dyDescent="0.3">
      <c r="B205" t="s">
        <v>138</v>
      </c>
      <c r="C205" s="1">
        <v>4887</v>
      </c>
      <c r="D205">
        <v>0.48</v>
      </c>
      <c r="E205">
        <f t="shared" si="9"/>
        <v>0.44444444444444442</v>
      </c>
      <c r="F205">
        <f t="shared" si="10"/>
        <v>0.16666666666666663</v>
      </c>
    </row>
    <row r="206" spans="2:6" x14ac:dyDescent="0.3">
      <c r="B206" t="s">
        <v>137</v>
      </c>
      <c r="C206" s="1">
        <v>4891</v>
      </c>
      <c r="D206">
        <v>0.78300000000000003</v>
      </c>
      <c r="E206">
        <f t="shared" si="9"/>
        <v>0.44519646550103403</v>
      </c>
      <c r="F206">
        <f t="shared" si="10"/>
        <v>0.68197278911564629</v>
      </c>
    </row>
    <row r="207" spans="2:6" x14ac:dyDescent="0.3">
      <c r="B207" t="s">
        <v>136</v>
      </c>
      <c r="C207" s="1">
        <v>4892</v>
      </c>
      <c r="D207">
        <v>0.61499999999999999</v>
      </c>
      <c r="E207">
        <f t="shared" si="9"/>
        <v>0.44538447076518145</v>
      </c>
      <c r="F207">
        <f t="shared" si="10"/>
        <v>0.39625850340136054</v>
      </c>
    </row>
    <row r="208" spans="2:6" x14ac:dyDescent="0.3">
      <c r="B208" t="s">
        <v>135</v>
      </c>
      <c r="C208" s="1">
        <v>4918</v>
      </c>
      <c r="D208">
        <v>0.77400000000000002</v>
      </c>
      <c r="E208">
        <f t="shared" si="9"/>
        <v>0.45027260763301374</v>
      </c>
      <c r="F208">
        <f t="shared" si="10"/>
        <v>0.66666666666666674</v>
      </c>
    </row>
    <row r="209" spans="2:6" x14ac:dyDescent="0.3">
      <c r="B209" t="s">
        <v>134</v>
      </c>
      <c r="C209" s="1">
        <v>4934</v>
      </c>
      <c r="D209">
        <v>0.72599999999999998</v>
      </c>
      <c r="E209">
        <f t="shared" si="9"/>
        <v>0.45328069185937209</v>
      </c>
      <c r="F209">
        <f t="shared" si="10"/>
        <v>0.58503401360544216</v>
      </c>
    </row>
    <row r="210" spans="2:6" x14ac:dyDescent="0.3">
      <c r="B210" t="s">
        <v>133</v>
      </c>
      <c r="C210" s="1">
        <v>4948</v>
      </c>
      <c r="D210">
        <v>0.57599999999999996</v>
      </c>
      <c r="E210">
        <f t="shared" si="9"/>
        <v>0.4559127655574356</v>
      </c>
      <c r="F210">
        <f t="shared" si="10"/>
        <v>0.32993197278911557</v>
      </c>
    </row>
    <row r="211" spans="2:6" x14ac:dyDescent="0.3">
      <c r="B211" t="s">
        <v>132</v>
      </c>
      <c r="C211" s="1">
        <v>4956</v>
      </c>
      <c r="D211">
        <v>0.749</v>
      </c>
      <c r="E211">
        <f t="shared" si="9"/>
        <v>0.45741680767061477</v>
      </c>
      <c r="F211">
        <f t="shared" si="10"/>
        <v>0.62414965986394555</v>
      </c>
    </row>
    <row r="212" spans="2:6" x14ac:dyDescent="0.3">
      <c r="B212" t="s">
        <v>131</v>
      </c>
      <c r="C212" s="1">
        <v>4984</v>
      </c>
      <c r="D212">
        <v>0.69699999999999995</v>
      </c>
      <c r="E212">
        <f t="shared" si="9"/>
        <v>0.46268095506674189</v>
      </c>
      <c r="F212">
        <f t="shared" si="10"/>
        <v>0.5357142857142857</v>
      </c>
    </row>
    <row r="213" spans="2:6" x14ac:dyDescent="0.3">
      <c r="B213" t="s">
        <v>130</v>
      </c>
      <c r="C213" s="1">
        <v>5025</v>
      </c>
      <c r="D213">
        <v>0.877</v>
      </c>
      <c r="E213">
        <f t="shared" si="9"/>
        <v>0.47038917089678511</v>
      </c>
      <c r="F213">
        <f t="shared" si="10"/>
        <v>0.84183673469387754</v>
      </c>
    </row>
    <row r="214" spans="2:6" x14ac:dyDescent="0.3">
      <c r="B214" t="s">
        <v>129</v>
      </c>
      <c r="C214" s="1">
        <v>5030</v>
      </c>
      <c r="D214">
        <v>0.91</v>
      </c>
      <c r="E214">
        <f t="shared" si="9"/>
        <v>0.47132919721752209</v>
      </c>
      <c r="F214">
        <f t="shared" si="10"/>
        <v>0.8979591836734695</v>
      </c>
    </row>
    <row r="215" spans="2:6" x14ac:dyDescent="0.3">
      <c r="B215" t="s">
        <v>128</v>
      </c>
      <c r="C215" s="1">
        <v>5045</v>
      </c>
      <c r="D215">
        <v>0.75700000000000001</v>
      </c>
      <c r="E215">
        <f t="shared" si="9"/>
        <v>0.47414927617973301</v>
      </c>
      <c r="F215">
        <f t="shared" si="10"/>
        <v>0.63775510204081631</v>
      </c>
    </row>
    <row r="216" spans="2:6" x14ac:dyDescent="0.3">
      <c r="B216" t="s">
        <v>127</v>
      </c>
      <c r="C216" s="1">
        <v>5051</v>
      </c>
      <c r="D216">
        <v>0.69699999999999995</v>
      </c>
      <c r="E216">
        <f t="shared" si="9"/>
        <v>0.47527730776461741</v>
      </c>
      <c r="F216">
        <f t="shared" si="10"/>
        <v>0.5357142857142857</v>
      </c>
    </row>
    <row r="217" spans="2:6" x14ac:dyDescent="0.3">
      <c r="B217" t="s">
        <v>126</v>
      </c>
      <c r="C217" s="1">
        <v>5066</v>
      </c>
      <c r="D217">
        <v>0.877</v>
      </c>
      <c r="E217">
        <f t="shared" si="9"/>
        <v>0.47809738672682833</v>
      </c>
      <c r="F217">
        <f t="shared" si="10"/>
        <v>0.84183673469387754</v>
      </c>
    </row>
    <row r="218" spans="2:6" x14ac:dyDescent="0.3">
      <c r="B218" t="s">
        <v>125</v>
      </c>
      <c r="C218" s="1">
        <v>5074</v>
      </c>
      <c r="D218">
        <v>0.80600000000000005</v>
      </c>
      <c r="E218">
        <f t="shared" si="9"/>
        <v>0.4796014288400075</v>
      </c>
      <c r="F218">
        <f t="shared" si="10"/>
        <v>0.72108843537414979</v>
      </c>
    </row>
    <row r="219" spans="2:6" x14ac:dyDescent="0.3">
      <c r="B219" t="s">
        <v>124</v>
      </c>
      <c r="C219" s="1">
        <v>5088</v>
      </c>
      <c r="D219">
        <v>0.80700000000000005</v>
      </c>
      <c r="E219">
        <f t="shared" si="9"/>
        <v>0.48223350253807107</v>
      </c>
      <c r="F219">
        <f t="shared" si="10"/>
        <v>0.72278911564625858</v>
      </c>
    </row>
    <row r="220" spans="2:6" x14ac:dyDescent="0.3">
      <c r="B220" t="s">
        <v>123</v>
      </c>
      <c r="C220" s="1">
        <v>5101</v>
      </c>
      <c r="D220">
        <v>0.751</v>
      </c>
      <c r="E220">
        <f t="shared" si="9"/>
        <v>0.48467757097198721</v>
      </c>
      <c r="F220">
        <f t="shared" si="10"/>
        <v>0.62755102040816324</v>
      </c>
    </row>
    <row r="221" spans="2:6" x14ac:dyDescent="0.3">
      <c r="B221" t="s">
        <v>122</v>
      </c>
      <c r="C221" s="1">
        <v>5117</v>
      </c>
      <c r="D221">
        <v>0.78500000000000003</v>
      </c>
      <c r="E221">
        <f t="shared" si="9"/>
        <v>0.48768565519834556</v>
      </c>
      <c r="F221">
        <f t="shared" si="10"/>
        <v>0.68537414965986398</v>
      </c>
    </row>
    <row r="222" spans="2:6" x14ac:dyDescent="0.3">
      <c r="B222" t="s">
        <v>121</v>
      </c>
      <c r="C222" s="1">
        <v>5132</v>
      </c>
      <c r="D222">
        <v>0.69499999999999995</v>
      </c>
      <c r="E222">
        <f t="shared" si="9"/>
        <v>0.49050573416055648</v>
      </c>
      <c r="F222">
        <f t="shared" si="10"/>
        <v>0.53231292517006801</v>
      </c>
    </row>
    <row r="223" spans="2:6" x14ac:dyDescent="0.3">
      <c r="B223" t="s">
        <v>120</v>
      </c>
      <c r="C223" s="1">
        <v>5142</v>
      </c>
      <c r="D223">
        <v>0.73099999999999998</v>
      </c>
      <c r="E223">
        <f t="shared" si="9"/>
        <v>0.49238578680203043</v>
      </c>
      <c r="F223">
        <f t="shared" si="10"/>
        <v>0.59353741496598644</v>
      </c>
    </row>
    <row r="224" spans="2:6" x14ac:dyDescent="0.3">
      <c r="B224" t="s">
        <v>119</v>
      </c>
      <c r="C224" s="1">
        <v>5171</v>
      </c>
      <c r="D224">
        <v>0.81399999999999995</v>
      </c>
      <c r="E224">
        <f t="shared" si="9"/>
        <v>0.49783793946230492</v>
      </c>
      <c r="F224">
        <f t="shared" si="10"/>
        <v>0.73469387755102034</v>
      </c>
    </row>
    <row r="225" spans="2:6" x14ac:dyDescent="0.3">
      <c r="B225" t="s">
        <v>118</v>
      </c>
      <c r="C225" s="1">
        <v>5198</v>
      </c>
      <c r="D225">
        <v>0.85399999999999998</v>
      </c>
      <c r="E225">
        <f t="shared" si="9"/>
        <v>0.50291408159428463</v>
      </c>
      <c r="F225">
        <f t="shared" si="10"/>
        <v>0.80272108843537415</v>
      </c>
    </row>
    <row r="226" spans="2:6" x14ac:dyDescent="0.3">
      <c r="B226" t="s">
        <v>117</v>
      </c>
      <c r="C226" s="1">
        <v>5266</v>
      </c>
      <c r="D226">
        <v>0.78800000000000003</v>
      </c>
      <c r="E226">
        <f t="shared" si="9"/>
        <v>0.51569843955630756</v>
      </c>
      <c r="F226">
        <f t="shared" si="10"/>
        <v>0.69047619047619058</v>
      </c>
    </row>
    <row r="227" spans="2:6" x14ac:dyDescent="0.3">
      <c r="B227" t="s">
        <v>115</v>
      </c>
      <c r="C227" s="1">
        <v>5269</v>
      </c>
      <c r="D227">
        <v>0.78200000000000003</v>
      </c>
      <c r="E227">
        <f t="shared" si="9"/>
        <v>0.51626245534874982</v>
      </c>
      <c r="F227">
        <f t="shared" si="10"/>
        <v>0.6802721088435375</v>
      </c>
    </row>
    <row r="228" spans="2:6" x14ac:dyDescent="0.3">
      <c r="B228" t="s">
        <v>114</v>
      </c>
      <c r="C228" s="1">
        <v>5283</v>
      </c>
      <c r="D228">
        <v>0.82499999999999996</v>
      </c>
      <c r="E228">
        <f t="shared" si="9"/>
        <v>0.51889452904681332</v>
      </c>
      <c r="F228">
        <f t="shared" si="10"/>
        <v>0.75340136054421769</v>
      </c>
    </row>
    <row r="229" spans="2:6" x14ac:dyDescent="0.3">
      <c r="B229" t="s">
        <v>113</v>
      </c>
      <c r="C229" s="1">
        <v>5306</v>
      </c>
      <c r="D229">
        <v>0.74099999999999999</v>
      </c>
      <c r="E229">
        <f t="shared" si="9"/>
        <v>0.52321865012220348</v>
      </c>
      <c r="F229">
        <f t="shared" si="10"/>
        <v>0.61054421768707479</v>
      </c>
    </row>
    <row r="230" spans="2:6" x14ac:dyDescent="0.3">
      <c r="B230" t="s">
        <v>112</v>
      </c>
      <c r="C230" s="1">
        <v>5339</v>
      </c>
      <c r="D230">
        <v>0.90400000000000003</v>
      </c>
      <c r="E230">
        <f t="shared" ref="E230:E293" si="11">(C230-$C$165)/$C$316</f>
        <v>0.52942282383906747</v>
      </c>
      <c r="F230">
        <f t="shared" ref="F230:F293" si="12">(D230-$D$314)/$D$316</f>
        <v>0.88775510204081642</v>
      </c>
    </row>
    <row r="231" spans="2:6" x14ac:dyDescent="0.3">
      <c r="B231" t="s">
        <v>111</v>
      </c>
      <c r="C231" s="1">
        <v>5342</v>
      </c>
      <c r="D231">
        <v>0.69499999999999995</v>
      </c>
      <c r="E231">
        <f t="shared" si="11"/>
        <v>0.52998683963150972</v>
      </c>
      <c r="F231">
        <f t="shared" si="12"/>
        <v>0.53231292517006801</v>
      </c>
    </row>
    <row r="232" spans="2:6" x14ac:dyDescent="0.3">
      <c r="B232" t="s">
        <v>110</v>
      </c>
      <c r="C232" s="1">
        <v>5345</v>
      </c>
      <c r="D232">
        <v>0.873</v>
      </c>
      <c r="E232">
        <f t="shared" si="11"/>
        <v>0.53055085542395186</v>
      </c>
      <c r="F232">
        <f t="shared" si="12"/>
        <v>0.83503401360544216</v>
      </c>
    </row>
    <row r="233" spans="2:6" x14ac:dyDescent="0.3">
      <c r="B233" t="s">
        <v>109</v>
      </c>
      <c r="C233" s="1">
        <v>5384</v>
      </c>
      <c r="D233">
        <v>0.89500000000000002</v>
      </c>
      <c r="E233">
        <f t="shared" si="11"/>
        <v>0.53788306072570036</v>
      </c>
      <c r="F233">
        <f t="shared" si="12"/>
        <v>0.87244897959183676</v>
      </c>
    </row>
    <row r="234" spans="2:6" x14ac:dyDescent="0.3">
      <c r="B234" t="s">
        <v>108</v>
      </c>
      <c r="C234" s="1">
        <v>5410</v>
      </c>
      <c r="D234">
        <v>0.77100000000000002</v>
      </c>
      <c r="E234">
        <f t="shared" si="11"/>
        <v>0.54277119759353265</v>
      </c>
      <c r="F234">
        <f t="shared" si="12"/>
        <v>0.66156462585034015</v>
      </c>
    </row>
    <row r="235" spans="2:6" x14ac:dyDescent="0.3">
      <c r="B235" t="s">
        <v>107</v>
      </c>
      <c r="C235" s="1">
        <v>5411</v>
      </c>
      <c r="D235">
        <v>0.94</v>
      </c>
      <c r="E235">
        <f t="shared" si="11"/>
        <v>0.54295920285768007</v>
      </c>
      <c r="F235">
        <f t="shared" si="12"/>
        <v>0.94897959183673464</v>
      </c>
    </row>
    <row r="236" spans="2:6" x14ac:dyDescent="0.3">
      <c r="B236" t="s">
        <v>106</v>
      </c>
      <c r="C236" s="1">
        <v>5466</v>
      </c>
      <c r="D236">
        <v>0.83199999999999996</v>
      </c>
      <c r="E236">
        <f t="shared" si="11"/>
        <v>0.5532994923857868</v>
      </c>
      <c r="F236">
        <f t="shared" si="12"/>
        <v>0.76530612244897955</v>
      </c>
    </row>
    <row r="237" spans="2:6" x14ac:dyDescent="0.3">
      <c r="B237" t="s">
        <v>104</v>
      </c>
      <c r="C237" s="1">
        <v>5477</v>
      </c>
      <c r="D237">
        <v>0.71799999999999997</v>
      </c>
      <c r="E237">
        <f t="shared" si="11"/>
        <v>0.55536755029140816</v>
      </c>
      <c r="F237">
        <f t="shared" si="12"/>
        <v>0.5714285714285714</v>
      </c>
    </row>
    <row r="238" spans="2:6" x14ac:dyDescent="0.3">
      <c r="B238" t="s">
        <v>105</v>
      </c>
      <c r="C238" s="1">
        <v>5477</v>
      </c>
      <c r="D238">
        <v>0.71699999999999997</v>
      </c>
      <c r="E238">
        <f t="shared" si="11"/>
        <v>0.55536755029140816</v>
      </c>
      <c r="F238">
        <f t="shared" si="12"/>
        <v>0.56972789115646261</v>
      </c>
    </row>
    <row r="239" spans="2:6" x14ac:dyDescent="0.3">
      <c r="B239" t="s">
        <v>103</v>
      </c>
      <c r="C239" s="1">
        <v>5534</v>
      </c>
      <c r="D239">
        <v>0.65</v>
      </c>
      <c r="E239">
        <f t="shared" si="11"/>
        <v>0.56608385034780973</v>
      </c>
      <c r="F239">
        <f t="shared" si="12"/>
        <v>0.45578231292517013</v>
      </c>
    </row>
    <row r="240" spans="2:6" x14ac:dyDescent="0.3">
      <c r="B240" t="s">
        <v>102</v>
      </c>
      <c r="C240" s="1">
        <v>5536</v>
      </c>
      <c r="D240">
        <v>0.79500000000000004</v>
      </c>
      <c r="E240">
        <f t="shared" si="11"/>
        <v>0.56645986087610456</v>
      </c>
      <c r="F240">
        <f t="shared" si="12"/>
        <v>0.70238095238095244</v>
      </c>
    </row>
    <row r="241" spans="2:6" x14ac:dyDescent="0.3">
      <c r="B241" t="s">
        <v>101</v>
      </c>
      <c r="C241" s="1">
        <v>5545</v>
      </c>
      <c r="D241">
        <v>0.86</v>
      </c>
      <c r="E241">
        <f t="shared" si="11"/>
        <v>0.56815190825343109</v>
      </c>
      <c r="F241">
        <f t="shared" si="12"/>
        <v>0.81292517006802723</v>
      </c>
    </row>
    <row r="242" spans="2:6" x14ac:dyDescent="0.3">
      <c r="B242" t="s">
        <v>100</v>
      </c>
      <c r="C242" s="1">
        <v>5581</v>
      </c>
      <c r="D242">
        <v>0.70799999999999996</v>
      </c>
      <c r="E242">
        <f t="shared" si="11"/>
        <v>0.57492009776273734</v>
      </c>
      <c r="F242">
        <f t="shared" si="12"/>
        <v>0.55442176870748294</v>
      </c>
    </row>
    <row r="243" spans="2:6" x14ac:dyDescent="0.3">
      <c r="B243" t="s">
        <v>99</v>
      </c>
      <c r="C243" s="1">
        <v>5653</v>
      </c>
      <c r="D243">
        <v>0.876</v>
      </c>
      <c r="E243">
        <f t="shared" si="11"/>
        <v>0.58845647678134982</v>
      </c>
      <c r="F243">
        <f t="shared" si="12"/>
        <v>0.84013605442176875</v>
      </c>
    </row>
    <row r="244" spans="2:6" x14ac:dyDescent="0.3">
      <c r="B244" t="s">
        <v>98</v>
      </c>
      <c r="C244" s="1">
        <v>5677</v>
      </c>
      <c r="D244">
        <v>0.70799999999999996</v>
      </c>
      <c r="E244">
        <f t="shared" si="11"/>
        <v>0.59296860312088739</v>
      </c>
      <c r="F244">
        <f t="shared" si="12"/>
        <v>0.55442176870748294</v>
      </c>
    </row>
    <row r="245" spans="2:6" x14ac:dyDescent="0.3">
      <c r="B245" t="s">
        <v>97</v>
      </c>
      <c r="C245" s="1">
        <v>5716</v>
      </c>
      <c r="D245">
        <v>0.875</v>
      </c>
      <c r="E245">
        <f t="shared" si="11"/>
        <v>0.60030080842263578</v>
      </c>
      <c r="F245">
        <f t="shared" si="12"/>
        <v>0.83843537414965985</v>
      </c>
    </row>
    <row r="246" spans="2:6" x14ac:dyDescent="0.3">
      <c r="B246" t="s">
        <v>96</v>
      </c>
      <c r="C246" s="1">
        <v>5723</v>
      </c>
      <c r="D246">
        <v>0.58199999999999996</v>
      </c>
      <c r="E246">
        <f t="shared" si="11"/>
        <v>0.60161684527166759</v>
      </c>
      <c r="F246">
        <f t="shared" si="12"/>
        <v>0.34013605442176864</v>
      </c>
    </row>
    <row r="247" spans="2:6" x14ac:dyDescent="0.3">
      <c r="B247" t="s">
        <v>95</v>
      </c>
      <c r="C247" s="1">
        <v>5744</v>
      </c>
      <c r="D247">
        <v>0.93500000000000005</v>
      </c>
      <c r="E247">
        <f t="shared" si="11"/>
        <v>0.60556495581876291</v>
      </c>
      <c r="F247">
        <f t="shared" si="12"/>
        <v>0.94047619047619058</v>
      </c>
    </row>
    <row r="248" spans="2:6" x14ac:dyDescent="0.3">
      <c r="B248" t="s">
        <v>94</v>
      </c>
      <c r="C248" s="1">
        <v>5764</v>
      </c>
      <c r="D248">
        <v>0.84199999999999997</v>
      </c>
      <c r="E248">
        <f t="shared" si="11"/>
        <v>0.60932506110171081</v>
      </c>
      <c r="F248">
        <f t="shared" si="12"/>
        <v>0.78231292517006801</v>
      </c>
    </row>
    <row r="249" spans="2:6" x14ac:dyDescent="0.3">
      <c r="B249" t="s">
        <v>93</v>
      </c>
      <c r="C249" s="1">
        <v>5766</v>
      </c>
      <c r="D249">
        <v>0.82199999999999995</v>
      </c>
      <c r="E249">
        <f t="shared" si="11"/>
        <v>0.60970107163000564</v>
      </c>
      <c r="F249">
        <f t="shared" si="12"/>
        <v>0.7482993197278911</v>
      </c>
    </row>
    <row r="250" spans="2:6" x14ac:dyDescent="0.3">
      <c r="B250" t="s">
        <v>92</v>
      </c>
      <c r="C250" s="1">
        <v>5813</v>
      </c>
      <c r="D250">
        <v>0.70599999999999996</v>
      </c>
      <c r="E250">
        <f t="shared" si="11"/>
        <v>0.61853731904493325</v>
      </c>
      <c r="F250">
        <f t="shared" si="12"/>
        <v>0.55102040816326525</v>
      </c>
    </row>
    <row r="251" spans="2:6" x14ac:dyDescent="0.3">
      <c r="B251" t="s">
        <v>91</v>
      </c>
      <c r="C251" s="1">
        <v>5840</v>
      </c>
      <c r="D251">
        <v>0.82199999999999995</v>
      </c>
      <c r="E251">
        <f t="shared" si="11"/>
        <v>0.62361346117691296</v>
      </c>
      <c r="F251">
        <f t="shared" si="12"/>
        <v>0.7482993197278911</v>
      </c>
    </row>
    <row r="252" spans="2:6" x14ac:dyDescent="0.3">
      <c r="B252" t="s">
        <v>90</v>
      </c>
      <c r="C252" s="1">
        <v>5845</v>
      </c>
      <c r="D252">
        <v>0.67200000000000004</v>
      </c>
      <c r="E252">
        <f t="shared" si="11"/>
        <v>0.62455348749764994</v>
      </c>
      <c r="F252">
        <f t="shared" si="12"/>
        <v>0.49319727891156473</v>
      </c>
    </row>
    <row r="253" spans="2:6" x14ac:dyDescent="0.3">
      <c r="B253" t="s">
        <v>89</v>
      </c>
      <c r="C253" s="1">
        <v>5880</v>
      </c>
      <c r="D253">
        <v>0.91700000000000004</v>
      </c>
      <c r="E253">
        <f t="shared" si="11"/>
        <v>0.63113367174280877</v>
      </c>
      <c r="F253">
        <f t="shared" si="12"/>
        <v>0.90986394557823136</v>
      </c>
    </row>
    <row r="254" spans="2:6" x14ac:dyDescent="0.3">
      <c r="B254" t="s">
        <v>88</v>
      </c>
      <c r="C254" s="1">
        <v>5882</v>
      </c>
      <c r="D254">
        <v>0.754</v>
      </c>
      <c r="E254">
        <f t="shared" si="11"/>
        <v>0.6315096822711036</v>
      </c>
      <c r="F254">
        <f t="shared" si="12"/>
        <v>0.63265306122448983</v>
      </c>
    </row>
    <row r="255" spans="2:6" x14ac:dyDescent="0.3">
      <c r="B255" t="s">
        <v>87</v>
      </c>
      <c r="C255" s="1">
        <v>5919</v>
      </c>
      <c r="D255">
        <v>0.85699999999999998</v>
      </c>
      <c r="E255">
        <f t="shared" si="11"/>
        <v>0.63846587704455726</v>
      </c>
      <c r="F255">
        <f t="shared" si="12"/>
        <v>0.80782312925170063</v>
      </c>
    </row>
    <row r="256" spans="2:6" x14ac:dyDescent="0.3">
      <c r="B256" t="s">
        <v>85</v>
      </c>
      <c r="C256" s="1">
        <v>5929</v>
      </c>
      <c r="D256">
        <v>0.82799999999999996</v>
      </c>
      <c r="E256">
        <f t="shared" si="11"/>
        <v>0.64034592968603121</v>
      </c>
      <c r="F256">
        <f t="shared" si="12"/>
        <v>0.75850340136054417</v>
      </c>
    </row>
    <row r="257" spans="2:6" x14ac:dyDescent="0.3">
      <c r="B257" t="s">
        <v>86</v>
      </c>
      <c r="C257" s="1">
        <v>5929</v>
      </c>
      <c r="D257">
        <v>0.89200000000000002</v>
      </c>
      <c r="E257">
        <f t="shared" si="11"/>
        <v>0.64034592968603121</v>
      </c>
      <c r="F257">
        <f t="shared" si="12"/>
        <v>0.86734693877551028</v>
      </c>
    </row>
    <row r="258" spans="2:6" x14ac:dyDescent="0.3">
      <c r="B258" t="s">
        <v>84</v>
      </c>
      <c r="C258" s="1">
        <v>5940</v>
      </c>
      <c r="D258">
        <v>0.79600000000000004</v>
      </c>
      <c r="E258">
        <f t="shared" si="11"/>
        <v>0.64241398759165258</v>
      </c>
      <c r="F258">
        <f t="shared" si="12"/>
        <v>0.70408163265306134</v>
      </c>
    </row>
    <row r="259" spans="2:6" x14ac:dyDescent="0.3">
      <c r="B259" t="s">
        <v>83</v>
      </c>
      <c r="C259" s="1">
        <v>5972</v>
      </c>
      <c r="D259">
        <v>0.83599999999999997</v>
      </c>
      <c r="E259">
        <f t="shared" si="11"/>
        <v>0.64843015604436927</v>
      </c>
      <c r="F259">
        <f t="shared" si="12"/>
        <v>0.77210884353741494</v>
      </c>
    </row>
    <row r="260" spans="2:6" x14ac:dyDescent="0.3">
      <c r="B260" t="s">
        <v>82</v>
      </c>
      <c r="C260" s="1">
        <v>5985</v>
      </c>
      <c r="D260">
        <v>0.88400000000000001</v>
      </c>
      <c r="E260">
        <f t="shared" si="11"/>
        <v>0.65087422447828536</v>
      </c>
      <c r="F260">
        <f t="shared" si="12"/>
        <v>0.85374149659863952</v>
      </c>
    </row>
    <row r="261" spans="2:6" x14ac:dyDescent="0.3">
      <c r="B261" t="s">
        <v>81</v>
      </c>
      <c r="C261" s="1">
        <v>5992</v>
      </c>
      <c r="D261">
        <v>0.755</v>
      </c>
      <c r="E261">
        <f t="shared" si="11"/>
        <v>0.65219026132731717</v>
      </c>
      <c r="F261">
        <f t="shared" si="12"/>
        <v>0.63435374149659862</v>
      </c>
    </row>
    <row r="262" spans="2:6" x14ac:dyDescent="0.3">
      <c r="B262" t="s">
        <v>80</v>
      </c>
      <c r="C262" s="1">
        <v>6012</v>
      </c>
      <c r="D262">
        <v>0.83699999999999997</v>
      </c>
      <c r="E262">
        <f t="shared" si="11"/>
        <v>0.65595036661026507</v>
      </c>
      <c r="F262">
        <f t="shared" si="12"/>
        <v>0.77380952380952384</v>
      </c>
    </row>
    <row r="263" spans="2:6" x14ac:dyDescent="0.3">
      <c r="B263" t="s">
        <v>79</v>
      </c>
      <c r="C263" s="1">
        <v>6032</v>
      </c>
      <c r="D263">
        <v>0.71499999999999997</v>
      </c>
      <c r="E263">
        <f t="shared" si="11"/>
        <v>0.65971047189321297</v>
      </c>
      <c r="F263">
        <f t="shared" si="12"/>
        <v>0.56632653061224492</v>
      </c>
    </row>
    <row r="264" spans="2:6" x14ac:dyDescent="0.3">
      <c r="B264" t="s">
        <v>77</v>
      </c>
      <c r="C264" s="1">
        <v>6049</v>
      </c>
      <c r="D264">
        <v>0.86699999999999999</v>
      </c>
      <c r="E264">
        <f t="shared" si="11"/>
        <v>0.66290656138371873</v>
      </c>
      <c r="F264">
        <f t="shared" si="12"/>
        <v>0.82482993197278909</v>
      </c>
    </row>
    <row r="265" spans="2:6" x14ac:dyDescent="0.3">
      <c r="B265" t="s">
        <v>76</v>
      </c>
      <c r="C265" s="1">
        <v>6061</v>
      </c>
      <c r="D265">
        <v>0.88800000000000001</v>
      </c>
      <c r="E265">
        <f t="shared" si="11"/>
        <v>0.66516262455348751</v>
      </c>
      <c r="F265">
        <f t="shared" si="12"/>
        <v>0.8605442176870749</v>
      </c>
    </row>
    <row r="266" spans="2:6" x14ac:dyDescent="0.3">
      <c r="B266" t="s">
        <v>75</v>
      </c>
      <c r="C266" s="1">
        <v>6078</v>
      </c>
      <c r="D266">
        <v>0.77800000000000002</v>
      </c>
      <c r="E266">
        <f t="shared" si="11"/>
        <v>0.66835871404399327</v>
      </c>
      <c r="F266">
        <f t="shared" si="12"/>
        <v>0.67346938775510212</v>
      </c>
    </row>
    <row r="267" spans="2:6" x14ac:dyDescent="0.3">
      <c r="B267" t="s">
        <v>74</v>
      </c>
      <c r="C267" s="1">
        <v>6106</v>
      </c>
      <c r="D267">
        <v>0.86699999999999999</v>
      </c>
      <c r="E267">
        <f t="shared" si="11"/>
        <v>0.67362286144012029</v>
      </c>
      <c r="F267">
        <f t="shared" si="12"/>
        <v>0.82482993197278909</v>
      </c>
    </row>
    <row r="268" spans="2:6" x14ac:dyDescent="0.3">
      <c r="B268" t="s">
        <v>73</v>
      </c>
      <c r="C268" s="1">
        <v>6140</v>
      </c>
      <c r="D268">
        <v>0.84499999999999997</v>
      </c>
      <c r="E268">
        <f t="shared" si="11"/>
        <v>0.68001504042113181</v>
      </c>
      <c r="F268">
        <f t="shared" si="12"/>
        <v>0.7874149659863946</v>
      </c>
    </row>
    <row r="269" spans="2:6" x14ac:dyDescent="0.3">
      <c r="B269" t="s">
        <v>72</v>
      </c>
      <c r="C269" s="1">
        <v>6152</v>
      </c>
      <c r="D269">
        <v>0.85299999999999998</v>
      </c>
      <c r="E269">
        <f t="shared" si="11"/>
        <v>0.6822711035909006</v>
      </c>
      <c r="F269">
        <f t="shared" si="12"/>
        <v>0.80102040816326525</v>
      </c>
    </row>
    <row r="270" spans="2:6" x14ac:dyDescent="0.3">
      <c r="B270" t="s">
        <v>71</v>
      </c>
      <c r="C270" s="1">
        <v>6166</v>
      </c>
      <c r="D270">
        <v>0.84099999999999997</v>
      </c>
      <c r="E270">
        <f t="shared" si="11"/>
        <v>0.6849031772889641</v>
      </c>
      <c r="F270">
        <f t="shared" si="12"/>
        <v>0.78061224489795922</v>
      </c>
    </row>
    <row r="271" spans="2:6" x14ac:dyDescent="0.3">
      <c r="B271" t="s">
        <v>70</v>
      </c>
      <c r="C271" s="1">
        <v>6172</v>
      </c>
      <c r="D271">
        <v>0.74199999999999999</v>
      </c>
      <c r="E271">
        <f t="shared" si="11"/>
        <v>0.6860312088738485</v>
      </c>
      <c r="F271">
        <f t="shared" si="12"/>
        <v>0.61224489795918369</v>
      </c>
    </row>
    <row r="272" spans="2:6" x14ac:dyDescent="0.3">
      <c r="B272" t="s">
        <v>68</v>
      </c>
      <c r="C272" s="1">
        <v>6179</v>
      </c>
      <c r="D272">
        <v>0.97</v>
      </c>
      <c r="E272">
        <f t="shared" si="11"/>
        <v>0.6873472457228802</v>
      </c>
      <c r="F272">
        <f t="shared" si="12"/>
        <v>1</v>
      </c>
    </row>
    <row r="273" spans="2:6" x14ac:dyDescent="0.3">
      <c r="B273" t="s">
        <v>67</v>
      </c>
      <c r="C273" s="1">
        <v>6180</v>
      </c>
      <c r="D273">
        <v>0.872</v>
      </c>
      <c r="E273">
        <f t="shared" si="11"/>
        <v>0.68753525098702761</v>
      </c>
      <c r="F273">
        <f t="shared" si="12"/>
        <v>0.83333333333333337</v>
      </c>
    </row>
    <row r="274" spans="2:6" x14ac:dyDescent="0.3">
      <c r="B274" t="s">
        <v>66</v>
      </c>
      <c r="C274" s="1">
        <v>6189</v>
      </c>
      <c r="D274">
        <v>0.90900000000000003</v>
      </c>
      <c r="E274">
        <f t="shared" si="11"/>
        <v>0.68922729836435426</v>
      </c>
      <c r="F274">
        <f t="shared" si="12"/>
        <v>0.8962585034013606</v>
      </c>
    </row>
    <row r="275" spans="2:6" x14ac:dyDescent="0.3">
      <c r="B275" t="s">
        <v>65</v>
      </c>
      <c r="C275" s="1">
        <v>6223</v>
      </c>
      <c r="D275">
        <v>0.76300000000000001</v>
      </c>
      <c r="E275">
        <f t="shared" si="11"/>
        <v>0.69561947734536567</v>
      </c>
      <c r="F275">
        <f t="shared" si="12"/>
        <v>0.64795918367346939</v>
      </c>
    </row>
    <row r="276" spans="2:6" x14ac:dyDescent="0.3">
      <c r="B276" t="s">
        <v>64</v>
      </c>
      <c r="C276" s="1">
        <v>6255</v>
      </c>
      <c r="D276">
        <v>0.77300000000000002</v>
      </c>
      <c r="E276">
        <f t="shared" si="11"/>
        <v>0.70163564579808235</v>
      </c>
      <c r="F276">
        <f t="shared" si="12"/>
        <v>0.66496598639455784</v>
      </c>
    </row>
    <row r="277" spans="2:6" x14ac:dyDescent="0.3">
      <c r="B277" t="s">
        <v>63</v>
      </c>
      <c r="C277" s="1">
        <v>6309</v>
      </c>
      <c r="D277">
        <v>0.89</v>
      </c>
      <c r="E277">
        <f t="shared" si="11"/>
        <v>0.71178793006204177</v>
      </c>
      <c r="F277">
        <f t="shared" si="12"/>
        <v>0.86394557823129259</v>
      </c>
    </row>
    <row r="278" spans="2:6" x14ac:dyDescent="0.3">
      <c r="B278" t="s">
        <v>62</v>
      </c>
      <c r="C278" s="1">
        <v>6317</v>
      </c>
      <c r="D278">
        <v>0.86199999999999999</v>
      </c>
      <c r="E278">
        <f t="shared" si="11"/>
        <v>0.71329197217522089</v>
      </c>
      <c r="F278">
        <f t="shared" si="12"/>
        <v>0.81632653061224492</v>
      </c>
    </row>
    <row r="279" spans="2:6" x14ac:dyDescent="0.3">
      <c r="B279" t="s">
        <v>61</v>
      </c>
      <c r="C279" s="1">
        <v>6330</v>
      </c>
      <c r="D279">
        <v>0.80400000000000005</v>
      </c>
      <c r="E279">
        <f t="shared" si="11"/>
        <v>0.71573604060913709</v>
      </c>
      <c r="F279">
        <f t="shared" si="12"/>
        <v>0.7176870748299321</v>
      </c>
    </row>
    <row r="280" spans="2:6" x14ac:dyDescent="0.3">
      <c r="B280" t="s">
        <v>60</v>
      </c>
      <c r="C280" s="1">
        <v>6331</v>
      </c>
      <c r="D280">
        <v>0.76600000000000001</v>
      </c>
      <c r="E280">
        <f t="shared" si="11"/>
        <v>0.7159240458732844</v>
      </c>
      <c r="F280">
        <f t="shared" si="12"/>
        <v>0.65306122448979598</v>
      </c>
    </row>
    <row r="281" spans="2:6" x14ac:dyDescent="0.3">
      <c r="B281" t="s">
        <v>59</v>
      </c>
      <c r="C281" s="1">
        <v>6372</v>
      </c>
      <c r="D281">
        <v>0.86899999999999999</v>
      </c>
      <c r="E281">
        <f t="shared" si="11"/>
        <v>0.72363226170332773</v>
      </c>
      <c r="F281">
        <f t="shared" si="12"/>
        <v>0.82823129251700678</v>
      </c>
    </row>
    <row r="282" spans="2:6" x14ac:dyDescent="0.3">
      <c r="B282" t="s">
        <v>57</v>
      </c>
      <c r="C282" s="1">
        <v>6377</v>
      </c>
      <c r="D282">
        <v>0.92700000000000005</v>
      </c>
      <c r="E282">
        <f t="shared" si="11"/>
        <v>0.7245722880240647</v>
      </c>
      <c r="F282">
        <f t="shared" si="12"/>
        <v>0.92687074829931981</v>
      </c>
    </row>
    <row r="283" spans="2:6" x14ac:dyDescent="0.3">
      <c r="B283" t="s">
        <v>56</v>
      </c>
      <c r="C283" s="1">
        <v>6431</v>
      </c>
      <c r="D283">
        <v>0.89600000000000002</v>
      </c>
      <c r="E283">
        <f t="shared" si="11"/>
        <v>0.73472457228802401</v>
      </c>
      <c r="F283">
        <f t="shared" si="12"/>
        <v>0.87414965986394566</v>
      </c>
    </row>
    <row r="284" spans="2:6" x14ac:dyDescent="0.3">
      <c r="B284" t="s">
        <v>55</v>
      </c>
      <c r="C284" s="1">
        <v>6435</v>
      </c>
      <c r="D284">
        <v>0.90600000000000003</v>
      </c>
      <c r="E284">
        <f t="shared" si="11"/>
        <v>0.73547659334461368</v>
      </c>
      <c r="F284">
        <f t="shared" si="12"/>
        <v>0.89115646258503411</v>
      </c>
    </row>
    <row r="285" spans="2:6" x14ac:dyDescent="0.3">
      <c r="B285" t="s">
        <v>54</v>
      </c>
      <c r="C285" s="1">
        <v>6461</v>
      </c>
      <c r="D285">
        <v>0.94899999999999995</v>
      </c>
      <c r="E285">
        <f t="shared" si="11"/>
        <v>0.74036473021244598</v>
      </c>
      <c r="F285">
        <f t="shared" si="12"/>
        <v>0.9642857142857143</v>
      </c>
    </row>
    <row r="286" spans="2:6" x14ac:dyDescent="0.3">
      <c r="B286" t="s">
        <v>53</v>
      </c>
      <c r="C286" s="1">
        <v>6483</v>
      </c>
      <c r="D286">
        <v>0.69299999999999995</v>
      </c>
      <c r="E286">
        <f t="shared" si="11"/>
        <v>0.74450084602368871</v>
      </c>
      <c r="F286">
        <f t="shared" si="12"/>
        <v>0.52891156462585032</v>
      </c>
    </row>
    <row r="287" spans="2:6" x14ac:dyDescent="0.3">
      <c r="B287" t="s">
        <v>52</v>
      </c>
      <c r="C287" s="1">
        <v>6491</v>
      </c>
      <c r="D287">
        <v>0.76100000000000001</v>
      </c>
      <c r="E287">
        <f t="shared" si="11"/>
        <v>0.74600488813686783</v>
      </c>
      <c r="F287">
        <f t="shared" si="12"/>
        <v>0.64455782312925169</v>
      </c>
    </row>
    <row r="288" spans="2:6" x14ac:dyDescent="0.3">
      <c r="B288" t="s">
        <v>51</v>
      </c>
      <c r="C288" s="1">
        <v>6494</v>
      </c>
      <c r="D288">
        <v>0.877</v>
      </c>
      <c r="E288">
        <f t="shared" si="11"/>
        <v>0.74656890392930997</v>
      </c>
      <c r="F288">
        <f t="shared" si="12"/>
        <v>0.84183673469387754</v>
      </c>
    </row>
    <row r="289" spans="2:6" x14ac:dyDescent="0.3">
      <c r="B289" t="s">
        <v>50</v>
      </c>
      <c r="C289" s="1">
        <v>6561</v>
      </c>
      <c r="D289">
        <v>0.93200000000000005</v>
      </c>
      <c r="E289">
        <f t="shared" si="11"/>
        <v>0.75916525662718559</v>
      </c>
      <c r="F289">
        <f t="shared" si="12"/>
        <v>0.9353741496598641</v>
      </c>
    </row>
    <row r="290" spans="2:6" x14ac:dyDescent="0.3">
      <c r="B290" t="s">
        <v>48</v>
      </c>
      <c r="C290" s="1">
        <v>6584</v>
      </c>
      <c r="D290">
        <v>0.78400000000000003</v>
      </c>
      <c r="E290">
        <f t="shared" si="11"/>
        <v>0.76348937770257563</v>
      </c>
      <c r="F290">
        <f t="shared" si="12"/>
        <v>0.68367346938775519</v>
      </c>
    </row>
    <row r="291" spans="2:6" x14ac:dyDescent="0.3">
      <c r="B291" t="s">
        <v>47</v>
      </c>
      <c r="C291" s="1">
        <v>6602</v>
      </c>
      <c r="D291">
        <v>0.92700000000000005</v>
      </c>
      <c r="E291">
        <f t="shared" si="11"/>
        <v>0.76687347245722881</v>
      </c>
      <c r="F291">
        <f t="shared" si="12"/>
        <v>0.92687074829931981</v>
      </c>
    </row>
    <row r="292" spans="2:6" x14ac:dyDescent="0.3">
      <c r="B292" t="s">
        <v>46</v>
      </c>
      <c r="C292" s="1">
        <v>6647</v>
      </c>
      <c r="D292">
        <v>0.92500000000000004</v>
      </c>
      <c r="E292">
        <f t="shared" si="11"/>
        <v>0.77533370934386159</v>
      </c>
      <c r="F292">
        <f t="shared" si="12"/>
        <v>0.92346938775510212</v>
      </c>
    </row>
    <row r="293" spans="2:6" x14ac:dyDescent="0.3">
      <c r="B293" t="s">
        <v>45</v>
      </c>
      <c r="C293" s="1">
        <v>6690</v>
      </c>
      <c r="D293">
        <v>0.82199999999999995</v>
      </c>
      <c r="E293">
        <f t="shared" si="11"/>
        <v>0.78341793570219964</v>
      </c>
      <c r="F293">
        <f t="shared" si="12"/>
        <v>0.7482993197278911</v>
      </c>
    </row>
    <row r="294" spans="2:6" x14ac:dyDescent="0.3">
      <c r="B294" t="s">
        <v>44</v>
      </c>
      <c r="C294" s="1">
        <v>6834</v>
      </c>
      <c r="D294">
        <v>0.78300000000000003</v>
      </c>
      <c r="E294">
        <f t="shared" ref="E294:E313" si="13">(C294-$C$165)/$C$316</f>
        <v>0.81049069373942473</v>
      </c>
      <c r="F294">
        <f t="shared" ref="F294:F313" si="14">(D294-$D$314)/$D$316</f>
        <v>0.68197278911564629</v>
      </c>
    </row>
    <row r="295" spans="2:6" x14ac:dyDescent="0.3">
      <c r="B295" t="s">
        <v>43</v>
      </c>
      <c r="C295" s="1">
        <v>6951</v>
      </c>
      <c r="D295">
        <v>0.83699999999999997</v>
      </c>
      <c r="E295">
        <f t="shared" si="13"/>
        <v>0.8324873096446701</v>
      </c>
      <c r="F295">
        <f t="shared" si="14"/>
        <v>0.77380952380952384</v>
      </c>
    </row>
    <row r="296" spans="2:6" x14ac:dyDescent="0.3">
      <c r="B296" t="s">
        <v>41</v>
      </c>
      <c r="C296" s="1">
        <v>6965</v>
      </c>
      <c r="D296">
        <v>0.85799999999999998</v>
      </c>
      <c r="E296">
        <f t="shared" si="13"/>
        <v>0.83511938334273361</v>
      </c>
      <c r="F296">
        <f t="shared" si="14"/>
        <v>0.80952380952380953</v>
      </c>
    </row>
    <row r="297" spans="2:6" x14ac:dyDescent="0.3">
      <c r="B297" t="s">
        <v>40</v>
      </c>
      <c r="C297" s="1">
        <v>7064</v>
      </c>
      <c r="D297">
        <v>0.85899999999999999</v>
      </c>
      <c r="E297">
        <f t="shared" si="13"/>
        <v>0.85373190449332581</v>
      </c>
      <c r="F297">
        <f t="shared" si="14"/>
        <v>0.81122448979591832</v>
      </c>
    </row>
    <row r="298" spans="2:6" x14ac:dyDescent="0.3">
      <c r="B298" t="s">
        <v>38</v>
      </c>
      <c r="C298" s="1">
        <v>7069</v>
      </c>
      <c r="D298">
        <v>0.93400000000000005</v>
      </c>
      <c r="E298">
        <f t="shared" si="13"/>
        <v>0.85467193081406279</v>
      </c>
      <c r="F298">
        <f t="shared" si="14"/>
        <v>0.93877551020408179</v>
      </c>
    </row>
    <row r="299" spans="2:6" x14ac:dyDescent="0.3">
      <c r="B299" t="s">
        <v>37</v>
      </c>
      <c r="C299" s="1">
        <v>7085</v>
      </c>
      <c r="D299">
        <v>0.879</v>
      </c>
      <c r="E299">
        <f t="shared" si="13"/>
        <v>0.85768001504042113</v>
      </c>
      <c r="F299">
        <f t="shared" si="14"/>
        <v>0.84523809523809523</v>
      </c>
    </row>
    <row r="300" spans="2:6" x14ac:dyDescent="0.3">
      <c r="B300" t="s">
        <v>36</v>
      </c>
      <c r="C300" s="1">
        <v>7103</v>
      </c>
      <c r="D300">
        <v>0.91500000000000004</v>
      </c>
      <c r="E300">
        <f t="shared" si="13"/>
        <v>0.86106410979507431</v>
      </c>
      <c r="F300">
        <f t="shared" si="14"/>
        <v>0.90646258503401367</v>
      </c>
    </row>
    <row r="301" spans="2:6" x14ac:dyDescent="0.3">
      <c r="B301" t="s">
        <v>35</v>
      </c>
      <c r="C301" s="1">
        <v>7155</v>
      </c>
      <c r="D301">
        <v>0.875</v>
      </c>
      <c r="E301">
        <f t="shared" si="13"/>
        <v>0.87084038353073889</v>
      </c>
      <c r="F301">
        <f t="shared" si="14"/>
        <v>0.83843537414965985</v>
      </c>
    </row>
    <row r="302" spans="2:6" x14ac:dyDescent="0.3">
      <c r="B302" t="s">
        <v>33</v>
      </c>
      <c r="C302" s="1">
        <v>7157</v>
      </c>
      <c r="D302">
        <v>0.8</v>
      </c>
      <c r="E302">
        <f t="shared" si="13"/>
        <v>0.87121639405903362</v>
      </c>
      <c r="F302">
        <f t="shared" si="14"/>
        <v>0.71088435374149672</v>
      </c>
    </row>
    <row r="303" spans="2:6" x14ac:dyDescent="0.3">
      <c r="B303" t="s">
        <v>32</v>
      </c>
      <c r="C303" s="1">
        <v>7183</v>
      </c>
      <c r="D303">
        <v>0.91400000000000003</v>
      </c>
      <c r="E303">
        <f t="shared" si="13"/>
        <v>0.87610453092686591</v>
      </c>
      <c r="F303">
        <f t="shared" si="14"/>
        <v>0.90476190476190488</v>
      </c>
    </row>
    <row r="304" spans="2:6" x14ac:dyDescent="0.3">
      <c r="B304" t="s">
        <v>31</v>
      </c>
      <c r="C304" s="1">
        <v>7268</v>
      </c>
      <c r="D304">
        <v>0.90800000000000003</v>
      </c>
      <c r="E304">
        <f t="shared" si="13"/>
        <v>0.8920849783793946</v>
      </c>
      <c r="F304">
        <f t="shared" si="14"/>
        <v>0.89455782312925181</v>
      </c>
    </row>
    <row r="305" spans="2:6" x14ac:dyDescent="0.3">
      <c r="B305" t="s">
        <v>29</v>
      </c>
      <c r="C305" s="1">
        <v>7277</v>
      </c>
      <c r="D305">
        <v>0.92900000000000005</v>
      </c>
      <c r="E305">
        <f t="shared" si="13"/>
        <v>0.89377702575672113</v>
      </c>
      <c r="F305">
        <f t="shared" si="14"/>
        <v>0.9302721088435375</v>
      </c>
    </row>
    <row r="306" spans="2:6" x14ac:dyDescent="0.3">
      <c r="B306" t="s">
        <v>28</v>
      </c>
      <c r="C306" s="1">
        <v>7324</v>
      </c>
      <c r="D306">
        <v>0.90700000000000003</v>
      </c>
      <c r="E306">
        <f t="shared" si="13"/>
        <v>0.90261327317164886</v>
      </c>
      <c r="F306">
        <f t="shared" si="14"/>
        <v>0.8928571428571429</v>
      </c>
    </row>
    <row r="307" spans="2:6" x14ac:dyDescent="0.3">
      <c r="B307" t="s">
        <v>27</v>
      </c>
      <c r="C307" s="1">
        <v>7363</v>
      </c>
      <c r="D307">
        <v>0.94499999999999995</v>
      </c>
      <c r="E307">
        <f t="shared" si="13"/>
        <v>0.90994547847339724</v>
      </c>
      <c r="F307">
        <f t="shared" si="14"/>
        <v>0.95748299319727892</v>
      </c>
    </row>
    <row r="308" spans="2:6" x14ac:dyDescent="0.3">
      <c r="B308" t="s">
        <v>26</v>
      </c>
      <c r="C308" s="1">
        <v>7392</v>
      </c>
      <c r="D308">
        <v>0.96</v>
      </c>
      <c r="E308">
        <f t="shared" si="13"/>
        <v>0.91539763113367179</v>
      </c>
      <c r="F308">
        <f t="shared" si="14"/>
        <v>0.98299319727891155</v>
      </c>
    </row>
    <row r="309" spans="2:6" x14ac:dyDescent="0.3">
      <c r="B309" t="s">
        <v>25</v>
      </c>
      <c r="C309" s="1">
        <v>7464</v>
      </c>
      <c r="D309">
        <v>0.91300000000000003</v>
      </c>
      <c r="E309">
        <f t="shared" si="13"/>
        <v>0.92893401015228427</v>
      </c>
      <c r="F309">
        <f t="shared" si="14"/>
        <v>0.90306122448979598</v>
      </c>
    </row>
    <row r="310" spans="2:6" x14ac:dyDescent="0.3">
      <c r="B310" t="s">
        <v>24</v>
      </c>
      <c r="C310" s="1">
        <v>7554</v>
      </c>
      <c r="D310">
        <v>0.95499999999999996</v>
      </c>
      <c r="E310">
        <f t="shared" si="13"/>
        <v>0.94585448392554994</v>
      </c>
      <c r="F310">
        <f t="shared" si="14"/>
        <v>0.97448979591836737</v>
      </c>
    </row>
    <row r="311" spans="2:6" x14ac:dyDescent="0.3">
      <c r="B311" t="s">
        <v>23</v>
      </c>
      <c r="C311" s="1">
        <v>7571</v>
      </c>
      <c r="D311">
        <v>0.91900000000000004</v>
      </c>
      <c r="E311">
        <f t="shared" si="13"/>
        <v>0.9490505734160557</v>
      </c>
      <c r="F311">
        <f t="shared" si="14"/>
        <v>0.91326530612244905</v>
      </c>
    </row>
    <row r="312" spans="2:6" x14ac:dyDescent="0.3">
      <c r="B312" t="s">
        <v>22</v>
      </c>
      <c r="C312" s="1">
        <v>7620</v>
      </c>
      <c r="D312">
        <v>0.94599999999999995</v>
      </c>
      <c r="E312">
        <f t="shared" si="13"/>
        <v>0.95826283135927803</v>
      </c>
      <c r="F312">
        <f t="shared" si="14"/>
        <v>0.95918367346938771</v>
      </c>
    </row>
    <row r="313" spans="2:6" x14ac:dyDescent="0.3">
      <c r="B313" t="s">
        <v>20</v>
      </c>
      <c r="C313" s="1">
        <v>7842</v>
      </c>
      <c r="D313">
        <v>0.94899999999999995</v>
      </c>
      <c r="E313">
        <f t="shared" si="13"/>
        <v>1</v>
      </c>
      <c r="F313">
        <f t="shared" si="14"/>
        <v>0.9642857142857143</v>
      </c>
    </row>
    <row r="314" spans="2:6" x14ac:dyDescent="0.3">
      <c r="B314" t="s">
        <v>259</v>
      </c>
      <c r="C314" s="1">
        <f>MIN(C165)</f>
        <v>2523</v>
      </c>
      <c r="D314">
        <f>MIN(D165:D313)</f>
        <v>0.38200000000000001</v>
      </c>
    </row>
    <row r="315" spans="2:6" x14ac:dyDescent="0.3">
      <c r="B315" t="s">
        <v>260</v>
      </c>
      <c r="C315" s="1">
        <f>C313</f>
        <v>7842</v>
      </c>
      <c r="D315">
        <f>MAX(D165:D313)</f>
        <v>0.97</v>
      </c>
    </row>
    <row r="316" spans="2:6" x14ac:dyDescent="0.3">
      <c r="B316" t="s">
        <v>261</v>
      </c>
      <c r="C316" s="1">
        <f>C315-C314</f>
        <v>5319</v>
      </c>
      <c r="D316">
        <f>D315-D314</f>
        <v>0.58799999999999997</v>
      </c>
    </row>
  </sheetData>
  <autoFilter ref="A10:D159" xr:uid="{0D1A9249-9C44-471D-8CB4-CAC3C213A2BD}">
    <filterColumn colId="1">
      <filters>
        <filter val="Middle East and North Africa"/>
        <filter val="Sub-Saharan Africa"/>
      </filters>
    </filterColumn>
    <sortState xmlns:xlrd2="http://schemas.microsoft.com/office/spreadsheetml/2017/richdata2" ref="A22:D158">
      <sortCondition descending="1" ref="C10:C159"/>
    </sortState>
  </autoFilter>
  <sortState xmlns:xlrd2="http://schemas.microsoft.com/office/spreadsheetml/2017/richdata2" ref="B165:D313">
    <sortCondition ref="C165:C313"/>
  </sortState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2F82B-22E6-430C-8E77-993E8438F359}">
  <sheetPr filterMode="1"/>
  <dimension ref="A1:E150"/>
  <sheetViews>
    <sheetView workbookViewId="0">
      <selection activeCell="D132" sqref="D132"/>
    </sheetView>
  </sheetViews>
  <sheetFormatPr defaultRowHeight="14.4" x14ac:dyDescent="0.3"/>
  <sheetData>
    <row r="1" spans="1:5" x14ac:dyDescent="0.3">
      <c r="A1" t="s">
        <v>1</v>
      </c>
      <c r="B1" t="s">
        <v>0</v>
      </c>
      <c r="C1" t="s">
        <v>290</v>
      </c>
      <c r="D1" t="s">
        <v>287</v>
      </c>
    </row>
    <row r="2" spans="1:5" hidden="1" x14ac:dyDescent="0.3">
      <c r="A2" t="s">
        <v>21</v>
      </c>
      <c r="B2" t="s">
        <v>20</v>
      </c>
      <c r="C2">
        <f>7842/(1000)</f>
        <v>7.8419999999999996</v>
      </c>
      <c r="D2">
        <v>7.6803345000000007</v>
      </c>
      <c r="E2">
        <f>-2.2372+0.2795*Sheet5!D2+ 2.4762*Sheet5!E2+ 0.0303*Sheet5!F2+ 2.0105*0.95+ 0.3644*Sheet5!H2- 0.6051*Sheet5!I2</f>
        <v>7.0800225000000001</v>
      </c>
    </row>
    <row r="3" spans="1:5" hidden="1" x14ac:dyDescent="0.3">
      <c r="A3" t="s">
        <v>21</v>
      </c>
      <c r="B3" t="s">
        <v>22</v>
      </c>
      <c r="C3">
        <f>7620/(1000)</f>
        <v>7.62</v>
      </c>
      <c r="D3">
        <v>7.7993851000000003</v>
      </c>
      <c r="E3">
        <f>-2.2372+0.2795*Sheet5!D3+ 2.4762*Sheet5!E3+ 0.0303*Sheet5!F3+ 2.0105*0.95+ 0.3644*Sheet5!H3- 0.6051*Sheet5!I3</f>
        <v>7.1962723999999998</v>
      </c>
    </row>
    <row r="4" spans="1:5" hidden="1" x14ac:dyDescent="0.3">
      <c r="A4" t="s">
        <v>21</v>
      </c>
      <c r="B4" t="s">
        <v>23</v>
      </c>
      <c r="C4">
        <f>7571/(1000)</f>
        <v>7.5709999999999997</v>
      </c>
      <c r="D4">
        <v>7.7584125000000004</v>
      </c>
      <c r="E4">
        <f>-2.2372+0.2795*Sheet5!D4+ 2.4762*Sheet5!E4+ 0.0303*Sheet5!F4+ 2.0105*0.95+ 0.3644*Sheet5!H4- 0.6051*Sheet5!I4</f>
        <v>7.1992976999999989</v>
      </c>
    </row>
    <row r="5" spans="1:5" hidden="1" x14ac:dyDescent="0.3">
      <c r="A5" t="s">
        <v>21</v>
      </c>
      <c r="B5" t="s">
        <v>24</v>
      </c>
      <c r="C5">
        <f>7554/(1000)</f>
        <v>7.5540000000000003</v>
      </c>
      <c r="D5">
        <v>7.6283849999999997</v>
      </c>
      <c r="E5">
        <f>-2.2372+0.2795*Sheet5!D5+ 2.4762*Sheet5!E5+ 0.0303*Sheet5!F5+ 2.0105*0.95+ 0.3644*Sheet5!H5- 0.6051*Sheet5!I5</f>
        <v>7.0102522999999994</v>
      </c>
    </row>
    <row r="6" spans="1:5" hidden="1" x14ac:dyDescent="0.3">
      <c r="A6" t="s">
        <v>21</v>
      </c>
      <c r="B6" t="s">
        <v>25</v>
      </c>
      <c r="C6">
        <f>7464/(1000)</f>
        <v>7.4640000000000004</v>
      </c>
      <c r="D6">
        <v>7.6505259000000008</v>
      </c>
      <c r="E6">
        <f>-2.2372+0.2795*Sheet5!D6+ 2.4762*Sheet5!E6+ 0.0303*Sheet5!F6+ 2.0105*0.95+ 0.3644*Sheet5!H6- 0.6051*Sheet5!I6</f>
        <v>7.1138155999999997</v>
      </c>
    </row>
    <row r="7" spans="1:5" hidden="1" x14ac:dyDescent="0.3">
      <c r="A7" t="s">
        <v>21</v>
      </c>
      <c r="B7" t="s">
        <v>26</v>
      </c>
      <c r="C7">
        <f>7392/(1000)</f>
        <v>7.3920000000000003</v>
      </c>
      <c r="D7">
        <v>7.8538532000000023</v>
      </c>
      <c r="E7">
        <f>-2.2372+0.2795*Sheet5!D7+ 2.4762*Sheet5!E7+ 0.0303*Sheet5!F7+ 2.0105*0.95+ 0.3644*Sheet5!H7- 0.6051*Sheet5!I7</f>
        <v>7.2158855000000006</v>
      </c>
    </row>
    <row r="8" spans="1:5" hidden="1" x14ac:dyDescent="0.3">
      <c r="A8" t="s">
        <v>21</v>
      </c>
      <c r="B8" t="s">
        <v>27</v>
      </c>
      <c r="C8">
        <f>7363/(1000)</f>
        <v>7.3630000000000004</v>
      </c>
      <c r="D8">
        <v>7.7110247999999997</v>
      </c>
      <c r="E8">
        <f>-2.2372+0.2795*Sheet5!D8+ 2.4762*Sheet5!E8+ 0.0303*Sheet5!F8+ 2.0105*0.95+ 0.3644*Sheet5!H8- 0.6051*Sheet5!I8</f>
        <v>7.1136120000000007</v>
      </c>
    </row>
    <row r="9" spans="1:5" hidden="1" x14ac:dyDescent="0.3">
      <c r="A9" t="s">
        <v>21</v>
      </c>
      <c r="B9" t="s">
        <v>28</v>
      </c>
      <c r="C9">
        <f>7324/(1000)</f>
        <v>7.3239999999999998</v>
      </c>
      <c r="D9">
        <v>7.6949387000000007</v>
      </c>
      <c r="E9">
        <f>-2.2372+0.2795*Sheet5!D9+ 2.4762*Sheet5!E9+ 0.0303*Sheet5!F9+ 2.0105*0.95+ 0.3644*Sheet5!H9- 0.6051*Sheet5!I9</f>
        <v>7.1303229000000004</v>
      </c>
    </row>
    <row r="10" spans="1:5" hidden="1" x14ac:dyDescent="0.3">
      <c r="A10" t="s">
        <v>30</v>
      </c>
      <c r="B10" t="s">
        <v>29</v>
      </c>
      <c r="C10">
        <f>7277/(1000)</f>
        <v>7.2770000000000001</v>
      </c>
      <c r="D10">
        <v>7.6740697000000013</v>
      </c>
      <c r="E10">
        <f>-2.2372+0.2795*Sheet5!D10+ 2.4762*Sheet5!E10+ 0.0303*Sheet5!F10+ 2.0105*0.95+ 0.3644*Sheet5!H10- 0.6051*Sheet5!I10</f>
        <v>7.1213465000000005</v>
      </c>
    </row>
    <row r="11" spans="1:5" hidden="1" x14ac:dyDescent="0.3">
      <c r="A11" t="s">
        <v>21</v>
      </c>
      <c r="B11" t="s">
        <v>31</v>
      </c>
      <c r="C11">
        <f>7268/(1000)</f>
        <v>7.2679999999999998</v>
      </c>
      <c r="D11">
        <v>7.5042189000000006</v>
      </c>
      <c r="E11">
        <f>-2.2372+0.2795*Sheet5!D11+ 2.4762*Sheet5!E11+ 0.0303*Sheet5!F11+ 2.0105*0.95+ 0.3644*Sheet5!H11- 0.6051*Sheet5!I11</f>
        <v>6.9790144999999999</v>
      </c>
    </row>
    <row r="12" spans="1:5" hidden="1" x14ac:dyDescent="0.3">
      <c r="A12" t="s">
        <v>30</v>
      </c>
      <c r="B12" t="s">
        <v>32</v>
      </c>
      <c r="C12">
        <f>7183/(1000)</f>
        <v>7.1829999999999998</v>
      </c>
      <c r="D12">
        <v>7.5786587999999995</v>
      </c>
      <c r="E12">
        <f>-2.2372+0.2795*Sheet5!D12+ 2.4762*Sheet5!E12+ 0.0303*Sheet5!F12+ 2.0105*0.95+ 0.3644*Sheet5!H12- 0.6051*Sheet5!I12</f>
        <v>7.047540399999999</v>
      </c>
    </row>
    <row r="13" spans="1:5" x14ac:dyDescent="0.3">
      <c r="A13" t="s">
        <v>34</v>
      </c>
      <c r="B13" t="s">
        <v>138</v>
      </c>
      <c r="C13">
        <f>7157/(1000)</f>
        <v>7.157</v>
      </c>
      <c r="D13">
        <v>5.3675607000000003</v>
      </c>
    </row>
    <row r="14" spans="1:5" hidden="1" x14ac:dyDescent="0.3">
      <c r="A14" t="s">
        <v>21</v>
      </c>
      <c r="B14" t="s">
        <v>35</v>
      </c>
      <c r="C14">
        <f>7155/(1000)</f>
        <v>7.1550000000000002</v>
      </c>
      <c r="D14">
        <v>7.3272126999999996</v>
      </c>
      <c r="E14">
        <f>-2.2372+0.2795*Sheet5!D14+ 2.4762*Sheet5!E14+ 0.0303*Sheet5!F14+ 2.0105*0.95+ 0.3644*Sheet5!H14- 0.6051*Sheet5!I14</f>
        <v>6.8701994999999991</v>
      </c>
    </row>
    <row r="15" spans="1:5" hidden="1" x14ac:dyDescent="0.3">
      <c r="A15" t="s">
        <v>30</v>
      </c>
      <c r="B15" t="s">
        <v>36</v>
      </c>
      <c r="C15">
        <f>7103/(1000)</f>
        <v>7.1029999999999998</v>
      </c>
      <c r="D15">
        <v>7.5270941999999996</v>
      </c>
      <c r="E15">
        <f>-2.2372+0.2795*Sheet5!D15+ 2.4762*Sheet5!E15+ 0.0303*Sheet5!F15+ 2.0105*0.95+ 0.3644*Sheet5!H15- 0.6051*Sheet5!I15</f>
        <v>6.9950832999999983</v>
      </c>
    </row>
    <row r="16" spans="1:5" hidden="1" x14ac:dyDescent="0.3">
      <c r="A16" t="s">
        <v>21</v>
      </c>
      <c r="B16" t="s">
        <v>37</v>
      </c>
      <c r="C16">
        <f>7085/(1000)</f>
        <v>7.085</v>
      </c>
      <c r="D16">
        <v>7.681225200000001</v>
      </c>
      <c r="E16">
        <f>-2.2372+0.2795*Sheet5!D16+ 2.4762*Sheet5!E16+ 0.0303*Sheet5!F16+ 2.0105*0.95+ 0.3644*Sheet5!H16- 0.6051*Sheet5!I16</f>
        <v>7.1899529000000006</v>
      </c>
    </row>
    <row r="17" spans="1:5" hidden="1" x14ac:dyDescent="0.3">
      <c r="A17" t="s">
        <v>39</v>
      </c>
      <c r="B17" t="s">
        <v>38</v>
      </c>
      <c r="C17">
        <f>7069/(1000)</f>
        <v>7.069</v>
      </c>
      <c r="D17">
        <v>6.7886328999999996</v>
      </c>
      <c r="E17">
        <f>-2.2372+0.2795*Sheet5!D17+ 2.4762*Sheet5!E17+ 0.0303*Sheet5!F17+ 2.0105*0.95+ 0.3644*Sheet5!H17- 0.6051*Sheet5!I17</f>
        <v>6.2685088999999996</v>
      </c>
    </row>
    <row r="18" spans="1:5" hidden="1" x14ac:dyDescent="0.3">
      <c r="A18" t="s">
        <v>21</v>
      </c>
      <c r="B18" t="s">
        <v>40</v>
      </c>
      <c r="C18">
        <f>7064/(1000)</f>
        <v>7.0640000000000001</v>
      </c>
      <c r="D18">
        <v>7.3976323999999991</v>
      </c>
      <c r="E18">
        <f>-2.2372+0.2795*Sheet5!D18+ 2.4762*Sheet5!E18+ 0.0303*Sheet5!F18+ 2.0105*0.95+ 0.3644*Sheet5!H18- 0.6051*Sheet5!I18</f>
        <v>6.9820665999999987</v>
      </c>
    </row>
    <row r="19" spans="1:5" hidden="1" x14ac:dyDescent="0.3">
      <c r="A19" t="s">
        <v>42</v>
      </c>
      <c r="B19" t="s">
        <v>41</v>
      </c>
      <c r="C19">
        <f>6965/(1000)</f>
        <v>6.9649999999999999</v>
      </c>
      <c r="D19">
        <v>6.9176828999999991</v>
      </c>
      <c r="E19">
        <f>-2.2372+0.2795*Sheet5!D19+ 2.4762*Sheet5!E19+ 0.0303*Sheet5!F19+ 2.0105*0.95+ 0.3644*Sheet5!H19- 0.6051*Sheet5!I19</f>
        <v>6.5125684999999987</v>
      </c>
    </row>
    <row r="20" spans="1:5" hidden="1" x14ac:dyDescent="0.3">
      <c r="A20" t="s">
        <v>30</v>
      </c>
      <c r="B20" t="s">
        <v>43</v>
      </c>
      <c r="C20">
        <f>6951/(1000)</f>
        <v>6.9509999999999996</v>
      </c>
      <c r="D20">
        <v>7.1006181000000002</v>
      </c>
      <c r="E20">
        <f>-2.2372+0.2795*Sheet5!D20+ 2.4762*Sheet5!E20+ 0.0303*Sheet5!F20+ 2.0105*0.95+ 0.3644*Sheet5!H20- 0.6051*Sheet5!I20</f>
        <v>6.7116189000000004</v>
      </c>
    </row>
    <row r="21" spans="1:5" hidden="1" x14ac:dyDescent="0.3">
      <c r="A21" t="s">
        <v>21</v>
      </c>
      <c r="B21" t="s">
        <v>44</v>
      </c>
      <c r="C21">
        <f>6834/(1000)</f>
        <v>6.8339999999999996</v>
      </c>
      <c r="D21">
        <v>6.9514748000000006</v>
      </c>
      <c r="E21">
        <f>-2.2372+0.2795*Sheet5!D21+ 2.4762*Sheet5!E21+ 0.0303*Sheet5!F21+ 2.0105*0.95+ 0.3644*Sheet5!H21- 0.6051*Sheet5!I21</f>
        <v>6.6822226000000002</v>
      </c>
    </row>
    <row r="22" spans="1:5" hidden="1" x14ac:dyDescent="0.3">
      <c r="A22" t="s">
        <v>21</v>
      </c>
      <c r="B22" t="s">
        <v>45</v>
      </c>
      <c r="C22">
        <f>6690/(1000)</f>
        <v>6.69</v>
      </c>
      <c r="D22">
        <v>7.1812541000000003</v>
      </c>
      <c r="E22">
        <f>-2.2372+0.2795*Sheet5!D22+ 2.4762*Sheet5!E22+ 0.0303*Sheet5!F22+ 2.0105*0.95+ 0.3644*Sheet5!H22- 0.6051*Sheet5!I22</f>
        <v>6.8402445000000007</v>
      </c>
    </row>
    <row r="23" spans="1:5" x14ac:dyDescent="0.3">
      <c r="A23" t="s">
        <v>78</v>
      </c>
      <c r="B23" t="s">
        <v>128</v>
      </c>
      <c r="C23">
        <f>6647/(1000)</f>
        <v>6.6470000000000002</v>
      </c>
      <c r="D23">
        <v>4.4534333000000004</v>
      </c>
    </row>
    <row r="24" spans="1:5" hidden="1" x14ac:dyDescent="0.3">
      <c r="A24" t="s">
        <v>21</v>
      </c>
      <c r="B24" t="s">
        <v>47</v>
      </c>
      <c r="C24">
        <f>6602/(1000)</f>
        <v>6.6020000000000003</v>
      </c>
      <c r="D24">
        <v>7.3529302000000003</v>
      </c>
      <c r="E24">
        <f>-2.2372+0.2795*Sheet5!D24+ 2.4762*Sheet5!E24+ 0.0303*Sheet5!F24+ 2.0105*0.95+ 0.3644*Sheet5!H24- 0.6051*Sheet5!I24</f>
        <v>6.8024951000000007</v>
      </c>
    </row>
    <row r="25" spans="1:5" hidden="1" x14ac:dyDescent="0.3">
      <c r="A25" t="s">
        <v>49</v>
      </c>
      <c r="B25" t="s">
        <v>48</v>
      </c>
      <c r="C25">
        <f>6584/(1000)</f>
        <v>6.5839999999999996</v>
      </c>
      <c r="D25">
        <v>6.8558878999999999</v>
      </c>
      <c r="E25">
        <f>-2.2372+0.2795*Sheet5!D25+ 2.4762*Sheet5!E25+ 0.0303*Sheet5!F25+ 2.0105*0.95+ 0.3644*Sheet5!H25- 0.6051*Sheet5!I25</f>
        <v>6.5819419999999997</v>
      </c>
    </row>
    <row r="26" spans="1:5" x14ac:dyDescent="0.3">
      <c r="A26" t="s">
        <v>78</v>
      </c>
      <c r="B26" t="s">
        <v>175</v>
      </c>
      <c r="C26">
        <f>6561/(1000)</f>
        <v>6.5609999999999999</v>
      </c>
      <c r="D26">
        <v>5.8631988000000002</v>
      </c>
    </row>
    <row r="27" spans="1:5" x14ac:dyDescent="0.3">
      <c r="A27" t="s">
        <v>78</v>
      </c>
      <c r="B27" t="s">
        <v>142</v>
      </c>
      <c r="C27">
        <f>6494/(1000)</f>
        <v>6.4939999999999998</v>
      </c>
      <c r="D27">
        <v>4.5841859999999999</v>
      </c>
    </row>
    <row r="28" spans="1:5" hidden="1" x14ac:dyDescent="0.3">
      <c r="A28" t="s">
        <v>21</v>
      </c>
      <c r="B28" t="s">
        <v>52</v>
      </c>
      <c r="C28">
        <f>6491/(1000)</f>
        <v>6.4909999999999997</v>
      </c>
      <c r="D28">
        <v>6.9292164000000005</v>
      </c>
      <c r="E28">
        <f>-2.2372+0.2795*Sheet5!D28+ 2.4762*Sheet5!E28+ 0.0303*Sheet5!F28+ 2.0105*0.95+ 0.3644*Sheet5!H28- 0.6051*Sheet5!I28</f>
        <v>6.7182819999999994</v>
      </c>
    </row>
    <row r="29" spans="1:5" hidden="1" x14ac:dyDescent="0.3">
      <c r="A29" t="s">
        <v>21</v>
      </c>
      <c r="B29" t="s">
        <v>53</v>
      </c>
      <c r="C29">
        <f>6483/(1000)</f>
        <v>6.4829999999999997</v>
      </c>
      <c r="D29">
        <v>6.5796004999999997</v>
      </c>
      <c r="E29">
        <f>-2.2372+0.2795*Sheet5!D29+ 2.4762*Sheet5!E29+ 0.0303*Sheet5!F29+ 2.0105*0.95+ 0.3644*Sheet5!H29- 0.6051*Sheet5!I29</f>
        <v>6.5024733000000001</v>
      </c>
    </row>
    <row r="30" spans="1:5" hidden="1" x14ac:dyDescent="0.3">
      <c r="A30" t="s">
        <v>42</v>
      </c>
      <c r="B30" t="s">
        <v>54</v>
      </c>
      <c r="C30">
        <f>6461/(1000)</f>
        <v>6.4610000000000003</v>
      </c>
      <c r="D30">
        <v>7.1885336999999998</v>
      </c>
      <c r="E30">
        <f>-2.2372+0.2795*Sheet5!D30+ 2.4762*Sheet5!E30+ 0.0303*Sheet5!F30+ 2.0105*0.95+ 0.3644*Sheet5!H30- 0.6051*Sheet5!I30</f>
        <v>6.6019730999999995</v>
      </c>
    </row>
    <row r="31" spans="1:5" hidden="1" x14ac:dyDescent="0.3">
      <c r="A31" t="s">
        <v>39</v>
      </c>
      <c r="B31" t="s">
        <v>55</v>
      </c>
      <c r="C31">
        <f>6435/(1000)</f>
        <v>6.4349999999999996</v>
      </c>
      <c r="D31">
        <v>6.1192675000000003</v>
      </c>
      <c r="E31">
        <f>-2.2372+0.2795*Sheet5!D31+ 2.4762*Sheet5!E31+ 0.0303*Sheet5!F31+ 2.0105*0.95+ 0.3644*Sheet5!H31- 0.6051*Sheet5!I31</f>
        <v>5.701666799999999</v>
      </c>
    </row>
    <row r="32" spans="1:5" hidden="1" x14ac:dyDescent="0.3">
      <c r="A32" t="s">
        <v>39</v>
      </c>
      <c r="B32" t="s">
        <v>56</v>
      </c>
      <c r="C32">
        <f>6431/(1000)</f>
        <v>6.431</v>
      </c>
      <c r="D32">
        <v>6.9004855999999997</v>
      </c>
      <c r="E32">
        <f>-2.2372+0.2795*Sheet5!D32+ 2.4762*Sheet5!E32+ 0.0303*Sheet5!F32+ 2.0105*0.95+ 0.3644*Sheet5!H32- 0.6051*Sheet5!I32</f>
        <v>6.4519531999999984</v>
      </c>
    </row>
    <row r="33" spans="1:5" hidden="1" x14ac:dyDescent="0.3">
      <c r="A33" t="s">
        <v>58</v>
      </c>
      <c r="B33" t="s">
        <v>57</v>
      </c>
      <c r="C33">
        <f>6377/(1000)</f>
        <v>6.3769999999999998</v>
      </c>
      <c r="D33">
        <v>8.0208302000000007</v>
      </c>
      <c r="E33">
        <f>-2.2372+0.2795*Sheet5!D33+ 2.4762*Sheet5!E33+ 0.0303*Sheet5!F33+ 2.0105*0.95+ 0.3644*Sheet5!H33- 0.6051*Sheet5!I33</f>
        <v>7.4248924999999995</v>
      </c>
    </row>
    <row r="34" spans="1:5" hidden="1" x14ac:dyDescent="0.3">
      <c r="A34" t="s">
        <v>42</v>
      </c>
      <c r="B34" t="s">
        <v>59</v>
      </c>
      <c r="C34">
        <f>6372/(1000)</f>
        <v>6.3719999999999999</v>
      </c>
      <c r="D34">
        <v>6.1404498999999992</v>
      </c>
      <c r="E34">
        <f>-2.2372+0.2795*Sheet5!D34+ 2.4762*Sheet5!E34+ 0.0303*Sheet5!F34+ 2.0105*0.95+ 0.3644*Sheet5!H34- 0.6051*Sheet5!I34</f>
        <v>5.7824241999999995</v>
      </c>
    </row>
    <row r="35" spans="1:5" hidden="1" x14ac:dyDescent="0.3">
      <c r="A35" t="s">
        <v>42</v>
      </c>
      <c r="B35" t="s">
        <v>60</v>
      </c>
      <c r="C35">
        <f>6331/(1000)</f>
        <v>6.3310000000000004</v>
      </c>
      <c r="D35">
        <v>6.5986874000000002</v>
      </c>
      <c r="E35">
        <f>-2.2372+0.2795*Sheet5!D35+ 2.4762*Sheet5!E35+ 0.0303*Sheet5!F35+ 2.0105*0.95+ 0.3644*Sheet5!H35- 0.6051*Sheet5!I35</f>
        <v>6.3889923</v>
      </c>
    </row>
    <row r="36" spans="1:5" hidden="1" x14ac:dyDescent="0.3">
      <c r="A36" t="s">
        <v>39</v>
      </c>
      <c r="B36" t="s">
        <v>61</v>
      </c>
      <c r="C36">
        <f>6330/(1000)</f>
        <v>6.33</v>
      </c>
      <c r="D36">
        <v>6.3100585000000002</v>
      </c>
      <c r="E36">
        <f>-2.2372+0.2795*Sheet5!D36+ 2.4762*Sheet5!E36+ 0.0303*Sheet5!F36+ 2.0105*0.95+ 0.3644*Sheet5!H36- 0.6051*Sheet5!I36</f>
        <v>6.0682371999999987</v>
      </c>
    </row>
    <row r="37" spans="1:5" hidden="1" x14ac:dyDescent="0.3">
      <c r="A37" t="s">
        <v>39</v>
      </c>
      <c r="B37" t="s">
        <v>62</v>
      </c>
      <c r="C37">
        <f>6317/(1000)</f>
        <v>6.3170000000000002</v>
      </c>
      <c r="D37">
        <v>6.4017292000000001</v>
      </c>
      <c r="E37">
        <f>-2.2372+0.2795*Sheet5!D37+ 2.4762*Sheet5!E37+ 0.0303*Sheet5!F37+ 2.0105*0.95+ 0.3644*Sheet5!H37- 0.6051*Sheet5!I37</f>
        <v>6.0275350999999997</v>
      </c>
    </row>
    <row r="38" spans="1:5" hidden="1" x14ac:dyDescent="0.3">
      <c r="A38" t="s">
        <v>39</v>
      </c>
      <c r="B38" t="s">
        <v>63</v>
      </c>
      <c r="C38">
        <f>6309/(1000)</f>
        <v>6.3090000000000002</v>
      </c>
      <c r="D38">
        <v>6.2651756000000001</v>
      </c>
      <c r="E38">
        <f>-2.2372+0.2795*Sheet5!D38+ 2.4762*Sheet5!E38+ 0.0303*Sheet5!F38+ 2.0105*0.95+ 0.3644*Sheet5!H38- 0.6051*Sheet5!I38</f>
        <v>5.8723081999999991</v>
      </c>
    </row>
    <row r="39" spans="1:5" hidden="1" x14ac:dyDescent="0.3">
      <c r="A39" t="s">
        <v>42</v>
      </c>
      <c r="B39" t="s">
        <v>64</v>
      </c>
      <c r="C39">
        <f>6255/(1000)</f>
        <v>6.2549999999999999</v>
      </c>
      <c r="D39">
        <v>6.6372941000000001</v>
      </c>
      <c r="E39">
        <f>-2.2372+0.2795*Sheet5!D39+ 2.4762*Sheet5!E39+ 0.0303*Sheet5!F39+ 2.0105*0.95+ 0.3644*Sheet5!H39- 0.6051*Sheet5!I39</f>
        <v>6.4062585000000007</v>
      </c>
    </row>
    <row r="40" spans="1:5" hidden="1" x14ac:dyDescent="0.3">
      <c r="A40" t="s">
        <v>21</v>
      </c>
      <c r="B40" t="s">
        <v>65</v>
      </c>
      <c r="C40">
        <f>6223/(1000)</f>
        <v>6.2229999999999999</v>
      </c>
      <c r="D40">
        <v>6.5528533000000007</v>
      </c>
      <c r="E40">
        <f>-2.2372+0.2795*Sheet5!D40+ 2.4762*Sheet5!E40+ 0.0303*Sheet5!F40+ 2.0105*0.95+ 0.3644*Sheet5!H40- 0.6051*Sheet5!I40</f>
        <v>6.3376184000000002</v>
      </c>
    </row>
    <row r="41" spans="1:5" hidden="1" x14ac:dyDescent="0.3">
      <c r="A41" t="s">
        <v>42</v>
      </c>
      <c r="B41" t="s">
        <v>66</v>
      </c>
      <c r="C41">
        <f>6189/(1000)</f>
        <v>6.1890000000000001</v>
      </c>
      <c r="D41">
        <v>7.1629019999999999</v>
      </c>
      <c r="E41">
        <f>-2.2372+0.2795*Sheet5!D41+ 2.4762*Sheet5!E41+ 0.0303*Sheet5!F41+ 2.0105*0.95+ 0.3644*Sheet5!H41- 0.6051*Sheet5!I41</f>
        <v>6.6594445999999996</v>
      </c>
    </row>
    <row r="42" spans="1:5" hidden="1" x14ac:dyDescent="0.3">
      <c r="A42" t="s">
        <v>39</v>
      </c>
      <c r="B42" t="s">
        <v>67</v>
      </c>
      <c r="C42">
        <f>6180/(1000)</f>
        <v>6.18</v>
      </c>
      <c r="D42">
        <v>6.7380207999999993</v>
      </c>
      <c r="E42">
        <f>-2.2372+0.2795*Sheet5!D42+ 2.4762*Sheet5!E42+ 0.0303*Sheet5!F42+ 2.0105*0.95+ 0.3644*Sheet5!H42- 0.6051*Sheet5!I42</f>
        <v>6.3162747999999995</v>
      </c>
    </row>
    <row r="43" spans="1:5" hidden="1" x14ac:dyDescent="0.3">
      <c r="A43" t="s">
        <v>69</v>
      </c>
      <c r="B43" t="s">
        <v>68</v>
      </c>
      <c r="C43">
        <f>6179/(1000)</f>
        <v>6.1790000000000003</v>
      </c>
      <c r="D43">
        <v>6.7286594000000006</v>
      </c>
      <c r="E43">
        <f>-2.2372+0.2795*Sheet5!D43+ 2.4762*Sheet5!E43+ 0.0303*Sheet5!F43+ 2.0105*0.95+ 0.3644*Sheet5!H43- 0.6051*Sheet5!I43</f>
        <v>6.1945170000000003</v>
      </c>
    </row>
    <row r="44" spans="1:5" hidden="1" x14ac:dyDescent="0.3">
      <c r="A44" t="s">
        <v>39</v>
      </c>
      <c r="B44" t="s">
        <v>70</v>
      </c>
      <c r="C44">
        <f>6172/(1000)</f>
        <v>6.1719999999999997</v>
      </c>
      <c r="D44">
        <v>6.4191462000000001</v>
      </c>
      <c r="E44">
        <f>-2.2372+0.2795*Sheet5!D44+ 2.4762*Sheet5!E44+ 0.0303*Sheet5!F44+ 2.0105*0.95+ 0.3644*Sheet5!H44- 0.6051*Sheet5!I44</f>
        <v>6.2743612999999989</v>
      </c>
    </row>
    <row r="45" spans="1:5" hidden="1" x14ac:dyDescent="0.3">
      <c r="A45" t="s">
        <v>42</v>
      </c>
      <c r="B45" t="s">
        <v>71</v>
      </c>
      <c r="C45">
        <f>6166/(1000)</f>
        <v>6.1660000000000004</v>
      </c>
      <c r="D45">
        <v>6.7664769999999983</v>
      </c>
      <c r="E45">
        <f>-2.2372+0.2795*Sheet5!D45+ 2.4762*Sheet5!E45+ 0.0303*Sheet5!F45+ 2.0105*0.95+ 0.3644*Sheet5!H45- 0.6051*Sheet5!I45</f>
        <v>6.4052676999999987</v>
      </c>
    </row>
    <row r="46" spans="1:5" hidden="1" x14ac:dyDescent="0.3">
      <c r="A46" t="s">
        <v>69</v>
      </c>
      <c r="B46" t="s">
        <v>72</v>
      </c>
      <c r="C46">
        <f>6152/(1000)</f>
        <v>6.1520000000000001</v>
      </c>
      <c r="D46">
        <v>6.7479639999999996</v>
      </c>
      <c r="E46">
        <f>-2.2372+0.2795*Sheet5!D46+ 2.4762*Sheet5!E46+ 0.0303*Sheet5!F46+ 2.0105*0.95+ 0.3644*Sheet5!H46- 0.6051*Sheet5!I46</f>
        <v>6.375318</v>
      </c>
    </row>
    <row r="47" spans="1:5" hidden="1" x14ac:dyDescent="0.3">
      <c r="A47" t="s">
        <v>42</v>
      </c>
      <c r="B47" t="s">
        <v>73</v>
      </c>
      <c r="C47">
        <f>6140/(1000)</f>
        <v>6.14</v>
      </c>
      <c r="D47">
        <v>6.364593600000001</v>
      </c>
      <c r="E47">
        <f>-2.2372+0.2795*Sheet5!D47+ 2.4762*Sheet5!E47+ 0.0303*Sheet5!F47+ 2.0105*0.95+ 0.3644*Sheet5!H47- 0.6051*Sheet5!I47</f>
        <v>6.0008205000000014</v>
      </c>
    </row>
    <row r="48" spans="1:5" x14ac:dyDescent="0.3">
      <c r="A48" t="s">
        <v>78</v>
      </c>
      <c r="B48" t="s">
        <v>169</v>
      </c>
      <c r="C48">
        <f>6106/(1000)</f>
        <v>6.1059999999999999</v>
      </c>
      <c r="D48">
        <v>3.7020687000000003</v>
      </c>
    </row>
    <row r="49" spans="1:5" hidden="1" x14ac:dyDescent="0.3">
      <c r="A49" t="s">
        <v>42</v>
      </c>
      <c r="B49" t="s">
        <v>75</v>
      </c>
      <c r="C49">
        <f>6078/(1000)</f>
        <v>6.0780000000000003</v>
      </c>
      <c r="D49">
        <v>6.3453016999999994</v>
      </c>
      <c r="E49">
        <f>-2.2372+0.2795*Sheet5!D49+ 2.4762*Sheet5!E49+ 0.0303*Sheet5!F49+ 2.0105*0.95+ 0.3644*Sheet5!H49- 0.6051*Sheet5!I49</f>
        <v>6.1440144000000005</v>
      </c>
    </row>
    <row r="50" spans="1:5" hidden="1" x14ac:dyDescent="0.3">
      <c r="A50" t="s">
        <v>39</v>
      </c>
      <c r="B50" t="s">
        <v>76</v>
      </c>
      <c r="C50">
        <f>6061/(1000)</f>
        <v>6.0609999999999999</v>
      </c>
      <c r="D50">
        <v>6.0272877999999999</v>
      </c>
      <c r="E50">
        <f>-2.2372+0.2795*Sheet5!D50+ 2.4762*Sheet5!E50+ 0.0303*Sheet5!F50+ 2.0105*0.95+ 0.3644*Sheet5!H50- 0.6051*Sheet5!I50</f>
        <v>5.6458201999999993</v>
      </c>
    </row>
    <row r="51" spans="1:5" x14ac:dyDescent="0.3">
      <c r="A51" t="s">
        <v>78</v>
      </c>
      <c r="B51" t="s">
        <v>120</v>
      </c>
      <c r="C51">
        <f>6049/(1000)</f>
        <v>6.0490000000000004</v>
      </c>
      <c r="D51">
        <v>4.8550222000000005</v>
      </c>
    </row>
    <row r="52" spans="1:5" hidden="1" x14ac:dyDescent="0.3">
      <c r="A52" t="s">
        <v>42</v>
      </c>
      <c r="B52" t="s">
        <v>79</v>
      </c>
      <c r="C52">
        <f>6032/(1000)</f>
        <v>6.032</v>
      </c>
      <c r="D52">
        <v>6.4454131000000006</v>
      </c>
      <c r="E52">
        <f>-2.2372+0.2795*Sheet5!D52+ 2.4762*Sheet5!E52+ 0.0303*Sheet5!F52+ 2.0105*0.95+ 0.3644*Sheet5!H52- 0.6051*Sheet5!I52</f>
        <v>6.3412720999999994</v>
      </c>
    </row>
    <row r="53" spans="1:5" hidden="1" x14ac:dyDescent="0.3">
      <c r="A53" t="s">
        <v>39</v>
      </c>
      <c r="B53" t="s">
        <v>80</v>
      </c>
      <c r="C53">
        <f>6012/(1000)</f>
        <v>6.0119999999999996</v>
      </c>
      <c r="D53">
        <v>6.2506949000000009</v>
      </c>
      <c r="E53">
        <f>-2.2372+0.2795*Sheet5!D53+ 2.4762*Sheet5!E53+ 0.0303*Sheet5!F53+ 2.0105*0.95+ 0.3644*Sheet5!H53- 0.6051*Sheet5!I53</f>
        <v>5.9436451000000003</v>
      </c>
    </row>
    <row r="54" spans="1:5" hidden="1" x14ac:dyDescent="0.3">
      <c r="A54" t="s">
        <v>42</v>
      </c>
      <c r="B54" t="s">
        <v>81</v>
      </c>
      <c r="C54">
        <f>5992/(1000)</f>
        <v>5.992</v>
      </c>
      <c r="D54">
        <v>6.5524113000000002</v>
      </c>
      <c r="E54">
        <f>-2.2372+0.2795*Sheet5!D54+ 2.4762*Sheet5!E54+ 0.0303*Sheet5!F54+ 2.0105*0.95+ 0.3644*Sheet5!H54- 0.6051*Sheet5!I54</f>
        <v>6.3654465999999994</v>
      </c>
    </row>
    <row r="55" spans="1:5" hidden="1" x14ac:dyDescent="0.3">
      <c r="A55" t="s">
        <v>58</v>
      </c>
      <c r="B55" t="s">
        <v>82</v>
      </c>
      <c r="C55">
        <f>5985/(1000)</f>
        <v>5.9850000000000003</v>
      </c>
      <c r="D55">
        <v>6.6328132000000002</v>
      </c>
      <c r="E55">
        <f>-2.2372+0.2795*Sheet5!D55+ 2.4762*Sheet5!E55+ 0.0303*Sheet5!F55+ 2.0105*0.95+ 0.3644*Sheet5!H55- 0.6051*Sheet5!I55</f>
        <v>6.2174067000000006</v>
      </c>
    </row>
    <row r="56" spans="1:5" hidden="1" x14ac:dyDescent="0.3">
      <c r="A56" t="s">
        <v>39</v>
      </c>
      <c r="B56" t="s">
        <v>83</v>
      </c>
      <c r="C56">
        <f>5972/(1000)</f>
        <v>5.9720000000000004</v>
      </c>
      <c r="D56">
        <v>6.1296715000000006</v>
      </c>
      <c r="E56">
        <f>-2.2372+0.2795*Sheet5!D56+ 2.4762*Sheet5!E56+ 0.0303*Sheet5!F56+ 2.0105*0.95+ 0.3644*Sheet5!H56- 0.6051*Sheet5!I56</f>
        <v>5.877010499999999</v>
      </c>
    </row>
    <row r="57" spans="1:5" hidden="1" x14ac:dyDescent="0.3">
      <c r="A57" t="s">
        <v>49</v>
      </c>
      <c r="B57" t="s">
        <v>84</v>
      </c>
      <c r="C57">
        <f>5940/(1000)</f>
        <v>5.94</v>
      </c>
      <c r="D57">
        <v>6.9065091999999995</v>
      </c>
      <c r="E57">
        <f>-2.2372+0.2795*Sheet5!D57+ 2.4762*Sheet5!E57+ 0.0303*Sheet5!F57+ 2.0105*0.95+ 0.3644*Sheet5!H57- 0.6051*Sheet5!I57</f>
        <v>6.6229712999999997</v>
      </c>
    </row>
    <row r="58" spans="1:5" hidden="1" x14ac:dyDescent="0.3">
      <c r="A58" t="s">
        <v>39</v>
      </c>
      <c r="B58" t="s">
        <v>85</v>
      </c>
      <c r="C58">
        <f>5929/(1000)</f>
        <v>5.9290000000000003</v>
      </c>
      <c r="D58">
        <v>6.5121022000000011</v>
      </c>
      <c r="E58">
        <f>-2.2372+0.2795*Sheet5!D58+ 2.4762*Sheet5!E58+ 0.0303*Sheet5!F58+ 2.0105*0.95+ 0.3644*Sheet5!H58- 0.6051*Sheet5!I58</f>
        <v>6.2005074000000002</v>
      </c>
    </row>
    <row r="59" spans="1:5" hidden="1" x14ac:dyDescent="0.3">
      <c r="A59" t="s">
        <v>21</v>
      </c>
      <c r="B59" t="s">
        <v>86</v>
      </c>
      <c r="C59">
        <f>5929/(1000)</f>
        <v>5.9290000000000003</v>
      </c>
      <c r="D59">
        <v>6.8020918999999989</v>
      </c>
      <c r="E59">
        <f>-2.2372+0.2795*Sheet5!D59+ 2.4762*Sheet5!E59+ 0.0303*Sheet5!F59+ 2.0105*0.95+ 0.3644*Sheet5!H59- 0.6051*Sheet5!I59</f>
        <v>6.3361669999999997</v>
      </c>
    </row>
    <row r="60" spans="1:5" hidden="1" x14ac:dyDescent="0.3">
      <c r="A60" t="s">
        <v>39</v>
      </c>
      <c r="B60" t="s">
        <v>87</v>
      </c>
      <c r="C60">
        <f>5919/(1000)</f>
        <v>5.9189999999999996</v>
      </c>
      <c r="D60">
        <v>5.9761926000000001</v>
      </c>
      <c r="E60">
        <f>-2.2372+0.2795*Sheet5!D60+ 2.4762*Sheet5!E60+ 0.0303*Sheet5!F60+ 2.0105*0.95+ 0.3644*Sheet5!H60- 0.6051*Sheet5!I60</f>
        <v>5.6797459000000003</v>
      </c>
    </row>
    <row r="61" spans="1:5" hidden="1" x14ac:dyDescent="0.3">
      <c r="A61" t="s">
        <v>42</v>
      </c>
      <c r="B61" t="s">
        <v>88</v>
      </c>
      <c r="C61">
        <f>5882/(1000)</f>
        <v>5.8819999999999997</v>
      </c>
      <c r="D61">
        <v>6.5275292000000009</v>
      </c>
      <c r="E61">
        <f>-2.2372+0.2795*Sheet5!D61+ 2.4762*Sheet5!E61+ 0.0303*Sheet5!F61+ 2.0105*0.95+ 0.3644*Sheet5!H61- 0.6051*Sheet5!I61</f>
        <v>6.3504569000000011</v>
      </c>
    </row>
    <row r="62" spans="1:5" hidden="1" x14ac:dyDescent="0.3">
      <c r="A62" t="s">
        <v>58</v>
      </c>
      <c r="B62" t="s">
        <v>89</v>
      </c>
      <c r="C62">
        <f>5880/(1000)</f>
        <v>5.88</v>
      </c>
      <c r="D62">
        <v>6.1000338999999997</v>
      </c>
      <c r="E62">
        <f>-2.2372+0.2795*Sheet5!D62+ 2.4762*Sheet5!E62+ 0.0303*Sheet5!F62+ 2.0105*0.95+ 0.3644*Sheet5!H62- 0.6051*Sheet5!I62</f>
        <v>5.659031999999999</v>
      </c>
    </row>
    <row r="63" spans="1:5" hidden="1" x14ac:dyDescent="0.3">
      <c r="A63" t="s">
        <v>49</v>
      </c>
      <c r="B63" t="s">
        <v>90</v>
      </c>
      <c r="C63">
        <f>5845/(1000)</f>
        <v>5.8449999999999998</v>
      </c>
      <c r="D63">
        <v>6.4337023000000002</v>
      </c>
      <c r="E63">
        <f>-2.2372+0.2795*Sheet5!D63+ 2.4762*Sheet5!E63+ 0.0303*Sheet5!F63+ 2.0105*0.95+ 0.3644*Sheet5!H63- 0.6051*Sheet5!I63</f>
        <v>6.3972303999999998</v>
      </c>
    </row>
    <row r="64" spans="1:5" hidden="1" x14ac:dyDescent="0.3">
      <c r="A64" t="s">
        <v>39</v>
      </c>
      <c r="B64" t="s">
        <v>91</v>
      </c>
      <c r="C64">
        <f>5840/(1000)</f>
        <v>5.84</v>
      </c>
      <c r="D64">
        <v>6.1205558999999994</v>
      </c>
      <c r="E64">
        <f>-2.2372+0.2795*Sheet5!D64+ 2.4762*Sheet5!E64+ 0.0303*Sheet5!F64+ 2.0105*0.95+ 0.3644*Sheet5!H64- 0.6051*Sheet5!I64</f>
        <v>5.8491976999999995</v>
      </c>
    </row>
    <row r="65" spans="1:5" hidden="1" x14ac:dyDescent="0.3">
      <c r="A65" t="s">
        <v>42</v>
      </c>
      <c r="B65" t="s">
        <v>92</v>
      </c>
      <c r="C65">
        <f>5813/(1000)</f>
        <v>5.8129999999999997</v>
      </c>
      <c r="D65">
        <v>6.0941915</v>
      </c>
      <c r="E65">
        <f>-2.2372+0.2795*Sheet5!D65+ 2.4762*Sheet5!E65+ 0.0303*Sheet5!F65+ 2.0105*0.95+ 0.3644*Sheet5!H65- 0.6051*Sheet5!I65</f>
        <v>6.0486724999999995</v>
      </c>
    </row>
    <row r="66" spans="1:5" hidden="1" x14ac:dyDescent="0.3">
      <c r="A66" t="s">
        <v>69</v>
      </c>
      <c r="B66" t="s">
        <v>93</v>
      </c>
      <c r="C66">
        <f>5766/(1000)</f>
        <v>5.766</v>
      </c>
      <c r="D66">
        <v>6.1148163000000011</v>
      </c>
      <c r="E66">
        <f>-2.2372+0.2795*Sheet5!D66+ 2.4762*Sheet5!E66+ 0.0303*Sheet5!F66+ 2.0105*0.95+ 0.3644*Sheet5!H66- 0.6051*Sheet5!I66</f>
        <v>5.8436816999999994</v>
      </c>
    </row>
    <row r="67" spans="1:5" hidden="1" x14ac:dyDescent="0.3">
      <c r="A67" t="s">
        <v>39</v>
      </c>
      <c r="B67" t="s">
        <v>94</v>
      </c>
      <c r="C67">
        <f>5764/(1000)</f>
        <v>5.7640000000000002</v>
      </c>
      <c r="D67">
        <v>6.1415364999999991</v>
      </c>
      <c r="E67">
        <f>-2.2372+0.2795*Sheet5!D67+ 2.4762*Sheet5!E67+ 0.0303*Sheet5!F67+ 2.0105*0.95+ 0.3644*Sheet5!H67- 0.6051*Sheet5!I67</f>
        <v>5.8380738000000001</v>
      </c>
    </row>
    <row r="68" spans="1:5" hidden="1" x14ac:dyDescent="0.3">
      <c r="A68" t="s">
        <v>69</v>
      </c>
      <c r="B68" t="s">
        <v>95</v>
      </c>
      <c r="C68">
        <f>5744/(1000)</f>
        <v>5.7439999999999998</v>
      </c>
      <c r="D68">
        <v>6.1627923999999998</v>
      </c>
      <c r="E68">
        <f>-2.2372+0.2795*Sheet5!D68+ 2.4762*Sheet5!E68+ 0.0303*Sheet5!F68+ 2.0105*0.95+ 0.3644*Sheet5!H68- 0.6051*Sheet5!I68</f>
        <v>5.7156757000000011</v>
      </c>
    </row>
    <row r="69" spans="1:5" hidden="1" x14ac:dyDescent="0.3">
      <c r="A69" t="s">
        <v>21</v>
      </c>
      <c r="B69" t="s">
        <v>96</v>
      </c>
      <c r="C69">
        <f>5723/(1000)</f>
        <v>5.7229999999999999</v>
      </c>
      <c r="D69">
        <v>6.0152356999999999</v>
      </c>
      <c r="E69">
        <f>-2.2372+0.2795*Sheet5!D69+ 2.4762*Sheet5!E69+ 0.0303*Sheet5!F69+ 2.0105*0.95+ 0.3644*Sheet5!H69- 0.6051*Sheet5!I69</f>
        <v>6.1805035999999998</v>
      </c>
    </row>
    <row r="70" spans="1:5" hidden="1" x14ac:dyDescent="0.3">
      <c r="A70" t="s">
        <v>39</v>
      </c>
      <c r="B70" t="s">
        <v>97</v>
      </c>
      <c r="C70">
        <f>5716/(1000)</f>
        <v>5.7160000000000002</v>
      </c>
      <c r="D70">
        <v>5.9622004999999998</v>
      </c>
      <c r="E70">
        <f>-2.2372+0.2795*Sheet5!D70+ 2.4762*Sheet5!E70+ 0.0303*Sheet5!F70+ 2.0105*0.95+ 0.3644*Sheet5!H70- 0.6051*Sheet5!I70</f>
        <v>5.607316599999999</v>
      </c>
    </row>
    <row r="71" spans="1:5" hidden="1" x14ac:dyDescent="0.3">
      <c r="A71" t="s">
        <v>49</v>
      </c>
      <c r="B71" t="s">
        <v>98</v>
      </c>
      <c r="C71">
        <f>5677/(1000)</f>
        <v>5.6769999999999996</v>
      </c>
      <c r="D71">
        <v>6.0722957999999991</v>
      </c>
      <c r="E71">
        <f>-2.2372+0.2795*Sheet5!D71+ 2.4762*Sheet5!E71+ 0.0303*Sheet5!F71+ 2.0105*0.95+ 0.3644*Sheet5!H71- 0.6051*Sheet5!I71</f>
        <v>6.0333767999999992</v>
      </c>
    </row>
    <row r="72" spans="1:5" hidden="1" x14ac:dyDescent="0.3">
      <c r="A72" t="s">
        <v>39</v>
      </c>
      <c r="B72" t="s">
        <v>99</v>
      </c>
      <c r="C72">
        <f>5653/(1000)</f>
        <v>5.6529999999999996</v>
      </c>
      <c r="D72">
        <v>6.3773788000000016</v>
      </c>
      <c r="E72">
        <f>-2.2372+0.2795*Sheet5!D72+ 2.4762*Sheet5!E72+ 0.0303*Sheet5!F72+ 2.0105*0.95+ 0.3644*Sheet5!H72- 0.6051*Sheet5!I72</f>
        <v>5.9980126</v>
      </c>
    </row>
    <row r="73" spans="1:5" hidden="1" x14ac:dyDescent="0.3">
      <c r="A73" t="s">
        <v>42</v>
      </c>
      <c r="B73" t="s">
        <v>100</v>
      </c>
      <c r="C73">
        <f>5581/(1000)</f>
        <v>5.5810000000000004</v>
      </c>
      <c r="D73">
        <v>6.2225385000000006</v>
      </c>
      <c r="E73">
        <f>-2.2372+0.2795*Sheet5!D73+ 2.4762*Sheet5!E73+ 0.0303*Sheet5!F73+ 2.0105*0.95+ 0.3644*Sheet5!H73- 0.6051*Sheet5!I73</f>
        <v>6.1534335000000002</v>
      </c>
    </row>
    <row r="74" spans="1:5" hidden="1" x14ac:dyDescent="0.3">
      <c r="A74" t="s">
        <v>39</v>
      </c>
      <c r="B74" t="s">
        <v>101</v>
      </c>
      <c r="C74">
        <f>5545/(1000)</f>
        <v>5.5449999999999999</v>
      </c>
      <c r="D74">
        <v>6.4140034000000004</v>
      </c>
      <c r="E74">
        <f>-2.2372+0.2795*Sheet5!D74+ 2.4762*Sheet5!E74+ 0.0303*Sheet5!F74+ 2.0105*0.95+ 0.3644*Sheet5!H74- 0.6051*Sheet5!I74</f>
        <v>6.0470165999999992</v>
      </c>
    </row>
    <row r="75" spans="1:5" hidden="1" x14ac:dyDescent="0.3">
      <c r="A75" t="s">
        <v>21</v>
      </c>
      <c r="B75" t="s">
        <v>102</v>
      </c>
      <c r="C75">
        <f>5536/(1000)</f>
        <v>5.5359999999999996</v>
      </c>
      <c r="D75">
        <v>6.8035114999999999</v>
      </c>
      <c r="E75">
        <f>-2.2372+0.2795*Sheet5!D75+ 2.4762*Sheet5!E75+ 0.0303*Sheet5!F75+ 2.0105*0.95+ 0.3644*Sheet5!H75- 0.6051*Sheet5!I75</f>
        <v>6.5239405999999995</v>
      </c>
    </row>
    <row r="76" spans="1:5" hidden="1" x14ac:dyDescent="0.3">
      <c r="A76" t="s">
        <v>69</v>
      </c>
      <c r="B76" t="s">
        <v>103</v>
      </c>
      <c r="C76">
        <f>5534/(1000)</f>
        <v>5.5339999999999998</v>
      </c>
      <c r="D76">
        <v>6.1901394000000005</v>
      </c>
      <c r="E76">
        <f>-2.2372+0.2795*Sheet5!D76+ 2.4762*Sheet5!E76+ 0.0303*Sheet5!F76+ 2.0105*0.95+ 0.3644*Sheet5!H76- 0.6051*Sheet5!I76</f>
        <v>6.2425067000000007</v>
      </c>
    </row>
    <row r="77" spans="1:5" hidden="1" x14ac:dyDescent="0.3">
      <c r="A77" t="s">
        <v>69</v>
      </c>
      <c r="B77" t="s">
        <v>104</v>
      </c>
      <c r="C77">
        <f>5477/(1000)</f>
        <v>5.4770000000000003</v>
      </c>
      <c r="D77">
        <v>6.2684812000000001</v>
      </c>
      <c r="E77">
        <f>-2.2372+0.2795*Sheet5!D77+ 2.4762*Sheet5!E77+ 0.0303*Sheet5!F77+ 2.0105*0.95+ 0.3644*Sheet5!H77- 0.6051*Sheet5!I77</f>
        <v>6.1653520999999998</v>
      </c>
    </row>
    <row r="78" spans="1:5" hidden="1" x14ac:dyDescent="0.3">
      <c r="A78" t="s">
        <v>49</v>
      </c>
      <c r="B78" t="s">
        <v>105</v>
      </c>
      <c r="C78">
        <f>5477/(1000)</f>
        <v>5.4770000000000003</v>
      </c>
      <c r="D78">
        <v>7.0720371999999996</v>
      </c>
      <c r="E78">
        <f>-2.2372+0.2795*Sheet5!D78+ 2.4762*Sheet5!E78+ 0.0303*Sheet5!F78+ 2.0105*0.95+ 0.3644*Sheet5!H78- 0.6051*Sheet5!I78</f>
        <v>6.9255836999999998</v>
      </c>
    </row>
    <row r="79" spans="1:5" hidden="1" x14ac:dyDescent="0.3">
      <c r="A79" t="s">
        <v>69</v>
      </c>
      <c r="B79" t="s">
        <v>106</v>
      </c>
      <c r="C79">
        <f>5466/(1000)</f>
        <v>5.4660000000000002</v>
      </c>
      <c r="D79">
        <v>5.8714769999999996</v>
      </c>
      <c r="E79">
        <f>-2.2372+0.2795*Sheet5!D79+ 2.4762*Sheet5!E79+ 0.0303*Sheet5!F79+ 2.0105*0.95+ 0.3644*Sheet5!H79- 0.6051*Sheet5!I79</f>
        <v>5.6564291000000004</v>
      </c>
    </row>
    <row r="80" spans="1:5" hidden="1" x14ac:dyDescent="0.3">
      <c r="A80" t="s">
        <v>58</v>
      </c>
      <c r="B80" t="s">
        <v>107</v>
      </c>
      <c r="C80">
        <f>5411/(1000)</f>
        <v>5.4109999999999996</v>
      </c>
      <c r="D80">
        <v>6.3110435999999996</v>
      </c>
      <c r="E80">
        <f>-2.2372+0.2795*Sheet5!D80+ 2.4762*Sheet5!E80+ 0.0303*Sheet5!F80+ 2.0105*0.95+ 0.3644*Sheet5!H80- 0.6051*Sheet5!I80</f>
        <v>5.8295578999999993</v>
      </c>
    </row>
    <row r="81" spans="1:5" x14ac:dyDescent="0.3">
      <c r="A81" t="s">
        <v>78</v>
      </c>
      <c r="B81" t="s">
        <v>157</v>
      </c>
      <c r="C81">
        <f>5410/(1000)</f>
        <v>5.41</v>
      </c>
      <c r="D81">
        <v>3.9250410000000002</v>
      </c>
    </row>
    <row r="82" spans="1:5" hidden="1" x14ac:dyDescent="0.3">
      <c r="A82" t="s">
        <v>58</v>
      </c>
      <c r="B82" t="s">
        <v>109</v>
      </c>
      <c r="C82">
        <f>5384/(1000)</f>
        <v>5.3840000000000003</v>
      </c>
      <c r="D82">
        <v>6.5901397999999993</v>
      </c>
      <c r="E82">
        <f>-2.2372+0.2795*Sheet5!D82+ 2.4762*Sheet5!E82+ 0.0303*Sheet5!F82+ 2.0105*0.95+ 0.3644*Sheet5!H82- 0.6051*Sheet5!I82</f>
        <v>6.1284130999999995</v>
      </c>
    </row>
    <row r="83" spans="1:5" hidden="1" x14ac:dyDescent="0.3">
      <c r="A83" t="s">
        <v>58</v>
      </c>
      <c r="B83" t="s">
        <v>110</v>
      </c>
      <c r="C83">
        <f>5345/(1000)</f>
        <v>5.3449999999999998</v>
      </c>
      <c r="D83">
        <v>6.2258195999999995</v>
      </c>
      <c r="E83">
        <f>-2.2372+0.2795*Sheet5!D83+ 2.4762*Sheet5!E83+ 0.0303*Sheet5!F83+ 2.0105*0.95+ 0.3644*Sheet5!H83- 0.6051*Sheet5!I83</f>
        <v>5.8571246000000006</v>
      </c>
    </row>
    <row r="84" spans="1:5" x14ac:dyDescent="0.3">
      <c r="A84" t="s">
        <v>78</v>
      </c>
      <c r="B84" t="s">
        <v>160</v>
      </c>
      <c r="C84">
        <f>5342/(1000)</f>
        <v>5.3419999999999996</v>
      </c>
      <c r="D84">
        <v>4.4032250000000008</v>
      </c>
    </row>
    <row r="85" spans="1:5" hidden="1" x14ac:dyDescent="0.3">
      <c r="A85" t="s">
        <v>49</v>
      </c>
      <c r="B85" t="s">
        <v>112</v>
      </c>
      <c r="C85">
        <f>5339/(1000)</f>
        <v>5.3390000000000004</v>
      </c>
      <c r="D85">
        <v>6.4314294000000007</v>
      </c>
      <c r="E85">
        <f>-2.2372+0.2795*Sheet5!D85+ 2.4762*Sheet5!E85+ 0.0303*Sheet5!F85+ 2.0105*0.95+ 0.3644*Sheet5!H85- 0.6051*Sheet5!I85</f>
        <v>5.9831917000000008</v>
      </c>
    </row>
    <row r="86" spans="1:5" x14ac:dyDescent="0.3">
      <c r="A86" t="s">
        <v>78</v>
      </c>
      <c r="B86" t="s">
        <v>111</v>
      </c>
      <c r="C86">
        <f>5306/(1000)</f>
        <v>5.306</v>
      </c>
      <c r="D86">
        <v>4.7459201000000002</v>
      </c>
    </row>
    <row r="87" spans="1:5" hidden="1" x14ac:dyDescent="0.3">
      <c r="A87" t="s">
        <v>69</v>
      </c>
      <c r="B87" t="s">
        <v>114</v>
      </c>
      <c r="C87">
        <f>5283/(1000)</f>
        <v>5.2830000000000004</v>
      </c>
      <c r="D87">
        <v>6.1718254999999997</v>
      </c>
      <c r="E87">
        <f>-2.2372+0.2795*Sheet5!D87+ 2.4762*Sheet5!E87+ 0.0303*Sheet5!F87+ 2.0105*0.95+ 0.3644*Sheet5!H87- 0.6051*Sheet5!I87</f>
        <v>5.8928146999999997</v>
      </c>
    </row>
    <row r="88" spans="1:5" hidden="1" x14ac:dyDescent="0.3">
      <c r="A88" t="s">
        <v>116</v>
      </c>
      <c r="B88" t="s">
        <v>115</v>
      </c>
      <c r="C88">
        <f>5269/(1000)</f>
        <v>5.2690000000000001</v>
      </c>
      <c r="D88">
        <v>5.5367788000000004</v>
      </c>
      <c r="E88">
        <f>-2.2372+0.2795*Sheet5!D88+ 2.4762*Sheet5!E88+ 0.0303*Sheet5!F88+ 2.0105*0.95+ 0.3644*Sheet5!H88- 0.6051*Sheet5!I88</f>
        <v>5.4206348000000002</v>
      </c>
    </row>
    <row r="89" spans="1:5" hidden="1" x14ac:dyDescent="0.3">
      <c r="A89" t="s">
        <v>42</v>
      </c>
      <c r="B89" t="s">
        <v>117</v>
      </c>
      <c r="C89">
        <f>5266/(1000)</f>
        <v>5.266</v>
      </c>
      <c r="D89">
        <v>6.4429470000000002</v>
      </c>
      <c r="E89">
        <f>-2.2372+0.2795*Sheet5!D89+ 2.4762*Sheet5!E89+ 0.0303*Sheet5!F89+ 2.0105*0.95+ 0.3644*Sheet5!H89- 0.6051*Sheet5!I89</f>
        <v>6.2087536000000005</v>
      </c>
    </row>
    <row r="90" spans="1:5" hidden="1" x14ac:dyDescent="0.3">
      <c r="A90" t="s">
        <v>116</v>
      </c>
      <c r="B90" t="s">
        <v>118</v>
      </c>
      <c r="C90">
        <f>5198/(1000)</f>
        <v>5.1980000000000004</v>
      </c>
      <c r="D90">
        <v>6.6848961000000013</v>
      </c>
      <c r="E90">
        <f>-2.2372+0.2795*Sheet5!D90+ 2.4762*Sheet5!E90+ 0.0303*Sheet5!F90+ 2.0105*0.95+ 0.3644*Sheet5!H90- 0.6051*Sheet5!I90</f>
        <v>6.3286306999999997</v>
      </c>
    </row>
    <row r="91" spans="1:5" hidden="1" x14ac:dyDescent="0.3">
      <c r="A91" t="s">
        <v>69</v>
      </c>
      <c r="B91" t="s">
        <v>119</v>
      </c>
      <c r="C91">
        <f>5171/(1000)</f>
        <v>5.1710000000000003</v>
      </c>
      <c r="D91">
        <v>6.2808278</v>
      </c>
      <c r="E91">
        <f>-2.2372+0.2795*Sheet5!D91+ 2.4762*Sheet5!E91+ 0.0303*Sheet5!F91+ 2.0105*0.95+ 0.3644*Sheet5!H91- 0.6051*Sheet5!I91</f>
        <v>6.0193486999999992</v>
      </c>
    </row>
    <row r="92" spans="1:5" x14ac:dyDescent="0.3">
      <c r="A92" t="s">
        <v>34</v>
      </c>
      <c r="B92" t="s">
        <v>161</v>
      </c>
      <c r="C92">
        <f>5142/(1000)</f>
        <v>5.1420000000000003</v>
      </c>
      <c r="D92">
        <v>5.5986704000000005</v>
      </c>
    </row>
    <row r="93" spans="1:5" x14ac:dyDescent="0.3">
      <c r="A93" t="s">
        <v>78</v>
      </c>
      <c r="B93" t="s">
        <v>162</v>
      </c>
      <c r="C93">
        <f>5132/(1000)</f>
        <v>5.1319999999999997</v>
      </c>
      <c r="D93">
        <v>5.1041801000000007</v>
      </c>
    </row>
    <row r="94" spans="1:5" hidden="1" x14ac:dyDescent="0.3">
      <c r="A94" t="s">
        <v>42</v>
      </c>
      <c r="B94" t="s">
        <v>122</v>
      </c>
      <c r="C94">
        <f>5117/(1000)</f>
        <v>5.117</v>
      </c>
      <c r="D94">
        <v>5.7945044999999995</v>
      </c>
      <c r="E94">
        <f>-2.2372+0.2795*Sheet5!D94+ 2.4762*Sheet5!E94+ 0.0303*Sheet5!F94+ 2.0105*0.95+ 0.3644*Sheet5!H94- 0.6051*Sheet5!I94</f>
        <v>5.5940689999999984</v>
      </c>
    </row>
    <row r="95" spans="1:5" hidden="1" x14ac:dyDescent="0.3">
      <c r="A95" t="s">
        <v>42</v>
      </c>
      <c r="B95" t="s">
        <v>123</v>
      </c>
      <c r="C95">
        <f>5101/(1000)</f>
        <v>5.101</v>
      </c>
      <c r="D95">
        <v>5.9671526000000004</v>
      </c>
      <c r="E95">
        <f>-2.2372+0.2795*Sheet5!D95+ 2.4762*Sheet5!E95+ 0.0303*Sheet5!F95+ 2.0105*0.95+ 0.3644*Sheet5!H95- 0.6051*Sheet5!I95</f>
        <v>5.825403399999999</v>
      </c>
    </row>
    <row r="96" spans="1:5" x14ac:dyDescent="0.3">
      <c r="A96" t="s">
        <v>78</v>
      </c>
      <c r="B96" t="s">
        <v>141</v>
      </c>
      <c r="C96">
        <f>5088/(1000)</f>
        <v>5.0880000000000001</v>
      </c>
      <c r="D96">
        <v>5.6105375000000013</v>
      </c>
    </row>
    <row r="97" spans="1:5" x14ac:dyDescent="0.3">
      <c r="A97" t="s">
        <v>78</v>
      </c>
      <c r="B97" t="s">
        <v>127</v>
      </c>
      <c r="C97">
        <f>5074/(1000)</f>
        <v>5.0739999999999998</v>
      </c>
      <c r="D97">
        <v>4.8250299000000005</v>
      </c>
    </row>
    <row r="98" spans="1:5" hidden="1" x14ac:dyDescent="0.3">
      <c r="A98" t="s">
        <v>69</v>
      </c>
      <c r="B98" t="s">
        <v>126</v>
      </c>
      <c r="C98">
        <f>5066/(1000)</f>
        <v>5.0659999999999998</v>
      </c>
      <c r="D98">
        <v>6.6428247999999996</v>
      </c>
      <c r="E98">
        <f>-2.2372+0.2795*Sheet5!D98+ 2.4762*Sheet5!E98+ 0.0303*Sheet5!F98+ 2.0105*0.95+ 0.3644*Sheet5!H98- 0.6051*Sheet5!I98</f>
        <v>6.2513301999999991</v>
      </c>
    </row>
    <row r="99" spans="1:5" x14ac:dyDescent="0.3">
      <c r="A99" t="s">
        <v>78</v>
      </c>
      <c r="B99" t="s">
        <v>124</v>
      </c>
      <c r="C99">
        <f>5051/(1000)</f>
        <v>5.0510000000000002</v>
      </c>
      <c r="D99">
        <v>5.3397550999999996</v>
      </c>
    </row>
    <row r="100" spans="1:5" x14ac:dyDescent="0.3">
      <c r="A100" t="s">
        <v>78</v>
      </c>
      <c r="B100" t="s">
        <v>131</v>
      </c>
      <c r="C100">
        <f>5045/(1000)</f>
        <v>5.0449999999999999</v>
      </c>
      <c r="D100">
        <v>4.6131293000000007</v>
      </c>
    </row>
    <row r="101" spans="1:5" hidden="1" x14ac:dyDescent="0.3">
      <c r="A101" t="s">
        <v>58</v>
      </c>
      <c r="B101" t="s">
        <v>129</v>
      </c>
      <c r="C101">
        <f>5030/(1000)</f>
        <v>5.03</v>
      </c>
      <c r="D101">
        <v>5.8292482000000003</v>
      </c>
      <c r="E101">
        <f>-2.2372+0.2795*Sheet5!D101+ 2.4762*Sheet5!E101+ 0.0303*Sheet5!F101+ 2.0105*0.95+ 0.3644*Sheet5!H101- 0.6051*Sheet5!I101</f>
        <v>5.4095309000000009</v>
      </c>
    </row>
    <row r="102" spans="1:5" hidden="1" x14ac:dyDescent="0.3">
      <c r="A102" t="s">
        <v>116</v>
      </c>
      <c r="B102" t="s">
        <v>130</v>
      </c>
      <c r="C102">
        <f>5025/(1000)</f>
        <v>5.0250000000000004</v>
      </c>
      <c r="D102">
        <v>5.6133081000000002</v>
      </c>
      <c r="E102">
        <f>-2.2372+0.2795*Sheet5!D102+ 2.4762*Sheet5!E102+ 0.0303*Sheet5!F102+ 2.0105*0.95+ 0.3644*Sheet5!H102- 0.6051*Sheet5!I102</f>
        <v>5.2874959999999991</v>
      </c>
    </row>
    <row r="103" spans="1:5" x14ac:dyDescent="0.3">
      <c r="A103" t="s">
        <v>78</v>
      </c>
      <c r="B103" t="s">
        <v>113</v>
      </c>
      <c r="C103">
        <f>4984/(1000)</f>
        <v>4.984</v>
      </c>
      <c r="D103">
        <v>4.7474331000000003</v>
      </c>
    </row>
    <row r="104" spans="1:5" x14ac:dyDescent="0.3">
      <c r="A104" t="s">
        <v>78</v>
      </c>
      <c r="B104" t="s">
        <v>150</v>
      </c>
      <c r="C104">
        <f>4956/(1000)</f>
        <v>4.9560000000000004</v>
      </c>
      <c r="D104">
        <v>5.2815910000000006</v>
      </c>
    </row>
    <row r="105" spans="1:5" x14ac:dyDescent="0.3">
      <c r="A105" t="s">
        <v>78</v>
      </c>
      <c r="B105" t="s">
        <v>174</v>
      </c>
      <c r="C105">
        <f>4948/(1000)</f>
        <v>4.9480000000000004</v>
      </c>
      <c r="D105">
        <v>4.6816644000000007</v>
      </c>
    </row>
    <row r="106" spans="1:5" hidden="1" x14ac:dyDescent="0.3">
      <c r="A106" t="s">
        <v>116</v>
      </c>
      <c r="B106" t="s">
        <v>134</v>
      </c>
      <c r="C106">
        <f>4934/(1000)</f>
        <v>4.9340000000000002</v>
      </c>
      <c r="D106">
        <v>5.0096226000000001</v>
      </c>
      <c r="E106">
        <f>-2.2372+0.2795*Sheet5!D106+ 2.4762*Sheet5!E106+ 0.0303*Sheet5!F106+ 2.0105*0.95+ 0.3644*Sheet5!H106- 0.6051*Sheet5!I106</f>
        <v>4.9871723999999995</v>
      </c>
    </row>
    <row r="107" spans="1:5" x14ac:dyDescent="0.3">
      <c r="A107" t="s">
        <v>78</v>
      </c>
      <c r="B107" t="s">
        <v>149</v>
      </c>
      <c r="C107">
        <f>4918/(1000)</f>
        <v>4.9180000000000001</v>
      </c>
      <c r="D107">
        <v>4.6835511000000007</v>
      </c>
    </row>
    <row r="108" spans="1:5" hidden="1" x14ac:dyDescent="0.3">
      <c r="A108" t="s">
        <v>39</v>
      </c>
      <c r="B108" t="s">
        <v>136</v>
      </c>
      <c r="C108">
        <f>4892/(1000)</f>
        <v>4.8920000000000003</v>
      </c>
      <c r="D108">
        <v>5.6333586000000011</v>
      </c>
      <c r="E108">
        <f>-2.2372+0.2795*Sheet5!D108+ 2.4762*Sheet5!E108+ 0.0303*Sheet5!F108+ 2.0105*0.95+ 0.3644*Sheet5!H108- 0.6051*Sheet5!I108</f>
        <v>5.7996954000000001</v>
      </c>
    </row>
    <row r="109" spans="1:5" hidden="1" x14ac:dyDescent="0.3">
      <c r="A109" t="s">
        <v>69</v>
      </c>
      <c r="B109" t="s">
        <v>137</v>
      </c>
      <c r="C109">
        <f>4891/(1000)</f>
        <v>4.891</v>
      </c>
      <c r="D109">
        <v>5.6785830000000006</v>
      </c>
      <c r="E109">
        <f>-2.2372+0.2795*Sheet5!D109+ 2.4762*Sheet5!E109+ 0.0303*Sheet5!F109+ 2.0105*0.95+ 0.3644*Sheet5!H109- 0.6051*Sheet5!I109</f>
        <v>5.4785349999999999</v>
      </c>
    </row>
    <row r="110" spans="1:5" x14ac:dyDescent="0.3">
      <c r="A110" t="s">
        <v>34</v>
      </c>
      <c r="B110" t="s">
        <v>108</v>
      </c>
      <c r="C110">
        <f>4887/(1000)</f>
        <v>4.8869999999999996</v>
      </c>
      <c r="D110">
        <v>6.0403172000000005</v>
      </c>
    </row>
    <row r="111" spans="1:5" hidden="1" x14ac:dyDescent="0.3">
      <c r="A111" t="s">
        <v>69</v>
      </c>
      <c r="B111" t="s">
        <v>139</v>
      </c>
      <c r="C111">
        <f>4875/(1000)</f>
        <v>4.875</v>
      </c>
      <c r="D111">
        <v>5.9855118000000003</v>
      </c>
      <c r="E111">
        <f>-2.2372+0.2795*Sheet5!D111+ 2.4762*Sheet5!E111+ 0.0303*Sheet5!F111+ 2.0105*0.95+ 0.3644*Sheet5!H111- 0.6051*Sheet5!I111</f>
        <v>5.9124123999999991</v>
      </c>
    </row>
    <row r="112" spans="1:5" x14ac:dyDescent="0.3">
      <c r="A112" t="s">
        <v>78</v>
      </c>
      <c r="B112" t="s">
        <v>164</v>
      </c>
      <c r="C112">
        <f>4854/(1000)</f>
        <v>4.8540000000000001</v>
      </c>
      <c r="D112">
        <v>4.3611117999999998</v>
      </c>
    </row>
    <row r="113" spans="1:5" x14ac:dyDescent="0.3">
      <c r="A113" t="s">
        <v>78</v>
      </c>
      <c r="B113" t="s">
        <v>173</v>
      </c>
      <c r="C113">
        <f>4852/(1000)</f>
        <v>4.8520000000000003</v>
      </c>
      <c r="D113">
        <v>4.3229762999999997</v>
      </c>
    </row>
    <row r="114" spans="1:5" x14ac:dyDescent="0.3">
      <c r="A114" t="s">
        <v>78</v>
      </c>
      <c r="B114" t="s">
        <v>146</v>
      </c>
      <c r="C114">
        <f>4834/(1000)</f>
        <v>4.8339999999999996</v>
      </c>
      <c r="D114">
        <v>4.6153495000000007</v>
      </c>
    </row>
    <row r="115" spans="1:5" hidden="1" x14ac:dyDescent="0.3">
      <c r="A115" t="s">
        <v>58</v>
      </c>
      <c r="B115" t="s">
        <v>143</v>
      </c>
      <c r="C115">
        <f>4830/(1000)</f>
        <v>4.83</v>
      </c>
      <c r="D115">
        <v>5.7699967999999986</v>
      </c>
      <c r="E115">
        <f>-2.2372+0.2795*Sheet5!D115+ 2.4762*Sheet5!E115+ 0.0303*Sheet5!F115+ 2.0105*0.95+ 0.3644*Sheet5!H115- 0.6051*Sheet5!I115</f>
        <v>5.2845782999999988</v>
      </c>
    </row>
    <row r="116" spans="1:5" x14ac:dyDescent="0.3">
      <c r="A116" t="s">
        <v>78</v>
      </c>
      <c r="B116" t="s">
        <v>163</v>
      </c>
      <c r="C116">
        <f>4794/(1000)</f>
        <v>4.7939999999999996</v>
      </c>
      <c r="D116">
        <v>4.9752801</v>
      </c>
    </row>
    <row r="117" spans="1:5" x14ac:dyDescent="0.3">
      <c r="A117" t="s">
        <v>78</v>
      </c>
      <c r="B117" t="s">
        <v>77</v>
      </c>
      <c r="C117">
        <f>4759/(1000)</f>
        <v>4.7590000000000003</v>
      </c>
      <c r="D117">
        <v>6.6274864999999998</v>
      </c>
    </row>
    <row r="118" spans="1:5" x14ac:dyDescent="0.3">
      <c r="A118" t="s">
        <v>34</v>
      </c>
      <c r="B118" t="s">
        <v>135</v>
      </c>
      <c r="C118">
        <f>4723/(1000)</f>
        <v>4.7229999999999999</v>
      </c>
      <c r="D118">
        <v>5.1270841000000003</v>
      </c>
    </row>
    <row r="119" spans="1:5" x14ac:dyDescent="0.3">
      <c r="A119" t="s">
        <v>78</v>
      </c>
      <c r="B119" t="s">
        <v>144</v>
      </c>
      <c r="C119">
        <f>4721/(1000)</f>
        <v>4.7210000000000001</v>
      </c>
      <c r="D119">
        <v>5.0450788000000006</v>
      </c>
    </row>
    <row r="120" spans="1:5" x14ac:dyDescent="0.3">
      <c r="A120" t="s">
        <v>78</v>
      </c>
      <c r="B120" t="s">
        <v>153</v>
      </c>
      <c r="C120">
        <f>4636/(1000)</f>
        <v>4.6360000000000001</v>
      </c>
      <c r="D120">
        <v>5.460674899999999</v>
      </c>
    </row>
    <row r="121" spans="1:5" x14ac:dyDescent="0.3">
      <c r="A121" t="s">
        <v>78</v>
      </c>
      <c r="B121" t="s">
        <v>125</v>
      </c>
      <c r="C121">
        <f>4625/(1000)</f>
        <v>4.625</v>
      </c>
      <c r="D121">
        <v>4.5679353000000003</v>
      </c>
    </row>
    <row r="122" spans="1:5" x14ac:dyDescent="0.3">
      <c r="A122" t="s">
        <v>78</v>
      </c>
      <c r="B122" t="s">
        <v>145</v>
      </c>
      <c r="C122">
        <f>4607/(1000)</f>
        <v>4.6070000000000002</v>
      </c>
      <c r="D122">
        <v>4.9391902999999999</v>
      </c>
    </row>
    <row r="123" spans="1:5" x14ac:dyDescent="0.3">
      <c r="A123" t="s">
        <v>78</v>
      </c>
      <c r="B123" t="s">
        <v>176</v>
      </c>
      <c r="C123">
        <f>4596/(1000)</f>
        <v>4.5960000000000001</v>
      </c>
      <c r="D123">
        <v>5.2892080000000004</v>
      </c>
    </row>
    <row r="124" spans="1:5" x14ac:dyDescent="0.3">
      <c r="A124" t="s">
        <v>78</v>
      </c>
      <c r="B124" t="s">
        <v>121</v>
      </c>
      <c r="C124">
        <f>4584/(1000)</f>
        <v>4.5839999999999996</v>
      </c>
      <c r="D124">
        <v>4.9515297999999994</v>
      </c>
    </row>
    <row r="125" spans="1:5" x14ac:dyDescent="0.3">
      <c r="A125" t="s">
        <v>78</v>
      </c>
      <c r="B125" t="s">
        <v>167</v>
      </c>
      <c r="C125">
        <f>4574/(1000)</f>
        <v>4.5739999999999998</v>
      </c>
      <c r="D125">
        <v>4.3293164000000015</v>
      </c>
    </row>
    <row r="126" spans="1:5" x14ac:dyDescent="0.3">
      <c r="A126" t="s">
        <v>78</v>
      </c>
      <c r="B126" t="s">
        <v>132</v>
      </c>
      <c r="C126">
        <f>4517/(1000)</f>
        <v>4.5170000000000003</v>
      </c>
      <c r="D126">
        <v>5.7313531000000006</v>
      </c>
    </row>
    <row r="127" spans="1:5" hidden="1" x14ac:dyDescent="0.3">
      <c r="A127" t="s">
        <v>58</v>
      </c>
      <c r="B127" t="s">
        <v>155</v>
      </c>
      <c r="C127">
        <f>4426/(1000)</f>
        <v>4.4260000000000002</v>
      </c>
      <c r="D127">
        <v>5.9005734000000007</v>
      </c>
      <c r="E127">
        <f>-2.2372+0.2795*Sheet5!D127+ 2.4762*Sheet5!E127+ 0.0303*Sheet5!F127+ 2.0105*0.95+ 0.3644*Sheet5!H127- 0.6051*Sheet5!I127</f>
        <v>5.571908500000001</v>
      </c>
    </row>
    <row r="128" spans="1:5" x14ac:dyDescent="0.3">
      <c r="A128" t="s">
        <v>78</v>
      </c>
      <c r="B128" t="s">
        <v>159</v>
      </c>
      <c r="C128">
        <f>4395/(1000)</f>
        <v>4.3949999999999996</v>
      </c>
      <c r="D128">
        <v>5.0550835999999997</v>
      </c>
    </row>
    <row r="129" spans="1:5" x14ac:dyDescent="0.3">
      <c r="A129" t="s">
        <v>78</v>
      </c>
      <c r="B129" t="s">
        <v>171</v>
      </c>
      <c r="C129">
        <f>4355/(1000)</f>
        <v>4.3550000000000004</v>
      </c>
      <c r="D129">
        <v>5.2923615000000002</v>
      </c>
    </row>
    <row r="130" spans="1:5" hidden="1" x14ac:dyDescent="0.3">
      <c r="A130" t="s">
        <v>116</v>
      </c>
      <c r="B130" t="s">
        <v>158</v>
      </c>
      <c r="C130">
        <f>4325/(1000)</f>
        <v>4.3250000000000002</v>
      </c>
      <c r="D130">
        <v>6.2234319000000005</v>
      </c>
      <c r="E130">
        <f>-2.2372+0.2795*Sheet5!D130+ 2.4762*Sheet5!E130+ 0.0303*Sheet5!F130+ 2.0105*0.95+ 0.3644*Sheet5!H130- 0.6051*Sheet5!I130</f>
        <v>5.9132034000000004</v>
      </c>
    </row>
    <row r="131" spans="1:5" x14ac:dyDescent="0.3">
      <c r="A131" t="s">
        <v>78</v>
      </c>
      <c r="B131" t="s">
        <v>165</v>
      </c>
      <c r="C131">
        <f>4308/(1000)</f>
        <v>4.3079999999999998</v>
      </c>
      <c r="D131">
        <v>4.0938898999999997</v>
      </c>
    </row>
    <row r="132" spans="1:5" x14ac:dyDescent="0.3">
      <c r="A132" t="s">
        <v>34</v>
      </c>
      <c r="B132" t="s">
        <v>151</v>
      </c>
      <c r="C132">
        <f>4289/(1000)</f>
        <v>4.2889999999999997</v>
      </c>
      <c r="D132">
        <v>5.3370675000000007</v>
      </c>
    </row>
    <row r="133" spans="1:5" x14ac:dyDescent="0.3">
      <c r="A133" t="s">
        <v>78</v>
      </c>
      <c r="B133" t="s">
        <v>148</v>
      </c>
      <c r="C133">
        <f>4283/(1000)</f>
        <v>4.2830000000000004</v>
      </c>
      <c r="D133">
        <v>4.9239791000000004</v>
      </c>
    </row>
    <row r="134" spans="1:5" x14ac:dyDescent="0.3">
      <c r="A134" t="s">
        <v>78</v>
      </c>
      <c r="B134" t="s">
        <v>166</v>
      </c>
      <c r="C134">
        <f>4275/(1000)</f>
        <v>4.2750000000000004</v>
      </c>
      <c r="D134">
        <v>5.0352374000000006</v>
      </c>
    </row>
    <row r="135" spans="1:5" x14ac:dyDescent="0.3">
      <c r="A135" t="s">
        <v>78</v>
      </c>
      <c r="B135" t="s">
        <v>177</v>
      </c>
      <c r="C135">
        <f>4227/(1000)</f>
        <v>4.2270000000000003</v>
      </c>
      <c r="D135">
        <v>4.8341171000000003</v>
      </c>
    </row>
    <row r="136" spans="1:5" hidden="1" x14ac:dyDescent="0.3">
      <c r="C136">
        <f>4208/(1000)</f>
        <v>4.2080000000000002</v>
      </c>
    </row>
    <row r="137" spans="1:5" hidden="1" x14ac:dyDescent="0.3">
      <c r="C137">
        <f>4107/(1000)</f>
        <v>4.1070000000000002</v>
      </c>
    </row>
    <row r="138" spans="1:5" hidden="1" x14ac:dyDescent="0.3">
      <c r="C138">
        <f>4073/(1000)</f>
        <v>4.0730000000000004</v>
      </c>
    </row>
    <row r="139" spans="1:5" hidden="1" x14ac:dyDescent="0.3">
      <c r="C139">
        <f>3849/(1000)</f>
        <v>3.8490000000000002</v>
      </c>
    </row>
    <row r="140" spans="1:5" hidden="1" x14ac:dyDescent="0.3">
      <c r="A140" t="s">
        <v>116</v>
      </c>
      <c r="B140" t="s">
        <v>168</v>
      </c>
      <c r="C140">
        <f>3819/(1000)</f>
        <v>3.819</v>
      </c>
      <c r="D140">
        <v>5.3890162000000004</v>
      </c>
    </row>
    <row r="141" spans="1:5" hidden="1" x14ac:dyDescent="0.3">
      <c r="C141">
        <f>3775/(1000)</f>
        <v>3.7749999999999999</v>
      </c>
    </row>
    <row r="142" spans="1:5" hidden="1" x14ac:dyDescent="0.3">
      <c r="C142">
        <f>3658/(1000)</f>
        <v>3.6579999999999999</v>
      </c>
    </row>
    <row r="143" spans="1:5" hidden="1" x14ac:dyDescent="0.3">
      <c r="C143">
        <f>3623/(1000)</f>
        <v>3.6230000000000002</v>
      </c>
    </row>
    <row r="144" spans="1:5" hidden="1" x14ac:dyDescent="0.3">
      <c r="A144" t="s">
        <v>39</v>
      </c>
      <c r="B144" t="s">
        <v>172</v>
      </c>
      <c r="C144">
        <f>3615/(1000)</f>
        <v>3.6150000000000002</v>
      </c>
      <c r="D144">
        <v>4.2051699999999999</v>
      </c>
    </row>
    <row r="145" spans="1:4" hidden="1" x14ac:dyDescent="0.3">
      <c r="C145">
        <f>3600/(1000)</f>
        <v>3.6</v>
      </c>
    </row>
    <row r="146" spans="1:4" hidden="1" x14ac:dyDescent="0.3">
      <c r="C146">
        <f>3512/(1000)</f>
        <v>3.512</v>
      </c>
    </row>
    <row r="147" spans="1:4" hidden="1" x14ac:dyDescent="0.3">
      <c r="C147">
        <f>3467/(1000)</f>
        <v>3.4670000000000001</v>
      </c>
    </row>
    <row r="148" spans="1:4" hidden="1" x14ac:dyDescent="0.3">
      <c r="C148">
        <f>3415/(1000)</f>
        <v>3.415</v>
      </c>
    </row>
    <row r="149" spans="1:4" hidden="1" x14ac:dyDescent="0.3">
      <c r="C149">
        <f>3145/(1000)</f>
        <v>3.145</v>
      </c>
    </row>
    <row r="150" spans="1:4" hidden="1" x14ac:dyDescent="0.3">
      <c r="A150" t="s">
        <v>116</v>
      </c>
      <c r="B150" t="s">
        <v>178</v>
      </c>
      <c r="C150">
        <f>2523/(1000)</f>
        <v>2.5230000000000001</v>
      </c>
      <c r="D150">
        <v>3.2524513000000002</v>
      </c>
    </row>
  </sheetData>
  <autoFilter ref="A1:D150" xr:uid="{7FE2F82B-22E6-430C-8E77-993E8438F359}">
    <filterColumn colId="0">
      <filters>
        <filter val="Sub-Saharan Africa"/>
        <filter val="Middle East and North Africa"/>
      </filters>
    </filterColumn>
  </autoFilter>
  <sortState xmlns:xlrd2="http://schemas.microsoft.com/office/spreadsheetml/2017/richdata2" ref="A13:D149">
    <sortCondition ref="B2:B149"/>
  </sortState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2DC65-D4E8-481F-83AE-82313B488D90}">
  <dimension ref="A1:O155"/>
  <sheetViews>
    <sheetView topLeftCell="B1" zoomScale="70" zoomScaleNormal="70" workbookViewId="0">
      <pane ySplit="1" topLeftCell="A2" activePane="bottomLeft" state="frozen"/>
      <selection pane="bottomLeft" activeCell="M123" sqref="M123"/>
    </sheetView>
  </sheetViews>
  <sheetFormatPr defaultRowHeight="14.4" x14ac:dyDescent="0.3"/>
  <cols>
    <col min="1" max="1" width="21.88671875" bestFit="1" customWidth="1"/>
    <col min="2" max="2" width="11.44140625" bestFit="1" customWidth="1"/>
    <col min="3" max="3" width="19.21875" bestFit="1" customWidth="1"/>
    <col min="4" max="4" width="12.33203125" bestFit="1" customWidth="1"/>
    <col min="5" max="5" width="19.5546875" bestFit="1" customWidth="1"/>
    <col min="6" max="6" width="24.6640625" bestFit="1" customWidth="1"/>
    <col min="7" max="7" width="9.6640625" bestFit="1" customWidth="1"/>
    <col min="8" max="8" width="21.5546875" bestFit="1" customWidth="1"/>
    <col min="9" max="9" width="20.21875" bestFit="1" customWidth="1"/>
    <col min="10" max="10" width="10.44140625" bestFit="1" customWidth="1"/>
  </cols>
  <sheetData>
    <row r="1" spans="1:15" x14ac:dyDescent="0.3">
      <c r="A1" t="s">
        <v>1</v>
      </c>
      <c r="B1" t="s">
        <v>0</v>
      </c>
      <c r="C1" t="s">
        <v>2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286</v>
      </c>
      <c r="K1" t="s">
        <v>263</v>
      </c>
      <c r="L1" t="s">
        <v>285</v>
      </c>
      <c r="M1" t="s">
        <v>287</v>
      </c>
      <c r="N1" t="s">
        <v>288</v>
      </c>
      <c r="O1" t="s">
        <v>289</v>
      </c>
    </row>
    <row r="2" spans="1:15" x14ac:dyDescent="0.3">
      <c r="A2" t="s">
        <v>21</v>
      </c>
      <c r="B2" t="s">
        <v>20</v>
      </c>
      <c r="C2">
        <f>7842/(1000)</f>
        <v>7.8419999999999996</v>
      </c>
      <c r="D2">
        <f>10775/(1000)</f>
        <v>10.775</v>
      </c>
      <c r="E2">
        <v>0.95399999999999996</v>
      </c>
      <c r="F2">
        <f>72000/(1000)</f>
        <v>72</v>
      </c>
      <c r="G2">
        <v>0.94899999999999995</v>
      </c>
      <c r="H2">
        <v>-9.8000000000000004E-2</v>
      </c>
      <c r="I2">
        <v>0.186</v>
      </c>
      <c r="J2">
        <f>-2.2372+0.2795*D2+ 2.4762*E2+ 0.0303*F2+ 2.0105*G2+ 0.3644*H2- 0.6051*I2</f>
        <v>7.0780120000000011</v>
      </c>
      <c r="K2" s="20">
        <f>ABS(C2-J2)</f>
        <v>0.76398799999999856</v>
      </c>
      <c r="L2">
        <f>1.2*D2</f>
        <v>12.93</v>
      </c>
      <c r="M2">
        <f>-2.2372+0.2795*L2+ 2.4762*E2+ 0.0303*F2+ 2.0105*G2+ 0.3644*H2- 0.6051*I2</f>
        <v>7.6803345000000007</v>
      </c>
      <c r="N2">
        <f>-2.2372+0.2795*Sheet5!D2+ 2.4762*Sheet5!E2+ 0.0303*Sheet5!F2+ 2.0105*0.95+ 0.3644*Sheet5!H2- 0.6051*Sheet5!I2</f>
        <v>7.0800225000000001</v>
      </c>
      <c r="O2">
        <f>C2-N2</f>
        <v>0.76197749999999953</v>
      </c>
    </row>
    <row r="3" spans="1:15" x14ac:dyDescent="0.3">
      <c r="A3" t="s">
        <v>21</v>
      </c>
      <c r="B3" t="s">
        <v>22</v>
      </c>
      <c r="C3">
        <f>7620/(1000)</f>
        <v>7.62</v>
      </c>
      <c r="D3">
        <f>10933/(1000)</f>
        <v>10.933</v>
      </c>
      <c r="E3">
        <v>0.95399999999999996</v>
      </c>
      <c r="F3">
        <f>72700/(1000)</f>
        <v>72.7</v>
      </c>
      <c r="G3">
        <v>0.94599999999999995</v>
      </c>
      <c r="H3">
        <v>0.03</v>
      </c>
      <c r="I3">
        <v>0.17899999999999999</v>
      </c>
      <c r="J3">
        <f>-2.2372+0.2795*D3+ 2.4762*E3+ 0.0303*F3+ 2.0105*G3+ 0.3644*H3- 0.6051*I3</f>
        <v>7.1882304000000001</v>
      </c>
      <c r="K3" s="20">
        <f>ABS(C3-J3)</f>
        <v>0.43176959999999998</v>
      </c>
      <c r="L3">
        <f>1.2*D3</f>
        <v>13.1196</v>
      </c>
      <c r="M3">
        <f>-2.2372+0.2795*L3+ 2.4762*E3+ 0.0303*F3+ 2.0105*G3+ 0.3644*H3- 0.6051*I3</f>
        <v>7.7993851000000003</v>
      </c>
      <c r="N3">
        <f t="shared" ref="N3:N66" si="0">-2.2372+0.2795*D3+ 2.4762*E3+ 0.0303*F3+ 2.0105*0.95+ 0.3644*H3- 0.6051*I3</f>
        <v>7.1962723999999998</v>
      </c>
      <c r="O3">
        <f t="shared" ref="O3:O66" si="1">C3-N3</f>
        <v>0.42372760000000032</v>
      </c>
    </row>
    <row r="4" spans="1:15" x14ac:dyDescent="0.3">
      <c r="A4" t="s">
        <v>21</v>
      </c>
      <c r="B4" t="s">
        <v>23</v>
      </c>
      <c r="C4">
        <f>7571/(1000)</f>
        <v>7.5709999999999997</v>
      </c>
      <c r="D4">
        <f>11117/(1000)</f>
        <v>11.117000000000001</v>
      </c>
      <c r="E4">
        <v>0.94199999999999995</v>
      </c>
      <c r="F4">
        <f>74400/(1000)</f>
        <v>74.400000000000006</v>
      </c>
      <c r="G4">
        <v>0.91900000000000004</v>
      </c>
      <c r="H4">
        <v>2.5000000000000001E-2</v>
      </c>
      <c r="I4">
        <v>0.29199999999999998</v>
      </c>
      <c r="J4">
        <f>-2.2372+0.2795*D4+ 2.4762*E4+ 0.0303*F4+ 2.0105*G4+ 0.3644*H4- 0.6051*I4</f>
        <v>7.1369721999999998</v>
      </c>
      <c r="K4" s="20">
        <f>ABS(C4-J4)</f>
        <v>0.43402779999999996</v>
      </c>
      <c r="L4">
        <f>1.2*D4</f>
        <v>13.340400000000001</v>
      </c>
      <c r="M4">
        <f>-2.2372+0.2795*L4+ 2.4762*E4+ 0.0303*F4+ 2.0105*G4+ 0.3644*H4- 0.6051*I4</f>
        <v>7.7584125000000004</v>
      </c>
      <c r="N4">
        <f t="shared" si="0"/>
        <v>7.1992976999999989</v>
      </c>
      <c r="O4">
        <f t="shared" si="1"/>
        <v>0.37170230000000082</v>
      </c>
    </row>
    <row r="5" spans="1:15" x14ac:dyDescent="0.3">
      <c r="A5" t="s">
        <v>21</v>
      </c>
      <c r="B5" t="s">
        <v>24</v>
      </c>
      <c r="C5">
        <f>7554/(1000)</f>
        <v>7.5540000000000003</v>
      </c>
      <c r="D5">
        <f>10878/(1000)</f>
        <v>10.878</v>
      </c>
      <c r="E5">
        <v>0.98299999999999998</v>
      </c>
      <c r="F5">
        <f>73000/(1000)</f>
        <v>73</v>
      </c>
      <c r="G5">
        <v>0.95499999999999996</v>
      </c>
      <c r="H5">
        <v>0.16</v>
      </c>
      <c r="I5">
        <v>0.67300000000000004</v>
      </c>
      <c r="J5">
        <f>-2.2372+0.2795*D5+ 2.4762*E5+ 0.0303*F5+ 2.0105*G5+ 0.3644*H5- 0.6051*I5</f>
        <v>7.0203047999999999</v>
      </c>
      <c r="K5" s="20">
        <f>ABS(C5-J5)</f>
        <v>0.53369520000000037</v>
      </c>
      <c r="L5">
        <f>1.2*D5</f>
        <v>13.053599999999999</v>
      </c>
      <c r="M5">
        <f>-2.2372+0.2795*L5+ 2.4762*E5+ 0.0303*F5+ 2.0105*G5+ 0.3644*H5- 0.6051*I5</f>
        <v>7.6283849999999997</v>
      </c>
      <c r="N5">
        <f t="shared" si="0"/>
        <v>7.0102522999999994</v>
      </c>
      <c r="O5">
        <f t="shared" si="1"/>
        <v>0.54374770000000083</v>
      </c>
    </row>
    <row r="6" spans="1:15" x14ac:dyDescent="0.3">
      <c r="A6" t="s">
        <v>21</v>
      </c>
      <c r="B6" t="s">
        <v>25</v>
      </c>
      <c r="C6">
        <f>7464/(1000)</f>
        <v>7.4640000000000004</v>
      </c>
      <c r="D6">
        <f>10932/(1000)</f>
        <v>10.932</v>
      </c>
      <c r="E6">
        <v>0.94199999999999995</v>
      </c>
      <c r="F6">
        <f>72400/(1000)</f>
        <v>72.400000000000006</v>
      </c>
      <c r="G6">
        <v>0.91300000000000003</v>
      </c>
      <c r="H6">
        <v>0.17499999999999999</v>
      </c>
      <c r="I6">
        <v>0.33800000000000002</v>
      </c>
      <c r="J6">
        <f>-2.2372+0.2795*D6+ 2.4762*E6+ 0.0303*F6+ 2.0105*G6+ 0.3644*H6- 0.6051*I6</f>
        <v>7.0394271000000002</v>
      </c>
      <c r="K6" s="20">
        <f>ABS(C6-J6)</f>
        <v>0.42457290000000025</v>
      </c>
      <c r="L6">
        <f>1.2*D6</f>
        <v>13.118399999999999</v>
      </c>
      <c r="M6">
        <f>-2.2372+0.2795*L6+ 2.4762*E6+ 0.0303*F6+ 2.0105*G6+ 0.3644*H6- 0.6051*I6</f>
        <v>7.6505259000000008</v>
      </c>
      <c r="N6">
        <f t="shared" si="0"/>
        <v>7.1138155999999997</v>
      </c>
      <c r="O6">
        <f t="shared" si="1"/>
        <v>0.35018440000000073</v>
      </c>
    </row>
    <row r="7" spans="1:15" x14ac:dyDescent="0.3">
      <c r="A7" t="s">
        <v>21</v>
      </c>
      <c r="B7" t="s">
        <v>26</v>
      </c>
      <c r="C7">
        <f>7392/(1000)</f>
        <v>7.3920000000000003</v>
      </c>
      <c r="D7">
        <f>11053/(1000)</f>
        <v>11.053000000000001</v>
      </c>
      <c r="E7">
        <v>0.95399999999999996</v>
      </c>
      <c r="F7">
        <f>73300/(1000)</f>
        <v>73.3</v>
      </c>
      <c r="G7">
        <v>0.96</v>
      </c>
      <c r="H7">
        <v>9.2999999999999999E-2</v>
      </c>
      <c r="I7">
        <v>0.27</v>
      </c>
      <c r="J7">
        <f>-2.2372+0.2795*D7+ 2.4762*E7+ 0.0303*F7+ 2.0105*G7+ 0.3644*H7- 0.6051*I7</f>
        <v>7.2359905000000015</v>
      </c>
      <c r="K7" s="20">
        <f>ABS(C7-J7)</f>
        <v>0.1560094999999988</v>
      </c>
      <c r="L7">
        <f>1.2*D7</f>
        <v>13.2636</v>
      </c>
      <c r="M7">
        <f>-2.2372+0.2795*L7+ 2.4762*E7+ 0.0303*F7+ 2.0105*G7+ 0.3644*H7- 0.6051*I7</f>
        <v>7.8538532000000023</v>
      </c>
      <c r="N7">
        <f t="shared" si="0"/>
        <v>7.2158855000000006</v>
      </c>
      <c r="O7">
        <f t="shared" si="1"/>
        <v>0.17611449999999973</v>
      </c>
    </row>
    <row r="8" spans="1:15" x14ac:dyDescent="0.3">
      <c r="A8" t="s">
        <v>21</v>
      </c>
      <c r="B8" t="s">
        <v>27</v>
      </c>
      <c r="C8">
        <f>7363/(1000)</f>
        <v>7.3630000000000004</v>
      </c>
      <c r="D8">
        <f>10867/(1000)</f>
        <v>10.867000000000001</v>
      </c>
      <c r="E8">
        <v>0.93400000000000005</v>
      </c>
      <c r="F8">
        <f>72700/(1000)</f>
        <v>72.7</v>
      </c>
      <c r="G8">
        <v>0.94499999999999995</v>
      </c>
      <c r="H8">
        <v>8.5999999999999993E-2</v>
      </c>
      <c r="I8">
        <v>0.23699999999999999</v>
      </c>
      <c r="J8">
        <f>-2.2372+0.2795*D8+ 2.4762*E8+ 0.0303*F8+ 2.0105*G8+ 0.3644*H8- 0.6051*I8</f>
        <v>7.1035595000000002</v>
      </c>
      <c r="K8" s="20">
        <f>ABS(C8-J8)</f>
        <v>0.25944050000000018</v>
      </c>
      <c r="L8">
        <f>1.2*D8</f>
        <v>13.0404</v>
      </c>
      <c r="M8">
        <f>-2.2372+0.2795*L8+ 2.4762*E8+ 0.0303*F8+ 2.0105*G8+ 0.3644*H8- 0.6051*I8</f>
        <v>7.7110247999999997</v>
      </c>
      <c r="N8">
        <f t="shared" si="0"/>
        <v>7.1136120000000007</v>
      </c>
      <c r="O8">
        <f t="shared" si="1"/>
        <v>0.24938799999999972</v>
      </c>
    </row>
    <row r="9" spans="1:15" x14ac:dyDescent="0.3">
      <c r="A9" t="s">
        <v>21</v>
      </c>
      <c r="B9" t="s">
        <v>28</v>
      </c>
      <c r="C9">
        <f>7324/(1000)</f>
        <v>7.3239999999999998</v>
      </c>
      <c r="D9">
        <f>11647/(1000)</f>
        <v>11.647</v>
      </c>
      <c r="E9">
        <v>0.90800000000000003</v>
      </c>
      <c r="F9">
        <f>72600/(1000)</f>
        <v>72.599999999999994</v>
      </c>
      <c r="G9">
        <v>0.90700000000000003</v>
      </c>
      <c r="H9">
        <v>-3.4000000000000002E-2</v>
      </c>
      <c r="I9">
        <v>0.38600000000000001</v>
      </c>
      <c r="J9">
        <f>-2.2372+0.2795*D9+ 2.4762*E9+ 0.0303*F9+ 2.0105*G9+ 0.3644*H9- 0.6051*I9</f>
        <v>7.0438714000000013</v>
      </c>
      <c r="K9" s="20">
        <f>ABS(C9-J9)</f>
        <v>0.28012859999999851</v>
      </c>
      <c r="L9">
        <f>1.2*D9</f>
        <v>13.9764</v>
      </c>
      <c r="M9">
        <f>-2.2372+0.2795*L9+ 2.4762*E9+ 0.0303*F9+ 2.0105*G9+ 0.3644*H9- 0.6051*I9</f>
        <v>7.6949387000000007</v>
      </c>
      <c r="N9">
        <f t="shared" si="0"/>
        <v>7.1303229000000004</v>
      </c>
      <c r="O9">
        <f t="shared" si="1"/>
        <v>0.19367709999999949</v>
      </c>
    </row>
    <row r="10" spans="1:15" x14ac:dyDescent="0.3">
      <c r="A10" t="s">
        <v>30</v>
      </c>
      <c r="B10" t="s">
        <v>29</v>
      </c>
      <c r="C10">
        <f>7277/(1000)</f>
        <v>7.2770000000000001</v>
      </c>
      <c r="D10">
        <f>10643/(1000)</f>
        <v>10.643000000000001</v>
      </c>
      <c r="E10">
        <v>0.94799999999999995</v>
      </c>
      <c r="F10">
        <f>73400/(1000)</f>
        <v>73.400000000000006</v>
      </c>
      <c r="G10">
        <v>0.92900000000000005</v>
      </c>
      <c r="H10">
        <v>0.13400000000000001</v>
      </c>
      <c r="I10">
        <v>0.24199999999999999</v>
      </c>
      <c r="J10">
        <f>-2.2372+0.2795*D10+ 2.4762*E10+ 0.0303*F10+ 2.0105*G10+ 0.3644*H10- 0.6051*I10</f>
        <v>7.0791260000000014</v>
      </c>
      <c r="K10" s="20">
        <f>ABS(C10-J10)</f>
        <v>0.19787399999999877</v>
      </c>
      <c r="L10">
        <f>1.2*D10</f>
        <v>12.771600000000001</v>
      </c>
      <c r="M10">
        <f>-2.2372+0.2795*L10+ 2.4762*E10+ 0.0303*F10+ 2.0105*G10+ 0.3644*H10- 0.6051*I10</f>
        <v>7.6740697000000013</v>
      </c>
      <c r="N10">
        <f t="shared" si="0"/>
        <v>7.1213465000000005</v>
      </c>
      <c r="O10">
        <f t="shared" si="1"/>
        <v>0.15565349999999967</v>
      </c>
    </row>
    <row r="11" spans="1:15" x14ac:dyDescent="0.3">
      <c r="A11" t="s">
        <v>21</v>
      </c>
      <c r="B11" t="s">
        <v>31</v>
      </c>
      <c r="C11">
        <f>7268/(1000)</f>
        <v>7.2679999999999998</v>
      </c>
      <c r="D11">
        <f>10906/(1000)</f>
        <v>10.906000000000001</v>
      </c>
      <c r="E11">
        <v>0.93400000000000005</v>
      </c>
      <c r="F11">
        <f>73300/(1000)</f>
        <v>73.3</v>
      </c>
      <c r="G11">
        <v>0.90800000000000003</v>
      </c>
      <c r="H11">
        <v>4.2000000000000003E-2</v>
      </c>
      <c r="I11">
        <v>0.48099999999999998</v>
      </c>
      <c r="J11">
        <f>-2.2372+0.2795*D11+ 2.4762*E11+ 0.0303*F11+ 2.0105*G11+ 0.3644*H11- 0.6051*I11</f>
        <v>6.8945735000000008</v>
      </c>
      <c r="K11" s="20">
        <f>ABS(C11-J11)</f>
        <v>0.373426499999999</v>
      </c>
      <c r="L11">
        <f>1.2*D11</f>
        <v>13.087200000000001</v>
      </c>
      <c r="M11">
        <f>-2.2372+0.2795*L11+ 2.4762*E11+ 0.0303*F11+ 2.0105*G11+ 0.3644*H11- 0.6051*I11</f>
        <v>7.5042189000000006</v>
      </c>
      <c r="N11">
        <f t="shared" si="0"/>
        <v>6.9790144999999999</v>
      </c>
      <c r="O11">
        <f t="shared" si="1"/>
        <v>0.2889854999999999</v>
      </c>
    </row>
    <row r="12" spans="1:15" x14ac:dyDescent="0.3">
      <c r="A12" t="s">
        <v>30</v>
      </c>
      <c r="B12" t="s">
        <v>32</v>
      </c>
      <c r="C12">
        <f>7183/(1000)</f>
        <v>7.1829999999999998</v>
      </c>
      <c r="D12">
        <f>10796/(1000)</f>
        <v>10.795999999999999</v>
      </c>
      <c r="E12">
        <v>0.94</v>
      </c>
      <c r="F12">
        <f>73900/(1000)</f>
        <v>73.900000000000006</v>
      </c>
      <c r="G12">
        <v>0.91400000000000003</v>
      </c>
      <c r="H12">
        <v>0.159</v>
      </c>
      <c r="I12">
        <v>0.442</v>
      </c>
      <c r="J12">
        <f>-2.2372+0.2795*D12+ 2.4762*E12+ 0.0303*F12+ 2.0105*G12+ 0.3644*H12- 0.6051*I12</f>
        <v>6.9751624000000003</v>
      </c>
      <c r="K12" s="20">
        <f>ABS(C12-J12)</f>
        <v>0.20783759999999951</v>
      </c>
      <c r="L12">
        <f>1.2*D12</f>
        <v>12.9552</v>
      </c>
      <c r="M12">
        <f>-2.2372+0.2795*L12+ 2.4762*E12+ 0.0303*F12+ 2.0105*G12+ 0.3644*H12- 0.6051*I12</f>
        <v>7.5786587999999995</v>
      </c>
      <c r="N12">
        <f t="shared" si="0"/>
        <v>7.047540399999999</v>
      </c>
      <c r="O12">
        <f t="shared" si="1"/>
        <v>0.13545960000000079</v>
      </c>
    </row>
    <row r="13" spans="1:15" x14ac:dyDescent="0.3">
      <c r="A13" t="s">
        <v>34</v>
      </c>
      <c r="B13" t="s">
        <v>33</v>
      </c>
      <c r="C13">
        <f>7157/(1000)</f>
        <v>7.157</v>
      </c>
      <c r="D13">
        <f>10575/(1000)</f>
        <v>10.574999999999999</v>
      </c>
      <c r="E13">
        <v>0.93899999999999995</v>
      </c>
      <c r="F13">
        <f>73503/(1000)</f>
        <v>73.503</v>
      </c>
      <c r="G13">
        <v>0.8</v>
      </c>
      <c r="H13">
        <v>3.1E-2</v>
      </c>
      <c r="I13">
        <v>0.753</v>
      </c>
      <c r="J13">
        <f>-2.2372+0.2795*D13+ 2.4762*E13+ 0.0303*F13+ 2.0105*G13+ 0.3644*H13- 0.6051*I13</f>
        <v>6.4348612999999997</v>
      </c>
      <c r="K13" s="20">
        <f>ABS(C13-J13)</f>
        <v>0.72213870000000036</v>
      </c>
      <c r="L13">
        <f>1.2*D13</f>
        <v>12.69</v>
      </c>
      <c r="M13">
        <f>-2.2372+0.2795*L13+ 2.4762*E13+ 0.0303*F13+ 2.0105*G13+ 0.3644*H13- 0.6051*I13</f>
        <v>7.0260037999999998</v>
      </c>
      <c r="N13">
        <f t="shared" si="0"/>
        <v>6.7364362999999994</v>
      </c>
      <c r="O13">
        <f t="shared" si="1"/>
        <v>0.42056370000000065</v>
      </c>
    </row>
    <row r="14" spans="1:15" x14ac:dyDescent="0.3">
      <c r="A14" t="s">
        <v>21</v>
      </c>
      <c r="B14" t="s">
        <v>35</v>
      </c>
      <c r="C14">
        <f>7155/(1000)</f>
        <v>7.1550000000000002</v>
      </c>
      <c r="D14">
        <f>10873/(1000)</f>
        <v>10.872999999999999</v>
      </c>
      <c r="E14">
        <v>0.90300000000000002</v>
      </c>
      <c r="F14">
        <f>72500/(1000)</f>
        <v>72.5</v>
      </c>
      <c r="G14">
        <v>0.875</v>
      </c>
      <c r="H14">
        <v>1.0999999999999999E-2</v>
      </c>
      <c r="I14">
        <v>0.46</v>
      </c>
      <c r="J14">
        <f>-2.2372+0.2795*D14+ 2.4762*E14+ 0.0303*F14+ 2.0105*G14+ 0.3644*H14- 0.6051*I14</f>
        <v>6.7194119999999993</v>
      </c>
      <c r="K14" s="20">
        <f>ABS(C14-J14)</f>
        <v>0.43558800000000097</v>
      </c>
      <c r="L14">
        <f>1.2*D14</f>
        <v>13.047599999999999</v>
      </c>
      <c r="M14">
        <f>-2.2372+0.2795*L14+ 2.4762*E14+ 0.0303*F14+ 2.0105*G14+ 0.3644*H14- 0.6051*I14</f>
        <v>7.3272126999999996</v>
      </c>
      <c r="N14">
        <f t="shared" si="0"/>
        <v>6.8701994999999991</v>
      </c>
      <c r="O14">
        <f t="shared" si="1"/>
        <v>0.28480050000000112</v>
      </c>
    </row>
    <row r="15" spans="1:15" x14ac:dyDescent="0.3">
      <c r="A15" t="s">
        <v>30</v>
      </c>
      <c r="B15" t="s">
        <v>36</v>
      </c>
      <c r="C15">
        <f>7103/(1000)</f>
        <v>7.1029999999999998</v>
      </c>
      <c r="D15">
        <f>10776/(1000)</f>
        <v>10.776</v>
      </c>
      <c r="E15">
        <v>0.92600000000000005</v>
      </c>
      <c r="F15">
        <f>73800/(1000)</f>
        <v>73.8</v>
      </c>
      <c r="G15">
        <v>0.91500000000000004</v>
      </c>
      <c r="H15">
        <v>8.8999999999999996E-2</v>
      </c>
      <c r="I15">
        <v>0.41499999999999998</v>
      </c>
      <c r="J15">
        <f>-2.2372+0.2795*D15+ 2.4762*E15+ 0.0303*F15+ 2.0105*G15+ 0.3644*H15- 0.6051*I15</f>
        <v>6.9247157999999986</v>
      </c>
      <c r="K15" s="20">
        <f>ABS(C15-J15)</f>
        <v>0.17828420000000111</v>
      </c>
      <c r="L15">
        <f>1.2*D15</f>
        <v>12.931199999999999</v>
      </c>
      <c r="M15">
        <f>-2.2372+0.2795*L15+ 2.4762*E15+ 0.0303*F15+ 2.0105*G15+ 0.3644*H15- 0.6051*I15</f>
        <v>7.5270941999999996</v>
      </c>
      <c r="N15">
        <f t="shared" si="0"/>
        <v>6.9950832999999983</v>
      </c>
      <c r="O15">
        <f t="shared" si="1"/>
        <v>0.10791670000000142</v>
      </c>
    </row>
    <row r="16" spans="1:15" x14ac:dyDescent="0.3">
      <c r="A16" t="s">
        <v>21</v>
      </c>
      <c r="B16" t="s">
        <v>37</v>
      </c>
      <c r="C16">
        <f>7085/(1000)</f>
        <v>7.085</v>
      </c>
      <c r="D16">
        <f>11342/(1000)</f>
        <v>11.342000000000001</v>
      </c>
      <c r="E16">
        <v>0.94699999999999995</v>
      </c>
      <c r="F16">
        <f>72400/(1000)</f>
        <v>72.400000000000006</v>
      </c>
      <c r="G16">
        <v>0.879</v>
      </c>
      <c r="H16">
        <v>7.6999999999999999E-2</v>
      </c>
      <c r="I16">
        <v>0.36299999999999999</v>
      </c>
      <c r="J16">
        <f>-2.2372+0.2795*D16+ 2.4762*E16+ 0.0303*F16+ 2.0105*G16+ 0.3644*H16- 0.6051*I16</f>
        <v>7.0472074000000013</v>
      </c>
      <c r="K16" s="20">
        <f>ABS(C16-J16)</f>
        <v>3.7792599999998622E-2</v>
      </c>
      <c r="L16">
        <f>1.2*D16</f>
        <v>13.6104</v>
      </c>
      <c r="M16">
        <f>-2.2372+0.2795*L16+ 2.4762*E16+ 0.0303*F16+ 2.0105*G16+ 0.3644*H16- 0.6051*I16</f>
        <v>7.681225200000001</v>
      </c>
      <c r="N16">
        <f t="shared" si="0"/>
        <v>7.1899529000000006</v>
      </c>
      <c r="O16">
        <f t="shared" si="1"/>
        <v>-0.10495290000000068</v>
      </c>
    </row>
    <row r="17" spans="1:15" x14ac:dyDescent="0.3">
      <c r="A17" t="s">
        <v>39</v>
      </c>
      <c r="B17" t="s">
        <v>38</v>
      </c>
      <c r="C17">
        <f>7069/(1000)</f>
        <v>7.069</v>
      </c>
      <c r="D17">
        <f>9880/(1000)</f>
        <v>9.8800000000000008</v>
      </c>
      <c r="E17">
        <v>0.89100000000000001</v>
      </c>
      <c r="F17">
        <f>71400/(1000)</f>
        <v>71.400000000000006</v>
      </c>
      <c r="G17">
        <v>0.93400000000000005</v>
      </c>
      <c r="H17">
        <v>-0.126</v>
      </c>
      <c r="I17">
        <v>0.80900000000000005</v>
      </c>
      <c r="J17">
        <f>-2.2372+0.2795*D17+ 2.4762*E17+ 0.0303*F17+ 2.0105*G17+ 0.3644*H17- 0.6051*I17</f>
        <v>6.2363409000000001</v>
      </c>
      <c r="K17" s="20">
        <f>ABS(C17-J17)</f>
        <v>0.83265909999999987</v>
      </c>
      <c r="L17">
        <f>1.2*D17</f>
        <v>11.856</v>
      </c>
      <c r="M17">
        <f>-2.2372+0.2795*L17+ 2.4762*E17+ 0.0303*F17+ 2.0105*G17+ 0.3644*H17- 0.6051*I17</f>
        <v>6.7886328999999996</v>
      </c>
      <c r="N17">
        <f t="shared" si="0"/>
        <v>6.2685088999999996</v>
      </c>
      <c r="O17">
        <f t="shared" si="1"/>
        <v>0.80049110000000034</v>
      </c>
    </row>
    <row r="18" spans="1:15" x14ac:dyDescent="0.3">
      <c r="A18" t="s">
        <v>21</v>
      </c>
      <c r="B18" t="s">
        <v>40</v>
      </c>
      <c r="C18">
        <f>7064/(1000)</f>
        <v>7.0640000000000001</v>
      </c>
      <c r="D18">
        <f>10707/(1000)</f>
        <v>10.707000000000001</v>
      </c>
      <c r="E18">
        <v>0.93400000000000005</v>
      </c>
      <c r="F18">
        <f>72500/(1000)</f>
        <v>72.5</v>
      </c>
      <c r="G18">
        <v>0.85899999999999999</v>
      </c>
      <c r="H18">
        <v>0.23300000000000001</v>
      </c>
      <c r="I18">
        <v>0.45900000000000002</v>
      </c>
      <c r="J18">
        <f>-2.2372+0.2795*D18+ 2.4762*E18+ 0.0303*F18+ 2.0105*G18+ 0.3644*H18- 0.6051*I18</f>
        <v>6.7991110999999993</v>
      </c>
      <c r="K18" s="20">
        <f>ABS(C18-J18)</f>
        <v>0.26488890000000076</v>
      </c>
      <c r="L18">
        <f>1.2*D18</f>
        <v>12.8484</v>
      </c>
      <c r="M18">
        <f>-2.2372+0.2795*L18+ 2.4762*E18+ 0.0303*F18+ 2.0105*G18+ 0.3644*H18- 0.6051*I18</f>
        <v>7.3976323999999991</v>
      </c>
      <c r="N18">
        <f t="shared" si="0"/>
        <v>6.9820665999999987</v>
      </c>
      <c r="O18">
        <f t="shared" si="1"/>
        <v>8.1933400000001377E-2</v>
      </c>
    </row>
    <row r="19" spans="1:15" x14ac:dyDescent="0.3">
      <c r="A19" t="s">
        <v>42</v>
      </c>
      <c r="B19" t="s">
        <v>41</v>
      </c>
      <c r="C19">
        <f>6965/(1000)</f>
        <v>6.9649999999999999</v>
      </c>
      <c r="D19">
        <f>10556/(1000)</f>
        <v>10.555999999999999</v>
      </c>
      <c r="E19">
        <v>0.94699999999999995</v>
      </c>
      <c r="F19">
        <f>70807/(1000)</f>
        <v>70.807000000000002</v>
      </c>
      <c r="G19">
        <v>0.85799999999999998</v>
      </c>
      <c r="H19">
        <v>-0.20799999999999999</v>
      </c>
      <c r="I19">
        <v>0.86799999999999999</v>
      </c>
      <c r="J19">
        <f>-2.2372+0.2795*D19+ 2.4762*E19+ 0.0303*F19+ 2.0105*G19+ 0.3644*H19- 0.6051*I19</f>
        <v>6.3276024999999994</v>
      </c>
      <c r="K19" s="20">
        <f>ABS(C19-J19)</f>
        <v>0.63739750000000051</v>
      </c>
      <c r="L19">
        <f>1.2*D19</f>
        <v>12.667199999999999</v>
      </c>
      <c r="M19">
        <f>-2.2372+0.2795*L19+ 2.4762*E19+ 0.0303*F19+ 2.0105*G19+ 0.3644*H19- 0.6051*I19</f>
        <v>6.9176828999999991</v>
      </c>
      <c r="N19">
        <f t="shared" si="0"/>
        <v>6.5125684999999987</v>
      </c>
      <c r="O19">
        <f t="shared" si="1"/>
        <v>0.45243150000000121</v>
      </c>
    </row>
    <row r="20" spans="1:15" x14ac:dyDescent="0.3">
      <c r="A20" t="s">
        <v>30</v>
      </c>
      <c r="B20" t="s">
        <v>43</v>
      </c>
      <c r="C20">
        <f>6951/(1000)</f>
        <v>6.9509999999999996</v>
      </c>
      <c r="D20">
        <f>11023/(1000)</f>
        <v>11.023</v>
      </c>
      <c r="E20">
        <v>0.92</v>
      </c>
      <c r="F20">
        <f>68200/(1000)</f>
        <v>68.2</v>
      </c>
      <c r="G20">
        <v>0.83699999999999997</v>
      </c>
      <c r="H20">
        <v>9.8000000000000004E-2</v>
      </c>
      <c r="I20">
        <v>0.69799999999999995</v>
      </c>
      <c r="J20">
        <f>-2.2372+0.2795*D20+ 2.4762*E20+ 0.0303*F20+ 2.0105*G20+ 0.3644*H20- 0.6051*I20</f>
        <v>6.4844324000000002</v>
      </c>
      <c r="K20" s="20">
        <f>ABS(C20-J20)</f>
        <v>0.46656759999999942</v>
      </c>
      <c r="L20">
        <f>1.2*D20</f>
        <v>13.227599999999999</v>
      </c>
      <c r="M20">
        <f>-2.2372+0.2795*L20+ 2.4762*E20+ 0.0303*F20+ 2.0105*G20+ 0.3644*H20- 0.6051*I20</f>
        <v>7.1006181000000002</v>
      </c>
      <c r="N20">
        <f t="shared" si="0"/>
        <v>6.7116189000000004</v>
      </c>
      <c r="O20">
        <f t="shared" si="1"/>
        <v>0.23938109999999924</v>
      </c>
    </row>
    <row r="21" spans="1:15" x14ac:dyDescent="0.3">
      <c r="A21" t="s">
        <v>21</v>
      </c>
      <c r="B21" t="s">
        <v>44</v>
      </c>
      <c r="C21">
        <f>6834/(1000)</f>
        <v>6.8339999999999996</v>
      </c>
      <c r="D21">
        <f>10823/(1000)</f>
        <v>10.823</v>
      </c>
      <c r="E21">
        <v>0.90600000000000003</v>
      </c>
      <c r="F21">
        <f>72199/(1000)</f>
        <v>72.198999999999998</v>
      </c>
      <c r="G21">
        <v>0.78300000000000003</v>
      </c>
      <c r="H21">
        <v>-0.153</v>
      </c>
      <c r="I21">
        <v>0.64600000000000002</v>
      </c>
      <c r="J21">
        <f>-2.2372+0.2795*D21+ 2.4762*E21+ 0.0303*F21+ 2.0105*G21+ 0.3644*H21- 0.6051*I21</f>
        <v>6.3464691000000011</v>
      </c>
      <c r="K21" s="20">
        <f>ABS(C21-J21)</f>
        <v>0.48753089999999855</v>
      </c>
      <c r="L21">
        <f>1.2*D21</f>
        <v>12.9876</v>
      </c>
      <c r="M21">
        <f>-2.2372+0.2795*L21+ 2.4762*E21+ 0.0303*F21+ 2.0105*G21+ 0.3644*H21- 0.6051*I21</f>
        <v>6.9514748000000006</v>
      </c>
      <c r="N21">
        <f t="shared" si="0"/>
        <v>6.6822226000000002</v>
      </c>
      <c r="O21">
        <f t="shared" si="1"/>
        <v>0.1517773999999994</v>
      </c>
    </row>
    <row r="22" spans="1:15" x14ac:dyDescent="0.3">
      <c r="A22" t="s">
        <v>21</v>
      </c>
      <c r="B22" t="s">
        <v>45</v>
      </c>
      <c r="C22">
        <f>6690/(1000)</f>
        <v>6.69</v>
      </c>
      <c r="D22">
        <f>10704/(1000)</f>
        <v>10.704000000000001</v>
      </c>
      <c r="E22">
        <v>0.94199999999999995</v>
      </c>
      <c r="F22">
        <f>74000/(1000)</f>
        <v>74</v>
      </c>
      <c r="G22">
        <v>0.82199999999999995</v>
      </c>
      <c r="H22">
        <v>-0.14699999999999999</v>
      </c>
      <c r="I22">
        <v>0.57099999999999995</v>
      </c>
      <c r="J22">
        <f>-2.2372+0.2795*D22+ 2.4762*E22+ 0.0303*F22+ 2.0105*G22+ 0.3644*H22- 0.6051*I22</f>
        <v>6.5829005000000009</v>
      </c>
      <c r="K22" s="20">
        <f>ABS(C22-J22)</f>
        <v>0.10709949999999946</v>
      </c>
      <c r="L22">
        <f>1.2*D22</f>
        <v>12.844800000000001</v>
      </c>
      <c r="M22">
        <f>-2.2372+0.2795*L22+ 2.4762*E22+ 0.0303*F22+ 2.0105*G22+ 0.3644*H22- 0.6051*I22</f>
        <v>7.1812541000000003</v>
      </c>
      <c r="N22">
        <f t="shared" si="0"/>
        <v>6.8402445000000007</v>
      </c>
      <c r="O22">
        <f t="shared" si="1"/>
        <v>-0.15024450000000034</v>
      </c>
    </row>
    <row r="23" spans="1:15" x14ac:dyDescent="0.3">
      <c r="A23" t="s">
        <v>34</v>
      </c>
      <c r="B23" t="s">
        <v>46</v>
      </c>
      <c r="C23">
        <f>6647/(1000)</f>
        <v>6.6470000000000002</v>
      </c>
      <c r="D23">
        <f>10669/(1000)</f>
        <v>10.669</v>
      </c>
      <c r="E23">
        <v>0.86199999999999999</v>
      </c>
      <c r="F23">
        <f>69495/(1000)</f>
        <v>69.495000000000005</v>
      </c>
      <c r="G23">
        <v>0.92500000000000004</v>
      </c>
      <c r="H23">
        <v>8.8999999999999996E-2</v>
      </c>
      <c r="I23">
        <v>0.72199999999999998</v>
      </c>
      <c r="J23">
        <f>-2.2372+0.2795*D23+ 2.4762*E23+ 0.0303*F23+ 2.0105*G23+ 0.3644*H23- 0.6051*I23</f>
        <v>6.4402302999999996</v>
      </c>
      <c r="K23" s="20">
        <f>ABS(C23-J23)</f>
        <v>0.20676970000000061</v>
      </c>
      <c r="L23">
        <f>1.2*D23</f>
        <v>12.8028</v>
      </c>
      <c r="M23">
        <f>-2.2372+0.2795*L23+ 2.4762*E23+ 0.0303*F23+ 2.0105*G23+ 0.3644*H23- 0.6051*I23</f>
        <v>7.0366274000000004</v>
      </c>
      <c r="N23">
        <f t="shared" si="0"/>
        <v>6.4904928000000002</v>
      </c>
      <c r="O23">
        <f t="shared" si="1"/>
        <v>0.15650720000000007</v>
      </c>
    </row>
    <row r="24" spans="1:15" x14ac:dyDescent="0.3">
      <c r="A24" t="s">
        <v>21</v>
      </c>
      <c r="B24" t="s">
        <v>47</v>
      </c>
      <c r="C24">
        <f>6602/(1000)</f>
        <v>6.6020000000000003</v>
      </c>
      <c r="D24">
        <f>10674/(1000)</f>
        <v>10.673999999999999</v>
      </c>
      <c r="E24">
        <v>0.93100000000000005</v>
      </c>
      <c r="F24">
        <f>72200/(1000)</f>
        <v>72.2</v>
      </c>
      <c r="G24">
        <v>0.92700000000000005</v>
      </c>
      <c r="H24">
        <v>0.13300000000000001</v>
      </c>
      <c r="I24">
        <v>0.65300000000000002</v>
      </c>
      <c r="J24">
        <f>-2.2372+0.2795*D24+ 2.4762*E24+ 0.0303*F24+ 2.0105*G24+ 0.3644*H24- 0.6051*I24</f>
        <v>6.7562536000000009</v>
      </c>
      <c r="K24" s="20">
        <f>ABS(C24-J24)</f>
        <v>0.15425360000000055</v>
      </c>
      <c r="L24">
        <f>1.2*D24</f>
        <v>12.8088</v>
      </c>
      <c r="M24">
        <f>-2.2372+0.2795*L24+ 2.4762*E24+ 0.0303*F24+ 2.0105*G24+ 0.3644*H24- 0.6051*I24</f>
        <v>7.3529302000000003</v>
      </c>
      <c r="N24">
        <f t="shared" si="0"/>
        <v>6.8024951000000007</v>
      </c>
      <c r="O24">
        <f t="shared" si="1"/>
        <v>-0.20049510000000037</v>
      </c>
    </row>
    <row r="25" spans="1:15" x14ac:dyDescent="0.3">
      <c r="A25" t="s">
        <v>49</v>
      </c>
      <c r="B25" t="s">
        <v>48</v>
      </c>
      <c r="C25">
        <f>6584/(1000)</f>
        <v>6.5839999999999996</v>
      </c>
      <c r="D25">
        <f>10871/(1000)</f>
        <v>10.871</v>
      </c>
      <c r="E25">
        <v>0.89800000000000002</v>
      </c>
      <c r="F25">
        <f>69600/(1000)</f>
        <v>69.599999999999994</v>
      </c>
      <c r="G25">
        <v>0.78400000000000003</v>
      </c>
      <c r="H25">
        <v>-7.0000000000000007E-2</v>
      </c>
      <c r="I25">
        <v>0.72099999999999997</v>
      </c>
      <c r="J25">
        <f>-2.2372+0.2795*D25+ 2.4762*E25+ 0.0303*F25+ 2.0105*G25+ 0.3644*H25- 0.6051*I25</f>
        <v>6.2481989999999996</v>
      </c>
      <c r="K25" s="20">
        <f>ABS(C25-J25)</f>
        <v>0.33580100000000002</v>
      </c>
      <c r="L25">
        <f>1.2*D25</f>
        <v>13.045199999999999</v>
      </c>
      <c r="M25">
        <f>-2.2372+0.2795*L25+ 2.4762*E25+ 0.0303*F25+ 2.0105*G25+ 0.3644*H25- 0.6051*I25</f>
        <v>6.8558878999999999</v>
      </c>
      <c r="N25">
        <f t="shared" si="0"/>
        <v>6.5819419999999997</v>
      </c>
      <c r="O25">
        <f t="shared" si="1"/>
        <v>2.0579999999998932E-3</v>
      </c>
    </row>
    <row r="26" spans="1:15" x14ac:dyDescent="0.3">
      <c r="A26" t="s">
        <v>34</v>
      </c>
      <c r="B26" t="s">
        <v>50</v>
      </c>
      <c r="C26">
        <f>6561/(1000)</f>
        <v>6.5609999999999999</v>
      </c>
      <c r="D26">
        <f>11085/(1000)</f>
        <v>11.085000000000001</v>
      </c>
      <c r="E26">
        <v>0.84399999999999997</v>
      </c>
      <c r="F26">
        <f>67333/(1000)</f>
        <v>67.332999999999998</v>
      </c>
      <c r="G26">
        <v>0.93200000000000005</v>
      </c>
      <c r="H26">
        <v>7.3999999999999996E-2</v>
      </c>
      <c r="I26">
        <v>0.58899999999999997</v>
      </c>
      <c r="J26">
        <f>-2.2372+0.2795*D26+ 2.4762*E26+ 0.0303*F26+ 2.0105*G26+ 0.3644*H26- 0.6051*I26</f>
        <v>6.5355078999999998</v>
      </c>
      <c r="K26" s="20">
        <f>ABS(C26-J26)</f>
        <v>2.5492100000000129E-2</v>
      </c>
      <c r="L26">
        <f>1.2*D26</f>
        <v>13.302000000000001</v>
      </c>
      <c r="M26">
        <f>-2.2372+0.2795*L26+ 2.4762*E26+ 0.0303*F26+ 2.0105*G26+ 0.3644*H26- 0.6051*I26</f>
        <v>7.1551594000000005</v>
      </c>
      <c r="N26">
        <f t="shared" si="0"/>
        <v>6.5716969000000001</v>
      </c>
      <c r="O26">
        <f t="shared" si="1"/>
        <v>-1.069690000000012E-2</v>
      </c>
    </row>
    <row r="27" spans="1:15" x14ac:dyDescent="0.3">
      <c r="A27" t="s">
        <v>34</v>
      </c>
      <c r="B27" t="s">
        <v>51</v>
      </c>
      <c r="C27">
        <f>6494/(1000)</f>
        <v>6.4939999999999998</v>
      </c>
      <c r="D27">
        <f>10743/(1000)</f>
        <v>10.743</v>
      </c>
      <c r="E27">
        <v>0.89100000000000001</v>
      </c>
      <c r="F27">
        <f>66603/(1000)</f>
        <v>66.602999999999994</v>
      </c>
      <c r="G27">
        <v>0.877</v>
      </c>
      <c r="H27">
        <v>-0.14899999999999999</v>
      </c>
      <c r="I27">
        <v>0.68400000000000005</v>
      </c>
      <c r="J27">
        <f>-2.2372+0.2795*D27+ 2.4762*E27+ 0.0303*F27+ 2.0105*G27+ 0.3644*H27- 0.6051*I27</f>
        <v>6.2848581000000001</v>
      </c>
      <c r="K27" s="20">
        <f>ABS(C27-J27)</f>
        <v>0.20914189999999966</v>
      </c>
      <c r="L27">
        <f>1.2*D27</f>
        <v>12.8916</v>
      </c>
      <c r="M27">
        <f>-2.2372+0.2795*L27+ 2.4762*E27+ 0.0303*F27+ 2.0105*G27+ 0.3644*H27- 0.6051*I27</f>
        <v>6.8853918000000007</v>
      </c>
      <c r="N27">
        <f t="shared" si="0"/>
        <v>6.4316246000000001</v>
      </c>
      <c r="O27">
        <f t="shared" si="1"/>
        <v>6.2375399999999637E-2</v>
      </c>
    </row>
    <row r="28" spans="1:15" x14ac:dyDescent="0.3">
      <c r="A28" t="s">
        <v>21</v>
      </c>
      <c r="B28" t="s">
        <v>52</v>
      </c>
      <c r="C28">
        <f>6491/(1000)</f>
        <v>6.4909999999999997</v>
      </c>
      <c r="D28">
        <f>10571/(1000)</f>
        <v>10.571</v>
      </c>
      <c r="E28">
        <v>0.93200000000000005</v>
      </c>
      <c r="F28">
        <f>74700/(1000)</f>
        <v>74.7</v>
      </c>
      <c r="G28">
        <v>0.76100000000000001</v>
      </c>
      <c r="H28">
        <v>-8.1000000000000003E-2</v>
      </c>
      <c r="I28">
        <v>0.745</v>
      </c>
      <c r="J28">
        <f>-2.2372+0.2795*D28+ 2.4762*E28+ 0.0303*F28+ 2.0105*G28+ 0.3644*H28- 0.6051*I28</f>
        <v>6.3382975000000004</v>
      </c>
      <c r="K28" s="20">
        <f>ABS(C28-J28)</f>
        <v>0.1527024999999993</v>
      </c>
      <c r="L28">
        <f>1.2*D28</f>
        <v>12.6852</v>
      </c>
      <c r="M28">
        <f>-2.2372+0.2795*L28+ 2.4762*E28+ 0.0303*F28+ 2.0105*G28+ 0.3644*H28- 0.6051*I28</f>
        <v>6.9292164000000005</v>
      </c>
      <c r="N28">
        <f t="shared" si="0"/>
        <v>6.7182819999999994</v>
      </c>
      <c r="O28">
        <f t="shared" si="1"/>
        <v>-0.22728199999999976</v>
      </c>
    </row>
    <row r="29" spans="1:15" x14ac:dyDescent="0.3">
      <c r="A29" t="s">
        <v>21</v>
      </c>
      <c r="B29" t="s">
        <v>53</v>
      </c>
      <c r="C29">
        <f>6483/(1000)</f>
        <v>6.4829999999999997</v>
      </c>
      <c r="D29">
        <f>10623/(1000)</f>
        <v>10.622999999999999</v>
      </c>
      <c r="E29">
        <v>0.88</v>
      </c>
      <c r="F29">
        <f>73800/(1000)</f>
        <v>73.8</v>
      </c>
      <c r="G29">
        <v>0.69299999999999995</v>
      </c>
      <c r="H29">
        <v>-8.4000000000000005E-2</v>
      </c>
      <c r="I29">
        <v>0.86599999999999999</v>
      </c>
      <c r="J29">
        <f>-2.2372+0.2795*D29+ 2.4762*E29+ 0.0303*F29+ 2.0105*G29+ 0.3644*H29- 0.6051*I29</f>
        <v>5.9857747999999997</v>
      </c>
      <c r="K29" s="20">
        <f>ABS(C29-J29)</f>
        <v>0.49722519999999992</v>
      </c>
      <c r="L29">
        <f>1.2*D29</f>
        <v>12.747599999999998</v>
      </c>
      <c r="M29">
        <f>-2.2372+0.2795*L29+ 2.4762*E29+ 0.0303*F29+ 2.0105*G29+ 0.3644*H29- 0.6051*I29</f>
        <v>6.5796004999999997</v>
      </c>
      <c r="N29">
        <f t="shared" si="0"/>
        <v>6.5024733000000001</v>
      </c>
      <c r="O29">
        <f t="shared" si="1"/>
        <v>-1.9473300000000471E-2</v>
      </c>
    </row>
    <row r="30" spans="1:15" x14ac:dyDescent="0.3">
      <c r="A30" t="s">
        <v>42</v>
      </c>
      <c r="B30" t="s">
        <v>54</v>
      </c>
      <c r="C30">
        <f>6461/(1000)</f>
        <v>6.4610000000000003</v>
      </c>
      <c r="D30">
        <f>10529/(1000)</f>
        <v>10.529</v>
      </c>
      <c r="E30">
        <v>0.94799999999999995</v>
      </c>
      <c r="F30">
        <f>71400/(1000)</f>
        <v>71.400000000000006</v>
      </c>
      <c r="G30">
        <v>0.94899999999999995</v>
      </c>
      <c r="H30">
        <v>-0.10100000000000001</v>
      </c>
      <c r="I30">
        <v>0.80600000000000005</v>
      </c>
      <c r="J30">
        <f>-2.2372+0.2795*D30+ 2.4762*E30+ 0.0303*F30+ 2.0105*G30+ 0.3644*H30- 0.6051*I30</f>
        <v>6.5999626000000005</v>
      </c>
      <c r="K30" s="20">
        <f>ABS(C30-J30)</f>
        <v>0.13896260000000016</v>
      </c>
      <c r="L30">
        <f>1.2*D30</f>
        <v>12.6348</v>
      </c>
      <c r="M30">
        <f>-2.2372+0.2795*L30+ 2.4762*E30+ 0.0303*F30+ 2.0105*G30+ 0.3644*H30- 0.6051*I30</f>
        <v>7.1885336999999998</v>
      </c>
      <c r="N30">
        <f t="shared" si="0"/>
        <v>6.6019730999999995</v>
      </c>
      <c r="O30">
        <f t="shared" si="1"/>
        <v>-0.14097309999999919</v>
      </c>
    </row>
    <row r="31" spans="1:15" x14ac:dyDescent="0.3">
      <c r="A31" t="s">
        <v>39</v>
      </c>
      <c r="B31" t="s">
        <v>55</v>
      </c>
      <c r="C31">
        <f>6435/(1000)</f>
        <v>6.4349999999999996</v>
      </c>
      <c r="D31">
        <f>9053/(1000)</f>
        <v>9.0530000000000008</v>
      </c>
      <c r="E31">
        <v>0.81299999999999994</v>
      </c>
      <c r="F31">
        <f>64958/(1000)</f>
        <v>64.957999999999998</v>
      </c>
      <c r="G31">
        <v>0.90600000000000003</v>
      </c>
      <c r="H31">
        <v>-3.7999999999999999E-2</v>
      </c>
      <c r="I31">
        <v>0.77500000000000002</v>
      </c>
      <c r="J31">
        <f>-2.2372+0.2795*D31+ 2.4762*E31+ 0.0303*F31+ 2.0105*G31+ 0.3644*H31- 0.6051*I31</f>
        <v>5.6132047999999992</v>
      </c>
      <c r="K31" s="20">
        <f>ABS(C31-J31)</f>
        <v>0.82179520000000039</v>
      </c>
      <c r="L31">
        <f>1.2*D31</f>
        <v>10.8636</v>
      </c>
      <c r="M31">
        <f>-2.2372+0.2795*L31+ 2.4762*E31+ 0.0303*F31+ 2.0105*G31+ 0.3644*H31- 0.6051*I31</f>
        <v>6.1192675000000003</v>
      </c>
      <c r="N31">
        <f t="shared" si="0"/>
        <v>5.701666799999999</v>
      </c>
      <c r="O31">
        <f t="shared" si="1"/>
        <v>0.73333320000000057</v>
      </c>
    </row>
    <row r="32" spans="1:15" x14ac:dyDescent="0.3">
      <c r="A32" t="s">
        <v>39</v>
      </c>
      <c r="B32" t="s">
        <v>56</v>
      </c>
      <c r="C32">
        <f>6431/(1000)</f>
        <v>6.431</v>
      </c>
      <c r="D32">
        <f>9966/(1000)</f>
        <v>9.9659999999999993</v>
      </c>
      <c r="E32">
        <v>0.92500000000000004</v>
      </c>
      <c r="F32">
        <f>69100/(1000)</f>
        <v>69.099999999999994</v>
      </c>
      <c r="G32">
        <v>0.89600000000000002</v>
      </c>
      <c r="H32">
        <v>-9.1999999999999998E-2</v>
      </c>
      <c r="I32">
        <v>0.59</v>
      </c>
      <c r="J32">
        <f>-2.2372+0.2795*D32+ 2.4762*E32+ 0.0303*F32+ 2.0105*G32+ 0.3644*H32- 0.6051*I32</f>
        <v>6.3433861999999994</v>
      </c>
      <c r="K32" s="20">
        <f>ABS(C32-J32)</f>
        <v>8.761380000000063E-2</v>
      </c>
      <c r="L32">
        <f>1.2*D32</f>
        <v>11.959199999999999</v>
      </c>
      <c r="M32">
        <f>-2.2372+0.2795*L32+ 2.4762*E32+ 0.0303*F32+ 2.0105*G32+ 0.3644*H32- 0.6051*I32</f>
        <v>6.9004855999999997</v>
      </c>
      <c r="N32">
        <f t="shared" si="0"/>
        <v>6.4519531999999984</v>
      </c>
      <c r="O32">
        <f t="shared" si="1"/>
        <v>-2.095319999999834E-2</v>
      </c>
    </row>
    <row r="33" spans="1:15" x14ac:dyDescent="0.3">
      <c r="A33" t="s">
        <v>58</v>
      </c>
      <c r="B33" t="s">
        <v>57</v>
      </c>
      <c r="C33">
        <f>6377/(1000)</f>
        <v>6.3769999999999998</v>
      </c>
      <c r="D33">
        <f>11488/(1000)</f>
        <v>11.488</v>
      </c>
      <c r="E33">
        <v>0.91500000000000004</v>
      </c>
      <c r="F33">
        <f>76953/(1000)</f>
        <v>76.953000000000003</v>
      </c>
      <c r="G33">
        <v>0.92700000000000005</v>
      </c>
      <c r="H33">
        <v>-1.7999999999999999E-2</v>
      </c>
      <c r="I33">
        <v>8.2000000000000003E-2</v>
      </c>
      <c r="J33">
        <f>-2.2372+0.2795*D33+ 2.4762*E33+ 0.0303*F33+ 2.0105*G33+ 0.3644*H33- 0.6051*I33</f>
        <v>7.3786510000000005</v>
      </c>
      <c r="K33" s="20">
        <f>ABS(C33-J33)</f>
        <v>1.0016510000000007</v>
      </c>
      <c r="L33">
        <f>1.2*D33</f>
        <v>13.785599999999999</v>
      </c>
      <c r="M33">
        <f>-2.2372+0.2795*L33+ 2.4762*E33+ 0.0303*F33+ 2.0105*G33+ 0.3644*H33- 0.6051*I33</f>
        <v>8.0208302000000007</v>
      </c>
      <c r="N33">
        <f t="shared" si="0"/>
        <v>7.4248924999999995</v>
      </c>
      <c r="O33">
        <f t="shared" si="1"/>
        <v>-1.0478924999999997</v>
      </c>
    </row>
    <row r="34" spans="1:15" x14ac:dyDescent="0.3">
      <c r="A34" t="s">
        <v>42</v>
      </c>
      <c r="B34" t="s">
        <v>59</v>
      </c>
      <c r="C34">
        <f>6372/(1000)</f>
        <v>6.3719999999999999</v>
      </c>
      <c r="D34">
        <f>9318/(1000)</f>
        <v>9.3179999999999996</v>
      </c>
      <c r="E34">
        <v>0.82099999999999995</v>
      </c>
      <c r="F34">
        <f>63813/(1000)</f>
        <v>63.813000000000002</v>
      </c>
      <c r="G34">
        <v>0.86899999999999999</v>
      </c>
      <c r="H34">
        <v>0.25700000000000001</v>
      </c>
      <c r="I34">
        <v>0.91700000000000004</v>
      </c>
      <c r="J34">
        <f>-2.2372+0.2795*D34+ 2.4762*E34+ 0.0303*F34+ 2.0105*G34+ 0.3644*H34- 0.6051*I34</f>
        <v>5.6195736999999992</v>
      </c>
      <c r="K34" s="20">
        <f>ABS(C34-J34)</f>
        <v>0.75242630000000066</v>
      </c>
      <c r="L34">
        <f>1.2*D34</f>
        <v>11.1816</v>
      </c>
      <c r="M34">
        <f>-2.2372+0.2795*L34+ 2.4762*E34+ 0.0303*F34+ 2.0105*G34+ 0.3644*H34- 0.6051*I34</f>
        <v>6.1404498999999992</v>
      </c>
      <c r="N34">
        <f t="shared" si="0"/>
        <v>5.7824241999999995</v>
      </c>
      <c r="O34">
        <f t="shared" si="1"/>
        <v>0.58957580000000043</v>
      </c>
    </row>
    <row r="35" spans="1:15" x14ac:dyDescent="0.3">
      <c r="A35" t="s">
        <v>42</v>
      </c>
      <c r="B35" t="s">
        <v>60</v>
      </c>
      <c r="C35">
        <f>6331/(1000)</f>
        <v>6.3310000000000004</v>
      </c>
      <c r="D35">
        <f>10369/(1000)</f>
        <v>10.369</v>
      </c>
      <c r="E35">
        <v>0.93600000000000005</v>
      </c>
      <c r="F35">
        <f>69201/(1000)</f>
        <v>69.200999999999993</v>
      </c>
      <c r="G35">
        <v>0.76600000000000001</v>
      </c>
      <c r="H35">
        <v>-0.124</v>
      </c>
      <c r="I35">
        <v>0.91100000000000003</v>
      </c>
      <c r="J35">
        <f>-2.2372+0.2795*D35+ 2.4762*E35+ 0.0303*F35+ 2.0105*G35+ 0.3644*H35- 0.6051*I35</f>
        <v>6.0190603000000005</v>
      </c>
      <c r="K35" s="20">
        <f>ABS(C35-J35)</f>
        <v>0.31193969999999993</v>
      </c>
      <c r="L35">
        <f>1.2*D35</f>
        <v>12.4428</v>
      </c>
      <c r="M35">
        <f>-2.2372+0.2795*L35+ 2.4762*E35+ 0.0303*F35+ 2.0105*G35+ 0.3644*H35- 0.6051*I35</f>
        <v>6.5986874000000002</v>
      </c>
      <c r="N35">
        <f t="shared" si="0"/>
        <v>6.3889923</v>
      </c>
      <c r="O35">
        <f t="shared" si="1"/>
        <v>-5.7992299999999553E-2</v>
      </c>
    </row>
    <row r="36" spans="1:15" x14ac:dyDescent="0.3">
      <c r="A36" t="s">
        <v>39</v>
      </c>
      <c r="B36" t="s">
        <v>61</v>
      </c>
      <c r="C36">
        <f>6330/(1000)</f>
        <v>6.33</v>
      </c>
      <c r="D36">
        <f>9577/(1000)</f>
        <v>9.577</v>
      </c>
      <c r="E36">
        <v>0.88200000000000001</v>
      </c>
      <c r="F36">
        <f>66601/(1000)</f>
        <v>66.600999999999999</v>
      </c>
      <c r="G36">
        <v>0.80400000000000005</v>
      </c>
      <c r="H36">
        <v>-7.0999999999999994E-2</v>
      </c>
      <c r="I36">
        <v>0.75600000000000001</v>
      </c>
      <c r="J36">
        <f>-2.2372+0.2795*D36+ 2.4762*E36+ 0.0303*F36+ 2.0105*G36+ 0.3644*H36- 0.6051*I36</f>
        <v>5.7747041999999995</v>
      </c>
      <c r="K36" s="20">
        <f>ABS(C36-J36)</f>
        <v>0.55529580000000056</v>
      </c>
      <c r="L36">
        <f>1.2*D36</f>
        <v>11.4924</v>
      </c>
      <c r="M36">
        <f>-2.2372+0.2795*L36+ 2.4762*E36+ 0.0303*F36+ 2.0105*G36+ 0.3644*H36- 0.6051*I36</f>
        <v>6.3100585000000002</v>
      </c>
      <c r="N36">
        <f t="shared" si="0"/>
        <v>6.0682371999999987</v>
      </c>
      <c r="O36">
        <f t="shared" si="1"/>
        <v>0.26176280000000141</v>
      </c>
    </row>
    <row r="37" spans="1:15" x14ac:dyDescent="0.3">
      <c r="A37" t="s">
        <v>39</v>
      </c>
      <c r="B37" t="s">
        <v>62</v>
      </c>
      <c r="C37">
        <f>6317/(1000)</f>
        <v>6.3170000000000002</v>
      </c>
      <c r="D37">
        <f>9859/(1000)</f>
        <v>9.859</v>
      </c>
      <c r="E37">
        <v>0.83099999999999996</v>
      </c>
      <c r="F37">
        <f>68597/(1000)</f>
        <v>68.596999999999994</v>
      </c>
      <c r="G37">
        <v>0.86199999999999999</v>
      </c>
      <c r="H37">
        <v>-0.14699999999999999</v>
      </c>
      <c r="I37">
        <v>0.79900000000000004</v>
      </c>
      <c r="J37">
        <f>-2.2372+0.2795*D37+ 2.4762*E37+ 0.0303*F37+ 2.0105*G37+ 0.3644*H37- 0.6051*I37</f>
        <v>5.8506111000000001</v>
      </c>
      <c r="K37" s="20">
        <f>ABS(C37-J37)</f>
        <v>0.46638890000000011</v>
      </c>
      <c r="L37">
        <f>1.2*D37</f>
        <v>11.8308</v>
      </c>
      <c r="M37">
        <f>-2.2372+0.2795*L37+ 2.4762*E37+ 0.0303*F37+ 2.0105*G37+ 0.3644*H37- 0.6051*I37</f>
        <v>6.4017292000000001</v>
      </c>
      <c r="N37">
        <f t="shared" si="0"/>
        <v>6.0275350999999997</v>
      </c>
      <c r="O37">
        <f t="shared" si="1"/>
        <v>0.28946490000000047</v>
      </c>
    </row>
    <row r="38" spans="1:15" x14ac:dyDescent="0.3">
      <c r="A38" t="s">
        <v>39</v>
      </c>
      <c r="B38" t="s">
        <v>63</v>
      </c>
      <c r="C38">
        <f>6309/(1000)</f>
        <v>6.3090000000000002</v>
      </c>
      <c r="D38">
        <f>9186/(1000)</f>
        <v>9.1859999999999999</v>
      </c>
      <c r="E38">
        <v>0.877</v>
      </c>
      <c r="F38">
        <f>67500/(1000)</f>
        <v>67.5</v>
      </c>
      <c r="G38">
        <v>0.89</v>
      </c>
      <c r="H38">
        <v>-0.13700000000000001</v>
      </c>
      <c r="I38">
        <v>0.88400000000000001</v>
      </c>
      <c r="J38">
        <f>-2.2372+0.2795*D38+ 2.4762*E38+ 0.0303*F38+ 2.0105*G38+ 0.3644*H38- 0.6051*I38</f>
        <v>5.7516781999999997</v>
      </c>
      <c r="K38" s="20">
        <f>ABS(C38-J38)</f>
        <v>0.55732180000000042</v>
      </c>
      <c r="L38">
        <f>1.2*D38</f>
        <v>11.023199999999999</v>
      </c>
      <c r="M38">
        <f>-2.2372+0.2795*L38+ 2.4762*E38+ 0.0303*F38+ 2.0105*G38+ 0.3644*H38- 0.6051*I38</f>
        <v>6.2651756000000001</v>
      </c>
      <c r="N38">
        <f t="shared" si="0"/>
        <v>5.8723081999999991</v>
      </c>
      <c r="O38">
        <f t="shared" si="1"/>
        <v>0.43669180000000107</v>
      </c>
    </row>
    <row r="39" spans="1:15" x14ac:dyDescent="0.3">
      <c r="A39" t="s">
        <v>42</v>
      </c>
      <c r="B39" t="s">
        <v>64</v>
      </c>
      <c r="C39">
        <f>6255/(1000)</f>
        <v>6.2549999999999999</v>
      </c>
      <c r="D39">
        <f>10499/(1000)</f>
        <v>10.499000000000001</v>
      </c>
      <c r="E39">
        <v>0.93500000000000005</v>
      </c>
      <c r="F39">
        <f>67906/(1000)</f>
        <v>67.906000000000006</v>
      </c>
      <c r="G39">
        <v>0.77300000000000002</v>
      </c>
      <c r="H39">
        <v>-0.20300000000000001</v>
      </c>
      <c r="I39">
        <v>0.82599999999999996</v>
      </c>
      <c r="J39">
        <f>-2.2372+0.2795*D39+ 2.4762*E39+ 0.0303*F39+ 2.0105*G39+ 0.3644*H39- 0.6051*I39</f>
        <v>6.0504000000000007</v>
      </c>
      <c r="K39" s="20">
        <f>ABS(C39-J39)</f>
        <v>0.20459999999999923</v>
      </c>
      <c r="L39">
        <f>1.2*D39</f>
        <v>12.598800000000001</v>
      </c>
      <c r="M39">
        <f>-2.2372+0.2795*L39+ 2.4762*E39+ 0.0303*F39+ 2.0105*G39+ 0.3644*H39- 0.6051*I39</f>
        <v>6.6372941000000001</v>
      </c>
      <c r="N39">
        <f t="shared" si="0"/>
        <v>6.4062585000000007</v>
      </c>
      <c r="O39">
        <f t="shared" si="1"/>
        <v>-0.15125850000000085</v>
      </c>
    </row>
    <row r="40" spans="1:15" x14ac:dyDescent="0.3">
      <c r="A40" t="s">
        <v>21</v>
      </c>
      <c r="B40" t="s">
        <v>65</v>
      </c>
      <c r="C40">
        <f>6223/(1000)</f>
        <v>6.2229999999999999</v>
      </c>
      <c r="D40">
        <f>10576/(1000)</f>
        <v>10.576000000000001</v>
      </c>
      <c r="E40">
        <v>0.80200000000000005</v>
      </c>
      <c r="F40">
        <f>73898/(1000)</f>
        <v>73.897999999999996</v>
      </c>
      <c r="G40">
        <v>0.76300000000000001</v>
      </c>
      <c r="H40">
        <v>-1.4999999999999999E-2</v>
      </c>
      <c r="I40">
        <v>0.84399999999999997</v>
      </c>
      <c r="J40">
        <f>-2.2372+0.2795*D40+ 2.4762*E40+ 0.0303*F40+ 2.0105*G40+ 0.3644*H40- 0.6051*I40</f>
        <v>5.961654900000001</v>
      </c>
      <c r="K40" s="20">
        <f>ABS(C40-J40)</f>
        <v>0.26134509999999889</v>
      </c>
      <c r="L40">
        <f>1.2*D40</f>
        <v>12.6912</v>
      </c>
      <c r="M40">
        <f>-2.2372+0.2795*L40+ 2.4762*E40+ 0.0303*F40+ 2.0105*G40+ 0.3644*H40- 0.6051*I40</f>
        <v>6.5528533000000007</v>
      </c>
      <c r="N40">
        <f t="shared" si="0"/>
        <v>6.3376184000000002</v>
      </c>
      <c r="O40">
        <f t="shared" si="1"/>
        <v>-0.11461840000000034</v>
      </c>
    </row>
    <row r="41" spans="1:15" x14ac:dyDescent="0.3">
      <c r="A41" t="s">
        <v>42</v>
      </c>
      <c r="B41" t="s">
        <v>66</v>
      </c>
      <c r="C41">
        <f>6189/(1000)</f>
        <v>6.1890000000000001</v>
      </c>
      <c r="D41">
        <f>10481/(1000)</f>
        <v>10.481</v>
      </c>
      <c r="E41">
        <v>0.94099999999999995</v>
      </c>
      <c r="F41">
        <f>68800/(1000)</f>
        <v>68.8</v>
      </c>
      <c r="G41">
        <v>0.90900000000000003</v>
      </c>
      <c r="H41">
        <v>-0.106</v>
      </c>
      <c r="I41">
        <v>0.52700000000000002</v>
      </c>
      <c r="J41">
        <f>-2.2372+0.2795*D41+ 2.4762*E41+ 0.0303*F41+ 2.0105*G41+ 0.3644*H41- 0.6051*I41</f>
        <v>6.5770140999999995</v>
      </c>
      <c r="K41" s="20">
        <f>ABS(C41-J41)</f>
        <v>0.38801409999999947</v>
      </c>
      <c r="L41">
        <f>1.2*D41</f>
        <v>12.577199999999999</v>
      </c>
      <c r="M41">
        <f>-2.2372+0.2795*L41+ 2.4762*E41+ 0.0303*F41+ 2.0105*G41+ 0.3644*H41- 0.6051*I41</f>
        <v>7.1629019999999999</v>
      </c>
      <c r="N41">
        <f t="shared" si="0"/>
        <v>6.6594445999999996</v>
      </c>
      <c r="O41">
        <f t="shared" si="1"/>
        <v>-0.47044459999999955</v>
      </c>
    </row>
    <row r="42" spans="1:15" x14ac:dyDescent="0.3">
      <c r="A42" t="s">
        <v>39</v>
      </c>
      <c r="B42" t="s">
        <v>67</v>
      </c>
      <c r="C42">
        <f>6180/(1000)</f>
        <v>6.18</v>
      </c>
      <c r="D42">
        <f>10350/(1000)</f>
        <v>10.35</v>
      </c>
      <c r="E42">
        <v>0.89600000000000002</v>
      </c>
      <c r="F42">
        <f>69652/(1000)</f>
        <v>69.652000000000001</v>
      </c>
      <c r="G42">
        <v>0.872</v>
      </c>
      <c r="H42">
        <v>-0.16600000000000001</v>
      </c>
      <c r="I42">
        <v>0.85599999999999998</v>
      </c>
      <c r="J42">
        <f>-2.2372+0.2795*D42+ 2.4762*E42+ 0.0303*F42+ 2.0105*G42+ 0.3644*H42- 0.6051*I42</f>
        <v>6.1594557999999999</v>
      </c>
      <c r="K42" s="20">
        <f>ABS(C42-J42)</f>
        <v>2.054419999999979E-2</v>
      </c>
      <c r="L42">
        <f>1.2*D42</f>
        <v>12.42</v>
      </c>
      <c r="M42">
        <f>-2.2372+0.2795*L42+ 2.4762*E42+ 0.0303*F42+ 2.0105*G42+ 0.3644*H42- 0.6051*I42</f>
        <v>6.7380207999999993</v>
      </c>
      <c r="N42">
        <f t="shared" si="0"/>
        <v>6.3162747999999995</v>
      </c>
      <c r="O42">
        <f t="shared" si="1"/>
        <v>-0.13627479999999981</v>
      </c>
    </row>
    <row r="43" spans="1:15" x14ac:dyDescent="0.3">
      <c r="A43" t="s">
        <v>69</v>
      </c>
      <c r="B43" t="s">
        <v>68</v>
      </c>
      <c r="C43">
        <f>6179/(1000)</f>
        <v>6.1790000000000003</v>
      </c>
      <c r="D43">
        <f>8836/(1000)</f>
        <v>8.8360000000000003</v>
      </c>
      <c r="E43">
        <v>0.91800000000000004</v>
      </c>
      <c r="F43">
        <f>65255/(1000)</f>
        <v>65.254999999999995</v>
      </c>
      <c r="G43">
        <v>0.97</v>
      </c>
      <c r="H43">
        <v>0.311</v>
      </c>
      <c r="I43">
        <v>0.51500000000000001</v>
      </c>
      <c r="J43">
        <f>-2.2372+0.2795*D43+ 2.4762*E43+ 0.0303*F43+ 2.0105*G43+ 0.3644*H43- 0.6051*I43</f>
        <v>6.2347270000000004</v>
      </c>
      <c r="K43" s="20">
        <f>ABS(C43-J43)</f>
        <v>5.5727000000000082E-2</v>
      </c>
      <c r="L43">
        <f>1.2*D43</f>
        <v>10.603199999999999</v>
      </c>
      <c r="M43">
        <f>-2.2372+0.2795*L43+ 2.4762*E43+ 0.0303*F43+ 2.0105*G43+ 0.3644*H43- 0.6051*I43</f>
        <v>6.7286594000000006</v>
      </c>
      <c r="N43">
        <f t="shared" si="0"/>
        <v>6.1945170000000003</v>
      </c>
      <c r="O43">
        <f t="shared" si="1"/>
        <v>-1.5517000000000003E-2</v>
      </c>
    </row>
    <row r="44" spans="1:15" x14ac:dyDescent="0.3">
      <c r="A44" t="s">
        <v>39</v>
      </c>
      <c r="B44" t="s">
        <v>70</v>
      </c>
      <c r="C44">
        <f>6172/(1000)</f>
        <v>6.1719999999999997</v>
      </c>
      <c r="D44">
        <f>10071/(1000)</f>
        <v>10.071</v>
      </c>
      <c r="E44">
        <v>0.88200000000000001</v>
      </c>
      <c r="F44">
        <f>70000/(1000)</f>
        <v>70</v>
      </c>
      <c r="G44">
        <v>0.74199999999999999</v>
      </c>
      <c r="H44">
        <v>-4.3999999999999997E-2</v>
      </c>
      <c r="I44">
        <v>0.83</v>
      </c>
      <c r="J44">
        <f>-2.2372+0.2795*D44+ 2.4762*E44+ 0.0303*F44+ 2.0105*G44+ 0.3644*H44- 0.6051*I44</f>
        <v>5.8561773000000006</v>
      </c>
      <c r="K44" s="20">
        <f>ABS(C44-J44)</f>
        <v>0.31582269999999912</v>
      </c>
      <c r="L44">
        <f>1.2*D44</f>
        <v>12.085199999999999</v>
      </c>
      <c r="M44">
        <f>-2.2372+0.2795*L44+ 2.4762*E44+ 0.0303*F44+ 2.0105*G44+ 0.3644*H44- 0.6051*I44</f>
        <v>6.4191462000000001</v>
      </c>
      <c r="N44">
        <f t="shared" si="0"/>
        <v>6.2743612999999989</v>
      </c>
      <c r="O44">
        <f t="shared" si="1"/>
        <v>-0.10236129999999921</v>
      </c>
    </row>
    <row r="45" spans="1:15" x14ac:dyDescent="0.3">
      <c r="A45" t="s">
        <v>42</v>
      </c>
      <c r="B45" t="s">
        <v>71</v>
      </c>
      <c r="C45">
        <f>6166/(1000)</f>
        <v>6.1660000000000004</v>
      </c>
      <c r="D45">
        <f>10382/(1000)</f>
        <v>10.382</v>
      </c>
      <c r="E45">
        <v>0.89800000000000002</v>
      </c>
      <c r="F45">
        <f>69702/(1000)</f>
        <v>69.701999999999998</v>
      </c>
      <c r="G45">
        <v>0.84099999999999997</v>
      </c>
      <c r="H45">
        <v>-0.16500000000000001</v>
      </c>
      <c r="I45">
        <v>0.73499999999999999</v>
      </c>
      <c r="J45">
        <f>-2.2372+0.2795*D45+ 2.4762*E45+ 0.0303*F45+ 2.0105*G45+ 0.3644*H45- 0.6051*I45</f>
        <v>6.186123199999999</v>
      </c>
      <c r="K45" s="20">
        <f>ABS(C45-J45)</f>
        <v>2.0123199999998675E-2</v>
      </c>
      <c r="L45">
        <f>1.2*D45</f>
        <v>12.458399999999999</v>
      </c>
      <c r="M45">
        <f>-2.2372+0.2795*L45+ 2.4762*E45+ 0.0303*F45+ 2.0105*G45+ 0.3644*H45- 0.6051*I45</f>
        <v>6.7664769999999983</v>
      </c>
      <c r="N45">
        <f t="shared" si="0"/>
        <v>6.4052676999999987</v>
      </c>
      <c r="O45">
        <f t="shared" si="1"/>
        <v>-0.23926769999999831</v>
      </c>
    </row>
    <row r="46" spans="1:15" x14ac:dyDescent="0.3">
      <c r="A46" t="s">
        <v>69</v>
      </c>
      <c r="B46" t="s">
        <v>72</v>
      </c>
      <c r="C46">
        <f>6152/(1000)</f>
        <v>6.1520000000000001</v>
      </c>
      <c r="D46">
        <f>10155/(1000)</f>
        <v>10.154999999999999</v>
      </c>
      <c r="E46">
        <v>0.95199999999999996</v>
      </c>
      <c r="F46">
        <f>65200/(1000)</f>
        <v>65.2</v>
      </c>
      <c r="G46">
        <v>0.85299999999999998</v>
      </c>
      <c r="H46">
        <v>-6.9000000000000006E-2</v>
      </c>
      <c r="I46">
        <v>0.73299999999999998</v>
      </c>
      <c r="J46">
        <f>-2.2372+0.2795*D46+ 2.4762*E46+ 0.0303*F46+ 2.0105*G46+ 0.3644*H46- 0.6051*I46</f>
        <v>6.1802995000000003</v>
      </c>
      <c r="K46" s="20">
        <f>ABS(C46-J46)</f>
        <v>2.8299500000000144E-2</v>
      </c>
      <c r="L46">
        <f>1.2*D46</f>
        <v>12.185999999999998</v>
      </c>
      <c r="M46">
        <f>-2.2372+0.2795*L46+ 2.4762*E46+ 0.0303*F46+ 2.0105*G46+ 0.3644*H46- 0.6051*I46</f>
        <v>6.7479639999999996</v>
      </c>
      <c r="N46">
        <f t="shared" si="0"/>
        <v>6.375318</v>
      </c>
      <c r="O46">
        <f t="shared" si="1"/>
        <v>-0.22331799999999991</v>
      </c>
    </row>
    <row r="47" spans="1:15" x14ac:dyDescent="0.3">
      <c r="A47" t="s">
        <v>42</v>
      </c>
      <c r="B47" t="s">
        <v>73</v>
      </c>
      <c r="C47">
        <f>6140/(1000)</f>
        <v>6.14</v>
      </c>
      <c r="D47">
        <f>10284/(1000)</f>
        <v>10.284000000000001</v>
      </c>
      <c r="E47">
        <v>0.83199999999999996</v>
      </c>
      <c r="F47">
        <f>67355/(1000)</f>
        <v>67.355000000000004</v>
      </c>
      <c r="G47">
        <v>0.84499999999999997</v>
      </c>
      <c r="H47">
        <v>-0.219</v>
      </c>
      <c r="I47">
        <v>0.93799999999999994</v>
      </c>
      <c r="J47">
        <f>-2.2372+0.2795*D47+ 2.4762*E47+ 0.0303*F47+ 2.0105*G47+ 0.3644*H47- 0.6051*I47</f>
        <v>5.7897180000000006</v>
      </c>
      <c r="K47" s="20">
        <f>ABS(C47-J47)</f>
        <v>0.35028199999999909</v>
      </c>
      <c r="L47">
        <f>1.2*D47</f>
        <v>12.3408</v>
      </c>
      <c r="M47">
        <f>-2.2372+0.2795*L47+ 2.4762*E47+ 0.0303*F47+ 2.0105*G47+ 0.3644*H47- 0.6051*I47</f>
        <v>6.364593600000001</v>
      </c>
      <c r="N47">
        <f t="shared" si="0"/>
        <v>6.0008205000000014</v>
      </c>
      <c r="O47">
        <f t="shared" si="1"/>
        <v>0.13917949999999824</v>
      </c>
    </row>
    <row r="48" spans="1:15" x14ac:dyDescent="0.3">
      <c r="A48" t="s">
        <v>34</v>
      </c>
      <c r="B48" t="s">
        <v>74</v>
      </c>
      <c r="C48">
        <f>6106/(1000)</f>
        <v>6.1059999999999999</v>
      </c>
      <c r="D48">
        <f>10817/(1000)</f>
        <v>10.817</v>
      </c>
      <c r="E48">
        <v>0.84299999999999997</v>
      </c>
      <c r="F48">
        <f>66900/(1000)</f>
        <v>66.900000000000006</v>
      </c>
      <c r="G48">
        <v>0.86699999999999999</v>
      </c>
      <c r="H48">
        <v>-0.104</v>
      </c>
      <c r="I48">
        <v>0.73599999999999999</v>
      </c>
      <c r="J48">
        <f>-2.2372+0.2795*D48+ 2.4762*E48+ 0.0303*F48+ 2.0105*G48+ 0.3644*H48- 0.6051*I48</f>
        <v>6.1605104000000006</v>
      </c>
      <c r="K48" s="20">
        <f>ABS(C48-J48)</f>
        <v>5.4510400000000736E-2</v>
      </c>
      <c r="L48">
        <f>1.2*D48</f>
        <v>12.980399999999999</v>
      </c>
      <c r="M48">
        <f>-2.2372+0.2795*L48+ 2.4762*E48+ 0.0303*F48+ 2.0105*G48+ 0.3644*H48- 0.6051*I48</f>
        <v>6.7651807000000002</v>
      </c>
      <c r="N48">
        <f t="shared" si="0"/>
        <v>6.3273819000000007</v>
      </c>
      <c r="O48">
        <f t="shared" si="1"/>
        <v>-0.2213819000000008</v>
      </c>
    </row>
    <row r="49" spans="1:15" x14ac:dyDescent="0.3">
      <c r="A49" t="s">
        <v>42</v>
      </c>
      <c r="B49" t="s">
        <v>75</v>
      </c>
      <c r="C49">
        <f>6078/(1000)</f>
        <v>6.0780000000000003</v>
      </c>
      <c r="D49">
        <f>9787/(1000)</f>
        <v>9.7870000000000008</v>
      </c>
      <c r="E49">
        <v>0.873</v>
      </c>
      <c r="F49">
        <f>68600/(1000)</f>
        <v>68.599999999999994</v>
      </c>
      <c r="G49">
        <v>0.77800000000000002</v>
      </c>
      <c r="H49">
        <v>2E-3</v>
      </c>
      <c r="I49">
        <v>0.83499999999999996</v>
      </c>
      <c r="J49">
        <f>-2.2372+0.2795*D49+ 2.4762*E49+ 0.0303*F49+ 2.0105*G49+ 0.3644*H49- 0.6051*I49</f>
        <v>5.7982084</v>
      </c>
      <c r="K49" s="20">
        <f>ABS(C49-J49)</f>
        <v>0.27979160000000025</v>
      </c>
      <c r="L49">
        <f>1.2*D49</f>
        <v>11.744400000000001</v>
      </c>
      <c r="M49">
        <f>-2.2372+0.2795*L49+ 2.4762*E49+ 0.0303*F49+ 2.0105*G49+ 0.3644*H49- 0.6051*I49</f>
        <v>6.3453016999999994</v>
      </c>
      <c r="N49">
        <f t="shared" si="0"/>
        <v>6.1440144000000005</v>
      </c>
      <c r="O49">
        <f t="shared" si="1"/>
        <v>-6.6014400000000251E-2</v>
      </c>
    </row>
    <row r="50" spans="1:15" x14ac:dyDescent="0.3">
      <c r="A50" t="s">
        <v>39</v>
      </c>
      <c r="B50" t="s">
        <v>76</v>
      </c>
      <c r="C50">
        <f>6061/(1000)</f>
        <v>6.0609999999999999</v>
      </c>
      <c r="D50">
        <f>9054/(1000)</f>
        <v>9.0540000000000003</v>
      </c>
      <c r="E50">
        <v>0.76200000000000001</v>
      </c>
      <c r="F50">
        <f>66402/(1000)</f>
        <v>66.402000000000001</v>
      </c>
      <c r="G50">
        <v>0.88800000000000001</v>
      </c>
      <c r="H50">
        <v>-0.11</v>
      </c>
      <c r="I50">
        <v>0.68799999999999994</v>
      </c>
      <c r="J50">
        <f>-2.2372+0.2795*D50+ 2.4762*E50+ 0.0303*F50+ 2.0105*G50+ 0.3644*H50- 0.6051*I50</f>
        <v>5.5211691999999992</v>
      </c>
      <c r="K50" s="20">
        <f>ABS(C50-J50)</f>
        <v>0.53983080000000072</v>
      </c>
      <c r="L50">
        <f>1.2*D50</f>
        <v>10.864800000000001</v>
      </c>
      <c r="M50">
        <f>-2.2372+0.2795*L50+ 2.4762*E50+ 0.0303*F50+ 2.0105*G50+ 0.3644*H50- 0.6051*I50</f>
        <v>6.0272877999999999</v>
      </c>
      <c r="N50">
        <f t="shared" si="0"/>
        <v>5.6458201999999993</v>
      </c>
      <c r="O50">
        <f t="shared" si="1"/>
        <v>0.41517980000000065</v>
      </c>
    </row>
    <row r="51" spans="1:15" x14ac:dyDescent="0.3">
      <c r="A51" t="s">
        <v>78</v>
      </c>
      <c r="B51" t="s">
        <v>77</v>
      </c>
      <c r="C51">
        <f>6049/(1000)</f>
        <v>6.0490000000000004</v>
      </c>
      <c r="D51">
        <f>10008/(1000)</f>
        <v>10.007999999999999</v>
      </c>
      <c r="E51">
        <v>0.90500000000000003</v>
      </c>
      <c r="F51">
        <f>66701/(1000)</f>
        <v>66.700999999999993</v>
      </c>
      <c r="G51">
        <v>0.86699999999999999</v>
      </c>
      <c r="H51">
        <v>-5.3999999999999999E-2</v>
      </c>
      <c r="I51">
        <v>0.78900000000000003</v>
      </c>
      <c r="J51">
        <f>-2.2372+0.2795*D51+ 2.4762*E51+ 0.0303*F51+ 2.0105*G51+ 0.3644*H51- 0.6051*I51</f>
        <v>6.0680393000000006</v>
      </c>
      <c r="K51" s="20">
        <f>ABS(C51-J51)</f>
        <v>1.9039300000000203E-2</v>
      </c>
      <c r="L51">
        <f>1.2*D51</f>
        <v>12.009599999999999</v>
      </c>
      <c r="M51">
        <f>-2.2372+0.2795*L51+ 2.4762*E51+ 0.0303*F51+ 2.0105*G51+ 0.3644*H51- 0.6051*I51</f>
        <v>6.6274864999999998</v>
      </c>
      <c r="N51">
        <f t="shared" si="0"/>
        <v>6.2349107999999998</v>
      </c>
      <c r="O51">
        <f t="shared" si="1"/>
        <v>-0.18591079999999938</v>
      </c>
    </row>
    <row r="52" spans="1:15" x14ac:dyDescent="0.3">
      <c r="A52" t="s">
        <v>42</v>
      </c>
      <c r="B52" t="s">
        <v>79</v>
      </c>
      <c r="C52">
        <f>6032/(1000)</f>
        <v>6.032</v>
      </c>
      <c r="D52">
        <f>10315/(1000)</f>
        <v>10.315</v>
      </c>
      <c r="E52">
        <v>0.92700000000000005</v>
      </c>
      <c r="F52">
        <f>67100/(1000)</f>
        <v>67.099999999999994</v>
      </c>
      <c r="G52">
        <v>0.71499999999999997</v>
      </c>
      <c r="H52">
        <v>-0.16200000000000001</v>
      </c>
      <c r="I52">
        <v>0.8</v>
      </c>
      <c r="J52">
        <f>-2.2372+0.2795*D52+ 2.4762*E52+ 0.0303*F52+ 2.0105*G52+ 0.3644*H52- 0.6051*I52</f>
        <v>5.8688045999999998</v>
      </c>
      <c r="K52" s="20">
        <f>ABS(C52-J52)</f>
        <v>0.16319540000000021</v>
      </c>
      <c r="L52">
        <f>1.2*D52</f>
        <v>12.377999999999998</v>
      </c>
      <c r="M52">
        <f>-2.2372+0.2795*L52+ 2.4762*E52+ 0.0303*F52+ 2.0105*G52+ 0.3644*H52- 0.6051*I52</f>
        <v>6.4454131000000006</v>
      </c>
      <c r="N52">
        <f t="shared" si="0"/>
        <v>6.3412720999999994</v>
      </c>
      <c r="O52">
        <f t="shared" si="1"/>
        <v>-0.30927209999999938</v>
      </c>
    </row>
    <row r="53" spans="1:15" x14ac:dyDescent="0.3">
      <c r="A53" t="s">
        <v>39</v>
      </c>
      <c r="B53" t="s">
        <v>80</v>
      </c>
      <c r="C53">
        <f>6012/(1000)</f>
        <v>6.0119999999999996</v>
      </c>
      <c r="D53">
        <f>9557/(1000)</f>
        <v>9.5570000000000004</v>
      </c>
      <c r="E53">
        <v>0.84699999999999998</v>
      </c>
      <c r="F53">
        <f>68001/(1000)</f>
        <v>68.001000000000005</v>
      </c>
      <c r="G53">
        <v>0.83699999999999997</v>
      </c>
      <c r="H53">
        <v>-0.13500000000000001</v>
      </c>
      <c r="I53">
        <v>0.84099999999999997</v>
      </c>
      <c r="J53">
        <f>-2.2372+0.2795*D53+ 2.4762*E53+ 0.0303*F53+ 2.0105*G53+ 0.3644*H53- 0.6051*I53</f>
        <v>5.7164586000000002</v>
      </c>
      <c r="K53" s="20">
        <f>ABS(C53-J53)</f>
        <v>0.2955413999999994</v>
      </c>
      <c r="L53">
        <f>1.2*D53</f>
        <v>11.468400000000001</v>
      </c>
      <c r="M53">
        <f>-2.2372+0.2795*L53+ 2.4762*E53+ 0.0303*F53+ 2.0105*G53+ 0.3644*H53- 0.6051*I53</f>
        <v>6.2506949000000009</v>
      </c>
      <c r="N53">
        <f t="shared" si="0"/>
        <v>5.9436451000000003</v>
      </c>
      <c r="O53">
        <f t="shared" si="1"/>
        <v>6.8354899999999219E-2</v>
      </c>
    </row>
    <row r="54" spans="1:15" x14ac:dyDescent="0.3">
      <c r="A54" t="s">
        <v>42</v>
      </c>
      <c r="B54" t="s">
        <v>81</v>
      </c>
      <c r="C54">
        <f>5992/(1000)</f>
        <v>5.992</v>
      </c>
      <c r="D54">
        <f>10358/(1000)</f>
        <v>10.358000000000001</v>
      </c>
      <c r="E54">
        <v>0.94299999999999995</v>
      </c>
      <c r="F54">
        <f>68000/(1000)</f>
        <v>68</v>
      </c>
      <c r="G54">
        <v>0.755</v>
      </c>
      <c r="H54">
        <v>-0.186</v>
      </c>
      <c r="I54">
        <v>0.876</v>
      </c>
      <c r="J54">
        <f>-2.2372+0.2795*D54+ 2.4762*E54+ 0.0303*F54+ 2.0105*G54+ 0.3644*H54- 0.6051*I54</f>
        <v>5.9733991</v>
      </c>
      <c r="K54" s="20">
        <f>ABS(C54-J54)</f>
        <v>1.8600900000000031E-2</v>
      </c>
      <c r="L54">
        <f>1.2*D54</f>
        <v>12.429600000000001</v>
      </c>
      <c r="M54">
        <f>-2.2372+0.2795*L54+ 2.4762*E54+ 0.0303*F54+ 2.0105*G54+ 0.3644*H54- 0.6051*I54</f>
        <v>6.5524113000000002</v>
      </c>
      <c r="N54">
        <f t="shared" si="0"/>
        <v>6.3654465999999994</v>
      </c>
      <c r="O54">
        <f t="shared" si="1"/>
        <v>-0.37344659999999941</v>
      </c>
    </row>
    <row r="55" spans="1:15" x14ac:dyDescent="0.3">
      <c r="A55" t="s">
        <v>58</v>
      </c>
      <c r="B55" t="s">
        <v>82</v>
      </c>
      <c r="C55">
        <f>5985/(1000)</f>
        <v>5.9850000000000003</v>
      </c>
      <c r="D55">
        <f>9805/(1000)</f>
        <v>9.8049999999999997</v>
      </c>
      <c r="E55">
        <v>0.88800000000000001</v>
      </c>
      <c r="F55">
        <f>67401/(1000)</f>
        <v>67.400999999999996</v>
      </c>
      <c r="G55">
        <v>0.88400000000000001</v>
      </c>
      <c r="H55">
        <v>0.28699999999999998</v>
      </c>
      <c r="I55">
        <v>0.89500000000000002</v>
      </c>
      <c r="J55">
        <f>-2.2372+0.2795*D55+ 2.4762*E55+ 0.0303*F55+ 2.0105*G55+ 0.3644*H55- 0.6051*I55</f>
        <v>6.0847137000000009</v>
      </c>
      <c r="K55" s="20">
        <f>ABS(C55-J55)</f>
        <v>9.9713700000000571E-2</v>
      </c>
      <c r="L55">
        <f>1.2*D55</f>
        <v>11.766</v>
      </c>
      <c r="M55">
        <f>-2.2372+0.2795*L55+ 2.4762*E55+ 0.0303*F55+ 2.0105*G55+ 0.3644*H55- 0.6051*I55</f>
        <v>6.6328132000000002</v>
      </c>
      <c r="N55">
        <f t="shared" si="0"/>
        <v>6.2174067000000006</v>
      </c>
      <c r="O55">
        <f t="shared" si="1"/>
        <v>-0.2324067000000003</v>
      </c>
    </row>
    <row r="56" spans="1:15" x14ac:dyDescent="0.3">
      <c r="A56" t="s">
        <v>39</v>
      </c>
      <c r="B56" t="s">
        <v>83</v>
      </c>
      <c r="C56">
        <f>5972/(1000)</f>
        <v>5.9720000000000004</v>
      </c>
      <c r="D56">
        <f>8620/(1000)</f>
        <v>8.6199999999999992</v>
      </c>
      <c r="E56">
        <v>0.86399999999999999</v>
      </c>
      <c r="F56">
        <f>67657/(1000)</f>
        <v>67.656999999999996</v>
      </c>
      <c r="G56">
        <v>0.83599999999999997</v>
      </c>
      <c r="H56">
        <v>0.02</v>
      </c>
      <c r="I56">
        <v>0.66400000000000003</v>
      </c>
      <c r="J56">
        <f>-2.2372+0.2795*D56+ 2.4762*E56+ 0.0303*F56+ 2.0105*G56+ 0.3644*H56- 0.6051*I56</f>
        <v>5.6478134999999998</v>
      </c>
      <c r="K56" s="20">
        <f>ABS(C56-J56)</f>
        <v>0.3241865000000006</v>
      </c>
      <c r="L56">
        <f>1.2*D56</f>
        <v>10.343999999999999</v>
      </c>
      <c r="M56">
        <f>-2.2372+0.2795*L56+ 2.4762*E56+ 0.0303*F56+ 2.0105*G56+ 0.3644*H56- 0.6051*I56</f>
        <v>6.1296715000000006</v>
      </c>
      <c r="N56">
        <f t="shared" si="0"/>
        <v>5.877010499999999</v>
      </c>
      <c r="O56">
        <f t="shared" si="1"/>
        <v>9.4989500000001392E-2</v>
      </c>
    </row>
    <row r="57" spans="1:15" x14ac:dyDescent="0.3">
      <c r="A57" t="s">
        <v>49</v>
      </c>
      <c r="B57" t="s">
        <v>84</v>
      </c>
      <c r="C57">
        <f>5940/(1000)</f>
        <v>5.94</v>
      </c>
      <c r="D57">
        <f>10611/(1000)</f>
        <v>10.611000000000001</v>
      </c>
      <c r="E57">
        <v>0.88400000000000001</v>
      </c>
      <c r="F57">
        <f>75100/(1000)</f>
        <v>75.099999999999994</v>
      </c>
      <c r="G57">
        <v>0.79600000000000004</v>
      </c>
      <c r="H57">
        <v>-0.25800000000000001</v>
      </c>
      <c r="I57">
        <v>0.63800000000000001</v>
      </c>
      <c r="J57">
        <f>-2.2372+0.2795*D57+ 2.4762*E57+ 0.0303*F57+ 2.0105*G57+ 0.3644*H57- 0.6051*I57</f>
        <v>6.3133543000000003</v>
      </c>
      <c r="K57" s="20">
        <f>ABS(C57-J57)</f>
        <v>0.37335429999999992</v>
      </c>
      <c r="L57">
        <f>1.2*D57</f>
        <v>12.7332</v>
      </c>
      <c r="M57">
        <f>-2.2372+0.2795*L57+ 2.4762*E57+ 0.0303*F57+ 2.0105*G57+ 0.3644*H57- 0.6051*I57</f>
        <v>6.9065091999999995</v>
      </c>
      <c r="N57">
        <f t="shared" si="0"/>
        <v>6.6229712999999997</v>
      </c>
      <c r="O57">
        <f t="shared" si="1"/>
        <v>-0.68297129999999928</v>
      </c>
    </row>
    <row r="58" spans="1:15" x14ac:dyDescent="0.3">
      <c r="A58" t="s">
        <v>39</v>
      </c>
      <c r="B58" t="s">
        <v>85</v>
      </c>
      <c r="C58">
        <f>5929/(1000)</f>
        <v>5.9290000000000003</v>
      </c>
      <c r="D58">
        <f>9962/(1000)</f>
        <v>9.9619999999999997</v>
      </c>
      <c r="E58">
        <v>0.89800000000000002</v>
      </c>
      <c r="F58">
        <f>69000/(1000)</f>
        <v>69</v>
      </c>
      <c r="G58">
        <v>0.82799999999999996</v>
      </c>
      <c r="H58">
        <v>-0.182</v>
      </c>
      <c r="I58">
        <v>0.83399999999999996</v>
      </c>
      <c r="J58">
        <f>-2.2372+0.2795*D58+ 2.4762*E58+ 0.0303*F58+ 2.0105*G58+ 0.3644*H58- 0.6051*I58</f>
        <v>5.9552264000000008</v>
      </c>
      <c r="K58" s="20">
        <f>ABS(C58-J58)</f>
        <v>2.6226400000000538E-2</v>
      </c>
      <c r="L58">
        <f>1.2*D58</f>
        <v>11.9544</v>
      </c>
      <c r="M58">
        <f>-2.2372+0.2795*L58+ 2.4762*E58+ 0.0303*F58+ 2.0105*G58+ 0.3644*H58- 0.6051*I58</f>
        <v>6.5121022000000011</v>
      </c>
      <c r="N58">
        <f t="shared" si="0"/>
        <v>6.2005074000000002</v>
      </c>
      <c r="O58">
        <f t="shared" si="1"/>
        <v>-0.27150739999999995</v>
      </c>
    </row>
    <row r="59" spans="1:15" x14ac:dyDescent="0.3">
      <c r="A59" t="s">
        <v>21</v>
      </c>
      <c r="B59" t="s">
        <v>86</v>
      </c>
      <c r="C59">
        <f>5929/(1000)</f>
        <v>5.9290000000000003</v>
      </c>
      <c r="D59">
        <f>10421/(1000)</f>
        <v>10.420999999999999</v>
      </c>
      <c r="E59">
        <v>0.879</v>
      </c>
      <c r="F59">
        <f>72600/(1000)</f>
        <v>72.599999999999994</v>
      </c>
      <c r="G59">
        <v>0.89200000000000002</v>
      </c>
      <c r="H59">
        <v>-0.24399999999999999</v>
      </c>
      <c r="I59">
        <v>0.88700000000000001</v>
      </c>
      <c r="J59">
        <f>-2.2372+0.2795*D59+ 2.4762*E59+ 0.0303*F59+ 2.0105*G59+ 0.3644*H59- 0.6051*I59</f>
        <v>6.2195579999999993</v>
      </c>
      <c r="K59" s="20">
        <f>ABS(C59-J59)</f>
        <v>0.29055799999999898</v>
      </c>
      <c r="L59">
        <f>1.2*D59</f>
        <v>12.505199999999999</v>
      </c>
      <c r="M59">
        <f>-2.2372+0.2795*L59+ 2.4762*E59+ 0.0303*F59+ 2.0105*G59+ 0.3644*H59- 0.6051*I59</f>
        <v>6.8020918999999989</v>
      </c>
      <c r="N59">
        <f t="shared" si="0"/>
        <v>6.3361669999999997</v>
      </c>
      <c r="O59">
        <f t="shared" si="1"/>
        <v>-0.40716699999999939</v>
      </c>
    </row>
    <row r="60" spans="1:15" x14ac:dyDescent="0.3">
      <c r="A60" t="s">
        <v>39</v>
      </c>
      <c r="B60" t="s">
        <v>87</v>
      </c>
      <c r="C60">
        <f>5919/(1000)</f>
        <v>5.9189999999999996</v>
      </c>
      <c r="D60">
        <f>8648/(1000)</f>
        <v>8.6479999999999997</v>
      </c>
      <c r="E60">
        <v>0.81200000000000006</v>
      </c>
      <c r="F60">
        <f>67300/(1000)</f>
        <v>67.3</v>
      </c>
      <c r="G60">
        <v>0.85699999999999998</v>
      </c>
      <c r="H60">
        <v>8.1000000000000003E-2</v>
      </c>
      <c r="I60">
        <v>0.80900000000000005</v>
      </c>
      <c r="J60">
        <f>-2.2372+0.2795*D60+ 2.4762*E60+ 0.0303*F60+ 2.0105*G60+ 0.3644*H60- 0.6051*I60</f>
        <v>5.4927694000000002</v>
      </c>
      <c r="K60" s="20">
        <f>ABS(C60-J60)</f>
        <v>0.42623059999999935</v>
      </c>
      <c r="L60">
        <f>1.2*D60</f>
        <v>10.377599999999999</v>
      </c>
      <c r="M60">
        <f>-2.2372+0.2795*L60+ 2.4762*E60+ 0.0303*F60+ 2.0105*G60+ 0.3644*H60- 0.6051*I60</f>
        <v>5.9761926000000001</v>
      </c>
      <c r="N60">
        <f t="shared" si="0"/>
        <v>5.6797459000000003</v>
      </c>
      <c r="O60">
        <f t="shared" si="1"/>
        <v>0.23925409999999925</v>
      </c>
    </row>
    <row r="61" spans="1:15" x14ac:dyDescent="0.3">
      <c r="A61" t="s">
        <v>42</v>
      </c>
      <c r="B61" t="s">
        <v>88</v>
      </c>
      <c r="C61">
        <f>5882/(1000)</f>
        <v>5.8819999999999997</v>
      </c>
      <c r="D61">
        <f>10217/(1000)</f>
        <v>10.217000000000001</v>
      </c>
      <c r="E61">
        <v>0.92400000000000004</v>
      </c>
      <c r="F61">
        <f>70799/(1000)</f>
        <v>70.799000000000007</v>
      </c>
      <c r="G61">
        <v>0.754</v>
      </c>
      <c r="H61">
        <v>-0.11799999999999999</v>
      </c>
      <c r="I61">
        <v>0.93899999999999995</v>
      </c>
      <c r="J61">
        <f>-2.2372+0.2795*D61+ 2.4762*E61+ 0.0303*F61+ 2.0105*G61+ 0.3644*H61- 0.6051*I61</f>
        <v>5.9563989000000008</v>
      </c>
      <c r="K61" s="20">
        <f>ABS(C61-J61)</f>
        <v>7.4398900000001156E-2</v>
      </c>
      <c r="L61">
        <f>1.2*D61</f>
        <v>12.260400000000001</v>
      </c>
      <c r="M61">
        <f>-2.2372+0.2795*L61+ 2.4762*E61+ 0.0303*F61+ 2.0105*G61+ 0.3644*H61- 0.6051*I61</f>
        <v>6.5275292000000009</v>
      </c>
      <c r="N61">
        <f t="shared" si="0"/>
        <v>6.3504569000000011</v>
      </c>
      <c r="O61">
        <f t="shared" si="1"/>
        <v>-0.4684569000000014</v>
      </c>
    </row>
    <row r="62" spans="1:15" x14ac:dyDescent="0.3">
      <c r="A62" t="s">
        <v>58</v>
      </c>
      <c r="B62" t="s">
        <v>89</v>
      </c>
      <c r="C62">
        <f>5880/(1000)</f>
        <v>5.88</v>
      </c>
      <c r="D62">
        <f>9076/(1000)</f>
        <v>9.0760000000000005</v>
      </c>
      <c r="E62">
        <v>0.83</v>
      </c>
      <c r="F62">
        <f>62000/(1000)</f>
        <v>62</v>
      </c>
      <c r="G62">
        <v>0.91700000000000004</v>
      </c>
      <c r="H62">
        <v>-9.7000000000000003E-2</v>
      </c>
      <c r="I62">
        <v>0.74199999999999999</v>
      </c>
      <c r="J62">
        <f>-2.2372+0.2795*D62+ 2.4762*E62+ 0.0303*F62+ 2.0105*G62+ 0.3644*H62- 0.6051*I62</f>
        <v>5.5926855</v>
      </c>
      <c r="K62" s="20">
        <f>ABS(C62-J62)</f>
        <v>0.28731449999999992</v>
      </c>
      <c r="L62">
        <f>1.2*D62</f>
        <v>10.8912</v>
      </c>
      <c r="M62">
        <f>-2.2372+0.2795*L62+ 2.4762*E62+ 0.0303*F62+ 2.0105*G62+ 0.3644*H62- 0.6051*I62</f>
        <v>6.1000338999999997</v>
      </c>
      <c r="N62">
        <f t="shared" si="0"/>
        <v>5.659031999999999</v>
      </c>
      <c r="O62">
        <f t="shared" si="1"/>
        <v>0.22096800000000094</v>
      </c>
    </row>
    <row r="63" spans="1:15" x14ac:dyDescent="0.3">
      <c r="A63" t="s">
        <v>49</v>
      </c>
      <c r="B63" t="s">
        <v>90</v>
      </c>
      <c r="C63">
        <f>5845/(1000)</f>
        <v>5.8449999999999998</v>
      </c>
      <c r="D63">
        <f>10651/(1000)</f>
        <v>10.651</v>
      </c>
      <c r="E63">
        <v>0.79900000000000004</v>
      </c>
      <c r="F63">
        <f>73900/(1000)</f>
        <v>73.900000000000006</v>
      </c>
      <c r="G63">
        <v>0.67200000000000004</v>
      </c>
      <c r="H63">
        <v>-8.3000000000000004E-2</v>
      </c>
      <c r="I63">
        <v>0.72699999999999998</v>
      </c>
      <c r="J63">
        <f>-2.2372+0.2795*D63+ 2.4762*E63+ 0.0303*F63+ 2.0105*G63+ 0.3644*H63- 0.6051*I63</f>
        <v>5.8383114000000003</v>
      </c>
      <c r="K63" s="20">
        <f>ABS(C63-J63)</f>
        <v>6.6885999999994894E-3</v>
      </c>
      <c r="L63">
        <f>1.2*D63</f>
        <v>12.7812</v>
      </c>
      <c r="M63">
        <f>-2.2372+0.2795*L63+ 2.4762*E63+ 0.0303*F63+ 2.0105*G63+ 0.3644*H63- 0.6051*I63</f>
        <v>6.4337023000000002</v>
      </c>
      <c r="N63">
        <f t="shared" si="0"/>
        <v>6.3972303999999998</v>
      </c>
      <c r="O63">
        <f t="shared" si="1"/>
        <v>-0.55223040000000001</v>
      </c>
    </row>
    <row r="64" spans="1:15" x14ac:dyDescent="0.3">
      <c r="A64" t="s">
        <v>39</v>
      </c>
      <c r="B64" t="s">
        <v>91</v>
      </c>
      <c r="C64">
        <f>5840/(1000)</f>
        <v>5.84</v>
      </c>
      <c r="D64">
        <f>9458/(1000)</f>
        <v>9.4580000000000002</v>
      </c>
      <c r="E64">
        <v>0.83199999999999996</v>
      </c>
      <c r="F64">
        <f>68250/(1000)</f>
        <v>68.25</v>
      </c>
      <c r="G64">
        <v>0.82199999999999995</v>
      </c>
      <c r="H64">
        <v>-0.154</v>
      </c>
      <c r="I64">
        <v>0.89100000000000001</v>
      </c>
      <c r="J64">
        <f>-2.2372+0.2795*D64+ 2.4762*E64+ 0.0303*F64+ 2.0105*G64+ 0.3644*H64- 0.6051*I64</f>
        <v>5.5918536999999997</v>
      </c>
      <c r="K64" s="20">
        <f>ABS(C64-J64)</f>
        <v>0.24814630000000015</v>
      </c>
      <c r="L64">
        <f>1.2*D64</f>
        <v>11.349600000000001</v>
      </c>
      <c r="M64">
        <f>-2.2372+0.2795*L64+ 2.4762*E64+ 0.0303*F64+ 2.0105*G64+ 0.3644*H64- 0.6051*I64</f>
        <v>6.1205558999999994</v>
      </c>
      <c r="N64">
        <f t="shared" si="0"/>
        <v>5.8491976999999995</v>
      </c>
      <c r="O64">
        <f t="shared" si="1"/>
        <v>-9.1976999999996423E-3</v>
      </c>
    </row>
    <row r="65" spans="1:15" x14ac:dyDescent="0.3">
      <c r="A65" t="s">
        <v>42</v>
      </c>
      <c r="B65" t="s">
        <v>92</v>
      </c>
      <c r="C65">
        <f>5813/(1000)</f>
        <v>5.8129999999999997</v>
      </c>
      <c r="D65">
        <f>9590/(1000)</f>
        <v>9.59</v>
      </c>
      <c r="E65">
        <v>0.87</v>
      </c>
      <c r="F65">
        <f>68098/(1000)</f>
        <v>68.097999999999999</v>
      </c>
      <c r="G65">
        <v>0.70599999999999996</v>
      </c>
      <c r="H65">
        <v>0.113</v>
      </c>
      <c r="I65">
        <v>0.93100000000000005</v>
      </c>
      <c r="J65">
        <f>-2.2372+0.2795*D65+ 2.4762*E65+ 0.0303*F65+ 2.0105*G65+ 0.3644*H65- 0.6051*I65</f>
        <v>5.5581104999999997</v>
      </c>
      <c r="K65" s="20">
        <f>ABS(C65-J65)</f>
        <v>0.25488949999999999</v>
      </c>
      <c r="L65">
        <f>1.2*D65</f>
        <v>11.507999999999999</v>
      </c>
      <c r="M65">
        <f>-2.2372+0.2795*L65+ 2.4762*E65+ 0.0303*F65+ 2.0105*G65+ 0.3644*H65- 0.6051*I65</f>
        <v>6.0941915</v>
      </c>
      <c r="N65">
        <f t="shared" si="0"/>
        <v>6.0486724999999995</v>
      </c>
      <c r="O65">
        <f t="shared" si="1"/>
        <v>-0.23567249999999973</v>
      </c>
    </row>
    <row r="66" spans="1:15" x14ac:dyDescent="0.3">
      <c r="A66" t="s">
        <v>69</v>
      </c>
      <c r="B66" t="s">
        <v>93</v>
      </c>
      <c r="C66">
        <f>5766/(1000)</f>
        <v>5.766</v>
      </c>
      <c r="D66">
        <f>9454/(1000)</f>
        <v>9.4540000000000006</v>
      </c>
      <c r="E66">
        <v>0.85699999999999998</v>
      </c>
      <c r="F66">
        <f>65699/(1000)</f>
        <v>65.698999999999998</v>
      </c>
      <c r="G66">
        <v>0.82199999999999995</v>
      </c>
      <c r="H66">
        <v>-7.9000000000000001E-2</v>
      </c>
      <c r="I66">
        <v>0.91800000000000004</v>
      </c>
      <c r="J66">
        <f>-2.2372+0.2795*D66+ 2.4762*E66+ 0.0303*F66+ 2.0105*G66+ 0.3644*H66- 0.6051*I66</f>
        <v>5.5863376999999996</v>
      </c>
      <c r="K66" s="20">
        <f>ABS(C66-J66)</f>
        <v>0.17966230000000039</v>
      </c>
      <c r="L66">
        <f>1.2*D66</f>
        <v>11.344800000000001</v>
      </c>
      <c r="M66">
        <f>-2.2372+0.2795*L66+ 2.4762*E66+ 0.0303*F66+ 2.0105*G66+ 0.3644*H66- 0.6051*I66</f>
        <v>6.1148163000000011</v>
      </c>
      <c r="N66">
        <f t="shared" si="0"/>
        <v>5.8436816999999994</v>
      </c>
      <c r="O66">
        <f t="shared" si="1"/>
        <v>-7.768169999999941E-2</v>
      </c>
    </row>
    <row r="67" spans="1:15" x14ac:dyDescent="0.3">
      <c r="A67" t="s">
        <v>39</v>
      </c>
      <c r="B67" t="s">
        <v>94</v>
      </c>
      <c r="C67">
        <f>5764/(1000)</f>
        <v>5.7640000000000002</v>
      </c>
      <c r="D67">
        <f>9313/(1000)</f>
        <v>9.3130000000000006</v>
      </c>
      <c r="E67">
        <v>0.82099999999999995</v>
      </c>
      <c r="F67">
        <f>68800/(1000)</f>
        <v>68.8</v>
      </c>
      <c r="G67">
        <v>0.84199999999999997</v>
      </c>
      <c r="H67">
        <v>-0.124</v>
      </c>
      <c r="I67">
        <v>0.84299999999999997</v>
      </c>
      <c r="J67">
        <f>-2.2372+0.2795*D67+ 2.4762*E67+ 0.0303*F67+ 2.0105*G67+ 0.3644*H67- 0.6051*I67</f>
        <v>5.6209397999999995</v>
      </c>
      <c r="K67" s="20">
        <f>ABS(C67-J67)</f>
        <v>0.14306020000000075</v>
      </c>
      <c r="L67">
        <f>1.2*D67</f>
        <v>11.175600000000001</v>
      </c>
      <c r="M67">
        <f>-2.2372+0.2795*L67+ 2.4762*E67+ 0.0303*F67+ 2.0105*G67+ 0.3644*H67- 0.6051*I67</f>
        <v>6.1415364999999991</v>
      </c>
      <c r="N67">
        <f t="shared" ref="N67:N130" si="2">-2.2372+0.2795*D67+ 2.4762*E67+ 0.0303*F67+ 2.0105*0.95+ 0.3644*H67- 0.6051*I67</f>
        <v>5.8380738000000001</v>
      </c>
      <c r="O67">
        <f t="shared" ref="O67:O130" si="3">C67-N67</f>
        <v>-7.4073799999999856E-2</v>
      </c>
    </row>
    <row r="68" spans="1:15" x14ac:dyDescent="0.3">
      <c r="A68" t="s">
        <v>69</v>
      </c>
      <c r="B68" t="s">
        <v>95</v>
      </c>
      <c r="C68">
        <f>5744/(1000)</f>
        <v>5.7439999999999998</v>
      </c>
      <c r="D68">
        <f>8538/(1000)</f>
        <v>8.5380000000000003</v>
      </c>
      <c r="E68">
        <v>0.89300000000000002</v>
      </c>
      <c r="F68">
        <f>64401/(1000)</f>
        <v>64.400999999999996</v>
      </c>
      <c r="G68">
        <v>0.93500000000000005</v>
      </c>
      <c r="H68">
        <v>0.11899999999999999</v>
      </c>
      <c r="I68">
        <v>0.90800000000000003</v>
      </c>
      <c r="J68">
        <f>-2.2372+0.2795*D68+ 2.4762*E68+ 0.0303*F68+ 2.0105*G68+ 0.3644*H68- 0.6051*I68</f>
        <v>5.6855182000000015</v>
      </c>
      <c r="K68" s="20">
        <f>ABS(C68-J68)</f>
        <v>5.8481799999998252E-2</v>
      </c>
      <c r="L68">
        <f>1.2*D68</f>
        <v>10.2456</v>
      </c>
      <c r="M68">
        <f>-2.2372+0.2795*L68+ 2.4762*E68+ 0.0303*F68+ 2.0105*G68+ 0.3644*H68- 0.6051*I68</f>
        <v>6.1627923999999998</v>
      </c>
      <c r="N68">
        <f t="shared" si="2"/>
        <v>5.7156757000000011</v>
      </c>
      <c r="O68">
        <f t="shared" si="3"/>
        <v>2.8324299999998637E-2</v>
      </c>
    </row>
    <row r="69" spans="1:15" x14ac:dyDescent="0.3">
      <c r="A69" t="s">
        <v>21</v>
      </c>
      <c r="B69" t="s">
        <v>96</v>
      </c>
      <c r="C69">
        <f>5723/(1000)</f>
        <v>5.7229999999999999</v>
      </c>
      <c r="D69">
        <f>10279/(1000)</f>
        <v>10.279</v>
      </c>
      <c r="E69">
        <v>0.82299999999999995</v>
      </c>
      <c r="F69">
        <f>72600/(1000)</f>
        <v>72.599999999999994</v>
      </c>
      <c r="G69">
        <v>0.58199999999999996</v>
      </c>
      <c r="H69">
        <v>-0.28799999999999998</v>
      </c>
      <c r="I69">
        <v>0.82299999999999995</v>
      </c>
      <c r="J69">
        <f>-2.2372+0.2795*D69+ 2.4762*E69+ 0.0303*F69+ 2.0105*G69+ 0.3644*H69- 0.6051*I69</f>
        <v>5.4406396000000008</v>
      </c>
      <c r="K69" s="20">
        <f>ABS(C69-J69)</f>
        <v>0.28236039999999907</v>
      </c>
      <c r="L69">
        <f>1.2*D69</f>
        <v>12.3348</v>
      </c>
      <c r="M69">
        <f>-2.2372+0.2795*L69+ 2.4762*E69+ 0.0303*F69+ 2.0105*G69+ 0.3644*H69- 0.6051*I69</f>
        <v>6.0152356999999999</v>
      </c>
      <c r="N69">
        <f t="shared" si="2"/>
        <v>6.1805035999999998</v>
      </c>
      <c r="O69">
        <f t="shared" si="3"/>
        <v>-0.4575035999999999</v>
      </c>
    </row>
    <row r="70" spans="1:15" x14ac:dyDescent="0.3">
      <c r="A70" t="s">
        <v>39</v>
      </c>
      <c r="B70" t="s">
        <v>97</v>
      </c>
      <c r="C70">
        <f>5716/(1000)</f>
        <v>5.7160000000000002</v>
      </c>
      <c r="D70">
        <f>9046/(1000)</f>
        <v>9.0459999999999994</v>
      </c>
      <c r="E70">
        <v>0.81</v>
      </c>
      <c r="F70">
        <f>63901/(1000)</f>
        <v>63.901000000000003</v>
      </c>
      <c r="G70">
        <v>0.875</v>
      </c>
      <c r="H70">
        <v>-7.6999999999999999E-2</v>
      </c>
      <c r="I70">
        <v>0.83899999999999997</v>
      </c>
      <c r="J70">
        <f>-2.2372+0.2795*D70+ 2.4762*E70+ 0.0303*F70+ 2.0105*G70+ 0.3644*H70- 0.6051*I70</f>
        <v>5.4565290999999991</v>
      </c>
      <c r="K70" s="20">
        <f>ABS(C70-J70)</f>
        <v>0.25947090000000106</v>
      </c>
      <c r="L70">
        <f>1.2*D70</f>
        <v>10.855199999999998</v>
      </c>
      <c r="M70">
        <f>-2.2372+0.2795*L70+ 2.4762*E70+ 0.0303*F70+ 2.0105*G70+ 0.3644*H70- 0.6051*I70</f>
        <v>5.9622004999999998</v>
      </c>
      <c r="N70">
        <f t="shared" si="2"/>
        <v>5.607316599999999</v>
      </c>
      <c r="O70">
        <f t="shared" si="3"/>
        <v>0.10868340000000121</v>
      </c>
    </row>
    <row r="71" spans="1:15" x14ac:dyDescent="0.3">
      <c r="A71" t="s">
        <v>49</v>
      </c>
      <c r="B71" t="s">
        <v>98</v>
      </c>
      <c r="C71">
        <f>5677/(1000)</f>
        <v>5.6769999999999996</v>
      </c>
      <c r="D71">
        <f>9400/(1000)</f>
        <v>9.4</v>
      </c>
      <c r="E71">
        <v>0.93500000000000005</v>
      </c>
      <c r="F71">
        <f>62500/(1000)</f>
        <v>62.5</v>
      </c>
      <c r="G71">
        <v>0.70799999999999996</v>
      </c>
      <c r="H71">
        <v>0.11600000000000001</v>
      </c>
      <c r="I71">
        <v>0.85599999999999998</v>
      </c>
      <c r="J71">
        <f>-2.2372+0.2795*D71+ 2.4762*E71+ 0.0303*F71+ 2.0105*G71+ 0.3644*H71- 0.6051*I71</f>
        <v>5.5468358000000002</v>
      </c>
      <c r="K71" s="20">
        <f>ABS(C71-J71)</f>
        <v>0.1301641999999994</v>
      </c>
      <c r="L71">
        <f>1.2*D71</f>
        <v>11.28</v>
      </c>
      <c r="M71">
        <f>-2.2372+0.2795*L71+ 2.4762*E71+ 0.0303*F71+ 2.0105*G71+ 0.3644*H71- 0.6051*I71</f>
        <v>6.0722957999999991</v>
      </c>
      <c r="N71">
        <f t="shared" si="2"/>
        <v>6.0333767999999992</v>
      </c>
      <c r="O71">
        <f t="shared" si="3"/>
        <v>-0.35637679999999961</v>
      </c>
    </row>
    <row r="72" spans="1:15" x14ac:dyDescent="0.3">
      <c r="A72" t="s">
        <v>39</v>
      </c>
      <c r="B72" t="s">
        <v>99</v>
      </c>
      <c r="C72">
        <f>5653/(1000)</f>
        <v>5.6529999999999996</v>
      </c>
      <c r="D72">
        <f>9448/(1000)</f>
        <v>9.4480000000000004</v>
      </c>
      <c r="E72">
        <v>0.89300000000000002</v>
      </c>
      <c r="F72">
        <f>65900/(1000)</f>
        <v>65.900000000000006</v>
      </c>
      <c r="G72">
        <v>0.876</v>
      </c>
      <c r="H72">
        <v>2.8000000000000001E-2</v>
      </c>
      <c r="I72">
        <v>0.88200000000000001</v>
      </c>
      <c r="J72">
        <f>-2.2372+0.2795*D72+ 2.4762*E72+ 0.0303*F72+ 2.0105*G72+ 0.3644*H72- 0.6051*I72</f>
        <v>5.849235600000001</v>
      </c>
      <c r="K72" s="20">
        <f>ABS(C72-J72)</f>
        <v>0.1962356000000014</v>
      </c>
      <c r="L72">
        <f>1.2*D72</f>
        <v>11.3376</v>
      </c>
      <c r="M72">
        <f>-2.2372+0.2795*L72+ 2.4762*E72+ 0.0303*F72+ 2.0105*G72+ 0.3644*H72- 0.6051*I72</f>
        <v>6.3773788000000016</v>
      </c>
      <c r="N72">
        <f t="shared" si="2"/>
        <v>5.9980126</v>
      </c>
      <c r="O72">
        <f t="shared" si="3"/>
        <v>-0.34501260000000045</v>
      </c>
    </row>
    <row r="73" spans="1:15" x14ac:dyDescent="0.3">
      <c r="A73" t="s">
        <v>42</v>
      </c>
      <c r="B73" t="s">
        <v>100</v>
      </c>
      <c r="C73">
        <f>5581/(1000)</f>
        <v>5.5810000000000004</v>
      </c>
      <c r="D73">
        <f>9940/(1000)</f>
        <v>9.94</v>
      </c>
      <c r="E73">
        <v>0.85799999999999998</v>
      </c>
      <c r="F73">
        <f>68699/(1000)</f>
        <v>68.698999999999998</v>
      </c>
      <c r="G73">
        <v>0.70799999999999996</v>
      </c>
      <c r="H73">
        <v>-3.4000000000000002E-2</v>
      </c>
      <c r="I73">
        <v>0.81200000000000006</v>
      </c>
      <c r="J73">
        <f>-2.2372+0.2795*D73+ 2.4762*E73+ 0.0303*F73+ 2.0105*G73+ 0.3644*H73- 0.6051*I73</f>
        <v>5.6668925000000012</v>
      </c>
      <c r="K73" s="20">
        <f>ABS(C73-J73)</f>
        <v>8.5892500000000815E-2</v>
      </c>
      <c r="L73">
        <f>1.2*D73</f>
        <v>11.927999999999999</v>
      </c>
      <c r="M73">
        <f>-2.2372+0.2795*L73+ 2.4762*E73+ 0.0303*F73+ 2.0105*G73+ 0.3644*H73- 0.6051*I73</f>
        <v>6.2225385000000006</v>
      </c>
      <c r="N73">
        <f t="shared" si="2"/>
        <v>6.1534335000000002</v>
      </c>
      <c r="O73">
        <f t="shared" si="3"/>
        <v>-0.57243349999999982</v>
      </c>
    </row>
    <row r="74" spans="1:15" x14ac:dyDescent="0.3">
      <c r="A74" t="s">
        <v>39</v>
      </c>
      <c r="B74" t="s">
        <v>101</v>
      </c>
      <c r="C74">
        <f>5545/(1000)</f>
        <v>5.5449999999999999</v>
      </c>
      <c r="D74">
        <f>9802/(1000)</f>
        <v>9.8019999999999996</v>
      </c>
      <c r="E74">
        <v>0.85299999999999998</v>
      </c>
      <c r="F74">
        <f>66102/(1000)</f>
        <v>66.102000000000004</v>
      </c>
      <c r="G74">
        <v>0.86</v>
      </c>
      <c r="H74">
        <v>-0.13300000000000001</v>
      </c>
      <c r="I74">
        <v>0.71399999999999997</v>
      </c>
      <c r="J74">
        <f>-2.2372+0.2795*D74+ 2.4762*E74+ 0.0303*F74+ 2.0105*G74+ 0.3644*H74- 0.6051*I74</f>
        <v>5.8660715999999997</v>
      </c>
      <c r="K74" s="20">
        <f>ABS(C74-J74)</f>
        <v>0.32107159999999979</v>
      </c>
      <c r="L74">
        <f>1.2*D74</f>
        <v>11.7624</v>
      </c>
      <c r="M74">
        <f>-2.2372+0.2795*L74+ 2.4762*E74+ 0.0303*F74+ 2.0105*G74+ 0.3644*H74- 0.6051*I74</f>
        <v>6.4140034000000004</v>
      </c>
      <c r="N74">
        <f t="shared" si="2"/>
        <v>6.0470165999999992</v>
      </c>
      <c r="O74">
        <f t="shared" si="3"/>
        <v>-0.50201659999999926</v>
      </c>
    </row>
    <row r="75" spans="1:15" x14ac:dyDescent="0.3">
      <c r="A75" t="s">
        <v>21</v>
      </c>
      <c r="B75" t="s">
        <v>102</v>
      </c>
      <c r="C75">
        <f>5536/(1000)</f>
        <v>5.5359999999999996</v>
      </c>
      <c r="D75">
        <f>10576/(1000)</f>
        <v>10.576000000000001</v>
      </c>
      <c r="E75">
        <v>0.82</v>
      </c>
      <c r="F75">
        <f>73898/(1000)</f>
        <v>73.897999999999996</v>
      </c>
      <c r="G75">
        <v>0.79500000000000004</v>
      </c>
      <c r="H75">
        <v>1.2E-2</v>
      </c>
      <c r="I75">
        <v>0.626</v>
      </c>
      <c r="J75">
        <f>-2.2372+0.2795*D75+ 2.4762*E75+ 0.0303*F75+ 2.0105*G75+ 0.3644*H75- 0.6051*I75</f>
        <v>6.2123131000000003</v>
      </c>
      <c r="K75" s="20">
        <f>ABS(C75-J75)</f>
        <v>0.67631310000000067</v>
      </c>
      <c r="L75">
        <f>1.2*D75</f>
        <v>12.6912</v>
      </c>
      <c r="M75">
        <f>-2.2372+0.2795*L75+ 2.4762*E75+ 0.0303*F75+ 2.0105*G75+ 0.3644*H75- 0.6051*I75</f>
        <v>6.8035114999999999</v>
      </c>
      <c r="N75">
        <f t="shared" si="2"/>
        <v>6.5239405999999995</v>
      </c>
      <c r="O75">
        <f t="shared" si="3"/>
        <v>-0.98794059999999995</v>
      </c>
    </row>
    <row r="76" spans="1:15" x14ac:dyDescent="0.3">
      <c r="A76" t="s">
        <v>69</v>
      </c>
      <c r="B76" t="s">
        <v>103</v>
      </c>
      <c r="C76">
        <f>5534/(1000)</f>
        <v>5.5339999999999998</v>
      </c>
      <c r="D76">
        <f>9853/(1000)</f>
        <v>9.8529999999999998</v>
      </c>
      <c r="E76">
        <v>0.91</v>
      </c>
      <c r="F76">
        <f>66253/(1000)</f>
        <v>66.253</v>
      </c>
      <c r="G76">
        <v>0.65</v>
      </c>
      <c r="H76">
        <v>-0.18</v>
      </c>
      <c r="I76">
        <v>0.627</v>
      </c>
      <c r="J76">
        <f>-2.2372+0.2795*D76+ 2.4762*E76+ 0.0303*F76+ 2.0105*G76+ 0.3644*H76- 0.6051*I76</f>
        <v>5.6393567000000004</v>
      </c>
      <c r="K76" s="20">
        <f>ABS(C76-J76)</f>
        <v>0.10535670000000064</v>
      </c>
      <c r="L76">
        <f>1.2*D76</f>
        <v>11.823599999999999</v>
      </c>
      <c r="M76">
        <f>-2.2372+0.2795*L76+ 2.4762*E76+ 0.0303*F76+ 2.0105*G76+ 0.3644*H76- 0.6051*I76</f>
        <v>6.1901394000000005</v>
      </c>
      <c r="N76">
        <f t="shared" si="2"/>
        <v>6.2425067000000007</v>
      </c>
      <c r="O76">
        <f t="shared" si="3"/>
        <v>-0.70850670000000093</v>
      </c>
    </row>
    <row r="77" spans="1:15" x14ac:dyDescent="0.3">
      <c r="A77" t="s">
        <v>69</v>
      </c>
      <c r="B77" t="s">
        <v>104</v>
      </c>
      <c r="C77">
        <f>5477/(1000)</f>
        <v>5.4770000000000003</v>
      </c>
      <c r="D77">
        <f>10189/(1000)</f>
        <v>10.189</v>
      </c>
      <c r="E77">
        <v>0.90300000000000002</v>
      </c>
      <c r="F77">
        <f>64703/(1000)</f>
        <v>64.703000000000003</v>
      </c>
      <c r="G77">
        <v>0.71799999999999997</v>
      </c>
      <c r="H77">
        <v>-0.111</v>
      </c>
      <c r="I77">
        <v>0.84499999999999997</v>
      </c>
      <c r="J77">
        <f>-2.2372+0.2795*D77+ 2.4762*E77+ 0.0303*F77+ 2.0105*G77+ 0.3644*H77- 0.6051*I77</f>
        <v>5.6989160999999999</v>
      </c>
      <c r="K77" s="20">
        <f>ABS(C77-J77)</f>
        <v>0.22191609999999962</v>
      </c>
      <c r="L77">
        <f>1.2*D77</f>
        <v>12.226799999999999</v>
      </c>
      <c r="M77">
        <f>-2.2372+0.2795*L77+ 2.4762*E77+ 0.0303*F77+ 2.0105*G77+ 0.3644*H77- 0.6051*I77</f>
        <v>6.2684812000000001</v>
      </c>
      <c r="N77">
        <f t="shared" si="2"/>
        <v>6.1653520999999998</v>
      </c>
      <c r="O77">
        <f t="shared" si="3"/>
        <v>-0.68835209999999947</v>
      </c>
    </row>
    <row r="78" spans="1:15" x14ac:dyDescent="0.3">
      <c r="A78" t="s">
        <v>49</v>
      </c>
      <c r="B78" t="s">
        <v>105</v>
      </c>
      <c r="C78">
        <f>5477/(1000)</f>
        <v>5.4770000000000003</v>
      </c>
      <c r="D78">
        <f>11000/(1000)</f>
        <v>11</v>
      </c>
      <c r="E78">
        <v>0.83599999999999997</v>
      </c>
      <c r="F78">
        <f>76820/(1000)</f>
        <v>76.819999999999993</v>
      </c>
      <c r="G78">
        <v>0.71699999999999997</v>
      </c>
      <c r="H78">
        <v>6.7000000000000004E-2</v>
      </c>
      <c r="I78">
        <v>0.40300000000000002</v>
      </c>
      <c r="J78">
        <f>-2.2372+0.2795*D78+ 2.4762*E78+ 0.0303*F78+ 2.0105*G78+ 0.3644*H78- 0.6051*I78</f>
        <v>6.4571371999999991</v>
      </c>
      <c r="K78" s="20">
        <f>ABS(C78-J78)</f>
        <v>0.98013719999999882</v>
      </c>
      <c r="L78">
        <f>1.2*D78</f>
        <v>13.2</v>
      </c>
      <c r="M78">
        <f>-2.2372+0.2795*L78+ 2.4762*E78+ 0.0303*F78+ 2.0105*G78+ 0.3644*H78- 0.6051*I78</f>
        <v>7.0720371999999996</v>
      </c>
      <c r="N78">
        <f t="shared" si="2"/>
        <v>6.9255836999999998</v>
      </c>
      <c r="O78">
        <f t="shared" si="3"/>
        <v>-1.4485836999999995</v>
      </c>
    </row>
    <row r="79" spans="1:15" x14ac:dyDescent="0.3">
      <c r="A79" t="s">
        <v>69</v>
      </c>
      <c r="B79" t="s">
        <v>106</v>
      </c>
      <c r="C79">
        <f>5466/(1000)</f>
        <v>5.4660000000000002</v>
      </c>
      <c r="D79">
        <f>8091/(1000)</f>
        <v>8.0909999999999993</v>
      </c>
      <c r="E79">
        <v>0.86</v>
      </c>
      <c r="F79">
        <f>64281/(1000)</f>
        <v>64.281000000000006</v>
      </c>
      <c r="G79">
        <v>0.83199999999999996</v>
      </c>
      <c r="H79">
        <v>-5.6000000000000001E-2</v>
      </c>
      <c r="I79">
        <v>0.55300000000000005</v>
      </c>
      <c r="J79">
        <f>-2.2372+0.2795*D79+ 2.4762*E79+ 0.0303*F79+ 2.0105*G79+ 0.3644*H79- 0.6051*I79</f>
        <v>5.4191900999999998</v>
      </c>
      <c r="K79" s="20">
        <f>ABS(C79-J79)</f>
        <v>4.6809900000000404E-2</v>
      </c>
      <c r="L79">
        <f>1.2*D79</f>
        <v>9.7091999999999992</v>
      </c>
      <c r="M79">
        <f>-2.2372+0.2795*L79+ 2.4762*E79+ 0.0303*F79+ 2.0105*G79+ 0.3644*H79- 0.6051*I79</f>
        <v>5.8714769999999996</v>
      </c>
      <c r="N79">
        <f t="shared" si="2"/>
        <v>5.6564291000000004</v>
      </c>
      <c r="O79">
        <f t="shared" si="3"/>
        <v>-0.19042910000000024</v>
      </c>
    </row>
    <row r="80" spans="1:15" x14ac:dyDescent="0.3">
      <c r="A80" t="s">
        <v>58</v>
      </c>
      <c r="B80" t="s">
        <v>107</v>
      </c>
      <c r="C80">
        <f>5411/(1000)</f>
        <v>5.4109999999999996</v>
      </c>
      <c r="D80">
        <f>8973/(1000)</f>
        <v>8.9730000000000008</v>
      </c>
      <c r="E80">
        <v>0.85</v>
      </c>
      <c r="F80">
        <f>68034/(1000)</f>
        <v>68.034000000000006</v>
      </c>
      <c r="G80">
        <v>0.94</v>
      </c>
      <c r="H80">
        <v>-9.8000000000000004E-2</v>
      </c>
      <c r="I80">
        <v>0.79600000000000004</v>
      </c>
      <c r="J80">
        <f>-2.2372+0.2795*D80+ 2.4762*E80+ 0.0303*F80+ 2.0105*G80+ 0.3644*H80- 0.6051*I80</f>
        <v>5.8094529000000001</v>
      </c>
      <c r="K80" s="20">
        <f>ABS(C80-J80)</f>
        <v>0.39845290000000055</v>
      </c>
      <c r="L80">
        <f>1.2*D80</f>
        <v>10.7676</v>
      </c>
      <c r="M80">
        <f>-2.2372+0.2795*L80+ 2.4762*E80+ 0.0303*F80+ 2.0105*G80+ 0.3644*H80- 0.6051*I80</f>
        <v>6.3110435999999996</v>
      </c>
      <c r="N80">
        <f t="shared" si="2"/>
        <v>5.8295578999999993</v>
      </c>
      <c r="O80">
        <f t="shared" si="3"/>
        <v>-0.41855789999999971</v>
      </c>
    </row>
    <row r="81" spans="1:15" x14ac:dyDescent="0.3">
      <c r="A81" t="s">
        <v>34</v>
      </c>
      <c r="B81" t="s">
        <v>108</v>
      </c>
      <c r="C81">
        <f>5410/(1000)</f>
        <v>5.41</v>
      </c>
      <c r="D81">
        <f>9622/(1000)</f>
        <v>9.6219999999999999</v>
      </c>
      <c r="E81">
        <v>0.82699999999999996</v>
      </c>
      <c r="F81">
        <f>62300/(1000)</f>
        <v>62.3</v>
      </c>
      <c r="G81">
        <v>0.77100000000000002</v>
      </c>
      <c r="H81">
        <v>-8.6999999999999994E-2</v>
      </c>
      <c r="I81">
        <v>0.66700000000000004</v>
      </c>
      <c r="J81">
        <f>-2.2372+0.2795*D81+ 2.4762*E81+ 0.0303*F81+ 2.0105*G81+ 0.3644*H81- 0.6051*I81</f>
        <v>5.5024474000000003</v>
      </c>
      <c r="K81" s="20">
        <f>ABS(C81-J81)</f>
        <v>9.2447400000000179E-2</v>
      </c>
      <c r="L81">
        <f>1.2*D81</f>
        <v>11.5464</v>
      </c>
      <c r="M81">
        <f>-2.2372+0.2795*L81+ 2.4762*E81+ 0.0303*F81+ 2.0105*G81+ 0.3644*H81- 0.6051*I81</f>
        <v>6.0403172000000005</v>
      </c>
      <c r="N81">
        <f t="shared" si="2"/>
        <v>5.8623269000000002</v>
      </c>
      <c r="O81">
        <f t="shared" si="3"/>
        <v>-0.45232690000000009</v>
      </c>
    </row>
    <row r="82" spans="1:15" x14ac:dyDescent="0.3">
      <c r="A82" t="s">
        <v>58</v>
      </c>
      <c r="B82" t="s">
        <v>109</v>
      </c>
      <c r="C82">
        <f>5384/(1000)</f>
        <v>5.3840000000000003</v>
      </c>
      <c r="D82">
        <f>10238/(1000)</f>
        <v>10.238</v>
      </c>
      <c r="E82">
        <v>0.81699999999999995</v>
      </c>
      <c r="F82">
        <f>67102/(1000)</f>
        <v>67.102000000000004</v>
      </c>
      <c r="G82">
        <v>0.89500000000000002</v>
      </c>
      <c r="H82">
        <v>0.125</v>
      </c>
      <c r="I82">
        <v>0.83899999999999997</v>
      </c>
      <c r="J82">
        <f>-2.2372+0.2795*D82+ 2.4762*E82+ 0.0303*F82+ 2.0105*G82+ 0.3644*H82- 0.6051*I82</f>
        <v>6.0178355999999997</v>
      </c>
      <c r="K82" s="20">
        <f>ABS(C82-J82)</f>
        <v>0.63383559999999939</v>
      </c>
      <c r="L82">
        <f>1.2*D82</f>
        <v>12.285599999999999</v>
      </c>
      <c r="M82">
        <f>-2.2372+0.2795*L82+ 2.4762*E82+ 0.0303*F82+ 2.0105*G82+ 0.3644*H82- 0.6051*I82</f>
        <v>6.5901397999999993</v>
      </c>
      <c r="N82">
        <f t="shared" si="2"/>
        <v>6.1284130999999995</v>
      </c>
      <c r="O82">
        <f t="shared" si="3"/>
        <v>-0.74441309999999916</v>
      </c>
    </row>
    <row r="83" spans="1:15" x14ac:dyDescent="0.3">
      <c r="A83" t="s">
        <v>58</v>
      </c>
      <c r="B83" t="s">
        <v>110</v>
      </c>
      <c r="C83">
        <f>5345/(1000)</f>
        <v>5.3449999999999998</v>
      </c>
      <c r="D83">
        <f>9365/(1000)</f>
        <v>9.3650000000000002</v>
      </c>
      <c r="E83">
        <v>0.81100000000000005</v>
      </c>
      <c r="F83">
        <f>62236/(1000)</f>
        <v>62.235999999999997</v>
      </c>
      <c r="G83">
        <v>0.873</v>
      </c>
      <c r="H83">
        <v>0.54200000000000004</v>
      </c>
      <c r="I83">
        <v>0.86699999999999999</v>
      </c>
      <c r="J83">
        <f>-2.2372+0.2795*D83+ 2.4762*E83+ 0.0303*F83+ 2.0105*G83+ 0.3644*H83- 0.6051*I83</f>
        <v>5.7023161</v>
      </c>
      <c r="K83" s="20">
        <f>ABS(C83-J83)</f>
        <v>0.35731610000000025</v>
      </c>
      <c r="L83">
        <f>1.2*D83</f>
        <v>11.238</v>
      </c>
      <c r="M83">
        <f>-2.2372+0.2795*L83+ 2.4762*E83+ 0.0303*F83+ 2.0105*G83+ 0.3644*H83- 0.6051*I83</f>
        <v>6.2258195999999995</v>
      </c>
      <c r="N83">
        <f t="shared" si="2"/>
        <v>5.8571246000000006</v>
      </c>
      <c r="O83">
        <f t="shared" si="3"/>
        <v>-0.51212460000000082</v>
      </c>
    </row>
    <row r="84" spans="1:15" x14ac:dyDescent="0.3">
      <c r="A84" t="s">
        <v>78</v>
      </c>
      <c r="B84" t="s">
        <v>111</v>
      </c>
      <c r="C84">
        <f>5342/(1000)</f>
        <v>5.3419999999999996</v>
      </c>
      <c r="D84">
        <f>8117/(1000)</f>
        <v>8.1170000000000009</v>
      </c>
      <c r="E84">
        <v>0.63600000000000001</v>
      </c>
      <c r="F84">
        <f>58221/(1000)</f>
        <v>58.220999999999997</v>
      </c>
      <c r="G84">
        <v>0.69499999999999995</v>
      </c>
      <c r="H84">
        <v>-6.8000000000000005E-2</v>
      </c>
      <c r="I84">
        <v>0.745</v>
      </c>
      <c r="J84">
        <f>-2.2372+0.2795*D84+ 2.4762*E84+ 0.0303*F84+ 2.0105*G84+ 0.3644*H84- 0.6051*I84</f>
        <v>4.2921798000000004</v>
      </c>
      <c r="K84" s="20">
        <f>ABS(C84-J84)</f>
        <v>1.0498201999999992</v>
      </c>
      <c r="L84">
        <f>1.2*D84</f>
        <v>9.7404000000000011</v>
      </c>
      <c r="M84">
        <f>-2.2372+0.2795*L84+ 2.4762*E84+ 0.0303*F84+ 2.0105*G84+ 0.3644*H84- 0.6051*I84</f>
        <v>4.7459201000000002</v>
      </c>
      <c r="N84">
        <f t="shared" si="2"/>
        <v>4.8048573000000001</v>
      </c>
      <c r="O84">
        <f t="shared" si="3"/>
        <v>0.53714269999999953</v>
      </c>
    </row>
    <row r="85" spans="1:15" x14ac:dyDescent="0.3">
      <c r="A85" t="s">
        <v>49</v>
      </c>
      <c r="B85" t="s">
        <v>112</v>
      </c>
      <c r="C85">
        <f>5339/(1000)</f>
        <v>5.3390000000000004</v>
      </c>
      <c r="D85">
        <f>9673/(1000)</f>
        <v>9.673</v>
      </c>
      <c r="E85">
        <v>0.81100000000000005</v>
      </c>
      <c r="F85">
        <f>69593/(1000)</f>
        <v>69.593000000000004</v>
      </c>
      <c r="G85">
        <v>0.90400000000000003</v>
      </c>
      <c r="H85">
        <v>-0.14599999999999999</v>
      </c>
      <c r="I85">
        <v>0.755</v>
      </c>
      <c r="J85">
        <f>-2.2372+0.2795*D85+ 2.4762*E85+ 0.0303*F85+ 2.0105*G85+ 0.3644*H85- 0.6051*I85</f>
        <v>5.8907087000000011</v>
      </c>
      <c r="K85" s="20">
        <f>ABS(C85-J85)</f>
        <v>0.55170870000000072</v>
      </c>
      <c r="L85">
        <f>1.2*D85</f>
        <v>11.6076</v>
      </c>
      <c r="M85">
        <f>-2.2372+0.2795*L85+ 2.4762*E85+ 0.0303*F85+ 2.0105*G85+ 0.3644*H85- 0.6051*I85</f>
        <v>6.4314294000000007</v>
      </c>
      <c r="N85">
        <f t="shared" si="2"/>
        <v>5.9831917000000008</v>
      </c>
      <c r="O85">
        <f t="shared" si="3"/>
        <v>-0.64419170000000037</v>
      </c>
    </row>
    <row r="86" spans="1:15" x14ac:dyDescent="0.3">
      <c r="A86" t="s">
        <v>78</v>
      </c>
      <c r="B86" t="s">
        <v>113</v>
      </c>
      <c r="C86">
        <f>5306/(1000)</f>
        <v>5.306</v>
      </c>
      <c r="D86">
        <f>8551/(1000)</f>
        <v>8.5510000000000002</v>
      </c>
      <c r="E86">
        <v>0.64400000000000002</v>
      </c>
      <c r="F86">
        <f>50114/(1000)</f>
        <v>50.113999999999997</v>
      </c>
      <c r="G86">
        <v>0.74099999999999999</v>
      </c>
      <c r="H86">
        <v>-1.6E-2</v>
      </c>
      <c r="I86">
        <v>0.79400000000000004</v>
      </c>
      <c r="J86">
        <f>-2.2372+0.2795*D86+ 2.4762*E86+ 0.0303*F86+ 2.0105*G86+ 0.3644*H86- 0.6051*I86</f>
        <v>4.2694321999999998</v>
      </c>
      <c r="K86" s="20">
        <f>ABS(C86-J86)</f>
        <v>1.0365678000000003</v>
      </c>
      <c r="L86">
        <f>1.2*D86</f>
        <v>10.261200000000001</v>
      </c>
      <c r="M86">
        <f>-2.2372+0.2795*L86+ 2.4762*E86+ 0.0303*F86+ 2.0105*G86+ 0.3644*H86- 0.6051*I86</f>
        <v>4.7474331000000003</v>
      </c>
      <c r="N86">
        <f t="shared" si="2"/>
        <v>4.6896266999999998</v>
      </c>
      <c r="O86">
        <f t="shared" si="3"/>
        <v>0.61637330000000023</v>
      </c>
    </row>
    <row r="87" spans="1:15" x14ac:dyDescent="0.3">
      <c r="A87" t="s">
        <v>69</v>
      </c>
      <c r="B87" t="s">
        <v>114</v>
      </c>
      <c r="C87">
        <f>5283/(1000)</f>
        <v>5.2830000000000004</v>
      </c>
      <c r="D87">
        <f>9487/(1000)</f>
        <v>9.4870000000000001</v>
      </c>
      <c r="E87">
        <v>0.79900000000000004</v>
      </c>
      <c r="F87">
        <f>67055/(1000)</f>
        <v>67.055000000000007</v>
      </c>
      <c r="G87">
        <v>0.82499999999999996</v>
      </c>
      <c r="H87">
        <v>-0.16800000000000001</v>
      </c>
      <c r="I87">
        <v>0.629</v>
      </c>
      <c r="J87">
        <f>-2.2372+0.2795*D87+ 2.4762*E87+ 0.0303*F87+ 2.0105*G87+ 0.3644*H87- 0.6051*I87</f>
        <v>5.6415022000000006</v>
      </c>
      <c r="K87" s="20">
        <f>ABS(C87-J87)</f>
        <v>0.35850220000000022</v>
      </c>
      <c r="L87">
        <f>1.2*D87</f>
        <v>11.384399999999999</v>
      </c>
      <c r="M87">
        <f>-2.2372+0.2795*L87+ 2.4762*E87+ 0.0303*F87+ 2.0105*G87+ 0.3644*H87- 0.6051*I87</f>
        <v>6.1718254999999997</v>
      </c>
      <c r="N87">
        <f t="shared" si="2"/>
        <v>5.8928146999999997</v>
      </c>
      <c r="O87">
        <f t="shared" si="3"/>
        <v>-0.60981469999999938</v>
      </c>
    </row>
    <row r="88" spans="1:15" x14ac:dyDescent="0.3">
      <c r="A88" t="s">
        <v>116</v>
      </c>
      <c r="B88" t="s">
        <v>115</v>
      </c>
      <c r="C88">
        <f>5269/(1000)</f>
        <v>5.2690000000000001</v>
      </c>
      <c r="D88">
        <f>8120/(1000)</f>
        <v>8.1199999999999992</v>
      </c>
      <c r="E88">
        <v>0.77400000000000002</v>
      </c>
      <c r="F88">
        <f>64233/(1000)</f>
        <v>64.233000000000004</v>
      </c>
      <c r="G88">
        <v>0.78200000000000003</v>
      </c>
      <c r="H88">
        <v>0.152</v>
      </c>
      <c r="I88">
        <v>0.72699999999999998</v>
      </c>
      <c r="J88">
        <f>-2.2372+0.2795*D88+ 2.4762*E88+ 0.0303*F88+ 2.0105*G88+ 0.3644*H88- 0.6051*I88</f>
        <v>5.0828708000000002</v>
      </c>
      <c r="K88" s="20">
        <f>ABS(C88-J88)</f>
        <v>0.18612919999999988</v>
      </c>
      <c r="L88">
        <f>1.2*D88</f>
        <v>9.743999999999998</v>
      </c>
      <c r="M88">
        <f>-2.2372+0.2795*L88+ 2.4762*E88+ 0.0303*F88+ 2.0105*G88+ 0.3644*H88- 0.6051*I88</f>
        <v>5.5367788000000004</v>
      </c>
      <c r="N88">
        <f t="shared" si="2"/>
        <v>5.4206348000000002</v>
      </c>
      <c r="O88">
        <f t="shared" si="3"/>
        <v>-0.15163480000000007</v>
      </c>
    </row>
    <row r="89" spans="1:15" x14ac:dyDescent="0.3">
      <c r="A89" t="s">
        <v>42</v>
      </c>
      <c r="B89" t="s">
        <v>117</v>
      </c>
      <c r="C89">
        <f>5266/(1000)</f>
        <v>5.266</v>
      </c>
      <c r="D89">
        <f>10016/(1000)</f>
        <v>10.016</v>
      </c>
      <c r="E89">
        <v>0.93100000000000005</v>
      </c>
      <c r="F89">
        <f>67000/(1000)</f>
        <v>67</v>
      </c>
      <c r="G89">
        <v>0.78800000000000003</v>
      </c>
      <c r="H89">
        <v>-9.6000000000000002E-2</v>
      </c>
      <c r="I89">
        <v>0.93200000000000005</v>
      </c>
      <c r="J89">
        <f>-2.2372+0.2795*D89+ 2.4762*E89+ 0.0303*F89+ 2.0105*G89+ 0.3644*H89- 0.6051*I89</f>
        <v>5.8830526000000001</v>
      </c>
      <c r="K89" s="20">
        <f>ABS(C89-J89)</f>
        <v>0.61705260000000006</v>
      </c>
      <c r="L89">
        <f>1.2*D89</f>
        <v>12.0192</v>
      </c>
      <c r="M89">
        <f>-2.2372+0.2795*L89+ 2.4762*E89+ 0.0303*F89+ 2.0105*G89+ 0.3644*H89- 0.6051*I89</f>
        <v>6.4429470000000002</v>
      </c>
      <c r="N89">
        <f t="shared" si="2"/>
        <v>6.2087536000000005</v>
      </c>
      <c r="O89">
        <f t="shared" si="3"/>
        <v>-0.94275360000000052</v>
      </c>
    </row>
    <row r="90" spans="1:15" x14ac:dyDescent="0.3">
      <c r="A90" t="s">
        <v>116</v>
      </c>
      <c r="B90" t="s">
        <v>118</v>
      </c>
      <c r="C90">
        <f>5198/(1000)</f>
        <v>5.1980000000000004</v>
      </c>
      <c r="D90">
        <f>9826/(1000)</f>
        <v>9.8260000000000005</v>
      </c>
      <c r="E90">
        <v>0.91300000000000003</v>
      </c>
      <c r="F90">
        <f>70600/(1000)</f>
        <v>70.599999999999994</v>
      </c>
      <c r="G90">
        <v>0.85399999999999998</v>
      </c>
      <c r="H90">
        <v>2.4E-2</v>
      </c>
      <c r="I90">
        <v>0.82499999999999996</v>
      </c>
      <c r="J90">
        <f>-2.2372+0.2795*D90+ 2.4762*E90+ 0.0303*F90+ 2.0105*G90+ 0.3644*H90- 0.6051*I90</f>
        <v>6.1356227000000008</v>
      </c>
      <c r="K90" s="20">
        <f>ABS(C90-J90)</f>
        <v>0.93762270000000036</v>
      </c>
      <c r="L90">
        <f>1.2*D90</f>
        <v>11.7912</v>
      </c>
      <c r="M90">
        <f>-2.2372+0.2795*L90+ 2.4762*E90+ 0.0303*F90+ 2.0105*G90+ 0.3644*H90- 0.6051*I90</f>
        <v>6.6848961000000013</v>
      </c>
      <c r="N90">
        <f t="shared" si="2"/>
        <v>6.3286306999999997</v>
      </c>
      <c r="O90">
        <f t="shared" si="3"/>
        <v>-1.1306306999999993</v>
      </c>
    </row>
    <row r="91" spans="1:15" x14ac:dyDescent="0.3">
      <c r="A91" t="s">
        <v>69</v>
      </c>
      <c r="B91" t="s">
        <v>119</v>
      </c>
      <c r="C91">
        <f>5171/(1000)</f>
        <v>5.1710000000000003</v>
      </c>
      <c r="D91">
        <f>9569/(1000)</f>
        <v>9.5690000000000008</v>
      </c>
      <c r="E91">
        <v>0.83599999999999997</v>
      </c>
      <c r="F91">
        <f>65656/(1000)</f>
        <v>65.656000000000006</v>
      </c>
      <c r="G91">
        <v>0.81399999999999995</v>
      </c>
      <c r="H91">
        <v>-0.223</v>
      </c>
      <c r="I91">
        <v>0.50600000000000001</v>
      </c>
      <c r="J91">
        <f>-2.2372+0.2795*D91+ 2.4762*E91+ 0.0303*F91+ 2.0105*G91+ 0.3644*H91- 0.6051*I91</f>
        <v>5.7459207000000001</v>
      </c>
      <c r="K91" s="20">
        <f>ABS(C91-J91)</f>
        <v>0.57492069999999984</v>
      </c>
      <c r="L91">
        <f>1.2*D91</f>
        <v>11.482800000000001</v>
      </c>
      <c r="M91">
        <f>-2.2372+0.2795*L91+ 2.4762*E91+ 0.0303*F91+ 2.0105*G91+ 0.3644*H91- 0.6051*I91</f>
        <v>6.2808278</v>
      </c>
      <c r="N91">
        <f t="shared" si="2"/>
        <v>6.0193486999999992</v>
      </c>
      <c r="O91">
        <f t="shared" si="3"/>
        <v>-0.84834869999999896</v>
      </c>
    </row>
    <row r="92" spans="1:15" x14ac:dyDescent="0.3">
      <c r="A92" t="s">
        <v>78</v>
      </c>
      <c r="B92" t="s">
        <v>120</v>
      </c>
      <c r="C92">
        <f>5142/(1000)</f>
        <v>5.1420000000000003</v>
      </c>
      <c r="D92">
        <f>8189/(1000)</f>
        <v>8.1890000000000001</v>
      </c>
      <c r="E92">
        <v>0.71</v>
      </c>
      <c r="F92">
        <f>53515/(1000)</f>
        <v>53.515000000000001</v>
      </c>
      <c r="G92">
        <v>0.73099999999999998</v>
      </c>
      <c r="H92">
        <v>2.5999999999999999E-2</v>
      </c>
      <c r="I92">
        <v>0.84799999999999998</v>
      </c>
      <c r="J92">
        <f>-2.2372+0.2795*D92+ 2.4762*E92+ 0.0303*F92+ 2.0105*G92+ 0.3644*H92- 0.6051*I92</f>
        <v>4.3972571</v>
      </c>
      <c r="K92" s="20">
        <f>ABS(C92-J92)</f>
        <v>0.74474290000000032</v>
      </c>
      <c r="L92">
        <f>1.2*D92</f>
        <v>9.8268000000000004</v>
      </c>
      <c r="M92">
        <f>-2.2372+0.2795*L92+ 2.4762*E92+ 0.0303*F92+ 2.0105*G92+ 0.3644*H92- 0.6051*I92</f>
        <v>4.8550222000000005</v>
      </c>
      <c r="N92">
        <f t="shared" si="2"/>
        <v>4.8375566000000001</v>
      </c>
      <c r="O92">
        <f t="shared" si="3"/>
        <v>0.30444340000000025</v>
      </c>
    </row>
    <row r="93" spans="1:15" x14ac:dyDescent="0.3">
      <c r="A93" t="s">
        <v>78</v>
      </c>
      <c r="B93" t="s">
        <v>121</v>
      </c>
      <c r="C93">
        <f>5132/(1000)</f>
        <v>5.1319999999999997</v>
      </c>
      <c r="D93">
        <f>8118/(1000)</f>
        <v>8.1180000000000003</v>
      </c>
      <c r="E93">
        <v>0.71</v>
      </c>
      <c r="F93">
        <f>59802/(1000)</f>
        <v>59.802</v>
      </c>
      <c r="G93">
        <v>0.69499999999999995</v>
      </c>
      <c r="H93">
        <v>-4.5999999999999999E-2</v>
      </c>
      <c r="I93">
        <v>0.80100000000000005</v>
      </c>
      <c r="J93">
        <f>-2.2372+0.2795*D93+ 2.4762*E93+ 0.0303*F93+ 2.0105*G93+ 0.3644*H93- 0.6051*I93</f>
        <v>4.4977335999999992</v>
      </c>
      <c r="K93" s="20">
        <f>ABS(C93-J93)</f>
        <v>0.63426640000000045</v>
      </c>
      <c r="L93">
        <f>1.2*D93</f>
        <v>9.7416</v>
      </c>
      <c r="M93">
        <f>-2.2372+0.2795*L93+ 2.4762*E93+ 0.0303*F93+ 2.0105*G93+ 0.3644*H93- 0.6051*I93</f>
        <v>4.9515297999999994</v>
      </c>
      <c r="N93">
        <f t="shared" si="2"/>
        <v>5.0104110999999998</v>
      </c>
      <c r="O93">
        <f t="shared" si="3"/>
        <v>0.12158889999999989</v>
      </c>
    </row>
    <row r="94" spans="1:15" x14ac:dyDescent="0.3">
      <c r="A94" t="s">
        <v>42</v>
      </c>
      <c r="B94" t="s">
        <v>122</v>
      </c>
      <c r="C94">
        <f>5117/(1000)</f>
        <v>5.117</v>
      </c>
      <c r="D94">
        <f>9520/(1000)</f>
        <v>9.52</v>
      </c>
      <c r="E94">
        <v>0.69699999999999995</v>
      </c>
      <c r="F94">
        <f>68999/(1000)</f>
        <v>68.998999999999995</v>
      </c>
      <c r="G94">
        <v>0.78500000000000003</v>
      </c>
      <c r="H94">
        <v>-0.03</v>
      </c>
      <c r="I94">
        <v>0.90100000000000002</v>
      </c>
      <c r="J94">
        <f>-2.2372+0.2795*D94+ 2.4762*E94+ 0.0303*F94+ 2.0105*G94+ 0.3644*H94- 0.6051*I94</f>
        <v>5.2623364999999991</v>
      </c>
      <c r="K94" s="20">
        <f>ABS(C94-J94)</f>
        <v>0.14533649999999909</v>
      </c>
      <c r="L94">
        <f>1.2*D94</f>
        <v>11.423999999999999</v>
      </c>
      <c r="M94">
        <f>-2.2372+0.2795*L94+ 2.4762*E94+ 0.0303*F94+ 2.0105*G94+ 0.3644*H94- 0.6051*I94</f>
        <v>5.7945044999999995</v>
      </c>
      <c r="N94">
        <f t="shared" si="2"/>
        <v>5.5940689999999984</v>
      </c>
      <c r="O94">
        <f t="shared" si="3"/>
        <v>-0.47706899999999841</v>
      </c>
    </row>
    <row r="95" spans="1:15" x14ac:dyDescent="0.3">
      <c r="A95" t="s">
        <v>42</v>
      </c>
      <c r="B95" t="s">
        <v>123</v>
      </c>
      <c r="C95">
        <f>5101/(1000)</f>
        <v>5.101</v>
      </c>
      <c r="D95">
        <f>9693/(1000)</f>
        <v>9.6929999999999996</v>
      </c>
      <c r="E95">
        <v>0.80500000000000005</v>
      </c>
      <c r="F95">
        <f>65474/(1000)</f>
        <v>65.474000000000004</v>
      </c>
      <c r="G95">
        <v>0.751</v>
      </c>
      <c r="H95">
        <v>3.7999999999999999E-2</v>
      </c>
      <c r="I95">
        <v>0.90500000000000003</v>
      </c>
      <c r="J95">
        <f>-2.2372+0.2795*D95+ 2.4762*E95+ 0.0303*F95+ 2.0105*G95+ 0.3644*H95- 0.6051*I95</f>
        <v>5.4253138999999999</v>
      </c>
      <c r="K95" s="20">
        <f>ABS(C95-J95)</f>
        <v>0.32431389999999993</v>
      </c>
      <c r="L95">
        <f>1.2*D95</f>
        <v>11.631599999999999</v>
      </c>
      <c r="M95">
        <f>-2.2372+0.2795*L95+ 2.4762*E95+ 0.0303*F95+ 2.0105*G95+ 0.3644*H95- 0.6051*I95</f>
        <v>5.9671526000000004</v>
      </c>
      <c r="N95">
        <f t="shared" si="2"/>
        <v>5.825403399999999</v>
      </c>
      <c r="O95">
        <f t="shared" si="3"/>
        <v>-0.72440339999999903</v>
      </c>
    </row>
    <row r="96" spans="1:15" x14ac:dyDescent="0.3">
      <c r="A96" t="s">
        <v>78</v>
      </c>
      <c r="B96" t="s">
        <v>124</v>
      </c>
      <c r="C96">
        <f>5088/(1000)</f>
        <v>5.0880000000000001</v>
      </c>
      <c r="D96">
        <f>8580/(1000)</f>
        <v>8.58</v>
      </c>
      <c r="E96">
        <v>0.72699999999999998</v>
      </c>
      <c r="F96">
        <f>57586/(1000)</f>
        <v>57.585999999999999</v>
      </c>
      <c r="G96">
        <v>0.80700000000000005</v>
      </c>
      <c r="H96">
        <v>0.123</v>
      </c>
      <c r="I96">
        <v>0.84799999999999998</v>
      </c>
      <c r="J96">
        <f>-2.2372+0.2795*D96+ 2.4762*E96+ 0.0303*F96+ 2.0105*G96+ 0.3644*H96- 0.6051*I96</f>
        <v>4.8601331000000005</v>
      </c>
      <c r="K96" s="20">
        <f>ABS(C96-J96)</f>
        <v>0.22786689999999954</v>
      </c>
      <c r="L96">
        <f>1.2*D96</f>
        <v>10.295999999999999</v>
      </c>
      <c r="M96">
        <f>-2.2372+0.2795*L96+ 2.4762*E96+ 0.0303*F96+ 2.0105*G96+ 0.3644*H96- 0.6051*I96</f>
        <v>5.3397550999999996</v>
      </c>
      <c r="N96">
        <f t="shared" si="2"/>
        <v>5.1476346000000008</v>
      </c>
      <c r="O96">
        <f t="shared" si="3"/>
        <v>-5.9634600000000759E-2</v>
      </c>
    </row>
    <row r="97" spans="1:15" x14ac:dyDescent="0.3">
      <c r="A97" t="s">
        <v>78</v>
      </c>
      <c r="B97" t="s">
        <v>125</v>
      </c>
      <c r="C97">
        <f>5074/(1000)</f>
        <v>5.0739999999999998</v>
      </c>
      <c r="D97">
        <f>7098/(1000)</f>
        <v>7.0979999999999999</v>
      </c>
      <c r="E97">
        <v>0.64100000000000001</v>
      </c>
      <c r="F97">
        <f>53780/(1000)</f>
        <v>53.78</v>
      </c>
      <c r="G97">
        <v>0.80600000000000005</v>
      </c>
      <c r="H97">
        <v>1.7999999999999999E-2</v>
      </c>
      <c r="I97">
        <v>0.69299999999999995</v>
      </c>
      <c r="J97">
        <f>-2.2372+0.2795*D97+ 2.4762*E97+ 0.0303*F97+ 2.0105*G97+ 0.3644*H97- 0.6051*I97</f>
        <v>4.1711570999999994</v>
      </c>
      <c r="K97" s="20">
        <f>ABS(C97-J97)</f>
        <v>0.90284290000000045</v>
      </c>
      <c r="L97">
        <f>1.2*D97</f>
        <v>8.5175999999999998</v>
      </c>
      <c r="M97">
        <f>-2.2372+0.2795*L97+ 2.4762*E97+ 0.0303*F97+ 2.0105*G97+ 0.3644*H97- 0.6051*I97</f>
        <v>4.5679353000000003</v>
      </c>
      <c r="N97">
        <f t="shared" si="2"/>
        <v>4.4606690999999996</v>
      </c>
      <c r="O97">
        <f t="shared" si="3"/>
        <v>0.61333090000000023</v>
      </c>
    </row>
    <row r="98" spans="1:15" x14ac:dyDescent="0.3">
      <c r="A98" t="s">
        <v>69</v>
      </c>
      <c r="B98" t="s">
        <v>126</v>
      </c>
      <c r="C98">
        <f>5066/(1000)</f>
        <v>5.0659999999999998</v>
      </c>
      <c r="D98">
        <f>9629/(1000)</f>
        <v>9.6289999999999996</v>
      </c>
      <c r="E98">
        <v>0.98299999999999998</v>
      </c>
      <c r="F98">
        <f>62409/(1000)</f>
        <v>62.408999999999999</v>
      </c>
      <c r="G98">
        <v>0.877</v>
      </c>
      <c r="H98">
        <v>0.27300000000000002</v>
      </c>
      <c r="I98">
        <v>0.88800000000000001</v>
      </c>
      <c r="J98">
        <f>-2.2372+0.2795*D98+ 2.4762*E98+ 0.0303*F98+ 2.0105*G98+ 0.3644*H98- 0.6051*I98</f>
        <v>6.1045636999999999</v>
      </c>
      <c r="K98" s="20">
        <f>ABS(C98-J98)</f>
        <v>1.0385637000000001</v>
      </c>
      <c r="L98">
        <f>1.2*D98</f>
        <v>11.554799999999998</v>
      </c>
      <c r="M98">
        <f>-2.2372+0.2795*L98+ 2.4762*E98+ 0.0303*F98+ 2.0105*G98+ 0.3644*H98- 0.6051*I98</f>
        <v>6.6428247999999996</v>
      </c>
      <c r="N98">
        <f t="shared" si="2"/>
        <v>6.2513301999999991</v>
      </c>
      <c r="O98">
        <f t="shared" si="3"/>
        <v>-1.1853301999999992</v>
      </c>
    </row>
    <row r="99" spans="1:15" x14ac:dyDescent="0.3">
      <c r="A99" t="s">
        <v>78</v>
      </c>
      <c r="B99" t="s">
        <v>127</v>
      </c>
      <c r="C99">
        <f>5051/(1000)</f>
        <v>5.0510000000000002</v>
      </c>
      <c r="D99">
        <f>7686/(1000)</f>
        <v>7.6859999999999999</v>
      </c>
      <c r="E99">
        <v>0.69</v>
      </c>
      <c r="F99">
        <f>55160/(1000)</f>
        <v>55.16</v>
      </c>
      <c r="G99">
        <v>0.69699999999999995</v>
      </c>
      <c r="H99">
        <v>0.42399999999999999</v>
      </c>
      <c r="I99">
        <v>0.746</v>
      </c>
      <c r="J99">
        <f>-2.2372+0.2795*D99+ 2.4762*E99+ 0.0303*F99+ 2.0105*G99+ 0.3644*H99- 0.6051*I99</f>
        <v>4.3953825000000002</v>
      </c>
      <c r="K99" s="20">
        <f>ABS(C99-J99)</f>
        <v>0.65561749999999996</v>
      </c>
      <c r="L99">
        <f>1.2*D99</f>
        <v>9.2232000000000003</v>
      </c>
      <c r="M99">
        <f>-2.2372+0.2795*L99+ 2.4762*E99+ 0.0303*F99+ 2.0105*G99+ 0.3644*H99- 0.6051*I99</f>
        <v>4.8250299000000005</v>
      </c>
      <c r="N99">
        <f t="shared" si="2"/>
        <v>4.904039</v>
      </c>
      <c r="O99">
        <f t="shared" si="3"/>
        <v>0.14696100000000012</v>
      </c>
    </row>
    <row r="100" spans="1:15" x14ac:dyDescent="0.3">
      <c r="A100" t="s">
        <v>78</v>
      </c>
      <c r="B100" t="s">
        <v>128</v>
      </c>
      <c r="C100">
        <f>5045/(1000)</f>
        <v>5.0449999999999999</v>
      </c>
      <c r="D100">
        <f>8087/(1000)</f>
        <v>8.0869999999999997</v>
      </c>
      <c r="E100">
        <v>0.48899999999999999</v>
      </c>
      <c r="F100">
        <f>54713/(1000)</f>
        <v>54.713000000000001</v>
      </c>
      <c r="G100">
        <v>0.75700000000000001</v>
      </c>
      <c r="H100">
        <v>-3.4000000000000002E-2</v>
      </c>
      <c r="I100">
        <v>0.66100000000000003</v>
      </c>
      <c r="J100">
        <f>-2.2372+0.2795*D100+ 2.4762*E100+ 0.0303*F100+ 2.0105*G100+ 0.3644*H100- 0.6051*I100</f>
        <v>4.0013699999999996</v>
      </c>
      <c r="K100" s="20">
        <f>ABS(C100-J100)</f>
        <v>1.0436300000000003</v>
      </c>
      <c r="L100">
        <f>1.2*D100</f>
        <v>9.7043999999999997</v>
      </c>
      <c r="M100">
        <f>-2.2372+0.2795*L100+ 2.4762*E100+ 0.0303*F100+ 2.0105*G100+ 0.3644*H100- 0.6051*I100</f>
        <v>4.4534333000000004</v>
      </c>
      <c r="N100">
        <f t="shared" si="2"/>
        <v>4.3893964999999993</v>
      </c>
      <c r="O100">
        <f t="shared" si="3"/>
        <v>0.65560350000000067</v>
      </c>
    </row>
    <row r="101" spans="1:15" x14ac:dyDescent="0.3">
      <c r="A101" t="s">
        <v>58</v>
      </c>
      <c r="B101" t="s">
        <v>129</v>
      </c>
      <c r="C101">
        <f>5030/(1000)</f>
        <v>5.03</v>
      </c>
      <c r="D101">
        <f>8947/(1000)</f>
        <v>8.9469999999999992</v>
      </c>
      <c r="E101">
        <v>0.72799999999999998</v>
      </c>
      <c r="F101">
        <f>58968/(1000)</f>
        <v>58.968000000000004</v>
      </c>
      <c r="G101">
        <v>0.91</v>
      </c>
      <c r="H101">
        <v>0.123</v>
      </c>
      <c r="I101">
        <v>0.65800000000000003</v>
      </c>
      <c r="J101">
        <f>-2.2372+0.2795*D101+ 2.4762*E101+ 0.0303*F101+ 2.0105*G101+ 0.3644*H101- 0.6051*I101</f>
        <v>5.3291109000000008</v>
      </c>
      <c r="K101" s="20">
        <f>ABS(C101-J101)</f>
        <v>0.29911090000000051</v>
      </c>
      <c r="L101">
        <f>1.2*D101</f>
        <v>10.736399999999998</v>
      </c>
      <c r="M101">
        <f>-2.2372+0.2795*L101+ 2.4762*E101+ 0.0303*F101+ 2.0105*G101+ 0.3644*H101- 0.6051*I101</f>
        <v>5.8292482000000003</v>
      </c>
      <c r="N101">
        <f t="shared" si="2"/>
        <v>5.4095309000000009</v>
      </c>
      <c r="O101">
        <f t="shared" si="3"/>
        <v>-0.37953090000000067</v>
      </c>
    </row>
    <row r="102" spans="1:15" x14ac:dyDescent="0.3">
      <c r="A102" t="s">
        <v>116</v>
      </c>
      <c r="B102" t="s">
        <v>130</v>
      </c>
      <c r="C102">
        <f>5025/(1000)</f>
        <v>5.0250000000000004</v>
      </c>
      <c r="D102">
        <f>8454/(1000)</f>
        <v>8.4540000000000006</v>
      </c>
      <c r="E102">
        <v>0.69299999999999995</v>
      </c>
      <c r="F102">
        <f>64800/(1000)</f>
        <v>64.8</v>
      </c>
      <c r="G102">
        <v>0.877</v>
      </c>
      <c r="H102">
        <v>-4.1000000000000002E-2</v>
      </c>
      <c r="I102">
        <v>0.68200000000000005</v>
      </c>
      <c r="J102">
        <f>-2.2372+0.2795*D102+ 2.4762*E102+ 0.0303*F102+ 2.0105*G102+ 0.3644*H102- 0.6051*I102</f>
        <v>5.1407295</v>
      </c>
      <c r="K102" s="20">
        <f>ABS(C102-J102)</f>
        <v>0.1157294999999996</v>
      </c>
      <c r="L102">
        <f>1.2*D102</f>
        <v>10.1448</v>
      </c>
      <c r="M102">
        <f>-2.2372+0.2795*L102+ 2.4762*E102+ 0.0303*F102+ 2.0105*G102+ 0.3644*H102- 0.6051*I102</f>
        <v>5.6133081000000002</v>
      </c>
      <c r="N102">
        <f t="shared" si="2"/>
        <v>5.2874959999999991</v>
      </c>
      <c r="O102">
        <f t="shared" si="3"/>
        <v>-0.26249599999999873</v>
      </c>
    </row>
    <row r="103" spans="1:15" x14ac:dyDescent="0.3">
      <c r="A103" t="s">
        <v>78</v>
      </c>
      <c r="B103" t="s">
        <v>131</v>
      </c>
      <c r="C103">
        <f>4984/(1000)</f>
        <v>4.984</v>
      </c>
      <c r="D103">
        <f>7838/(1000)</f>
        <v>7.8380000000000001</v>
      </c>
      <c r="E103">
        <v>0.63900000000000001</v>
      </c>
      <c r="F103">
        <f>55008/(1000)</f>
        <v>55.008000000000003</v>
      </c>
      <c r="G103">
        <v>0.69699999999999995</v>
      </c>
      <c r="H103">
        <v>9.5000000000000001E-2</v>
      </c>
      <c r="I103">
        <v>0.76600000000000001</v>
      </c>
      <c r="J103">
        <f>-2.2372+0.2795*D103+ 2.4762*E103+ 0.0303*F103+ 2.0105*G103+ 0.3644*H103- 0.6051*I103</f>
        <v>4.1749851000000007</v>
      </c>
      <c r="K103" s="20">
        <f>ABS(C103-J103)</f>
        <v>0.80901489999999932</v>
      </c>
      <c r="L103">
        <f>1.2*D103</f>
        <v>9.4055999999999997</v>
      </c>
      <c r="M103">
        <f>-2.2372+0.2795*L103+ 2.4762*E103+ 0.0303*F103+ 2.0105*G103+ 0.3644*H103- 0.6051*I103</f>
        <v>4.6131293000000007</v>
      </c>
      <c r="N103">
        <f t="shared" si="2"/>
        <v>4.6836416000000005</v>
      </c>
      <c r="O103">
        <f t="shared" si="3"/>
        <v>0.30035839999999947</v>
      </c>
    </row>
    <row r="104" spans="1:15" x14ac:dyDescent="0.3">
      <c r="A104" t="s">
        <v>78</v>
      </c>
      <c r="B104" t="s">
        <v>132</v>
      </c>
      <c r="C104">
        <f>4956/(1000)</f>
        <v>4.9560000000000004</v>
      </c>
      <c r="D104">
        <f>9403/(1000)</f>
        <v>9.4030000000000005</v>
      </c>
      <c r="E104">
        <v>0.86</v>
      </c>
      <c r="F104">
        <f>56904/(1000)</f>
        <v>56.904000000000003</v>
      </c>
      <c r="G104">
        <v>0.749</v>
      </c>
      <c r="H104">
        <v>-6.7000000000000004E-2</v>
      </c>
      <c r="I104">
        <v>0.86</v>
      </c>
      <c r="J104">
        <f>-2.2372+0.2795*D104+ 2.4762*E104+ 0.0303*F104+ 2.0105*G104+ 0.3644*H104- 0.6051*I104</f>
        <v>5.2057253999999995</v>
      </c>
      <c r="K104" s="20">
        <f>ABS(C104-J104)</f>
        <v>0.2497253999999991</v>
      </c>
      <c r="L104">
        <f>1.2*D104</f>
        <v>11.2836</v>
      </c>
      <c r="M104">
        <f>-2.2372+0.2795*L104+ 2.4762*E104+ 0.0303*F104+ 2.0105*G104+ 0.3644*H104- 0.6051*I104</f>
        <v>5.7313531000000006</v>
      </c>
      <c r="N104">
        <f t="shared" si="2"/>
        <v>5.6098358999999993</v>
      </c>
      <c r="O104">
        <f t="shared" si="3"/>
        <v>-0.65383589999999892</v>
      </c>
    </row>
    <row r="105" spans="1:15" x14ac:dyDescent="0.3">
      <c r="A105" t="s">
        <v>34</v>
      </c>
      <c r="B105" t="s">
        <v>133</v>
      </c>
      <c r="C105">
        <f>4948/(1000)</f>
        <v>4.9480000000000004</v>
      </c>
      <c r="D105">
        <f>10240/(1000)</f>
        <v>10.24</v>
      </c>
      <c r="E105">
        <v>0.82199999999999995</v>
      </c>
      <c r="F105">
        <f>67199/(1000)</f>
        <v>67.198999999999998</v>
      </c>
      <c r="G105">
        <v>0.57599999999999996</v>
      </c>
      <c r="H105">
        <v>-0.13900000000000001</v>
      </c>
      <c r="I105">
        <v>0.77600000000000002</v>
      </c>
      <c r="J105">
        <f>-2.2372+0.2795*D105+ 2.4762*E105+ 0.0303*F105+ 2.0105*G105+ 0.3644*H105- 0.6051*I105</f>
        <v>5.3342849000000001</v>
      </c>
      <c r="K105" s="20">
        <f>ABS(C105-J105)</f>
        <v>0.38628489999999971</v>
      </c>
      <c r="L105">
        <f>1.2*D105</f>
        <v>12.288</v>
      </c>
      <c r="M105">
        <f>-2.2372+0.2795*L105+ 2.4762*E105+ 0.0303*F105+ 2.0105*G105+ 0.3644*H105- 0.6051*I105</f>
        <v>5.9067008999999997</v>
      </c>
      <c r="N105">
        <f t="shared" si="2"/>
        <v>6.0862119000000003</v>
      </c>
      <c r="O105">
        <f t="shared" si="3"/>
        <v>-1.1382118999999999</v>
      </c>
    </row>
    <row r="106" spans="1:15" x14ac:dyDescent="0.3">
      <c r="A106" t="s">
        <v>116</v>
      </c>
      <c r="B106" t="s">
        <v>134</v>
      </c>
      <c r="C106">
        <f>4934/(1000)</f>
        <v>4.9340000000000002</v>
      </c>
      <c r="D106">
        <f>8458/(1000)</f>
        <v>8.4580000000000002</v>
      </c>
      <c r="E106">
        <v>0.65100000000000002</v>
      </c>
      <c r="F106">
        <f>58709/(1000)</f>
        <v>58.709000000000003</v>
      </c>
      <c r="G106">
        <v>0.72599999999999998</v>
      </c>
      <c r="H106">
        <v>9.8000000000000004E-2</v>
      </c>
      <c r="I106">
        <v>0.78700000000000003</v>
      </c>
      <c r="J106">
        <f>-2.2372+0.2795*D106+ 2.4762*E106+ 0.0303*F106+ 2.0105*G106+ 0.3644*H106- 0.6051*I106</f>
        <v>4.5368203999999999</v>
      </c>
      <c r="K106" s="20">
        <f>ABS(C106-J106)</f>
        <v>0.3971796000000003</v>
      </c>
      <c r="L106">
        <f>1.2*D106</f>
        <v>10.1496</v>
      </c>
      <c r="M106">
        <f>-2.2372+0.2795*L106+ 2.4762*E106+ 0.0303*F106+ 2.0105*G106+ 0.3644*H106- 0.6051*I106</f>
        <v>5.0096226000000001</v>
      </c>
      <c r="N106">
        <f t="shared" si="2"/>
        <v>4.9871723999999995</v>
      </c>
      <c r="O106">
        <f t="shared" si="3"/>
        <v>-5.3172399999999342E-2</v>
      </c>
    </row>
    <row r="107" spans="1:15" x14ac:dyDescent="0.3">
      <c r="A107" t="s">
        <v>34</v>
      </c>
      <c r="B107" t="s">
        <v>135</v>
      </c>
      <c r="C107">
        <f>4918/(1000)</f>
        <v>4.9180000000000001</v>
      </c>
      <c r="D107">
        <f>8903/(1000)</f>
        <v>8.9030000000000005</v>
      </c>
      <c r="E107">
        <v>0.56000000000000005</v>
      </c>
      <c r="F107">
        <f>66208/(1000)</f>
        <v>66.207999999999998</v>
      </c>
      <c r="G107">
        <v>0.77400000000000002</v>
      </c>
      <c r="H107">
        <v>-0.23599999999999999</v>
      </c>
      <c r="I107">
        <v>0.80100000000000005</v>
      </c>
      <c r="J107">
        <f>-2.2372+0.2795*D107+ 2.4762*E107+ 0.0303*F107+ 2.0105*G107+ 0.3644*H107- 0.6051*I107</f>
        <v>4.6294064000000006</v>
      </c>
      <c r="K107" s="20">
        <f>ABS(C107-J107)</f>
        <v>0.28859359999999956</v>
      </c>
      <c r="L107">
        <f>1.2*D107</f>
        <v>10.6836</v>
      </c>
      <c r="M107">
        <f>-2.2372+0.2795*L107+ 2.4762*E107+ 0.0303*F107+ 2.0105*G107+ 0.3644*H107- 0.6051*I107</f>
        <v>5.1270841000000003</v>
      </c>
      <c r="N107">
        <f t="shared" si="2"/>
        <v>4.9832544000000008</v>
      </c>
      <c r="O107">
        <f t="shared" si="3"/>
        <v>-6.5254400000000601E-2</v>
      </c>
    </row>
    <row r="108" spans="1:15" x14ac:dyDescent="0.3">
      <c r="A108" t="s">
        <v>39</v>
      </c>
      <c r="B108" t="s">
        <v>136</v>
      </c>
      <c r="C108">
        <f>4892/(1000)</f>
        <v>4.8920000000000003</v>
      </c>
      <c r="D108">
        <f>9073/(1000)</f>
        <v>9.0730000000000004</v>
      </c>
      <c r="E108">
        <v>0.86099999999999999</v>
      </c>
      <c r="F108">
        <f>66700/(1000)</f>
        <v>66.7</v>
      </c>
      <c r="G108">
        <v>0.61499999999999999</v>
      </c>
      <c r="H108">
        <v>-0.16900000000000001</v>
      </c>
      <c r="I108">
        <v>0.82699999999999996</v>
      </c>
      <c r="J108">
        <f>-2.2372+0.2795*D108+ 2.4762*E108+ 0.0303*F108+ 2.0105*G108+ 0.3644*H108- 0.6051*I108</f>
        <v>5.126177900000001</v>
      </c>
      <c r="K108" s="20">
        <f>ABS(C108-J108)</f>
        <v>0.23417790000000061</v>
      </c>
      <c r="L108">
        <f>1.2*D108</f>
        <v>10.887600000000001</v>
      </c>
      <c r="M108">
        <f>-2.2372+0.2795*L108+ 2.4762*E108+ 0.0303*F108+ 2.0105*G108+ 0.3644*H108- 0.6051*I108</f>
        <v>5.6333586000000011</v>
      </c>
      <c r="N108">
        <f t="shared" si="2"/>
        <v>5.7996954000000001</v>
      </c>
      <c r="O108">
        <f t="shared" si="3"/>
        <v>-0.90769539999999971</v>
      </c>
    </row>
    <row r="109" spans="1:15" x14ac:dyDescent="0.3">
      <c r="A109" t="s">
        <v>69</v>
      </c>
      <c r="B109" t="s">
        <v>137</v>
      </c>
      <c r="C109">
        <f>4891/(1000)</f>
        <v>4.891</v>
      </c>
      <c r="D109">
        <f>9585/(1000)</f>
        <v>9.5850000000000009</v>
      </c>
      <c r="E109">
        <v>0.67100000000000004</v>
      </c>
      <c r="F109">
        <f>64300/(1000)</f>
        <v>64.3</v>
      </c>
      <c r="G109">
        <v>0.78300000000000003</v>
      </c>
      <c r="H109">
        <v>-0.23799999999999999</v>
      </c>
      <c r="I109">
        <v>0.65500000000000003</v>
      </c>
      <c r="J109">
        <f>-2.2372+0.2795*D109+ 2.4762*E109+ 0.0303*F109+ 2.0105*G109+ 0.3644*H109- 0.6051*I109</f>
        <v>5.1427814999999999</v>
      </c>
      <c r="K109" s="20">
        <f>ABS(C109-J109)</f>
        <v>0.25178149999999988</v>
      </c>
      <c r="L109">
        <f>1.2*D109</f>
        <v>11.502000000000001</v>
      </c>
      <c r="M109">
        <f>-2.2372+0.2795*L109+ 2.4762*E109+ 0.0303*F109+ 2.0105*G109+ 0.3644*H109- 0.6051*I109</f>
        <v>5.6785830000000006</v>
      </c>
      <c r="N109">
        <f t="shared" si="2"/>
        <v>5.4785349999999999</v>
      </c>
      <c r="O109">
        <f t="shared" si="3"/>
        <v>-0.58753499999999992</v>
      </c>
    </row>
    <row r="110" spans="1:15" x14ac:dyDescent="0.3">
      <c r="A110" t="s">
        <v>34</v>
      </c>
      <c r="B110" t="s">
        <v>138</v>
      </c>
      <c r="C110">
        <f>4887/(1000)</f>
        <v>4.8869999999999996</v>
      </c>
      <c r="D110">
        <f>9342/(1000)</f>
        <v>9.3420000000000005</v>
      </c>
      <c r="E110">
        <v>0.80200000000000005</v>
      </c>
      <c r="F110">
        <f>66005/(1000)</f>
        <v>66.004999999999995</v>
      </c>
      <c r="G110">
        <v>0.48</v>
      </c>
      <c r="H110">
        <v>-6.7000000000000004E-2</v>
      </c>
      <c r="I110">
        <v>0.752</v>
      </c>
      <c r="J110">
        <f>-2.2372+0.2795*D110+ 2.4762*E110+ 0.0303*F110+ 2.0105*G110+ 0.3644*H110- 0.6051*I110</f>
        <v>4.8453429000000003</v>
      </c>
      <c r="K110" s="20">
        <f>ABS(C110-J110)</f>
        <v>4.1657099999999225E-2</v>
      </c>
      <c r="L110">
        <f>1.2*D110</f>
        <v>11.2104</v>
      </c>
      <c r="M110">
        <f>-2.2372+0.2795*L110+ 2.4762*E110+ 0.0303*F110+ 2.0105*G110+ 0.3644*H110- 0.6051*I110</f>
        <v>5.3675607000000003</v>
      </c>
      <c r="N110">
        <f t="shared" si="2"/>
        <v>5.7902778999999995</v>
      </c>
      <c r="O110">
        <f t="shared" si="3"/>
        <v>-0.90327789999999997</v>
      </c>
    </row>
    <row r="111" spans="1:15" x14ac:dyDescent="0.3">
      <c r="A111" t="s">
        <v>69</v>
      </c>
      <c r="B111" t="s">
        <v>139</v>
      </c>
      <c r="C111">
        <f>4875/(1000)</f>
        <v>4.875</v>
      </c>
      <c r="D111">
        <f>9436/(1000)</f>
        <v>9.4359999999999999</v>
      </c>
      <c r="E111">
        <v>0.88800000000000001</v>
      </c>
      <c r="F111">
        <f>64902/(1000)</f>
        <v>64.902000000000001</v>
      </c>
      <c r="G111">
        <v>0.72399999999999998</v>
      </c>
      <c r="H111">
        <v>-1.0999999999999999E-2</v>
      </c>
      <c r="I111">
        <v>0.92400000000000004</v>
      </c>
      <c r="J111">
        <f>-2.2372+0.2795*D111+ 2.4762*E111+ 0.0303*F111+ 2.0105*G111+ 0.3644*H111- 0.6051*I111</f>
        <v>5.4580393999999997</v>
      </c>
      <c r="K111" s="20">
        <f>ABS(C111-J111)</f>
        <v>0.58303939999999965</v>
      </c>
      <c r="L111">
        <f>1.2*D111</f>
        <v>11.3232</v>
      </c>
      <c r="M111">
        <f>-2.2372+0.2795*L111+ 2.4762*E111+ 0.0303*F111+ 2.0105*G111+ 0.3644*H111- 0.6051*I111</f>
        <v>5.9855118000000003</v>
      </c>
      <c r="N111">
        <f t="shared" si="2"/>
        <v>5.9124123999999991</v>
      </c>
      <c r="O111">
        <f t="shared" si="3"/>
        <v>-1.0374123999999991</v>
      </c>
    </row>
    <row r="112" spans="1:15" x14ac:dyDescent="0.3">
      <c r="A112" t="s">
        <v>34</v>
      </c>
      <c r="B112" t="s">
        <v>140</v>
      </c>
      <c r="C112">
        <f>4854/(1000)</f>
        <v>4.8540000000000001</v>
      </c>
      <c r="D112">
        <f>9240/(1000)</f>
        <v>9.24</v>
      </c>
      <c r="E112">
        <v>0.746</v>
      </c>
      <c r="F112">
        <f>60583/(1000)</f>
        <v>60.582999999999998</v>
      </c>
      <c r="G112">
        <v>0.63</v>
      </c>
      <c r="H112">
        <v>-5.2999999999999999E-2</v>
      </c>
      <c r="I112">
        <v>0.875</v>
      </c>
      <c r="J112">
        <f>-2.2372+0.2795*D112+ 2.4762*E112+ 0.0303*F112+ 2.0105*G112+ 0.3644*H112- 0.6051*I112</f>
        <v>4.7461294000000001</v>
      </c>
      <c r="K112" s="20">
        <f>ABS(C112-J112)</f>
        <v>0.10787060000000004</v>
      </c>
      <c r="L112">
        <f>1.2*D112</f>
        <v>11.087999999999999</v>
      </c>
      <c r="M112">
        <f>-2.2372+0.2795*L112+ 2.4762*E112+ 0.0303*F112+ 2.0105*G112+ 0.3644*H112- 0.6051*I112</f>
        <v>5.2626453999999994</v>
      </c>
      <c r="N112">
        <f t="shared" si="2"/>
        <v>5.3894894000000004</v>
      </c>
      <c r="O112">
        <f t="shared" si="3"/>
        <v>-0.53548940000000034</v>
      </c>
    </row>
    <row r="113" spans="1:15" x14ac:dyDescent="0.3">
      <c r="A113" t="s">
        <v>78</v>
      </c>
      <c r="B113" t="s">
        <v>141</v>
      </c>
      <c r="C113">
        <f>4852/(1000)</f>
        <v>4.8520000000000003</v>
      </c>
      <c r="D113">
        <f>9603/(1000)</f>
        <v>9.6029999999999998</v>
      </c>
      <c r="E113">
        <v>0.77600000000000002</v>
      </c>
      <c r="F113">
        <f>59962/(1000)</f>
        <v>59.962000000000003</v>
      </c>
      <c r="G113">
        <v>0.73099999999999998</v>
      </c>
      <c r="H113">
        <v>-0.2</v>
      </c>
      <c r="I113">
        <v>0.84</v>
      </c>
      <c r="J113">
        <f>-2.2372+0.2795*D113+ 2.4762*E113+ 0.0303*F113+ 2.0105*G113+ 0.3644*H113- 0.6051*I113</f>
        <v>5.0737298000000015</v>
      </c>
      <c r="K113" s="20">
        <f>ABS(C113-J113)</f>
        <v>0.2217298000000012</v>
      </c>
      <c r="L113">
        <f>1.2*D113</f>
        <v>11.5236</v>
      </c>
      <c r="M113">
        <f>-2.2372+0.2795*L113+ 2.4762*E113+ 0.0303*F113+ 2.0105*G113+ 0.3644*H113- 0.6051*I113</f>
        <v>5.6105375000000013</v>
      </c>
      <c r="N113">
        <f t="shared" si="2"/>
        <v>5.5140293000000007</v>
      </c>
      <c r="O113">
        <f t="shared" si="3"/>
        <v>-0.66202930000000038</v>
      </c>
    </row>
    <row r="114" spans="1:15" x14ac:dyDescent="0.3">
      <c r="A114" t="s">
        <v>78</v>
      </c>
      <c r="B114" t="s">
        <v>142</v>
      </c>
      <c r="C114">
        <f>4834/(1000)</f>
        <v>4.8339999999999996</v>
      </c>
      <c r="D114">
        <f>7678/(1000)</f>
        <v>7.6779999999999999</v>
      </c>
      <c r="E114">
        <v>0.67200000000000004</v>
      </c>
      <c r="F114">
        <f>54151/(1000)</f>
        <v>54.151000000000003</v>
      </c>
      <c r="G114">
        <v>0.69499999999999995</v>
      </c>
      <c r="H114">
        <v>-8.9999999999999993E-3</v>
      </c>
      <c r="I114">
        <v>0.748</v>
      </c>
      <c r="J114">
        <f>-2.2372+0.2795*D114+ 2.4762*E114+ 0.0303*F114+ 2.0105*G114+ 0.3644*H114- 0.6051*I114</f>
        <v>4.1549857999999995</v>
      </c>
      <c r="K114" s="20">
        <f>ABS(C114-J114)</f>
        <v>0.67901420000000012</v>
      </c>
      <c r="L114">
        <f>1.2*D114</f>
        <v>9.2135999999999996</v>
      </c>
      <c r="M114">
        <f>-2.2372+0.2795*L114+ 2.4762*E114+ 0.0303*F114+ 2.0105*G114+ 0.3644*H114- 0.6051*I114</f>
        <v>4.5841859999999999</v>
      </c>
      <c r="N114">
        <f t="shared" si="2"/>
        <v>4.6676632999999992</v>
      </c>
      <c r="O114">
        <f t="shared" si="3"/>
        <v>0.16633670000000045</v>
      </c>
    </row>
    <row r="115" spans="1:15" x14ac:dyDescent="0.3">
      <c r="A115" t="s">
        <v>58</v>
      </c>
      <c r="B115" t="s">
        <v>143</v>
      </c>
      <c r="C115">
        <f>4830/(1000)</f>
        <v>4.83</v>
      </c>
      <c r="D115">
        <f>8360/(1000)</f>
        <v>8.36</v>
      </c>
      <c r="E115">
        <v>0.76500000000000001</v>
      </c>
      <c r="F115">
        <f>62000/(1000)</f>
        <v>62</v>
      </c>
      <c r="G115">
        <v>0.95899999999999996</v>
      </c>
      <c r="H115">
        <v>3.4000000000000002E-2</v>
      </c>
      <c r="I115">
        <v>0.84299999999999997</v>
      </c>
      <c r="J115">
        <f>-2.2372+0.2795*D115+ 2.4762*E115+ 0.0303*F115+ 2.0105*G115+ 0.3644*H115- 0.6051*I115</f>
        <v>5.302672799999999</v>
      </c>
      <c r="K115" s="20">
        <f>ABS(C115-J115)</f>
        <v>0.47267279999999889</v>
      </c>
      <c r="L115">
        <f>1.2*D115</f>
        <v>10.031999999999998</v>
      </c>
      <c r="M115">
        <f>-2.2372+0.2795*L115+ 2.4762*E115+ 0.0303*F115+ 2.0105*G115+ 0.3644*H115- 0.6051*I115</f>
        <v>5.7699967999999986</v>
      </c>
      <c r="N115">
        <f t="shared" si="2"/>
        <v>5.2845782999999988</v>
      </c>
      <c r="O115">
        <f t="shared" si="3"/>
        <v>-0.45457829999999877</v>
      </c>
    </row>
    <row r="116" spans="1:15" x14ac:dyDescent="0.3">
      <c r="A116" t="s">
        <v>78</v>
      </c>
      <c r="B116" t="s">
        <v>144</v>
      </c>
      <c r="C116">
        <f>4794/(1000)</f>
        <v>4.7939999999999996</v>
      </c>
      <c r="D116">
        <f>7158/(1000)</f>
        <v>7.1580000000000004</v>
      </c>
      <c r="E116">
        <v>0.74399999999999999</v>
      </c>
      <c r="F116">
        <f>54706/(1000)</f>
        <v>54.706000000000003</v>
      </c>
      <c r="G116">
        <v>0.88200000000000001</v>
      </c>
      <c r="H116">
        <v>6.0999999999999999E-2</v>
      </c>
      <c r="I116">
        <v>0.68400000000000005</v>
      </c>
      <c r="J116">
        <f>-2.2372+0.2795*D116+ 2.4762*E116+ 0.0303*F116+ 2.0105*G116+ 0.3644*H116- 0.6051*I116</f>
        <v>4.6449466000000008</v>
      </c>
      <c r="K116" s="20">
        <f>ABS(C116-J116)</f>
        <v>0.14905339999999878</v>
      </c>
      <c r="L116">
        <f>1.2*D116</f>
        <v>8.5896000000000008</v>
      </c>
      <c r="M116">
        <f>-2.2372+0.2795*L116+ 2.4762*E116+ 0.0303*F116+ 2.0105*G116+ 0.3644*H116- 0.6051*I116</f>
        <v>5.0450788000000006</v>
      </c>
      <c r="N116">
        <f t="shared" si="2"/>
        <v>4.7816606000000004</v>
      </c>
      <c r="O116">
        <f t="shared" si="3"/>
        <v>1.2339399999999223E-2</v>
      </c>
    </row>
    <row r="117" spans="1:15" x14ac:dyDescent="0.3">
      <c r="A117" t="s">
        <v>78</v>
      </c>
      <c r="B117" t="s">
        <v>145</v>
      </c>
      <c r="C117">
        <f>4759/(1000)</f>
        <v>4.7590000000000003</v>
      </c>
      <c r="D117">
        <f>8533/(1000)</f>
        <v>8.5329999999999995</v>
      </c>
      <c r="E117">
        <v>0.74</v>
      </c>
      <c r="F117">
        <f>50102/(1000)</f>
        <v>50.101999999999997</v>
      </c>
      <c r="G117">
        <v>0.73699999999999999</v>
      </c>
      <c r="H117">
        <v>3.6999999999999998E-2</v>
      </c>
      <c r="I117">
        <v>0.878</v>
      </c>
      <c r="J117">
        <f>-2.2372+0.2795*D117+ 2.4762*E117+ 0.0303*F117+ 2.0105*G117+ 0.3644*H117- 0.6051*I117</f>
        <v>4.4621956000000003</v>
      </c>
      <c r="K117" s="20">
        <f>ABS(C117-J117)</f>
        <v>0.29680440000000008</v>
      </c>
      <c r="L117">
        <f>1.2*D117</f>
        <v>10.239599999999999</v>
      </c>
      <c r="M117">
        <f>-2.2372+0.2795*L117+ 2.4762*E117+ 0.0303*F117+ 2.0105*G117+ 0.3644*H117- 0.6051*I117</f>
        <v>4.9391902999999999</v>
      </c>
      <c r="N117">
        <f t="shared" si="2"/>
        <v>4.8904320999999999</v>
      </c>
      <c r="O117">
        <f t="shared" si="3"/>
        <v>-0.13143209999999961</v>
      </c>
    </row>
    <row r="118" spans="1:15" x14ac:dyDescent="0.3">
      <c r="A118" t="s">
        <v>78</v>
      </c>
      <c r="B118" t="s">
        <v>146</v>
      </c>
      <c r="C118">
        <f>4723/(1000)</f>
        <v>4.7229999999999999</v>
      </c>
      <c r="D118">
        <f>7744/(1000)</f>
        <v>7.7439999999999998</v>
      </c>
      <c r="E118">
        <v>0.72399999999999998</v>
      </c>
      <c r="F118">
        <f>51969/(1000)</f>
        <v>51.969000000000001</v>
      </c>
      <c r="G118">
        <v>0.69699999999999995</v>
      </c>
      <c r="H118">
        <v>-3.5999999999999997E-2</v>
      </c>
      <c r="I118">
        <v>0.82699999999999996</v>
      </c>
      <c r="J118">
        <f>-2.2372+0.2795*D118+ 2.4762*E118+ 0.0303*F118+ 2.0105*G118+ 0.3644*H118- 0.6051*I118</f>
        <v>4.1824599000000005</v>
      </c>
      <c r="K118" s="20">
        <f>ABS(C118-J118)</f>
        <v>0.54054009999999941</v>
      </c>
      <c r="L118">
        <f>1.2*D118</f>
        <v>9.2927999999999997</v>
      </c>
      <c r="M118">
        <f>-2.2372+0.2795*L118+ 2.4762*E118+ 0.0303*F118+ 2.0105*G118+ 0.3644*H118- 0.6051*I118</f>
        <v>4.6153495000000007</v>
      </c>
      <c r="N118">
        <f t="shared" si="2"/>
        <v>4.6911164000000003</v>
      </c>
      <c r="O118">
        <f t="shared" si="3"/>
        <v>3.1883599999999568E-2</v>
      </c>
    </row>
    <row r="119" spans="1:15" x14ac:dyDescent="0.3">
      <c r="A119" t="s">
        <v>34</v>
      </c>
      <c r="B119" t="s">
        <v>147</v>
      </c>
      <c r="C119">
        <f>4721/(1000)</f>
        <v>4.7210000000000001</v>
      </c>
      <c r="D119">
        <f>9584/(1000)</f>
        <v>9.5839999999999996</v>
      </c>
      <c r="E119">
        <v>0.71</v>
      </c>
      <c r="F119">
        <f>66300/(1000)</f>
        <v>66.3</v>
      </c>
      <c r="G119">
        <v>0.60799999999999998</v>
      </c>
      <c r="H119">
        <v>0.218</v>
      </c>
      <c r="I119">
        <v>0.71399999999999997</v>
      </c>
      <c r="J119">
        <f>-2.2372+0.2795*D119+ 2.4762*E119+ 0.0303*F119+ 2.0105*G119+ 0.3644*H119- 0.6051*I119</f>
        <v>5.0783018000000002</v>
      </c>
      <c r="K119" s="20">
        <f>ABS(C119-J119)</f>
        <v>0.35730180000000011</v>
      </c>
      <c r="L119">
        <f>1.2*D119</f>
        <v>11.5008</v>
      </c>
      <c r="M119">
        <f>-2.2372+0.2795*L119+ 2.4762*E119+ 0.0303*F119+ 2.0105*G119+ 0.3644*H119- 0.6051*I119</f>
        <v>5.6140474000000005</v>
      </c>
      <c r="N119">
        <f t="shared" si="2"/>
        <v>5.7658927999999996</v>
      </c>
      <c r="O119">
        <f t="shared" si="3"/>
        <v>-1.0448927999999995</v>
      </c>
    </row>
    <row r="120" spans="1:15" x14ac:dyDescent="0.3">
      <c r="A120" t="s">
        <v>78</v>
      </c>
      <c r="B120" t="s">
        <v>148</v>
      </c>
      <c r="C120">
        <f>4636/(1000)</f>
        <v>4.6360000000000001</v>
      </c>
      <c r="D120">
        <f>7677/(1000)</f>
        <v>7.6769999999999996</v>
      </c>
      <c r="E120">
        <v>0.78100000000000003</v>
      </c>
      <c r="F120">
        <f>56101/(1000)</f>
        <v>56.100999999999999</v>
      </c>
      <c r="G120">
        <v>0.70899999999999996</v>
      </c>
      <c r="H120">
        <v>0.122</v>
      </c>
      <c r="I120">
        <v>0.85499999999999998</v>
      </c>
      <c r="J120">
        <f>-2.2372+0.2795*D120+ 2.4762*E120+ 0.0303*F120+ 2.0105*G120+ 0.3644*H120- 0.6051*I120</f>
        <v>4.4948348000000005</v>
      </c>
      <c r="K120" s="20">
        <f>ABS(C120-J120)</f>
        <v>0.14116519999999966</v>
      </c>
      <c r="L120">
        <f>1.2*D120</f>
        <v>9.2123999999999988</v>
      </c>
      <c r="M120">
        <f>-2.2372+0.2795*L120+ 2.4762*E120+ 0.0303*F120+ 2.0105*G120+ 0.3644*H120- 0.6051*I120</f>
        <v>4.9239791000000004</v>
      </c>
      <c r="N120">
        <f t="shared" si="2"/>
        <v>4.9793652999999996</v>
      </c>
      <c r="O120">
        <f t="shared" si="3"/>
        <v>-0.34336529999999943</v>
      </c>
    </row>
    <row r="121" spans="1:15" x14ac:dyDescent="0.3">
      <c r="A121" t="s">
        <v>78</v>
      </c>
      <c r="B121" t="s">
        <v>149</v>
      </c>
      <c r="C121">
        <f>4625/(1000)</f>
        <v>4.625</v>
      </c>
      <c r="D121">
        <f>7288/(1000)</f>
        <v>7.2880000000000003</v>
      </c>
      <c r="E121">
        <v>0.72</v>
      </c>
      <c r="F121">
        <f>56498/(1000)</f>
        <v>56.497999999999998</v>
      </c>
      <c r="G121">
        <v>0.73499999999999999</v>
      </c>
      <c r="H121">
        <v>0.05</v>
      </c>
      <c r="I121">
        <v>0.85</v>
      </c>
      <c r="J121">
        <f>-2.2372+0.2795*D121+ 2.4762*E121+ 0.0303*F121+ 2.0105*G121+ 0.3644*H121- 0.6051*I121</f>
        <v>4.2761519000000003</v>
      </c>
      <c r="K121" s="20">
        <f>ABS(C121-J121)</f>
        <v>0.34884809999999966</v>
      </c>
      <c r="L121">
        <f>1.2*D121</f>
        <v>8.7455999999999996</v>
      </c>
      <c r="M121">
        <f>-2.2372+0.2795*L121+ 2.4762*E121+ 0.0303*F121+ 2.0105*G121+ 0.3644*H121- 0.6051*I121</f>
        <v>4.6835511000000007</v>
      </c>
      <c r="N121">
        <f t="shared" si="2"/>
        <v>4.7084094000000007</v>
      </c>
      <c r="O121">
        <f t="shared" si="3"/>
        <v>-8.3409400000000744E-2</v>
      </c>
    </row>
    <row r="122" spans="1:15" x14ac:dyDescent="0.3">
      <c r="A122" t="s">
        <v>78</v>
      </c>
      <c r="B122" t="s">
        <v>150</v>
      </c>
      <c r="C122">
        <f>4607/(1000)</f>
        <v>4.6070000000000002</v>
      </c>
      <c r="D122">
        <f>8361/(1000)</f>
        <v>8.3610000000000007</v>
      </c>
      <c r="E122">
        <v>0.68799999999999994</v>
      </c>
      <c r="F122">
        <f>60704/(1000)</f>
        <v>60.704000000000001</v>
      </c>
      <c r="G122">
        <v>0.77900000000000003</v>
      </c>
      <c r="H122">
        <v>0.28699999999999998</v>
      </c>
      <c r="I122">
        <v>0.82499999999999996</v>
      </c>
      <c r="J122">
        <f>-2.2372+0.2795*D122+ 2.4762*E122+ 0.0303*F122+ 2.0105*G122+ 0.3644*H122- 0.6051*I122</f>
        <v>4.8142111000000005</v>
      </c>
      <c r="K122" s="20">
        <f>ABS(C122-J122)</f>
        <v>0.20721110000000031</v>
      </c>
      <c r="L122">
        <f>1.2*D122</f>
        <v>10.033200000000001</v>
      </c>
      <c r="M122">
        <f>-2.2372+0.2795*L122+ 2.4762*E122+ 0.0303*F122+ 2.0105*G122+ 0.3644*H122- 0.6051*I122</f>
        <v>5.2815910000000006</v>
      </c>
      <c r="N122">
        <f t="shared" si="2"/>
        <v>5.1580066000000002</v>
      </c>
      <c r="O122">
        <f t="shared" si="3"/>
        <v>-0.55100660000000001</v>
      </c>
    </row>
    <row r="123" spans="1:15" x14ac:dyDescent="0.3">
      <c r="A123" t="s">
        <v>34</v>
      </c>
      <c r="B123" t="s">
        <v>151</v>
      </c>
      <c r="C123">
        <f>4596/(1000)</f>
        <v>4.5960000000000001</v>
      </c>
      <c r="D123">
        <f>9266/(1000)</f>
        <v>9.266</v>
      </c>
      <c r="E123">
        <v>0.69099999999999995</v>
      </c>
      <c r="F123">
        <f>67201/(1000)</f>
        <v>67.200999999999993</v>
      </c>
      <c r="G123">
        <v>0.65600000000000003</v>
      </c>
      <c r="H123">
        <v>-0.20100000000000001</v>
      </c>
      <c r="I123">
        <v>0.87</v>
      </c>
      <c r="J123">
        <f>-2.2372+0.2795*D123+ 2.4762*E123+ 0.0303*F123+ 2.0105*G123+ 0.3644*H123- 0.6051*I123</f>
        <v>4.8190981000000006</v>
      </c>
      <c r="K123" s="20">
        <f>ABS(C123-J123)</f>
        <v>0.22309810000000052</v>
      </c>
      <c r="L123">
        <f>1.2*D123</f>
        <v>11.119199999999999</v>
      </c>
      <c r="M123">
        <f>-2.2372+0.2795*L123+ 2.4762*E123+ 0.0303*F123+ 2.0105*G123+ 0.3644*H123- 0.6051*I123</f>
        <v>5.3370675000000007</v>
      </c>
      <c r="N123">
        <f t="shared" si="2"/>
        <v>5.4101850999999996</v>
      </c>
      <c r="O123">
        <f t="shared" si="3"/>
        <v>-0.81418509999999955</v>
      </c>
    </row>
    <row r="124" spans="1:15" x14ac:dyDescent="0.3">
      <c r="A124" t="s">
        <v>34</v>
      </c>
      <c r="B124" t="s">
        <v>152</v>
      </c>
      <c r="C124">
        <f>4584/(1000)</f>
        <v>4.5839999999999996</v>
      </c>
      <c r="D124">
        <f>9626/(1000)</f>
        <v>9.6259999999999994</v>
      </c>
      <c r="E124">
        <v>0.84799999999999998</v>
      </c>
      <c r="F124">
        <f>67355/(1000)</f>
        <v>67.355000000000004</v>
      </c>
      <c r="G124">
        <v>0.52500000000000002</v>
      </c>
      <c r="H124">
        <v>-7.2999999999999995E-2</v>
      </c>
      <c r="I124">
        <v>0.89800000000000002</v>
      </c>
      <c r="J124">
        <f>-2.2372+0.2795*D124+ 2.4762*E124+ 0.0303*F124+ 2.0105*G124+ 0.3644*H124- 0.6051*I124</f>
        <v>5.0794725999999999</v>
      </c>
      <c r="K124" s="20">
        <f>ABS(C124-J124)</f>
        <v>0.49547260000000026</v>
      </c>
      <c r="L124">
        <f>1.2*D124</f>
        <v>11.5512</v>
      </c>
      <c r="M124">
        <f>-2.2372+0.2795*L124+ 2.4762*E124+ 0.0303*F124+ 2.0105*G124+ 0.3644*H124- 0.6051*I124</f>
        <v>5.6175659999999992</v>
      </c>
      <c r="N124">
        <f t="shared" si="2"/>
        <v>5.9339350999999994</v>
      </c>
      <c r="O124">
        <f t="shared" si="3"/>
        <v>-1.3499350999999997</v>
      </c>
    </row>
    <row r="125" spans="1:15" x14ac:dyDescent="0.3">
      <c r="A125" t="s">
        <v>78</v>
      </c>
      <c r="B125" t="s">
        <v>153</v>
      </c>
      <c r="C125">
        <f>4574/(1000)</f>
        <v>4.5739999999999998</v>
      </c>
      <c r="D125">
        <f>9161/(1000)</f>
        <v>9.1609999999999996</v>
      </c>
      <c r="E125">
        <v>0.81799999999999995</v>
      </c>
      <c r="F125">
        <f>56799/(1000)</f>
        <v>56.798999999999999</v>
      </c>
      <c r="G125">
        <v>0.71899999999999997</v>
      </c>
      <c r="H125">
        <v>-0.14899999999999999</v>
      </c>
      <c r="I125">
        <v>0.84699999999999998</v>
      </c>
      <c r="J125">
        <f>-2.2372+0.2795*D125+ 2.4762*E125+ 0.0303*F125+ 2.0105*G125+ 0.3644*H125- 0.6051*I125</f>
        <v>4.9485749999999999</v>
      </c>
      <c r="K125" s="20">
        <f>ABS(C125-J125)</f>
        <v>0.3745750000000001</v>
      </c>
      <c r="L125">
        <f>1.2*D125</f>
        <v>10.9932</v>
      </c>
      <c r="M125">
        <f>-2.2372+0.2795*L125+ 2.4762*E125+ 0.0303*F125+ 2.0105*G125+ 0.3644*H125- 0.6051*I125</f>
        <v>5.460674899999999</v>
      </c>
      <c r="N125">
        <f t="shared" si="2"/>
        <v>5.413000499999999</v>
      </c>
      <c r="O125">
        <f t="shared" si="3"/>
        <v>-0.83900049999999915</v>
      </c>
    </row>
    <row r="126" spans="1:15" x14ac:dyDescent="0.3">
      <c r="A126" t="s">
        <v>34</v>
      </c>
      <c r="B126" t="s">
        <v>154</v>
      </c>
      <c r="C126">
        <f>4517/(1000)</f>
        <v>4.5170000000000003</v>
      </c>
      <c r="D126">
        <f>8485/(1000)</f>
        <v>8.4849999999999994</v>
      </c>
      <c r="E126">
        <v>0.82599999999999996</v>
      </c>
      <c r="F126">
        <f>62250/(1000)</f>
        <v>62.25</v>
      </c>
      <c r="G126">
        <v>0.65300000000000002</v>
      </c>
      <c r="H126">
        <v>-0.16300000000000001</v>
      </c>
      <c r="I126">
        <v>0.82099999999999995</v>
      </c>
      <c r="J126">
        <f>-2.2372+0.2795*D126+ 2.4762*E126+ 0.0303*F126+ 2.0105*G126+ 0.3644*H126- 0.6051*I126</f>
        <v>4.8225458999999997</v>
      </c>
      <c r="K126" s="20">
        <f>ABS(C126-J126)</f>
        <v>0.30554589999999937</v>
      </c>
      <c r="L126">
        <f>1.2*D126</f>
        <v>10.181999999999999</v>
      </c>
      <c r="M126">
        <f>-2.2372+0.2795*L126+ 2.4762*E126+ 0.0303*F126+ 2.0105*G126+ 0.3644*H126- 0.6051*I126</f>
        <v>5.2968574000000004</v>
      </c>
      <c r="N126">
        <f t="shared" si="2"/>
        <v>5.4196644000000003</v>
      </c>
      <c r="O126">
        <f t="shared" si="3"/>
        <v>-0.90266439999999992</v>
      </c>
    </row>
    <row r="127" spans="1:15" x14ac:dyDescent="0.3">
      <c r="A127" t="s">
        <v>58</v>
      </c>
      <c r="B127" t="s">
        <v>155</v>
      </c>
      <c r="C127">
        <f>4426/(1000)</f>
        <v>4.4260000000000002</v>
      </c>
      <c r="D127">
        <f>8541/(1000)</f>
        <v>8.5410000000000004</v>
      </c>
      <c r="E127">
        <v>0.77900000000000003</v>
      </c>
      <c r="F127">
        <f>59302/(1000)</f>
        <v>59.302</v>
      </c>
      <c r="G127">
        <v>0.876</v>
      </c>
      <c r="H127">
        <v>0.50900000000000001</v>
      </c>
      <c r="I127">
        <v>0.66</v>
      </c>
      <c r="J127">
        <f>-2.2372+0.2795*D127+ 2.4762*E127+ 0.0303*F127+ 2.0105*G127+ 0.3644*H127- 0.6051*I127</f>
        <v>5.4231315000000011</v>
      </c>
      <c r="K127" s="20">
        <f>ABS(C127-J127)</f>
        <v>0.99713150000000095</v>
      </c>
      <c r="L127">
        <f>1.2*D127</f>
        <v>10.2492</v>
      </c>
      <c r="M127">
        <f>-2.2372+0.2795*L127+ 2.4762*E127+ 0.0303*F127+ 2.0105*G127+ 0.3644*H127- 0.6051*I127</f>
        <v>5.9005734000000007</v>
      </c>
      <c r="N127">
        <f t="shared" si="2"/>
        <v>5.571908500000001</v>
      </c>
      <c r="O127">
        <f t="shared" si="3"/>
        <v>-1.1459085000000009</v>
      </c>
    </row>
    <row r="128" spans="1:15" x14ac:dyDescent="0.3">
      <c r="A128" t="s">
        <v>34</v>
      </c>
      <c r="B128" t="s">
        <v>156</v>
      </c>
      <c r="C128">
        <f>4395/(1000)</f>
        <v>4.3949999999999996</v>
      </c>
      <c r="D128">
        <f>9182/(1000)</f>
        <v>9.1820000000000004</v>
      </c>
      <c r="E128">
        <v>0.76700000000000002</v>
      </c>
      <c r="F128">
        <f>67000/(1000)</f>
        <v>67</v>
      </c>
      <c r="G128">
        <v>0.755</v>
      </c>
      <c r="H128">
        <v>-0.16700000000000001</v>
      </c>
      <c r="I128">
        <v>0.70499999999999996</v>
      </c>
      <c r="J128">
        <f>-2.2372+0.2795*D128+ 2.4762*E128+ 0.0303*F128+ 2.0105*G128+ 0.3644*H128- 0.6051*I128</f>
        <v>5.2889915999999992</v>
      </c>
      <c r="K128" s="20">
        <f>ABS(C128-J128)</f>
        <v>0.89399159999999966</v>
      </c>
      <c r="L128">
        <f>1.2*D128</f>
        <v>11.0184</v>
      </c>
      <c r="M128">
        <f>-2.2372+0.2795*L128+ 2.4762*E128+ 0.0303*F128+ 2.0105*G128+ 0.3644*H128- 0.6051*I128</f>
        <v>5.8022653999999996</v>
      </c>
      <c r="N128">
        <f t="shared" si="2"/>
        <v>5.6810390999999996</v>
      </c>
      <c r="O128">
        <f t="shared" si="3"/>
        <v>-1.2860391</v>
      </c>
    </row>
    <row r="129" spans="1:15" x14ac:dyDescent="0.3">
      <c r="A129" t="s">
        <v>78</v>
      </c>
      <c r="B129" t="s">
        <v>157</v>
      </c>
      <c r="C129">
        <f>4355/(1000)</f>
        <v>4.3550000000000004</v>
      </c>
      <c r="D129">
        <f>7364/(1000)</f>
        <v>7.3639999999999999</v>
      </c>
      <c r="E129">
        <v>0.61899999999999999</v>
      </c>
      <c r="F129">
        <f>48478/(1000)</f>
        <v>48.478000000000002</v>
      </c>
      <c r="G129">
        <v>0.57899999999999996</v>
      </c>
      <c r="H129">
        <v>4.1000000000000002E-2</v>
      </c>
      <c r="I129">
        <v>0.80700000000000005</v>
      </c>
      <c r="J129">
        <f>-2.2372+0.2795*D129+ 2.4762*E129+ 0.0303*F129+ 2.0105*G129+ 0.3644*H129- 0.6051*I129</f>
        <v>3.5133934</v>
      </c>
      <c r="K129" s="20">
        <f>ABS(C129-J129)</f>
        <v>0.84160660000000043</v>
      </c>
      <c r="L129">
        <f>1.2*D129</f>
        <v>8.8368000000000002</v>
      </c>
      <c r="M129">
        <f>-2.2372+0.2795*L129+ 2.4762*E129+ 0.0303*F129+ 2.0105*G129+ 0.3644*H129- 0.6051*I129</f>
        <v>3.9250410000000002</v>
      </c>
      <c r="N129">
        <f t="shared" si="2"/>
        <v>4.2592889000000005</v>
      </c>
      <c r="O129">
        <f t="shared" si="3"/>
        <v>9.5711099999999938E-2</v>
      </c>
    </row>
    <row r="130" spans="1:15" x14ac:dyDescent="0.3">
      <c r="A130" t="s">
        <v>116</v>
      </c>
      <c r="B130" t="s">
        <v>158</v>
      </c>
      <c r="C130">
        <f>4325/(1000)</f>
        <v>4.3250000000000002</v>
      </c>
      <c r="D130">
        <f>9470/(1000)</f>
        <v>9.4700000000000006</v>
      </c>
      <c r="E130">
        <v>0.82699999999999996</v>
      </c>
      <c r="F130">
        <f>67299/(1000)</f>
        <v>67.299000000000007</v>
      </c>
      <c r="G130">
        <v>0.84099999999999997</v>
      </c>
      <c r="H130">
        <v>7.9000000000000001E-2</v>
      </c>
      <c r="I130">
        <v>0.86299999999999999</v>
      </c>
      <c r="J130">
        <f>-2.2372+0.2795*D130+ 2.4762*E130+ 0.0303*F130+ 2.0105*G130+ 0.3644*H130- 0.6051*I130</f>
        <v>5.6940589000000008</v>
      </c>
      <c r="K130" s="20">
        <f>ABS(C130-J130)</f>
        <v>1.3690589000000006</v>
      </c>
      <c r="L130">
        <f>1.2*D130</f>
        <v>11.364000000000001</v>
      </c>
      <c r="M130">
        <f>-2.2372+0.2795*L130+ 2.4762*E130+ 0.0303*F130+ 2.0105*G130+ 0.3644*H130- 0.6051*I130</f>
        <v>6.2234319000000005</v>
      </c>
      <c r="N130">
        <f t="shared" si="2"/>
        <v>5.9132034000000004</v>
      </c>
      <c r="O130">
        <f t="shared" si="3"/>
        <v>-1.5882034000000003</v>
      </c>
    </row>
    <row r="131" spans="1:15" x14ac:dyDescent="0.3">
      <c r="A131" t="s">
        <v>78</v>
      </c>
      <c r="B131" t="s">
        <v>159</v>
      </c>
      <c r="C131">
        <f>4308/(1000)</f>
        <v>4.3079999999999998</v>
      </c>
      <c r="D131">
        <f>9065/(1000)</f>
        <v>9.0649999999999995</v>
      </c>
      <c r="E131">
        <v>0.77</v>
      </c>
      <c r="F131">
        <f>50833/(1000)</f>
        <v>50.832999999999998</v>
      </c>
      <c r="G131">
        <v>0.64700000000000002</v>
      </c>
      <c r="H131">
        <v>-0.185</v>
      </c>
      <c r="I131">
        <v>0.70799999999999996</v>
      </c>
      <c r="J131">
        <f>-2.2372+0.2795*D131+ 2.4762*E131+ 0.0303*F131+ 2.0105*G131+ 0.3644*H131- 0.6051*I131</f>
        <v>4.5483500999999995</v>
      </c>
      <c r="K131" s="20">
        <f>ABS(C131-J131)</f>
        <v>0.24035009999999968</v>
      </c>
      <c r="L131">
        <f>1.2*D131</f>
        <v>10.877999999999998</v>
      </c>
      <c r="M131">
        <f>-2.2372+0.2795*L131+ 2.4762*E131+ 0.0303*F131+ 2.0105*G131+ 0.3644*H131- 0.6051*I131</f>
        <v>5.0550835999999997</v>
      </c>
      <c r="N131">
        <f t="shared" ref="N131:N150" si="4">-2.2372+0.2795*D131+ 2.4762*E131+ 0.0303*F131+ 2.0105*0.95+ 0.3644*H131- 0.6051*I131</f>
        <v>5.1575315999999995</v>
      </c>
      <c r="O131">
        <f t="shared" ref="O131:O150" si="5">C131-N131</f>
        <v>-0.84953159999999972</v>
      </c>
    </row>
    <row r="132" spans="1:15" x14ac:dyDescent="0.3">
      <c r="A132" t="s">
        <v>78</v>
      </c>
      <c r="B132" t="s">
        <v>160</v>
      </c>
      <c r="C132">
        <f>4289/(1000)</f>
        <v>4.2889999999999997</v>
      </c>
      <c r="D132">
        <f>8031/(1000)</f>
        <v>8.0310000000000006</v>
      </c>
      <c r="E132">
        <v>0.626</v>
      </c>
      <c r="F132">
        <f>57349/(1000)</f>
        <v>57.348999999999997</v>
      </c>
      <c r="G132">
        <v>0.54800000000000004</v>
      </c>
      <c r="H132">
        <v>8.2000000000000003E-2</v>
      </c>
      <c r="I132">
        <v>0.78100000000000003</v>
      </c>
      <c r="J132">
        <f>-2.2372+0.2795*D132+ 2.4762*E132+ 0.0303*F132+ 2.0105*G132+ 0.3644*H132- 0.6051*I132</f>
        <v>3.9542921000000004</v>
      </c>
      <c r="K132" s="20">
        <f>ABS(C132-J132)</f>
        <v>0.33470789999999928</v>
      </c>
      <c r="L132">
        <f>1.2*D132</f>
        <v>9.6372</v>
      </c>
      <c r="M132">
        <f>-2.2372+0.2795*L132+ 2.4762*E132+ 0.0303*F132+ 2.0105*G132+ 0.3644*H132- 0.6051*I132</f>
        <v>4.4032250000000008</v>
      </c>
      <c r="N132">
        <f t="shared" si="4"/>
        <v>4.7625131000000005</v>
      </c>
      <c r="O132">
        <f t="shared" si="5"/>
        <v>-0.4735131000000008</v>
      </c>
    </row>
    <row r="133" spans="1:15" x14ac:dyDescent="0.3">
      <c r="A133" t="s">
        <v>34</v>
      </c>
      <c r="B133" t="s">
        <v>161</v>
      </c>
      <c r="C133">
        <f>4283/(1000)</f>
        <v>4.2830000000000004</v>
      </c>
      <c r="D133">
        <f>9367/(1000)</f>
        <v>9.3670000000000009</v>
      </c>
      <c r="E133">
        <v>0.75</v>
      </c>
      <c r="F133">
        <f>61998/(1000)</f>
        <v>61.997999999999998</v>
      </c>
      <c r="G133">
        <v>0.749</v>
      </c>
      <c r="H133">
        <v>-0.182</v>
      </c>
      <c r="I133">
        <v>0.79500000000000004</v>
      </c>
      <c r="J133">
        <f>-2.2372+0.2795*D133+ 2.4762*E133+ 0.0303*F133+ 2.0105*G133+ 0.3644*H133- 0.6051*I133</f>
        <v>5.075055100000001</v>
      </c>
      <c r="K133" s="20">
        <f>ABS(C133-J133)</f>
        <v>0.79205510000000068</v>
      </c>
      <c r="L133">
        <f>1.2*D133</f>
        <v>11.240400000000001</v>
      </c>
      <c r="M133">
        <f>-2.2372+0.2795*L133+ 2.4762*E133+ 0.0303*F133+ 2.0105*G133+ 0.3644*H133- 0.6051*I133</f>
        <v>5.5986704000000005</v>
      </c>
      <c r="N133">
        <f t="shared" si="4"/>
        <v>5.4791656000000009</v>
      </c>
      <c r="O133">
        <f t="shared" si="5"/>
        <v>-1.1961656000000005</v>
      </c>
    </row>
    <row r="134" spans="1:15" x14ac:dyDescent="0.3">
      <c r="A134" t="s">
        <v>78</v>
      </c>
      <c r="B134" t="s">
        <v>162</v>
      </c>
      <c r="C134">
        <f>4275/(1000)</f>
        <v>4.2750000000000004</v>
      </c>
      <c r="D134">
        <f>7694/(1000)</f>
        <v>7.694</v>
      </c>
      <c r="E134">
        <v>0.76400000000000001</v>
      </c>
      <c r="F134">
        <f>59000/(1000)</f>
        <v>59</v>
      </c>
      <c r="G134">
        <v>0.752</v>
      </c>
      <c r="H134">
        <v>8.2000000000000003E-2</v>
      </c>
      <c r="I134">
        <v>0.76100000000000001</v>
      </c>
      <c r="J134">
        <f>-2.2372+0.2795*D134+ 2.4762*E134+ 0.0303*F134+ 2.0105*G134+ 0.3644*H134- 0.6051*I134</f>
        <v>4.6740855000000003</v>
      </c>
      <c r="K134" s="20">
        <f>ABS(C134-J134)</f>
        <v>0.39908549999999998</v>
      </c>
      <c r="L134">
        <f>1.2*D134</f>
        <v>9.2327999999999992</v>
      </c>
      <c r="M134">
        <f>-2.2372+0.2795*L134+ 2.4762*E134+ 0.0303*F134+ 2.0105*G134+ 0.3644*H134- 0.6051*I134</f>
        <v>5.1041801000000007</v>
      </c>
      <c r="N134">
        <f t="shared" si="4"/>
        <v>5.0721644999999995</v>
      </c>
      <c r="O134">
        <f t="shared" si="5"/>
        <v>-0.79716449999999917</v>
      </c>
    </row>
    <row r="135" spans="1:15" x14ac:dyDescent="0.3">
      <c r="A135" t="s">
        <v>78</v>
      </c>
      <c r="B135" t="s">
        <v>163</v>
      </c>
      <c r="C135">
        <f>4227/(1000)</f>
        <v>4.2270000000000003</v>
      </c>
      <c r="D135">
        <f>8542/(1000)</f>
        <v>8.5419999999999998</v>
      </c>
      <c r="E135">
        <v>0.79500000000000004</v>
      </c>
      <c r="F135">
        <f>57161/(1000)</f>
        <v>57.161000000000001</v>
      </c>
      <c r="G135">
        <v>0.56100000000000005</v>
      </c>
      <c r="H135">
        <v>-0.106</v>
      </c>
      <c r="I135">
        <v>0.73099999999999998</v>
      </c>
      <c r="J135">
        <f>-2.2372+0.2795*D135+ 2.4762*E135+ 0.0303*F135+ 2.0105*G135+ 0.3644*H135- 0.6051*I135</f>
        <v>4.4977822999999999</v>
      </c>
      <c r="K135" s="20">
        <f>ABS(C135-J135)</f>
        <v>0.27078229999999959</v>
      </c>
      <c r="L135">
        <f>1.2*D135</f>
        <v>10.250399999999999</v>
      </c>
      <c r="M135">
        <f>-2.2372+0.2795*L135+ 2.4762*E135+ 0.0303*F135+ 2.0105*G135+ 0.3644*H135- 0.6051*I135</f>
        <v>4.9752801</v>
      </c>
      <c r="N135">
        <f t="shared" si="4"/>
        <v>5.2798667999999997</v>
      </c>
      <c r="O135">
        <f t="shared" si="5"/>
        <v>-1.0528667999999994</v>
      </c>
    </row>
    <row r="136" spans="1:15" x14ac:dyDescent="0.3">
      <c r="A136" t="s">
        <v>78</v>
      </c>
      <c r="B136" t="s">
        <v>164</v>
      </c>
      <c r="C136">
        <f>4208/(1000)</f>
        <v>4.2080000000000002</v>
      </c>
      <c r="D136">
        <f>7396/(1000)</f>
        <v>7.3959999999999999</v>
      </c>
      <c r="E136">
        <v>0.68600000000000005</v>
      </c>
      <c r="F136">
        <f>59305/(1000)</f>
        <v>59.305</v>
      </c>
      <c r="G136">
        <v>0.55200000000000005</v>
      </c>
      <c r="H136">
        <v>-5.0000000000000001E-3</v>
      </c>
      <c r="I136">
        <v>0.80300000000000005</v>
      </c>
      <c r="J136">
        <f>-2.2372+0.2795*D136+ 2.4762*E136+ 0.0303*F136+ 2.0105*G136+ 0.3644*H136- 0.6051*I136</f>
        <v>3.9476754000000005</v>
      </c>
      <c r="K136" s="20">
        <f>ABS(C136-J136)</f>
        <v>0.26032459999999968</v>
      </c>
      <c r="L136">
        <f>1.2*D136</f>
        <v>8.8751999999999995</v>
      </c>
      <c r="M136">
        <f>-2.2372+0.2795*L136+ 2.4762*E136+ 0.0303*F136+ 2.0105*G136+ 0.3644*H136- 0.6051*I136</f>
        <v>4.3611117999999998</v>
      </c>
      <c r="N136">
        <f t="shared" si="4"/>
        <v>4.7478543999999996</v>
      </c>
      <c r="O136">
        <f t="shared" si="5"/>
        <v>-0.5398543999999994</v>
      </c>
    </row>
    <row r="137" spans="1:15" x14ac:dyDescent="0.3">
      <c r="A137" t="s">
        <v>78</v>
      </c>
      <c r="B137" t="s">
        <v>165</v>
      </c>
      <c r="C137">
        <f>4107/(1000)</f>
        <v>4.1070000000000002</v>
      </c>
      <c r="D137">
        <f>7362/(1000)</f>
        <v>7.3620000000000001</v>
      </c>
      <c r="E137">
        <v>0.56899999999999995</v>
      </c>
      <c r="F137">
        <f>54914/(1000)</f>
        <v>54.914000000000001</v>
      </c>
      <c r="G137">
        <v>0.61899999999999999</v>
      </c>
      <c r="H137">
        <v>3.2000000000000001E-2</v>
      </c>
      <c r="I137">
        <v>0.77200000000000002</v>
      </c>
      <c r="J137">
        <f>-2.2372+0.2795*D137+ 2.4762*E137+ 0.0303*F137+ 2.0105*G137+ 0.3644*H137- 0.6051*I137</f>
        <v>3.6823540999999995</v>
      </c>
      <c r="K137" s="20">
        <f>ABS(C137-J137)</f>
        <v>0.42464590000000069</v>
      </c>
      <c r="L137">
        <f>1.2*D137</f>
        <v>8.8344000000000005</v>
      </c>
      <c r="M137">
        <f>-2.2372+0.2795*L137+ 2.4762*E137+ 0.0303*F137+ 2.0105*G137+ 0.3644*H137- 0.6051*I137</f>
        <v>4.0938898999999997</v>
      </c>
      <c r="N137">
        <f t="shared" si="4"/>
        <v>4.347829599999999</v>
      </c>
      <c r="O137">
        <f t="shared" si="5"/>
        <v>-0.24082959999999876</v>
      </c>
    </row>
    <row r="138" spans="1:15" x14ac:dyDescent="0.3">
      <c r="A138" t="s">
        <v>78</v>
      </c>
      <c r="B138" t="s">
        <v>166</v>
      </c>
      <c r="C138">
        <f>4073/(1000)</f>
        <v>4.0730000000000004</v>
      </c>
      <c r="D138">
        <f>8145/(1000)</f>
        <v>8.1449999999999996</v>
      </c>
      <c r="E138">
        <v>0.70799999999999996</v>
      </c>
      <c r="F138">
        <f>55809/(1000)</f>
        <v>55.808999999999997</v>
      </c>
      <c r="G138">
        <v>0.78200000000000003</v>
      </c>
      <c r="H138">
        <v>6.0999999999999999E-2</v>
      </c>
      <c r="I138">
        <v>0.82299999999999995</v>
      </c>
      <c r="J138">
        <f>-2.2372+0.2795*D138+ 2.4762*E138+ 0.0303*F138+ 2.0105*G138+ 0.3644*H138- 0.6051*I138</f>
        <v>4.5799319000000009</v>
      </c>
      <c r="K138" s="20">
        <f>ABS(C138-J138)</f>
        <v>0.50693190000000055</v>
      </c>
      <c r="L138">
        <f>1.2*D138</f>
        <v>9.7739999999999991</v>
      </c>
      <c r="M138">
        <f>-2.2372+0.2795*L138+ 2.4762*E138+ 0.0303*F138+ 2.0105*G138+ 0.3644*H138- 0.6051*I138</f>
        <v>5.0352374000000006</v>
      </c>
      <c r="N138">
        <f t="shared" si="4"/>
        <v>4.9176959000000009</v>
      </c>
      <c r="O138">
        <f t="shared" si="5"/>
        <v>-0.8446959000000005</v>
      </c>
    </row>
    <row r="139" spans="1:15" x14ac:dyDescent="0.3">
      <c r="A139" t="s">
        <v>78</v>
      </c>
      <c r="B139" t="s">
        <v>167</v>
      </c>
      <c r="C139">
        <f>3849/(1000)</f>
        <v>3.8490000000000002</v>
      </c>
      <c r="D139">
        <f>7434/(1000)</f>
        <v>7.4340000000000002</v>
      </c>
      <c r="E139">
        <v>0.63</v>
      </c>
      <c r="F139">
        <f>51651/(1000)</f>
        <v>51.651000000000003</v>
      </c>
      <c r="G139">
        <v>0.71699999999999997</v>
      </c>
      <c r="H139">
        <v>8.4000000000000005E-2</v>
      </c>
      <c r="I139">
        <v>0.86599999999999999</v>
      </c>
      <c r="J139">
        <f>-2.2372+0.2795*D139+ 2.4762*E139+ 0.0303*F139+ 2.0105*G139+ 0.3644*H139- 0.6051*I139</f>
        <v>3.9137558000000001</v>
      </c>
      <c r="K139" s="20">
        <f>ABS(C139-J139)</f>
        <v>6.4755799999999919E-2</v>
      </c>
      <c r="L139">
        <f>1.2*D139</f>
        <v>8.9207999999999998</v>
      </c>
      <c r="M139">
        <f>-2.2372+0.2795*L139+ 2.4762*E139+ 0.0303*F139+ 2.0105*G139+ 0.3644*H139- 0.6051*I139</f>
        <v>4.3293164000000015</v>
      </c>
      <c r="N139">
        <f t="shared" si="4"/>
        <v>4.3822023000000012</v>
      </c>
      <c r="O139">
        <f t="shared" si="5"/>
        <v>-0.53320230000000102</v>
      </c>
    </row>
    <row r="140" spans="1:15" x14ac:dyDescent="0.3">
      <c r="A140" t="s">
        <v>116</v>
      </c>
      <c r="B140" t="s">
        <v>168</v>
      </c>
      <c r="C140">
        <f>3819/(1000)</f>
        <v>3.819</v>
      </c>
      <c r="D140">
        <f>8755/(1000)</f>
        <v>8.7550000000000008</v>
      </c>
      <c r="E140">
        <v>0.60299999999999998</v>
      </c>
      <c r="F140">
        <f>60633/(1000)</f>
        <v>60.633000000000003</v>
      </c>
      <c r="G140">
        <v>0.89300000000000002</v>
      </c>
      <c r="H140">
        <v>8.8999999999999996E-2</v>
      </c>
      <c r="I140">
        <v>0.77400000000000002</v>
      </c>
      <c r="J140">
        <f>-2.2372+0.2795*D140+ 2.4762*E140+ 0.0303*F140+ 2.0105*G140+ 0.3644*H140- 0.6051*I140</f>
        <v>4.8996117000000003</v>
      </c>
      <c r="K140" s="20">
        <f>ABS(C140-J140)</f>
        <v>1.0806117000000004</v>
      </c>
      <c r="L140">
        <f>1.2*D140</f>
        <v>10.506</v>
      </c>
      <c r="M140">
        <f>-2.2372+0.2795*L140+ 2.4762*E140+ 0.0303*F140+ 2.0105*G140+ 0.3644*H140- 0.6051*I140</f>
        <v>5.3890162000000004</v>
      </c>
      <c r="N140">
        <f t="shared" si="4"/>
        <v>5.0142102000000008</v>
      </c>
      <c r="O140">
        <f t="shared" si="5"/>
        <v>-1.1952102000000009</v>
      </c>
    </row>
    <row r="141" spans="1:15" x14ac:dyDescent="0.3">
      <c r="A141" t="s">
        <v>78</v>
      </c>
      <c r="B141" t="s">
        <v>169</v>
      </c>
      <c r="C141">
        <f>3775/(1000)</f>
        <v>3.7749999999999999</v>
      </c>
      <c r="D141">
        <f>6635/(1000)</f>
        <v>6.6349999999999998</v>
      </c>
      <c r="E141">
        <v>0.49</v>
      </c>
      <c r="F141">
        <f>53400/(1000)</f>
        <v>53.4</v>
      </c>
      <c r="G141">
        <v>0.626</v>
      </c>
      <c r="H141">
        <v>-2.4E-2</v>
      </c>
      <c r="I141">
        <v>0.60699999999999998</v>
      </c>
      <c r="J141">
        <f>-2.2372+0.2795*D141+ 2.4762*E141+ 0.0303*F141+ 2.0105*G141+ 0.3644*H141- 0.6051*I141</f>
        <v>3.3311721999999997</v>
      </c>
      <c r="K141" s="20">
        <f>ABS(C141-J141)</f>
        <v>0.44382780000000022</v>
      </c>
      <c r="L141">
        <f>1.2*D141</f>
        <v>7.9619999999999997</v>
      </c>
      <c r="M141">
        <f>-2.2372+0.2795*L141+ 2.4762*E141+ 0.0303*F141+ 2.0105*G141+ 0.3644*H141- 0.6051*I141</f>
        <v>3.7020687000000003</v>
      </c>
      <c r="N141">
        <f t="shared" si="4"/>
        <v>3.9825741999999988</v>
      </c>
      <c r="O141">
        <f t="shared" si="5"/>
        <v>-0.20757419999999893</v>
      </c>
    </row>
    <row r="142" spans="1:15" x14ac:dyDescent="0.3">
      <c r="A142" t="s">
        <v>34</v>
      </c>
      <c r="B142" t="s">
        <v>170</v>
      </c>
      <c r="C142">
        <f>3658/(1000)</f>
        <v>3.6579999999999999</v>
      </c>
      <c r="D142">
        <f>7578/(1000)</f>
        <v>7.5780000000000003</v>
      </c>
      <c r="E142">
        <v>0.83199999999999996</v>
      </c>
      <c r="F142">
        <f>57122/(1000)</f>
        <v>57.122</v>
      </c>
      <c r="G142">
        <v>0.60199999999999998</v>
      </c>
      <c r="H142">
        <v>-0.14699999999999999</v>
      </c>
      <c r="I142">
        <v>0.8</v>
      </c>
      <c r="J142">
        <f>-2.2372+0.2795*D142+ 2.4762*E142+ 0.0303*F142+ 2.0105*G142+ 0.3644*H142- 0.6051*I142</f>
        <v>4.3445202000000016</v>
      </c>
      <c r="K142" s="20">
        <f>ABS(C142-J142)</f>
        <v>0.68652020000000169</v>
      </c>
      <c r="L142">
        <f>1.2*D142</f>
        <v>9.0936000000000003</v>
      </c>
      <c r="M142">
        <f>-2.2372+0.2795*L142+ 2.4762*E142+ 0.0303*F142+ 2.0105*G142+ 0.3644*H142- 0.6051*I142</f>
        <v>4.7681304000000022</v>
      </c>
      <c r="N142">
        <f t="shared" si="4"/>
        <v>5.0441742000000005</v>
      </c>
      <c r="O142">
        <f t="shared" si="5"/>
        <v>-1.3861742000000006</v>
      </c>
    </row>
    <row r="143" spans="1:15" x14ac:dyDescent="0.3">
      <c r="A143" t="s">
        <v>78</v>
      </c>
      <c r="B143" t="s">
        <v>171</v>
      </c>
      <c r="C143">
        <f>3623/(1000)</f>
        <v>3.6230000000000002</v>
      </c>
      <c r="D143">
        <f>7876/(1000)</f>
        <v>7.8760000000000003</v>
      </c>
      <c r="E143">
        <v>0.70199999999999996</v>
      </c>
      <c r="F143">
        <f>57999/(1000)</f>
        <v>57.999000000000002</v>
      </c>
      <c r="G143">
        <v>0.83299999999999996</v>
      </c>
      <c r="H143">
        <v>0.183</v>
      </c>
      <c r="I143">
        <v>0.57699999999999996</v>
      </c>
      <c r="J143">
        <f>-2.2372+0.2795*D143+ 2.4762*E143+ 0.0303*F143+ 2.0105*G143+ 0.3644*H143- 0.6051*I143</f>
        <v>4.8520931000000012</v>
      </c>
      <c r="K143" s="20">
        <f>ABS(C143-J143)</f>
        <v>1.2290931000000009</v>
      </c>
      <c r="L143">
        <f>1.2*D143</f>
        <v>9.4512</v>
      </c>
      <c r="M143">
        <f>-2.2372+0.2795*L143+ 2.4762*E143+ 0.0303*F143+ 2.0105*G143+ 0.3644*H143- 0.6051*I143</f>
        <v>5.2923615000000002</v>
      </c>
      <c r="N143">
        <f t="shared" si="4"/>
        <v>5.087321600000001</v>
      </c>
      <c r="O143">
        <f t="shared" si="5"/>
        <v>-1.4643216000000008</v>
      </c>
    </row>
    <row r="144" spans="1:15" x14ac:dyDescent="0.3">
      <c r="A144" t="s">
        <v>39</v>
      </c>
      <c r="B144" t="s">
        <v>172</v>
      </c>
      <c r="C144">
        <f>3615/(1000)</f>
        <v>3.6150000000000002</v>
      </c>
      <c r="D144">
        <f>7477/(1000)</f>
        <v>7.4770000000000003</v>
      </c>
      <c r="E144">
        <v>0.54</v>
      </c>
      <c r="F144">
        <f>55700/(1000)</f>
        <v>55.7</v>
      </c>
      <c r="G144">
        <v>0.59299999999999997</v>
      </c>
      <c r="H144">
        <v>0.42199999999999999</v>
      </c>
      <c r="I144">
        <v>0.72099999999999997</v>
      </c>
      <c r="J144">
        <f>-2.2372+0.2795*D144+ 2.4762*E144+ 0.0303*F144+ 2.0105*G144+ 0.3644*H144- 0.6051*I144</f>
        <v>3.7872057000000003</v>
      </c>
      <c r="K144" s="20">
        <f>ABS(C144-J144)</f>
        <v>0.17220570000000013</v>
      </c>
      <c r="L144">
        <f>1.2*D144</f>
        <v>8.9724000000000004</v>
      </c>
      <c r="M144">
        <f>-2.2372+0.2795*L144+ 2.4762*E144+ 0.0303*F144+ 2.0105*G144+ 0.3644*H144- 0.6051*I144</f>
        <v>4.2051699999999999</v>
      </c>
      <c r="N144">
        <f t="shared" si="4"/>
        <v>4.5049542000000002</v>
      </c>
      <c r="O144">
        <f t="shared" si="5"/>
        <v>-0.88995420000000003</v>
      </c>
    </row>
    <row r="145" spans="1:15" x14ac:dyDescent="0.3">
      <c r="A145" t="s">
        <v>78</v>
      </c>
      <c r="B145" t="s">
        <v>173</v>
      </c>
      <c r="C145">
        <f>3600/(1000)</f>
        <v>3.6</v>
      </c>
      <c r="D145">
        <f>6958/(1000)</f>
        <v>6.9580000000000002</v>
      </c>
      <c r="E145">
        <v>0.53700000000000003</v>
      </c>
      <c r="F145">
        <f>57948/(1000)</f>
        <v>57.948</v>
      </c>
      <c r="G145">
        <v>0.78</v>
      </c>
      <c r="H145">
        <v>3.7999999999999999E-2</v>
      </c>
      <c r="I145">
        <v>0.72899999999999998</v>
      </c>
      <c r="J145">
        <f>-2.2372+0.2795*D145+ 2.4762*E145+ 0.0303*F145+ 2.0105*G145+ 0.3644*H145- 0.6051*I145</f>
        <v>3.9340240999999994</v>
      </c>
      <c r="K145" s="20">
        <f>ABS(C145-J145)</f>
        <v>0.33402409999999927</v>
      </c>
      <c r="L145">
        <f>1.2*D145</f>
        <v>8.3496000000000006</v>
      </c>
      <c r="M145">
        <f>-2.2372+0.2795*L145+ 2.4762*E145+ 0.0303*F145+ 2.0105*G145+ 0.3644*H145- 0.6051*I145</f>
        <v>4.3229762999999997</v>
      </c>
      <c r="N145">
        <f t="shared" si="4"/>
        <v>4.2758090999999991</v>
      </c>
      <c r="O145">
        <f t="shared" si="5"/>
        <v>-0.67580909999999905</v>
      </c>
    </row>
    <row r="146" spans="1:15" x14ac:dyDescent="0.3">
      <c r="A146" t="s">
        <v>78</v>
      </c>
      <c r="B146" t="s">
        <v>174</v>
      </c>
      <c r="C146">
        <f>3512/(1000)</f>
        <v>3.512</v>
      </c>
      <c r="D146">
        <f>7926/(1000)</f>
        <v>7.9260000000000002</v>
      </c>
      <c r="E146">
        <v>0.78700000000000003</v>
      </c>
      <c r="F146">
        <f>48700/(1000)</f>
        <v>48.7</v>
      </c>
      <c r="G146">
        <v>0.71499999999999997</v>
      </c>
      <c r="H146">
        <v>-0.13100000000000001</v>
      </c>
      <c r="I146">
        <v>0.91500000000000004</v>
      </c>
      <c r="J146">
        <f>-2.2372+0.2795*D146+ 2.4762*E146+ 0.0303*F146+ 2.0105*G146+ 0.3644*H146- 0.6051*I146</f>
        <v>4.2386010000000001</v>
      </c>
      <c r="K146" s="20">
        <f>ABS(C146-J146)</f>
        <v>0.72660100000000005</v>
      </c>
      <c r="L146">
        <f>1.2*D146</f>
        <v>9.5112000000000005</v>
      </c>
      <c r="M146">
        <f>-2.2372+0.2795*L146+ 2.4762*E146+ 0.0303*F146+ 2.0105*G146+ 0.3644*H146- 0.6051*I146</f>
        <v>4.6816644000000007</v>
      </c>
      <c r="N146">
        <f t="shared" si="4"/>
        <v>4.7110684999999997</v>
      </c>
      <c r="O146">
        <f t="shared" si="5"/>
        <v>-1.1990684999999996</v>
      </c>
    </row>
    <row r="147" spans="1:15" x14ac:dyDescent="0.3">
      <c r="A147" t="s">
        <v>78</v>
      </c>
      <c r="B147" t="s">
        <v>175</v>
      </c>
      <c r="C147">
        <f>3467/(1000)</f>
        <v>3.4670000000000001</v>
      </c>
      <c r="D147">
        <f>9782/(1000)</f>
        <v>9.782</v>
      </c>
      <c r="E147">
        <v>0.78400000000000003</v>
      </c>
      <c r="F147">
        <f>59269/(1000)</f>
        <v>59.268999999999998</v>
      </c>
      <c r="G147">
        <v>0.82399999999999995</v>
      </c>
      <c r="H147">
        <v>-0.246</v>
      </c>
      <c r="I147">
        <v>0.80100000000000005</v>
      </c>
      <c r="J147">
        <f>-2.2372+0.2795*D147+ 2.4762*E147+ 0.0303*F147+ 2.0105*G147+ 0.3644*H147- 0.6051*I147</f>
        <v>5.3163849999999995</v>
      </c>
      <c r="K147" s="20">
        <f>ABS(C147-J147)</f>
        <v>1.8493849999999994</v>
      </c>
      <c r="L147">
        <f>1.2*D147</f>
        <v>11.7384</v>
      </c>
      <c r="M147">
        <f>-2.2372+0.2795*L147+ 2.4762*E147+ 0.0303*F147+ 2.0105*G147+ 0.3644*H147- 0.6051*I147</f>
        <v>5.8631988000000002</v>
      </c>
      <c r="N147">
        <f t="shared" si="4"/>
        <v>5.5697079999999994</v>
      </c>
      <c r="O147">
        <f t="shared" si="5"/>
        <v>-2.1027079999999994</v>
      </c>
    </row>
    <row r="148" spans="1:15" x14ac:dyDescent="0.3">
      <c r="A148" t="s">
        <v>78</v>
      </c>
      <c r="B148" t="s">
        <v>176</v>
      </c>
      <c r="C148">
        <f>3415/(1000)</f>
        <v>3.415</v>
      </c>
      <c r="D148">
        <f>7676/(1000)</f>
        <v>7.6760000000000002</v>
      </c>
      <c r="E148">
        <v>0.55200000000000005</v>
      </c>
      <c r="F148">
        <f>61400/(1000)</f>
        <v>61.4</v>
      </c>
      <c r="G148">
        <v>0.89700000000000002</v>
      </c>
      <c r="H148">
        <v>6.0999999999999999E-2</v>
      </c>
      <c r="I148">
        <v>0.16700000000000001</v>
      </c>
      <c r="J148">
        <f>-2.2372+0.2795*D148+ 2.4762*E148+ 0.0303*F148+ 2.0105*G148+ 0.3644*H148- 0.6051*I148</f>
        <v>4.8601196</v>
      </c>
      <c r="K148" s="20">
        <f>ABS(C148-J148)</f>
        <v>1.4451195999999999</v>
      </c>
      <c r="L148">
        <f>1.2*D148</f>
        <v>9.2111999999999998</v>
      </c>
      <c r="M148">
        <f>-2.2372+0.2795*L148+ 2.4762*E148+ 0.0303*F148+ 2.0105*G148+ 0.3644*H148- 0.6051*I148</f>
        <v>5.2892080000000004</v>
      </c>
      <c r="N148">
        <f t="shared" si="4"/>
        <v>4.9666760999999999</v>
      </c>
      <c r="O148">
        <f t="shared" si="5"/>
        <v>-1.5516760999999999</v>
      </c>
    </row>
    <row r="149" spans="1:15" x14ac:dyDescent="0.3">
      <c r="A149" t="s">
        <v>78</v>
      </c>
      <c r="B149" t="s">
        <v>177</v>
      </c>
      <c r="C149">
        <f>3145/(1000)</f>
        <v>3.145</v>
      </c>
      <c r="D149">
        <f>7943/(1000)</f>
        <v>7.9429999999999996</v>
      </c>
      <c r="E149">
        <v>0.75</v>
      </c>
      <c r="F149">
        <f>56201/(1000)</f>
        <v>56.201000000000001</v>
      </c>
      <c r="G149">
        <v>0.67700000000000005</v>
      </c>
      <c r="H149">
        <v>-4.7E-2</v>
      </c>
      <c r="I149">
        <v>0.82099999999999995</v>
      </c>
      <c r="J149">
        <f>-2.2372+0.2795*D149+ 2.4762*E149+ 0.0303*F149+ 2.0105*G149+ 0.3644*H149- 0.6051*I149</f>
        <v>4.3901034000000001</v>
      </c>
      <c r="K149" s="20">
        <f>ABS(C149-J149)</f>
        <v>1.2451034000000001</v>
      </c>
      <c r="L149">
        <f>1.2*D149</f>
        <v>9.5315999999999992</v>
      </c>
      <c r="M149">
        <f>-2.2372+0.2795*L149+ 2.4762*E149+ 0.0303*F149+ 2.0105*G149+ 0.3644*H149- 0.6051*I149</f>
        <v>4.8341171000000003</v>
      </c>
      <c r="N149">
        <f t="shared" si="4"/>
        <v>4.9389699</v>
      </c>
      <c r="O149">
        <f t="shared" si="5"/>
        <v>-1.7939699</v>
      </c>
    </row>
    <row r="150" spans="1:15" x14ac:dyDescent="0.3">
      <c r="A150" t="s">
        <v>116</v>
      </c>
      <c r="B150" t="s">
        <v>178</v>
      </c>
      <c r="C150">
        <f>2523/(1000)</f>
        <v>2.5230000000000001</v>
      </c>
      <c r="D150">
        <f>7695/(1000)</f>
        <v>7.6950000000000003</v>
      </c>
      <c r="E150">
        <v>0.46300000000000002</v>
      </c>
      <c r="F150">
        <f>52493/(1000)</f>
        <v>52.493000000000002</v>
      </c>
      <c r="G150">
        <v>0.38200000000000001</v>
      </c>
      <c r="H150">
        <v>-0.10199999999999999</v>
      </c>
      <c r="I150">
        <v>0.92400000000000004</v>
      </c>
      <c r="J150">
        <f>-2.2372+0.2795*D150+ 2.4762*E150+ 0.0303*F150+ 2.0105*G150+ 0.3644*H150- 0.6051*I150</f>
        <v>2.8223008000000003</v>
      </c>
      <c r="K150" s="20">
        <f>ABS(C150-J150)</f>
        <v>0.29930080000000014</v>
      </c>
      <c r="L150">
        <f>1.2*D150</f>
        <v>9.234</v>
      </c>
      <c r="M150">
        <f>-2.2372+0.2795*L150+ 2.4762*E150+ 0.0303*F150+ 2.0105*G150+ 0.3644*H150- 0.6051*I150</f>
        <v>3.2524513000000002</v>
      </c>
      <c r="N150">
        <f t="shared" si="4"/>
        <v>3.9642648000000005</v>
      </c>
      <c r="O150">
        <f t="shared" si="5"/>
        <v>-1.4412648000000003</v>
      </c>
    </row>
    <row r="151" spans="1:15" x14ac:dyDescent="0.3">
      <c r="A151" t="s">
        <v>262</v>
      </c>
      <c r="B151" cm="1">
        <f t="array" ref="B151:H155">LINEST(Sheet5!C2:C150,Sheet5!D2:I150,TRUE,TRUE)</f>
        <v>-0.6050917656434851</v>
      </c>
      <c r="C151">
        <v>0.3643819429244522</v>
      </c>
      <c r="D151">
        <v>2.0104647018402608</v>
      </c>
      <c r="E151">
        <v>3.0313812350907618E-2</v>
      </c>
      <c r="F151">
        <v>2.4762058539159035</v>
      </c>
      <c r="G151">
        <v>0.27953289709031198</v>
      </c>
      <c r="H151">
        <v>-2.2372192944752167</v>
      </c>
      <c r="I151" t="s">
        <v>282</v>
      </c>
      <c r="J151" s="20">
        <f>AVERAGE(K1:K150)</f>
        <v>0.41353946577181183</v>
      </c>
      <c r="K151">
        <f t="shared" ref="K151" si="6">1.2*C151</f>
        <v>0.43725833150934262</v>
      </c>
    </row>
    <row r="152" spans="1:15" x14ac:dyDescent="0.3">
      <c r="B152">
        <v>0.29051061220072971</v>
      </c>
      <c r="C152">
        <v>0.32121316534084526</v>
      </c>
      <c r="D152">
        <v>0.49480437112991071</v>
      </c>
      <c r="E152">
        <v>1.3333359442896897E-2</v>
      </c>
      <c r="F152">
        <v>0.6682216967421778</v>
      </c>
      <c r="G152">
        <v>8.6839888416682401E-2</v>
      </c>
      <c r="H152">
        <v>0.63049344768157278</v>
      </c>
      <c r="I152" t="s">
        <v>283</v>
      </c>
      <c r="J152" s="20">
        <f>MAX(K1:K150)</f>
        <v>1.8493849999999994</v>
      </c>
    </row>
    <row r="153" spans="1:15" x14ac:dyDescent="0.3">
      <c r="B153">
        <v>0.75584713742268528</v>
      </c>
      <c r="C153">
        <v>0.54174008091963499</v>
      </c>
      <c r="D153" t="e">
        <v>#N/A</v>
      </c>
      <c r="E153" t="e">
        <v>#N/A</v>
      </c>
      <c r="F153" t="e">
        <v>#N/A</v>
      </c>
      <c r="G153" t="e">
        <v>#N/A</v>
      </c>
      <c r="H153" t="e">
        <v>#N/A</v>
      </c>
      <c r="I153" t="s">
        <v>284</v>
      </c>
      <c r="J153">
        <f>MIN(K1:K150)</f>
        <v>6.6885999999994894E-3</v>
      </c>
    </row>
    <row r="154" spans="1:15" x14ac:dyDescent="0.3">
      <c r="B154">
        <v>73.26714118157129</v>
      </c>
      <c r="C154">
        <v>142</v>
      </c>
      <c r="D154" t="e">
        <v>#N/A</v>
      </c>
      <c r="E154" t="e">
        <v>#N/A</v>
      </c>
      <c r="F154" t="e">
        <v>#N/A</v>
      </c>
      <c r="G154" t="e">
        <v>#N/A</v>
      </c>
      <c r="H154" t="e">
        <v>#N/A</v>
      </c>
    </row>
    <row r="155" spans="1:15" x14ac:dyDescent="0.3">
      <c r="B155">
        <v>129.01566136520472</v>
      </c>
      <c r="C155">
        <v>41.674488769023405</v>
      </c>
      <c r="D155" t="e">
        <v>#N/A</v>
      </c>
      <c r="E155" t="e">
        <v>#N/A</v>
      </c>
      <c r="F155" t="e">
        <v>#N/A</v>
      </c>
      <c r="G155" t="e">
        <v>#N/A</v>
      </c>
      <c r="H155" t="e">
        <v>#N/A</v>
      </c>
    </row>
  </sheetData>
  <sortState xmlns:xlrd2="http://schemas.microsoft.com/office/spreadsheetml/2017/richdata2" ref="B2:M150">
    <sortCondition descending="1" ref="C2:C150"/>
  </sortState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7914A-07CD-4589-A33B-A31AB94FE584}">
  <dimension ref="A1:P176"/>
  <sheetViews>
    <sheetView topLeftCell="B161" zoomScale="110" zoomScaleNormal="110" workbookViewId="0">
      <selection activeCell="B165" sqref="B165"/>
    </sheetView>
  </sheetViews>
  <sheetFormatPr defaultRowHeight="14.4" x14ac:dyDescent="0.3"/>
  <cols>
    <col min="2" max="2" width="31.77734375" bestFit="1" customWidth="1"/>
    <col min="3" max="3" width="32.6640625" bestFit="1" customWidth="1"/>
    <col min="4" max="4" width="22.109375" bestFit="1" customWidth="1"/>
    <col min="8" max="8" width="14.6640625" customWidth="1"/>
  </cols>
  <sheetData>
    <row r="1" spans="1:5" ht="18" x14ac:dyDescent="0.3">
      <c r="A1" s="7" t="s">
        <v>264</v>
      </c>
    </row>
    <row r="2" spans="1:5" ht="18" x14ac:dyDescent="0.3">
      <c r="A2" s="7" t="s">
        <v>265</v>
      </c>
    </row>
    <row r="3" spans="1:5" ht="15.6" x14ac:dyDescent="0.3">
      <c r="A3" s="6" t="s">
        <v>266</v>
      </c>
      <c r="D3" t="s">
        <v>259</v>
      </c>
      <c r="E3">
        <f>MIN(C12:C162)</f>
        <v>8.2000000000000003E-2</v>
      </c>
    </row>
    <row r="4" spans="1:5" ht="15.6" x14ac:dyDescent="0.3">
      <c r="A4" s="6" t="s">
        <v>267</v>
      </c>
      <c r="D4" t="s">
        <v>260</v>
      </c>
      <c r="E4">
        <f>MAX(C12:C162)</f>
        <v>0.93899999999999995</v>
      </c>
    </row>
    <row r="5" spans="1:5" ht="15.6" x14ac:dyDescent="0.3">
      <c r="A5" s="6" t="s">
        <v>280</v>
      </c>
    </row>
    <row r="6" spans="1:5" ht="18" x14ac:dyDescent="0.3">
      <c r="A6" s="15" t="s">
        <v>251</v>
      </c>
      <c r="D6" t="s">
        <v>270</v>
      </c>
    </row>
    <row r="7" spans="1:5" ht="15.6" x14ac:dyDescent="0.3">
      <c r="A7" s="16" t="s">
        <v>268</v>
      </c>
      <c r="D7" t="s">
        <v>271</v>
      </c>
      <c r="E7" t="s">
        <v>274</v>
      </c>
    </row>
    <row r="8" spans="1:5" ht="15.6" x14ac:dyDescent="0.3">
      <c r="A8" s="16" t="s">
        <v>269</v>
      </c>
      <c r="D8" t="s">
        <v>272</v>
      </c>
      <c r="E8" t="s">
        <v>273</v>
      </c>
    </row>
    <row r="9" spans="1:5" ht="15.6" x14ac:dyDescent="0.3">
      <c r="B9" s="6" t="s">
        <v>266</v>
      </c>
      <c r="D9" t="s">
        <v>275</v>
      </c>
      <c r="E9" t="s">
        <v>276</v>
      </c>
    </row>
    <row r="11" spans="1:5" x14ac:dyDescent="0.3">
      <c r="A11" t="s">
        <v>1</v>
      </c>
      <c r="B11" t="s">
        <v>0</v>
      </c>
      <c r="C11" t="s">
        <v>11</v>
      </c>
    </row>
    <row r="12" spans="1:5" x14ac:dyDescent="0.3">
      <c r="A12" t="s">
        <v>42</v>
      </c>
      <c r="B12" t="s">
        <v>41</v>
      </c>
      <c r="C12">
        <v>0.86799999999999999</v>
      </c>
      <c r="D12" t="str" cm="1">
        <f t="array" ref="D12">_xlfn.IFS(C12&lt;=0.5,"High corruption",C12&lt;=0.7,"Medium corruption",C12&lt;=0.939,"Low corruption")</f>
        <v>Low corruption</v>
      </c>
    </row>
    <row r="13" spans="1:5" x14ac:dyDescent="0.3">
      <c r="A13" t="s">
        <v>42</v>
      </c>
      <c r="B13" t="s">
        <v>54</v>
      </c>
      <c r="C13">
        <v>0.80600000000000005</v>
      </c>
      <c r="D13" t="str" cm="1">
        <f t="array" ref="D13">_xlfn.IFS(C13&lt;=0.5,"High corruption",C13&lt;=0.7,"Medium corruption",C13&lt;=0.939,"Low corruption")</f>
        <v>Low corruption</v>
      </c>
    </row>
    <row r="14" spans="1:5" x14ac:dyDescent="0.3">
      <c r="A14" t="s">
        <v>42</v>
      </c>
      <c r="B14" t="s">
        <v>59</v>
      </c>
      <c r="C14">
        <v>0.91700000000000004</v>
      </c>
      <c r="D14" t="str" cm="1">
        <f t="array" ref="D14">_xlfn.IFS(C14&lt;=0.5,"High corruption",C14&lt;=0.7,"Medium corruption",C14&lt;=0.939,"Low corruption")</f>
        <v>Low corruption</v>
      </c>
    </row>
    <row r="15" spans="1:5" x14ac:dyDescent="0.3">
      <c r="A15" t="s">
        <v>42</v>
      </c>
      <c r="B15" t="s">
        <v>60</v>
      </c>
      <c r="C15">
        <v>0.91100000000000003</v>
      </c>
      <c r="D15" t="str" cm="1">
        <f t="array" ref="D15">_xlfn.IFS(C15&lt;=0.5,"High corruption",C15&lt;=0.7,"Medium corruption",C15&lt;=0.939,"Low corruption")</f>
        <v>Low corruption</v>
      </c>
    </row>
    <row r="16" spans="1:5" x14ac:dyDescent="0.3">
      <c r="A16" t="s">
        <v>42</v>
      </c>
      <c r="B16" t="s">
        <v>64</v>
      </c>
      <c r="C16">
        <v>0.82599999999999996</v>
      </c>
      <c r="D16" t="str" cm="1">
        <f t="array" ref="D16">_xlfn.IFS(C16&lt;=0.5,"High corruption",C16&lt;=0.7,"Medium corruption",C16&lt;=0.939,"Low corruption")</f>
        <v>Low corruption</v>
      </c>
    </row>
    <row r="17" spans="1:16" x14ac:dyDescent="0.3">
      <c r="A17" t="s">
        <v>42</v>
      </c>
      <c r="B17" t="s">
        <v>66</v>
      </c>
      <c r="C17">
        <v>0.52700000000000002</v>
      </c>
      <c r="D17" t="str" cm="1">
        <f t="array" ref="D17">_xlfn.IFS(C17&lt;=0.5,"High corruption",C17&lt;=0.7,"Medium corruption",C17&lt;=0.939,"Low corruption")</f>
        <v>Medium corruption</v>
      </c>
    </row>
    <row r="18" spans="1:16" x14ac:dyDescent="0.3">
      <c r="A18" t="s">
        <v>42</v>
      </c>
      <c r="B18" t="s">
        <v>71</v>
      </c>
      <c r="C18">
        <v>0.73499999999999999</v>
      </c>
      <c r="D18" t="str" cm="1">
        <f t="array" ref="D18">_xlfn.IFS(C18&lt;=0.5,"High corruption",C18&lt;=0.7,"Medium corruption",C18&lt;=0.939,"Low corruption")</f>
        <v>Low corruption</v>
      </c>
    </row>
    <row r="19" spans="1:16" ht="15.6" x14ac:dyDescent="0.3">
      <c r="A19" t="s">
        <v>42</v>
      </c>
      <c r="B19" t="s">
        <v>73</v>
      </c>
      <c r="C19">
        <v>0.93799999999999994</v>
      </c>
      <c r="D19" t="str" cm="1">
        <f t="array" ref="D19">_xlfn.IFS(C19&lt;=0.5,"High corruption",C19&lt;=0.7,"Medium corruption",C19&lt;=0.939,"Low corruption")</f>
        <v>Low corruption</v>
      </c>
      <c r="E19" s="6" t="s">
        <v>279</v>
      </c>
    </row>
    <row r="20" spans="1:16" x14ac:dyDescent="0.3">
      <c r="A20" t="s">
        <v>42</v>
      </c>
      <c r="B20" t="s">
        <v>75</v>
      </c>
      <c r="C20">
        <v>0.83499999999999996</v>
      </c>
      <c r="D20" t="str" cm="1">
        <f t="array" ref="D20">_xlfn.IFS(C20&lt;=0.5,"High corruption",C20&lt;=0.7,"Medium corruption",C20&lt;=0.939,"Low corruption")</f>
        <v>Low corruption</v>
      </c>
      <c r="E20" t="s">
        <v>0</v>
      </c>
      <c r="F20" t="s">
        <v>1</v>
      </c>
      <c r="G20" t="s">
        <v>2</v>
      </c>
      <c r="H20" t="s">
        <v>3</v>
      </c>
      <c r="I20" t="s">
        <v>4</v>
      </c>
      <c r="J20" t="s">
        <v>5</v>
      </c>
      <c r="K20" t="s">
        <v>6</v>
      </c>
      <c r="L20" t="s">
        <v>7</v>
      </c>
      <c r="M20" t="s">
        <v>8</v>
      </c>
      <c r="N20" t="s">
        <v>9</v>
      </c>
      <c r="O20" t="s">
        <v>10</v>
      </c>
      <c r="P20" t="s">
        <v>11</v>
      </c>
    </row>
    <row r="21" spans="1:16" x14ac:dyDescent="0.3">
      <c r="A21" t="s">
        <v>42</v>
      </c>
      <c r="B21" t="s">
        <v>79</v>
      </c>
      <c r="C21">
        <v>0.8</v>
      </c>
      <c r="D21" t="str" cm="1">
        <f t="array" ref="D21">_xlfn.IFS(C21&lt;=0.5,"High corruption",C21&lt;=0.7,"Medium corruption",C21&lt;=0.939,"Low corruption")</f>
        <v>Low corruption</v>
      </c>
      <c r="E21" t="s">
        <v>54</v>
      </c>
      <c r="F21" t="s">
        <v>42</v>
      </c>
      <c r="G21" s="1">
        <v>6461</v>
      </c>
      <c r="H21">
        <v>4.2999999999999997E-2</v>
      </c>
      <c r="I21" s="1">
        <v>6546</v>
      </c>
      <c r="J21" s="1">
        <v>6376</v>
      </c>
      <c r="K21" s="1">
        <v>10529</v>
      </c>
      <c r="L21">
        <v>0.94799999999999995</v>
      </c>
      <c r="M21" s="1">
        <v>71400</v>
      </c>
      <c r="N21">
        <v>0.94899999999999995</v>
      </c>
      <c r="O21">
        <v>-0.10100000000000001</v>
      </c>
      <c r="P21">
        <v>0.80600000000000005</v>
      </c>
    </row>
    <row r="22" spans="1:16" x14ac:dyDescent="0.3">
      <c r="A22" t="s">
        <v>42</v>
      </c>
      <c r="B22" t="s">
        <v>81</v>
      </c>
      <c r="C22">
        <v>0.876</v>
      </c>
      <c r="D22" t="str" cm="1">
        <f t="array" ref="D22">_xlfn.IFS(C22&lt;=0.5,"High corruption",C22&lt;=0.7,"Medium corruption",C22&lt;=0.939,"Low corruption")</f>
        <v>Low corruption</v>
      </c>
      <c r="E22" t="s">
        <v>43</v>
      </c>
      <c r="F22" t="s">
        <v>30</v>
      </c>
      <c r="G22" s="1">
        <v>6951</v>
      </c>
      <c r="H22">
        <v>4.9000000000000002E-2</v>
      </c>
      <c r="I22" s="1">
        <v>7047</v>
      </c>
      <c r="J22" s="1">
        <v>6856</v>
      </c>
      <c r="K22" s="1">
        <v>11023</v>
      </c>
      <c r="L22">
        <v>0.92</v>
      </c>
      <c r="M22" s="1">
        <v>68200</v>
      </c>
      <c r="N22">
        <v>0.83699999999999997</v>
      </c>
      <c r="O22">
        <v>9.8000000000000004E-2</v>
      </c>
      <c r="P22">
        <v>0.69799999999999995</v>
      </c>
    </row>
    <row r="23" spans="1:16" x14ac:dyDescent="0.3">
      <c r="A23" t="s">
        <v>42</v>
      </c>
      <c r="B23" t="s">
        <v>88</v>
      </c>
      <c r="C23">
        <v>0.93899999999999995</v>
      </c>
      <c r="D23" t="str" cm="1">
        <f t="array" ref="D23">_xlfn.IFS(C23&lt;=0.5,"High corruption",C23&lt;=0.7,"Medium corruption",C23&lt;=0.939,"Low corruption")</f>
        <v>Low corruption</v>
      </c>
    </row>
    <row r="24" spans="1:16" x14ac:dyDescent="0.3">
      <c r="A24" t="s">
        <v>42</v>
      </c>
      <c r="B24" t="s">
        <v>92</v>
      </c>
      <c r="C24">
        <v>0.93100000000000005</v>
      </c>
      <c r="D24" t="str" cm="1">
        <f t="array" ref="D24">_xlfn.IFS(C24&lt;=0.5,"High corruption",C24&lt;=0.7,"Medium corruption",C24&lt;=0.939,"Low corruption")</f>
        <v>Low corruption</v>
      </c>
      <c r="F24" t="s">
        <v>281</v>
      </c>
    </row>
    <row r="25" spans="1:16" x14ac:dyDescent="0.3">
      <c r="A25" t="s">
        <v>42</v>
      </c>
      <c r="B25" t="s">
        <v>100</v>
      </c>
      <c r="C25">
        <v>0.81200000000000006</v>
      </c>
      <c r="D25" t="str" cm="1">
        <f t="array" ref="D25">_xlfn.IFS(C25&lt;=0.5,"High corruption",C25&lt;=0.7,"Medium corruption",C25&lt;=0.939,"Low corruption")</f>
        <v>Low corruption</v>
      </c>
      <c r="H25" t="s">
        <v>54</v>
      </c>
      <c r="I25" t="s">
        <v>43</v>
      </c>
    </row>
    <row r="26" spans="1:16" x14ac:dyDescent="0.3">
      <c r="A26" t="s">
        <v>42</v>
      </c>
      <c r="B26" t="s">
        <v>117</v>
      </c>
      <c r="C26">
        <v>0.93200000000000005</v>
      </c>
      <c r="D26" t="str" cm="1">
        <f t="array" ref="D26">_xlfn.IFS(C26&lt;=0.5,"High corruption",C26&lt;=0.7,"Medium corruption",C26&lt;=0.939,"Low corruption")</f>
        <v>Low corruption</v>
      </c>
      <c r="G26" t="s">
        <v>2</v>
      </c>
      <c r="H26" s="1">
        <v>6461</v>
      </c>
      <c r="I26" s="1">
        <v>6951</v>
      </c>
    </row>
    <row r="27" spans="1:16" x14ac:dyDescent="0.3">
      <c r="A27" t="s">
        <v>42</v>
      </c>
      <c r="B27" t="s">
        <v>122</v>
      </c>
      <c r="C27">
        <v>0.90100000000000002</v>
      </c>
      <c r="D27" t="str" cm="1">
        <f t="array" ref="D27">_xlfn.IFS(C27&lt;=0.5,"High corruption",C27&lt;=0.7,"Medium corruption",C27&lt;=0.939,"Low corruption")</f>
        <v>Low corruption</v>
      </c>
      <c r="G27" t="s">
        <v>3</v>
      </c>
      <c r="H27">
        <v>4.2999999999999997E-2</v>
      </c>
      <c r="I27">
        <v>4.9000000000000002E-2</v>
      </c>
    </row>
    <row r="28" spans="1:16" x14ac:dyDescent="0.3">
      <c r="A28" t="s">
        <v>42</v>
      </c>
      <c r="B28" t="s">
        <v>123</v>
      </c>
      <c r="C28">
        <v>0.90500000000000003</v>
      </c>
      <c r="D28" t="str" cm="1">
        <f t="array" ref="D28">_xlfn.IFS(C28&lt;=0.5,"High corruption",C28&lt;=0.7,"Medium corruption",C28&lt;=0.939,"Low corruption")</f>
        <v>Low corruption</v>
      </c>
      <c r="G28" t="s">
        <v>4</v>
      </c>
      <c r="H28" s="1">
        <v>6546</v>
      </c>
      <c r="I28" s="1">
        <v>7047</v>
      </c>
    </row>
    <row r="29" spans="1:16" x14ac:dyDescent="0.3">
      <c r="A29" t="s">
        <v>69</v>
      </c>
      <c r="B29" t="s">
        <v>68</v>
      </c>
      <c r="C29">
        <v>0.51500000000000001</v>
      </c>
      <c r="D29" t="str" cm="1">
        <f t="array" ref="D29">_xlfn.IFS(C29&lt;=0.5,"High corruption",C29&lt;=0.7,"Medium corruption",C29&lt;=0.939,"Low corruption")</f>
        <v>Medium corruption</v>
      </c>
      <c r="G29" t="s">
        <v>5</v>
      </c>
      <c r="H29" s="1">
        <v>6376</v>
      </c>
      <c r="I29" s="1">
        <v>6856</v>
      </c>
    </row>
    <row r="30" spans="1:16" x14ac:dyDescent="0.3">
      <c r="A30" t="s">
        <v>69</v>
      </c>
      <c r="B30" t="s">
        <v>72</v>
      </c>
      <c r="C30">
        <v>0.73299999999999998</v>
      </c>
      <c r="D30" t="str" cm="1">
        <f t="array" ref="D30">_xlfn.IFS(C30&lt;=0.5,"High corruption",C30&lt;=0.7,"Medium corruption",C30&lt;=0.939,"Low corruption")</f>
        <v>Low corruption</v>
      </c>
      <c r="G30" t="s">
        <v>6</v>
      </c>
      <c r="H30" s="1">
        <v>10529</v>
      </c>
      <c r="I30" s="1">
        <v>11023</v>
      </c>
    </row>
    <row r="31" spans="1:16" x14ac:dyDescent="0.3">
      <c r="A31" t="s">
        <v>69</v>
      </c>
      <c r="B31" t="s">
        <v>93</v>
      </c>
      <c r="C31">
        <v>0.91800000000000004</v>
      </c>
      <c r="D31" t="str" cm="1">
        <f t="array" ref="D31">_xlfn.IFS(C31&lt;=0.5,"High corruption",C31&lt;=0.7,"Medium corruption",C31&lt;=0.939,"Low corruption")</f>
        <v>Low corruption</v>
      </c>
      <c r="G31" t="s">
        <v>7</v>
      </c>
      <c r="H31">
        <v>0.94799999999999995</v>
      </c>
      <c r="I31">
        <v>0.92</v>
      </c>
    </row>
    <row r="32" spans="1:16" x14ac:dyDescent="0.3">
      <c r="A32" t="s">
        <v>69</v>
      </c>
      <c r="B32" t="s">
        <v>95</v>
      </c>
      <c r="C32">
        <v>0.90800000000000003</v>
      </c>
      <c r="D32" t="str" cm="1">
        <f t="array" ref="D32">_xlfn.IFS(C32&lt;=0.5,"High corruption",C32&lt;=0.7,"Medium corruption",C32&lt;=0.939,"Low corruption")</f>
        <v>Low corruption</v>
      </c>
      <c r="G32" t="s">
        <v>8</v>
      </c>
      <c r="H32" s="1">
        <v>71400</v>
      </c>
      <c r="I32" s="1">
        <v>68200</v>
      </c>
    </row>
    <row r="33" spans="1:9" x14ac:dyDescent="0.3">
      <c r="A33" t="s">
        <v>69</v>
      </c>
      <c r="B33" t="s">
        <v>103</v>
      </c>
      <c r="C33">
        <v>0.627</v>
      </c>
      <c r="D33" t="str" cm="1">
        <f t="array" ref="D33">_xlfn.IFS(C33&lt;=0.5,"High corruption",C33&lt;=0.7,"Medium corruption",C33&lt;=0.939,"Low corruption")</f>
        <v>Medium corruption</v>
      </c>
      <c r="G33" t="s">
        <v>9</v>
      </c>
      <c r="H33">
        <v>0.94899999999999995</v>
      </c>
      <c r="I33">
        <v>0.83699999999999997</v>
      </c>
    </row>
    <row r="34" spans="1:9" x14ac:dyDescent="0.3">
      <c r="A34" t="s">
        <v>69</v>
      </c>
      <c r="B34" t="s">
        <v>104</v>
      </c>
      <c r="C34">
        <v>0.84499999999999997</v>
      </c>
      <c r="D34" t="str" cm="1">
        <f t="array" ref="D34">_xlfn.IFS(C34&lt;=0.5,"High corruption",C34&lt;=0.7,"Medium corruption",C34&lt;=0.939,"Low corruption")</f>
        <v>Low corruption</v>
      </c>
      <c r="G34" t="s">
        <v>10</v>
      </c>
      <c r="H34">
        <v>-0.10100000000000001</v>
      </c>
      <c r="I34">
        <v>9.8000000000000004E-2</v>
      </c>
    </row>
    <row r="35" spans="1:9" x14ac:dyDescent="0.3">
      <c r="A35" t="s">
        <v>69</v>
      </c>
      <c r="B35" t="s">
        <v>106</v>
      </c>
      <c r="C35">
        <v>0.55300000000000005</v>
      </c>
      <c r="D35" t="str" cm="1">
        <f t="array" ref="D35">_xlfn.IFS(C35&lt;=0.5,"High corruption",C35&lt;=0.7,"Medium corruption",C35&lt;=0.939,"Low corruption")</f>
        <v>Medium corruption</v>
      </c>
      <c r="G35" t="s">
        <v>11</v>
      </c>
      <c r="H35">
        <v>0.80600000000000005</v>
      </c>
      <c r="I35">
        <v>0.69799999999999995</v>
      </c>
    </row>
    <row r="36" spans="1:9" x14ac:dyDescent="0.3">
      <c r="A36" t="s">
        <v>69</v>
      </c>
      <c r="B36" t="s">
        <v>114</v>
      </c>
      <c r="C36">
        <v>0.629</v>
      </c>
      <c r="D36" t="str" cm="1">
        <f t="array" ref="D36">_xlfn.IFS(C36&lt;=0.5,"High corruption",C36&lt;=0.7,"Medium corruption",C36&lt;=0.939,"Low corruption")</f>
        <v>Medium corruption</v>
      </c>
    </row>
    <row r="37" spans="1:9" x14ac:dyDescent="0.3">
      <c r="A37" t="s">
        <v>69</v>
      </c>
      <c r="B37" t="s">
        <v>119</v>
      </c>
      <c r="C37">
        <v>0.50600000000000001</v>
      </c>
      <c r="D37" t="str" cm="1">
        <f t="array" ref="D37">_xlfn.IFS(C37&lt;=0.5,"High corruption",C37&lt;=0.7,"Medium corruption",C37&lt;=0.939,"Low corruption")</f>
        <v>Medium corruption</v>
      </c>
    </row>
    <row r="38" spans="1:9" x14ac:dyDescent="0.3">
      <c r="A38" t="s">
        <v>69</v>
      </c>
      <c r="B38" t="s">
        <v>126</v>
      </c>
      <c r="C38">
        <v>0.88800000000000001</v>
      </c>
      <c r="D38" t="str" cm="1">
        <f t="array" ref="D38">_xlfn.IFS(C38&lt;=0.5,"High corruption",C38&lt;=0.7,"Medium corruption",C38&lt;=0.939,"Low corruption")</f>
        <v>Low corruption</v>
      </c>
    </row>
    <row r="39" spans="1:9" x14ac:dyDescent="0.3">
      <c r="A39" t="s">
        <v>69</v>
      </c>
      <c r="B39" t="s">
        <v>137</v>
      </c>
      <c r="C39">
        <v>0.65500000000000003</v>
      </c>
      <c r="D39" t="str" cm="1">
        <f t="array" ref="D39">_xlfn.IFS(C39&lt;=0.5,"High corruption",C39&lt;=0.7,"Medium corruption",C39&lt;=0.939,"Low corruption")</f>
        <v>Medium corruption</v>
      </c>
    </row>
    <row r="40" spans="1:9" x14ac:dyDescent="0.3">
      <c r="A40" t="s">
        <v>69</v>
      </c>
      <c r="B40" t="s">
        <v>139</v>
      </c>
      <c r="C40">
        <v>0.92400000000000004</v>
      </c>
      <c r="D40" t="str" cm="1">
        <f t="array" ref="D40">_xlfn.IFS(C40&lt;=0.5,"High corruption",C40&lt;=0.7,"Medium corruption",C40&lt;=0.939,"Low corruption")</f>
        <v>Low corruption</v>
      </c>
    </row>
    <row r="41" spans="1:9" x14ac:dyDescent="0.3">
      <c r="A41" t="s">
        <v>49</v>
      </c>
      <c r="B41" t="s">
        <v>48</v>
      </c>
      <c r="C41">
        <v>0.72099999999999997</v>
      </c>
      <c r="D41" t="str" cm="1">
        <f t="array" ref="D41">_xlfn.IFS(C41&lt;=0.5,"High corruption",C41&lt;=0.7,"Medium corruption",C41&lt;=0.939,"Low corruption")</f>
        <v>Low corruption</v>
      </c>
    </row>
    <row r="42" spans="1:9" x14ac:dyDescent="0.3">
      <c r="A42" t="s">
        <v>49</v>
      </c>
      <c r="B42" t="s">
        <v>84</v>
      </c>
      <c r="C42">
        <v>0.63800000000000001</v>
      </c>
      <c r="D42" t="str" cm="1">
        <f t="array" ref="D42">_xlfn.IFS(C42&lt;=0.5,"High corruption",C42&lt;=0.7,"Medium corruption",C42&lt;=0.939,"Low corruption")</f>
        <v>Medium corruption</v>
      </c>
    </row>
    <row r="43" spans="1:9" x14ac:dyDescent="0.3">
      <c r="A43" t="s">
        <v>49</v>
      </c>
      <c r="B43" t="s">
        <v>90</v>
      </c>
      <c r="C43">
        <v>0.72699999999999998</v>
      </c>
      <c r="D43" t="str" cm="1">
        <f t="array" ref="D43">_xlfn.IFS(C43&lt;=0.5,"High corruption",C43&lt;=0.7,"Medium corruption",C43&lt;=0.939,"Low corruption")</f>
        <v>Low corruption</v>
      </c>
    </row>
    <row r="44" spans="1:9" x14ac:dyDescent="0.3">
      <c r="A44" t="s">
        <v>49</v>
      </c>
      <c r="B44" t="s">
        <v>98</v>
      </c>
      <c r="C44">
        <v>0.85599999999999998</v>
      </c>
      <c r="D44" t="str" cm="1">
        <f t="array" ref="D44">_xlfn.IFS(C44&lt;=0.5,"High corruption",C44&lt;=0.7,"Medium corruption",C44&lt;=0.939,"Low corruption")</f>
        <v>Low corruption</v>
      </c>
    </row>
    <row r="45" spans="1:9" x14ac:dyDescent="0.3">
      <c r="A45" t="s">
        <v>49</v>
      </c>
      <c r="B45" t="s">
        <v>105</v>
      </c>
      <c r="C45">
        <v>0.40300000000000002</v>
      </c>
      <c r="D45" t="str" cm="1">
        <f t="array" ref="D45">_xlfn.IFS(C45&lt;=0.5,"High corruption",C45&lt;=0.7,"Medium corruption",C45&lt;=0.939,"Low corruption")</f>
        <v>High corruption</v>
      </c>
    </row>
    <row r="46" spans="1:9" x14ac:dyDescent="0.3">
      <c r="A46" t="s">
        <v>49</v>
      </c>
      <c r="B46" t="s">
        <v>112</v>
      </c>
      <c r="C46">
        <v>0.755</v>
      </c>
      <c r="D46" t="str" cm="1">
        <f t="array" ref="D46">_xlfn.IFS(C46&lt;=0.5,"High corruption",C46&lt;=0.7,"Medium corruption",C46&lt;=0.939,"Low corruption")</f>
        <v>Low corruption</v>
      </c>
    </row>
    <row r="47" spans="1:9" x14ac:dyDescent="0.3">
      <c r="A47" t="s">
        <v>39</v>
      </c>
      <c r="B47" t="s">
        <v>38</v>
      </c>
      <c r="C47">
        <v>0.80900000000000005</v>
      </c>
      <c r="D47" t="str" cm="1">
        <f t="array" ref="D47">_xlfn.IFS(C47&lt;=0.5,"High corruption",C47&lt;=0.7,"Medium corruption",C47&lt;=0.939,"Low corruption")</f>
        <v>Low corruption</v>
      </c>
    </row>
    <row r="48" spans="1:9" x14ac:dyDescent="0.3">
      <c r="A48" t="s">
        <v>39</v>
      </c>
      <c r="B48" t="s">
        <v>55</v>
      </c>
      <c r="C48">
        <v>0.77500000000000002</v>
      </c>
      <c r="D48" t="str" cm="1">
        <f t="array" ref="D48">_xlfn.IFS(C48&lt;=0.5,"High corruption",C48&lt;=0.7,"Medium corruption",C48&lt;=0.939,"Low corruption")</f>
        <v>Low corruption</v>
      </c>
    </row>
    <row r="49" spans="1:4" x14ac:dyDescent="0.3">
      <c r="A49" t="s">
        <v>39</v>
      </c>
      <c r="B49" t="s">
        <v>56</v>
      </c>
      <c r="C49">
        <v>0.59</v>
      </c>
      <c r="D49" t="str" cm="1">
        <f t="array" ref="D49">_xlfn.IFS(C49&lt;=0.5,"High corruption",C49&lt;=0.7,"Medium corruption",C49&lt;=0.939,"Low corruption")</f>
        <v>Medium corruption</v>
      </c>
    </row>
    <row r="50" spans="1:4" x14ac:dyDescent="0.3">
      <c r="A50" t="s">
        <v>39</v>
      </c>
      <c r="B50" t="s">
        <v>61</v>
      </c>
      <c r="C50">
        <v>0.75600000000000001</v>
      </c>
      <c r="D50" t="str" cm="1">
        <f t="array" ref="D50">_xlfn.IFS(C50&lt;=0.5,"High corruption",C50&lt;=0.7,"Medium corruption",C50&lt;=0.939,"Low corruption")</f>
        <v>Low corruption</v>
      </c>
    </row>
    <row r="51" spans="1:4" x14ac:dyDescent="0.3">
      <c r="A51" t="s">
        <v>39</v>
      </c>
      <c r="B51" t="s">
        <v>62</v>
      </c>
      <c r="C51">
        <v>0.79900000000000004</v>
      </c>
      <c r="D51" t="str" cm="1">
        <f t="array" ref="D51">_xlfn.IFS(C51&lt;=0.5,"High corruption",C51&lt;=0.7,"Medium corruption",C51&lt;=0.939,"Low corruption")</f>
        <v>Low corruption</v>
      </c>
    </row>
    <row r="52" spans="1:4" x14ac:dyDescent="0.3">
      <c r="A52" t="s">
        <v>39</v>
      </c>
      <c r="B52" t="s">
        <v>63</v>
      </c>
      <c r="C52">
        <v>0.88400000000000001</v>
      </c>
      <c r="D52" t="str" cm="1">
        <f t="array" ref="D52">_xlfn.IFS(C52&lt;=0.5,"High corruption",C52&lt;=0.7,"Medium corruption",C52&lt;=0.939,"Low corruption")</f>
        <v>Low corruption</v>
      </c>
    </row>
    <row r="53" spans="1:4" x14ac:dyDescent="0.3">
      <c r="A53" t="s">
        <v>39</v>
      </c>
      <c r="B53" t="s">
        <v>67</v>
      </c>
      <c r="C53">
        <v>0.85599999999999998</v>
      </c>
      <c r="D53" t="str" cm="1">
        <f t="array" ref="D53">_xlfn.IFS(C53&lt;=0.5,"High corruption",C53&lt;=0.7,"Medium corruption",C53&lt;=0.939,"Low corruption")</f>
        <v>Low corruption</v>
      </c>
    </row>
    <row r="54" spans="1:4" x14ac:dyDescent="0.3">
      <c r="A54" t="s">
        <v>39</v>
      </c>
      <c r="B54" t="s">
        <v>70</v>
      </c>
      <c r="C54">
        <v>0.83</v>
      </c>
      <c r="D54" t="str" cm="1">
        <f t="array" ref="D54">_xlfn.IFS(C54&lt;=0.5,"High corruption",C54&lt;=0.7,"Medium corruption",C54&lt;=0.939,"Low corruption")</f>
        <v>Low corruption</v>
      </c>
    </row>
    <row r="55" spans="1:4" x14ac:dyDescent="0.3">
      <c r="A55" t="s">
        <v>39</v>
      </c>
      <c r="B55" t="s">
        <v>76</v>
      </c>
      <c r="C55">
        <v>0.68799999999999994</v>
      </c>
      <c r="D55" t="str" cm="1">
        <f t="array" ref="D55">_xlfn.IFS(C55&lt;=0.5,"High corruption",C55&lt;=0.7,"Medium corruption",C55&lt;=0.939,"Low corruption")</f>
        <v>Medium corruption</v>
      </c>
    </row>
    <row r="56" spans="1:4" x14ac:dyDescent="0.3">
      <c r="A56" t="s">
        <v>39</v>
      </c>
      <c r="B56" t="s">
        <v>80</v>
      </c>
      <c r="C56">
        <v>0.84099999999999997</v>
      </c>
      <c r="D56" t="str" cm="1">
        <f t="array" ref="D56">_xlfn.IFS(C56&lt;=0.5,"High corruption",C56&lt;=0.7,"Medium corruption",C56&lt;=0.939,"Low corruption")</f>
        <v>Low corruption</v>
      </c>
    </row>
    <row r="57" spans="1:4" x14ac:dyDescent="0.3">
      <c r="A57" t="s">
        <v>39</v>
      </c>
      <c r="B57" t="s">
        <v>83</v>
      </c>
      <c r="C57">
        <v>0.66400000000000003</v>
      </c>
      <c r="D57" t="str" cm="1">
        <f t="array" ref="D57">_xlfn.IFS(C57&lt;=0.5,"High corruption",C57&lt;=0.7,"Medium corruption",C57&lt;=0.939,"Low corruption")</f>
        <v>Medium corruption</v>
      </c>
    </row>
    <row r="58" spans="1:4" x14ac:dyDescent="0.3">
      <c r="A58" t="s">
        <v>39</v>
      </c>
      <c r="B58" t="s">
        <v>85</v>
      </c>
      <c r="C58">
        <v>0.83399999999999996</v>
      </c>
      <c r="D58" t="str" cm="1">
        <f t="array" ref="D58">_xlfn.IFS(C58&lt;=0.5,"High corruption",C58&lt;=0.7,"Medium corruption",C58&lt;=0.939,"Low corruption")</f>
        <v>Low corruption</v>
      </c>
    </row>
    <row r="59" spans="1:4" x14ac:dyDescent="0.3">
      <c r="A59" t="s">
        <v>39</v>
      </c>
      <c r="B59" t="s">
        <v>87</v>
      </c>
      <c r="C59">
        <v>0.80900000000000005</v>
      </c>
      <c r="D59" t="str" cm="1">
        <f t="array" ref="D59">_xlfn.IFS(C59&lt;=0.5,"High corruption",C59&lt;=0.7,"Medium corruption",C59&lt;=0.939,"Low corruption")</f>
        <v>Low corruption</v>
      </c>
    </row>
    <row r="60" spans="1:4" x14ac:dyDescent="0.3">
      <c r="A60" t="s">
        <v>39</v>
      </c>
      <c r="B60" t="s">
        <v>91</v>
      </c>
      <c r="C60">
        <v>0.89100000000000001</v>
      </c>
      <c r="D60" t="str" cm="1">
        <f t="array" ref="D60">_xlfn.IFS(C60&lt;=0.5,"High corruption",C60&lt;=0.7,"Medium corruption",C60&lt;=0.939,"Low corruption")</f>
        <v>Low corruption</v>
      </c>
    </row>
    <row r="61" spans="1:4" x14ac:dyDescent="0.3">
      <c r="A61" t="s">
        <v>39</v>
      </c>
      <c r="B61" t="s">
        <v>94</v>
      </c>
      <c r="C61">
        <v>0.84299999999999997</v>
      </c>
      <c r="D61" t="str" cm="1">
        <f t="array" ref="D61">_xlfn.IFS(C61&lt;=0.5,"High corruption",C61&lt;=0.7,"Medium corruption",C61&lt;=0.939,"Low corruption")</f>
        <v>Low corruption</v>
      </c>
    </row>
    <row r="62" spans="1:4" x14ac:dyDescent="0.3">
      <c r="A62" t="s">
        <v>39</v>
      </c>
      <c r="B62" t="s">
        <v>97</v>
      </c>
      <c r="C62">
        <v>0.83899999999999997</v>
      </c>
      <c r="D62" t="str" cm="1">
        <f t="array" ref="D62">_xlfn.IFS(C62&lt;=0.5,"High corruption",C62&lt;=0.7,"Medium corruption",C62&lt;=0.939,"Low corruption")</f>
        <v>Low corruption</v>
      </c>
    </row>
    <row r="63" spans="1:4" x14ac:dyDescent="0.3">
      <c r="A63" t="s">
        <v>39</v>
      </c>
      <c r="B63" t="s">
        <v>99</v>
      </c>
      <c r="C63">
        <v>0.88200000000000001</v>
      </c>
      <c r="D63" t="str" cm="1">
        <f t="array" ref="D63">_xlfn.IFS(C63&lt;=0.5,"High corruption",C63&lt;=0.7,"Medium corruption",C63&lt;=0.939,"Low corruption")</f>
        <v>Low corruption</v>
      </c>
    </row>
    <row r="64" spans="1:4" x14ac:dyDescent="0.3">
      <c r="A64" t="s">
        <v>39</v>
      </c>
      <c r="B64" t="s">
        <v>101</v>
      </c>
      <c r="C64">
        <v>0.71399999999999997</v>
      </c>
      <c r="D64" t="str" cm="1">
        <f t="array" ref="D64">_xlfn.IFS(C64&lt;=0.5,"High corruption",C64&lt;=0.7,"Medium corruption",C64&lt;=0.939,"Low corruption")</f>
        <v>Low corruption</v>
      </c>
    </row>
    <row r="65" spans="1:4" x14ac:dyDescent="0.3">
      <c r="A65" t="s">
        <v>39</v>
      </c>
      <c r="B65" t="s">
        <v>136</v>
      </c>
      <c r="C65">
        <v>0.82699999999999996</v>
      </c>
      <c r="D65" t="str" cm="1">
        <f t="array" ref="D65">_xlfn.IFS(C65&lt;=0.5,"High corruption",C65&lt;=0.7,"Medium corruption",C65&lt;=0.939,"Low corruption")</f>
        <v>Low corruption</v>
      </c>
    </row>
    <row r="66" spans="1:4" x14ac:dyDescent="0.3">
      <c r="A66" t="s">
        <v>39</v>
      </c>
      <c r="B66" t="s">
        <v>172</v>
      </c>
      <c r="C66">
        <v>0.72099999999999997</v>
      </c>
      <c r="D66" t="str" cm="1">
        <f t="array" ref="D66">_xlfn.IFS(C66&lt;=0.5,"High corruption",C66&lt;=0.7,"Medium corruption",C66&lt;=0.939,"Low corruption")</f>
        <v>Low corruption</v>
      </c>
    </row>
    <row r="67" spans="1:4" x14ac:dyDescent="0.3">
      <c r="A67" t="s">
        <v>34</v>
      </c>
      <c r="B67" t="s">
        <v>33</v>
      </c>
      <c r="C67">
        <v>0.753</v>
      </c>
      <c r="D67" t="str" cm="1">
        <f t="array" ref="D67">_xlfn.IFS(C67&lt;=0.5,"High corruption",C67&lt;=0.7,"Medium corruption",C67&lt;=0.939,"Low corruption")</f>
        <v>Low corruption</v>
      </c>
    </row>
    <row r="68" spans="1:4" x14ac:dyDescent="0.3">
      <c r="A68" t="s">
        <v>34</v>
      </c>
      <c r="B68" t="s">
        <v>46</v>
      </c>
      <c r="C68">
        <v>0.72199999999999998</v>
      </c>
      <c r="D68" t="str" cm="1">
        <f t="array" ref="D68">_xlfn.IFS(C68&lt;=0.5,"High corruption",C68&lt;=0.7,"Medium corruption",C68&lt;=0.939,"Low corruption")</f>
        <v>Low corruption</v>
      </c>
    </row>
    <row r="69" spans="1:4" x14ac:dyDescent="0.3">
      <c r="A69" t="s">
        <v>34</v>
      </c>
      <c r="B69" t="s">
        <v>50</v>
      </c>
      <c r="C69">
        <v>0.58899999999999997</v>
      </c>
      <c r="D69" t="str" cm="1">
        <f t="array" ref="D69">_xlfn.IFS(C69&lt;=0.5,"High corruption",C69&lt;=0.7,"Medium corruption",C69&lt;=0.939,"Low corruption")</f>
        <v>Medium corruption</v>
      </c>
    </row>
    <row r="70" spans="1:4" x14ac:dyDescent="0.3">
      <c r="A70" t="s">
        <v>34</v>
      </c>
      <c r="B70" t="s">
        <v>51</v>
      </c>
      <c r="C70">
        <v>0.68400000000000005</v>
      </c>
      <c r="D70" t="str" cm="1">
        <f t="array" ref="D70">_xlfn.IFS(C70&lt;=0.5,"High corruption",C70&lt;=0.7,"Medium corruption",C70&lt;=0.939,"Low corruption")</f>
        <v>Medium corruption</v>
      </c>
    </row>
    <row r="71" spans="1:4" x14ac:dyDescent="0.3">
      <c r="A71" t="s">
        <v>34</v>
      </c>
      <c r="B71" t="s">
        <v>74</v>
      </c>
      <c r="C71">
        <v>0.73599999999999999</v>
      </c>
      <c r="D71" t="str" cm="1">
        <f t="array" ref="D71">_xlfn.IFS(C71&lt;=0.5,"High corruption",C71&lt;=0.7,"Medium corruption",C71&lt;=0.939,"Low corruption")</f>
        <v>Low corruption</v>
      </c>
    </row>
    <row r="72" spans="1:4" x14ac:dyDescent="0.3">
      <c r="A72" t="s">
        <v>34</v>
      </c>
      <c r="B72" t="s">
        <v>108</v>
      </c>
      <c r="C72">
        <v>0.66700000000000004</v>
      </c>
      <c r="D72" t="str" cm="1">
        <f t="array" ref="D72">_xlfn.IFS(C72&lt;=0.5,"High corruption",C72&lt;=0.7,"Medium corruption",C72&lt;=0.939,"Low corruption")</f>
        <v>Medium corruption</v>
      </c>
    </row>
    <row r="73" spans="1:4" x14ac:dyDescent="0.3">
      <c r="A73" t="s">
        <v>34</v>
      </c>
      <c r="B73" t="s">
        <v>133</v>
      </c>
      <c r="C73">
        <v>0.77600000000000002</v>
      </c>
      <c r="D73" t="str" cm="1">
        <f t="array" ref="D73">_xlfn.IFS(C73&lt;=0.5,"High corruption",C73&lt;=0.7,"Medium corruption",C73&lt;=0.939,"Low corruption")</f>
        <v>Low corruption</v>
      </c>
    </row>
    <row r="74" spans="1:4" x14ac:dyDescent="0.3">
      <c r="A74" t="s">
        <v>34</v>
      </c>
      <c r="B74" t="s">
        <v>135</v>
      </c>
      <c r="C74">
        <v>0.80100000000000005</v>
      </c>
      <c r="D74" t="str" cm="1">
        <f t="array" ref="D74">_xlfn.IFS(C74&lt;=0.5,"High corruption",C74&lt;=0.7,"Medium corruption",C74&lt;=0.939,"Low corruption")</f>
        <v>Low corruption</v>
      </c>
    </row>
    <row r="75" spans="1:4" x14ac:dyDescent="0.3">
      <c r="A75" t="s">
        <v>34</v>
      </c>
      <c r="B75" t="s">
        <v>138</v>
      </c>
      <c r="C75">
        <v>0.752</v>
      </c>
      <c r="D75" t="str" cm="1">
        <f t="array" ref="D75">_xlfn.IFS(C75&lt;=0.5,"High corruption",C75&lt;=0.7,"Medium corruption",C75&lt;=0.939,"Low corruption")</f>
        <v>Low corruption</v>
      </c>
    </row>
    <row r="76" spans="1:4" x14ac:dyDescent="0.3">
      <c r="A76" t="s">
        <v>34</v>
      </c>
      <c r="B76" t="s">
        <v>140</v>
      </c>
      <c r="C76">
        <v>0.875</v>
      </c>
      <c r="D76" t="str" cm="1">
        <f t="array" ref="D76">_xlfn.IFS(C76&lt;=0.5,"High corruption",C76&lt;=0.7,"Medium corruption",C76&lt;=0.939,"Low corruption")</f>
        <v>Low corruption</v>
      </c>
    </row>
    <row r="77" spans="1:4" x14ac:dyDescent="0.3">
      <c r="A77" t="s">
        <v>34</v>
      </c>
      <c r="B77" t="s">
        <v>147</v>
      </c>
      <c r="C77">
        <v>0.71399999999999997</v>
      </c>
      <c r="D77" t="str" cm="1">
        <f t="array" ref="D77">_xlfn.IFS(C77&lt;=0.5,"High corruption",C77&lt;=0.7,"Medium corruption",C77&lt;=0.939,"Low corruption")</f>
        <v>Low corruption</v>
      </c>
    </row>
    <row r="78" spans="1:4" x14ac:dyDescent="0.3">
      <c r="A78" t="s">
        <v>34</v>
      </c>
      <c r="B78" t="s">
        <v>151</v>
      </c>
      <c r="C78">
        <v>0.87</v>
      </c>
      <c r="D78" t="str" cm="1">
        <f t="array" ref="D78">_xlfn.IFS(C78&lt;=0.5,"High corruption",C78&lt;=0.7,"Medium corruption",C78&lt;=0.939,"Low corruption")</f>
        <v>Low corruption</v>
      </c>
    </row>
    <row r="79" spans="1:4" x14ac:dyDescent="0.3">
      <c r="A79" t="s">
        <v>34</v>
      </c>
      <c r="B79" t="s">
        <v>152</v>
      </c>
      <c r="C79">
        <v>0.89800000000000002</v>
      </c>
      <c r="D79" t="str" cm="1">
        <f t="array" ref="D79">_xlfn.IFS(C79&lt;=0.5,"High corruption",C79&lt;=0.7,"Medium corruption",C79&lt;=0.939,"Low corruption")</f>
        <v>Low corruption</v>
      </c>
    </row>
    <row r="80" spans="1:4" x14ac:dyDescent="0.3">
      <c r="A80" t="s">
        <v>34</v>
      </c>
      <c r="B80" t="s">
        <v>154</v>
      </c>
      <c r="C80">
        <v>0.82099999999999995</v>
      </c>
      <c r="D80" t="str" cm="1">
        <f t="array" ref="D80">_xlfn.IFS(C80&lt;=0.5,"High corruption",C80&lt;=0.7,"Medium corruption",C80&lt;=0.939,"Low corruption")</f>
        <v>Low corruption</v>
      </c>
    </row>
    <row r="81" spans="1:4" x14ac:dyDescent="0.3">
      <c r="A81" t="s">
        <v>34</v>
      </c>
      <c r="B81" t="s">
        <v>156</v>
      </c>
      <c r="C81">
        <v>0.70499999999999996</v>
      </c>
      <c r="D81" t="str" cm="1">
        <f t="array" ref="D81">_xlfn.IFS(C81&lt;=0.5,"High corruption",C81&lt;=0.7,"Medium corruption",C81&lt;=0.939,"Low corruption")</f>
        <v>Low corruption</v>
      </c>
    </row>
    <row r="82" spans="1:4" x14ac:dyDescent="0.3">
      <c r="A82" t="s">
        <v>34</v>
      </c>
      <c r="B82" t="s">
        <v>161</v>
      </c>
      <c r="C82">
        <v>0.79500000000000004</v>
      </c>
      <c r="D82" t="str" cm="1">
        <f t="array" ref="D82">_xlfn.IFS(C82&lt;=0.5,"High corruption",C82&lt;=0.7,"Medium corruption",C82&lt;=0.939,"Low corruption")</f>
        <v>Low corruption</v>
      </c>
    </row>
    <row r="83" spans="1:4" x14ac:dyDescent="0.3">
      <c r="A83" t="s">
        <v>34</v>
      </c>
      <c r="B83" t="s">
        <v>170</v>
      </c>
      <c r="C83">
        <v>0.8</v>
      </c>
      <c r="D83" t="str" cm="1">
        <f t="array" ref="D83">_xlfn.IFS(C83&lt;=0.5,"High corruption",C83&lt;=0.7,"Medium corruption",C83&lt;=0.939,"Low corruption")</f>
        <v>Low corruption</v>
      </c>
    </row>
    <row r="84" spans="1:4" x14ac:dyDescent="0.3">
      <c r="A84" t="s">
        <v>30</v>
      </c>
      <c r="B84" t="s">
        <v>29</v>
      </c>
      <c r="C84">
        <v>0.24199999999999999</v>
      </c>
      <c r="D84" t="str" cm="1">
        <f t="array" ref="D84">_xlfn.IFS(C84&lt;=0.5,"High corruption",C84&lt;=0.7,"Medium corruption",C84&lt;=0.939,"Low corruption")</f>
        <v>High corruption</v>
      </c>
    </row>
    <row r="85" spans="1:4" x14ac:dyDescent="0.3">
      <c r="A85" t="s">
        <v>30</v>
      </c>
      <c r="B85" t="s">
        <v>32</v>
      </c>
      <c r="C85">
        <v>0.442</v>
      </c>
      <c r="D85" t="str" cm="1">
        <f t="array" ref="D85">_xlfn.IFS(C85&lt;=0.5,"High corruption",C85&lt;=0.7,"Medium corruption",C85&lt;=0.939,"Low corruption")</f>
        <v>High corruption</v>
      </c>
    </row>
    <row r="86" spans="1:4" x14ac:dyDescent="0.3">
      <c r="A86" t="s">
        <v>30</v>
      </c>
      <c r="B86" t="s">
        <v>36</v>
      </c>
      <c r="C86">
        <v>0.41499999999999998</v>
      </c>
      <c r="D86" t="str" cm="1">
        <f t="array" ref="D86">_xlfn.IFS(C86&lt;=0.5,"High corruption",C86&lt;=0.7,"Medium corruption",C86&lt;=0.939,"Low corruption")</f>
        <v>High corruption</v>
      </c>
    </row>
    <row r="87" spans="1:4" x14ac:dyDescent="0.3">
      <c r="A87" t="s">
        <v>30</v>
      </c>
      <c r="B87" t="s">
        <v>43</v>
      </c>
      <c r="C87">
        <v>0.69799999999999995</v>
      </c>
      <c r="D87" t="str" cm="1">
        <f t="array" ref="D87">_xlfn.IFS(C87&lt;=0.5,"High corruption",C87&lt;=0.7,"Medium corruption",C87&lt;=0.939,"Low corruption")</f>
        <v>Medium corruption</v>
      </c>
    </row>
    <row r="88" spans="1:4" x14ac:dyDescent="0.3">
      <c r="A88" t="s">
        <v>116</v>
      </c>
      <c r="B88" t="s">
        <v>115</v>
      </c>
      <c r="C88">
        <v>0.72699999999999998</v>
      </c>
      <c r="D88" t="str" cm="1">
        <f t="array" ref="D88">_xlfn.IFS(C88&lt;=0.5,"High corruption",C88&lt;=0.7,"Medium corruption",C88&lt;=0.939,"Low corruption")</f>
        <v>Low corruption</v>
      </c>
    </row>
    <row r="89" spans="1:4" x14ac:dyDescent="0.3">
      <c r="A89" t="s">
        <v>116</v>
      </c>
      <c r="B89" t="s">
        <v>118</v>
      </c>
      <c r="C89">
        <v>0.82499999999999996</v>
      </c>
      <c r="D89" t="str" cm="1">
        <f t="array" ref="D89">_xlfn.IFS(C89&lt;=0.5,"High corruption",C89&lt;=0.7,"Medium corruption",C89&lt;=0.939,"Low corruption")</f>
        <v>Low corruption</v>
      </c>
    </row>
    <row r="90" spans="1:4" x14ac:dyDescent="0.3">
      <c r="A90" t="s">
        <v>116</v>
      </c>
      <c r="B90" t="s">
        <v>130</v>
      </c>
      <c r="C90">
        <v>0.68200000000000005</v>
      </c>
      <c r="D90" t="str" cm="1">
        <f t="array" ref="D90">_xlfn.IFS(C90&lt;=0.5,"High corruption",C90&lt;=0.7,"Medium corruption",C90&lt;=0.939,"Low corruption")</f>
        <v>Medium corruption</v>
      </c>
    </row>
    <row r="91" spans="1:4" x14ac:dyDescent="0.3">
      <c r="A91" t="s">
        <v>116</v>
      </c>
      <c r="B91" t="s">
        <v>134</v>
      </c>
      <c r="C91">
        <v>0.78700000000000003</v>
      </c>
      <c r="D91" t="str" cm="1">
        <f t="array" ref="D91">_xlfn.IFS(C91&lt;=0.5,"High corruption",C91&lt;=0.7,"Medium corruption",C91&lt;=0.939,"Low corruption")</f>
        <v>Low corruption</v>
      </c>
    </row>
    <row r="92" spans="1:4" x14ac:dyDescent="0.3">
      <c r="A92" t="s">
        <v>116</v>
      </c>
      <c r="B92" t="s">
        <v>158</v>
      </c>
      <c r="C92">
        <v>0.86299999999999999</v>
      </c>
      <c r="D92" t="str" cm="1">
        <f t="array" ref="D92">_xlfn.IFS(C92&lt;=0.5,"High corruption",C92&lt;=0.7,"Medium corruption",C92&lt;=0.939,"Low corruption")</f>
        <v>Low corruption</v>
      </c>
    </row>
    <row r="93" spans="1:4" x14ac:dyDescent="0.3">
      <c r="A93" t="s">
        <v>116</v>
      </c>
      <c r="B93" t="s">
        <v>168</v>
      </c>
      <c r="C93">
        <v>0.77400000000000002</v>
      </c>
      <c r="D93" t="str" cm="1">
        <f t="array" ref="D93">_xlfn.IFS(C93&lt;=0.5,"High corruption",C93&lt;=0.7,"Medium corruption",C93&lt;=0.939,"Low corruption")</f>
        <v>Low corruption</v>
      </c>
    </row>
    <row r="94" spans="1:4" x14ac:dyDescent="0.3">
      <c r="A94" t="s">
        <v>116</v>
      </c>
      <c r="B94" t="s">
        <v>178</v>
      </c>
      <c r="C94">
        <v>0.92400000000000004</v>
      </c>
      <c r="D94" t="str" cm="1">
        <f t="array" ref="D94">_xlfn.IFS(C94&lt;=0.5,"High corruption",C94&lt;=0.7,"Medium corruption",C94&lt;=0.939,"Low corruption")</f>
        <v>Low corruption</v>
      </c>
    </row>
    <row r="95" spans="1:4" x14ac:dyDescent="0.3">
      <c r="A95" t="s">
        <v>58</v>
      </c>
      <c r="B95" t="s">
        <v>57</v>
      </c>
      <c r="C95">
        <v>8.2000000000000003E-2</v>
      </c>
      <c r="D95" t="str" cm="1">
        <f t="array" ref="D95">_xlfn.IFS(C95&lt;=0.5,"High corruption",C95&lt;=0.7,"Medium corruption",C95&lt;=0.939,"Low corruption")</f>
        <v>High corruption</v>
      </c>
    </row>
    <row r="96" spans="1:4" x14ac:dyDescent="0.3">
      <c r="A96" t="s">
        <v>58</v>
      </c>
      <c r="B96" t="s">
        <v>82</v>
      </c>
      <c r="C96">
        <v>0.89500000000000002</v>
      </c>
      <c r="D96" t="str" cm="1">
        <f t="array" ref="D96">_xlfn.IFS(C96&lt;=0.5,"High corruption",C96&lt;=0.7,"Medium corruption",C96&lt;=0.939,"Low corruption")</f>
        <v>Low corruption</v>
      </c>
    </row>
    <row r="97" spans="1:4" x14ac:dyDescent="0.3">
      <c r="A97" t="s">
        <v>58</v>
      </c>
      <c r="B97" t="s">
        <v>89</v>
      </c>
      <c r="C97">
        <v>0.74199999999999999</v>
      </c>
      <c r="D97" t="str" cm="1">
        <f t="array" ref="D97">_xlfn.IFS(C97&lt;=0.5,"High corruption",C97&lt;=0.7,"Medium corruption",C97&lt;=0.939,"Low corruption")</f>
        <v>Low corruption</v>
      </c>
    </row>
    <row r="98" spans="1:4" x14ac:dyDescent="0.3">
      <c r="A98" t="s">
        <v>58</v>
      </c>
      <c r="B98" t="s">
        <v>107</v>
      </c>
      <c r="C98">
        <v>0.79600000000000004</v>
      </c>
      <c r="D98" t="str" cm="1">
        <f t="array" ref="D98">_xlfn.IFS(C98&lt;=0.5,"High corruption",C98&lt;=0.7,"Medium corruption",C98&lt;=0.939,"Low corruption")</f>
        <v>Low corruption</v>
      </c>
    </row>
    <row r="99" spans="1:4" x14ac:dyDescent="0.3">
      <c r="A99" t="s">
        <v>58</v>
      </c>
      <c r="B99" t="s">
        <v>109</v>
      </c>
      <c r="C99">
        <v>0.83899999999999997</v>
      </c>
      <c r="D99" t="str" cm="1">
        <f t="array" ref="D99">_xlfn.IFS(C99&lt;=0.5,"High corruption",C99&lt;=0.7,"Medium corruption",C99&lt;=0.939,"Low corruption")</f>
        <v>Low corruption</v>
      </c>
    </row>
    <row r="100" spans="1:4" x14ac:dyDescent="0.3">
      <c r="A100" t="s">
        <v>58</v>
      </c>
      <c r="B100" t="s">
        <v>110</v>
      </c>
      <c r="C100">
        <v>0.86699999999999999</v>
      </c>
      <c r="D100" t="str" cm="1">
        <f t="array" ref="D100">_xlfn.IFS(C100&lt;=0.5,"High corruption",C100&lt;=0.7,"Medium corruption",C100&lt;=0.939,"Low corruption")</f>
        <v>Low corruption</v>
      </c>
    </row>
    <row r="101" spans="1:4" x14ac:dyDescent="0.3">
      <c r="A101" t="s">
        <v>58</v>
      </c>
      <c r="B101" t="s">
        <v>129</v>
      </c>
      <c r="C101">
        <v>0.65800000000000003</v>
      </c>
      <c r="D101" t="str" cm="1">
        <f t="array" ref="D101">_xlfn.IFS(C101&lt;=0.5,"High corruption",C101&lt;=0.7,"Medium corruption",C101&lt;=0.939,"Low corruption")</f>
        <v>Medium corruption</v>
      </c>
    </row>
    <row r="102" spans="1:4" x14ac:dyDescent="0.3">
      <c r="A102" t="s">
        <v>58</v>
      </c>
      <c r="B102" t="s">
        <v>143</v>
      </c>
      <c r="C102">
        <v>0.84299999999999997</v>
      </c>
      <c r="D102" t="str" cm="1">
        <f t="array" ref="D102">_xlfn.IFS(C102&lt;=0.5,"High corruption",C102&lt;=0.7,"Medium corruption",C102&lt;=0.939,"Low corruption")</f>
        <v>Low corruption</v>
      </c>
    </row>
    <row r="103" spans="1:4" x14ac:dyDescent="0.3">
      <c r="A103" t="s">
        <v>58</v>
      </c>
      <c r="B103" t="s">
        <v>155</v>
      </c>
      <c r="C103">
        <v>0.66</v>
      </c>
      <c r="D103" t="str" cm="1">
        <f t="array" ref="D103">_xlfn.IFS(C103&lt;=0.5,"High corruption",C103&lt;=0.7,"Medium corruption",C103&lt;=0.939,"Low corruption")</f>
        <v>Medium corruption</v>
      </c>
    </row>
    <row r="104" spans="1:4" x14ac:dyDescent="0.3">
      <c r="A104" t="s">
        <v>78</v>
      </c>
      <c r="B104" t="s">
        <v>77</v>
      </c>
      <c r="C104">
        <v>0.78900000000000003</v>
      </c>
      <c r="D104" t="str" cm="1">
        <f t="array" ref="D104">_xlfn.IFS(C104&lt;=0.5,"High corruption",C104&lt;=0.7,"Medium corruption",C104&lt;=0.939,"Low corruption")</f>
        <v>Low corruption</v>
      </c>
    </row>
    <row r="105" spans="1:4" x14ac:dyDescent="0.3">
      <c r="A105" t="s">
        <v>78</v>
      </c>
      <c r="B105" t="s">
        <v>111</v>
      </c>
      <c r="C105">
        <v>0.745</v>
      </c>
      <c r="D105" t="str" cm="1">
        <f t="array" ref="D105">_xlfn.IFS(C105&lt;=0.5,"High corruption",C105&lt;=0.7,"Medium corruption",C105&lt;=0.939,"Low corruption")</f>
        <v>Low corruption</v>
      </c>
    </row>
    <row r="106" spans="1:4" x14ac:dyDescent="0.3">
      <c r="A106" t="s">
        <v>78</v>
      </c>
      <c r="B106" t="s">
        <v>113</v>
      </c>
      <c r="C106">
        <v>0.79400000000000004</v>
      </c>
      <c r="D106" t="str" cm="1">
        <f t="array" ref="D106">_xlfn.IFS(C106&lt;=0.5,"High corruption",C106&lt;=0.7,"Medium corruption",C106&lt;=0.939,"Low corruption")</f>
        <v>Low corruption</v>
      </c>
    </row>
    <row r="107" spans="1:4" x14ac:dyDescent="0.3">
      <c r="A107" t="s">
        <v>78</v>
      </c>
      <c r="B107" t="s">
        <v>120</v>
      </c>
      <c r="C107">
        <v>0.84799999999999998</v>
      </c>
      <c r="D107" t="str" cm="1">
        <f t="array" ref="D107">_xlfn.IFS(C107&lt;=0.5,"High corruption",C107&lt;=0.7,"Medium corruption",C107&lt;=0.939,"Low corruption")</f>
        <v>Low corruption</v>
      </c>
    </row>
    <row r="108" spans="1:4" x14ac:dyDescent="0.3">
      <c r="A108" t="s">
        <v>78</v>
      </c>
      <c r="B108" t="s">
        <v>121</v>
      </c>
      <c r="C108">
        <v>0.80100000000000005</v>
      </c>
      <c r="D108" t="str" cm="1">
        <f t="array" ref="D108">_xlfn.IFS(C108&lt;=0.5,"High corruption",C108&lt;=0.7,"Medium corruption",C108&lt;=0.939,"Low corruption")</f>
        <v>Low corruption</v>
      </c>
    </row>
    <row r="109" spans="1:4" x14ac:dyDescent="0.3">
      <c r="A109" t="s">
        <v>78</v>
      </c>
      <c r="B109" t="s">
        <v>124</v>
      </c>
      <c r="C109">
        <v>0.84799999999999998</v>
      </c>
      <c r="D109" t="str" cm="1">
        <f t="array" ref="D109">_xlfn.IFS(C109&lt;=0.5,"High corruption",C109&lt;=0.7,"Medium corruption",C109&lt;=0.939,"Low corruption")</f>
        <v>Low corruption</v>
      </c>
    </row>
    <row r="110" spans="1:4" x14ac:dyDescent="0.3">
      <c r="A110" t="s">
        <v>78</v>
      </c>
      <c r="B110" t="s">
        <v>125</v>
      </c>
      <c r="C110">
        <v>0.69299999999999995</v>
      </c>
      <c r="D110" t="str" cm="1">
        <f t="array" ref="D110">_xlfn.IFS(C110&lt;=0.5,"High corruption",C110&lt;=0.7,"Medium corruption",C110&lt;=0.939,"Low corruption")</f>
        <v>Medium corruption</v>
      </c>
    </row>
    <row r="111" spans="1:4" x14ac:dyDescent="0.3">
      <c r="A111" t="s">
        <v>78</v>
      </c>
      <c r="B111" t="s">
        <v>127</v>
      </c>
      <c r="C111">
        <v>0.746</v>
      </c>
      <c r="D111" t="str" cm="1">
        <f t="array" ref="D111">_xlfn.IFS(C111&lt;=0.5,"High corruption",C111&lt;=0.7,"Medium corruption",C111&lt;=0.939,"Low corruption")</f>
        <v>Low corruption</v>
      </c>
    </row>
    <row r="112" spans="1:4" x14ac:dyDescent="0.3">
      <c r="A112" t="s">
        <v>78</v>
      </c>
      <c r="B112" t="s">
        <v>128</v>
      </c>
      <c r="C112">
        <v>0.66100000000000003</v>
      </c>
      <c r="D112" t="str" cm="1">
        <f t="array" ref="D112">_xlfn.IFS(C112&lt;=0.5,"High corruption",C112&lt;=0.7,"Medium corruption",C112&lt;=0.939,"Low corruption")</f>
        <v>Medium corruption</v>
      </c>
    </row>
    <row r="113" spans="1:4" x14ac:dyDescent="0.3">
      <c r="A113" t="s">
        <v>78</v>
      </c>
      <c r="B113" t="s">
        <v>131</v>
      </c>
      <c r="C113">
        <v>0.76600000000000001</v>
      </c>
      <c r="D113" t="str" cm="1">
        <f t="array" ref="D113">_xlfn.IFS(C113&lt;=0.5,"High corruption",C113&lt;=0.7,"Medium corruption",C113&lt;=0.939,"Low corruption")</f>
        <v>Low corruption</v>
      </c>
    </row>
    <row r="114" spans="1:4" x14ac:dyDescent="0.3">
      <c r="A114" t="s">
        <v>78</v>
      </c>
      <c r="B114" t="s">
        <v>132</v>
      </c>
      <c r="C114">
        <v>0.86</v>
      </c>
      <c r="D114" t="str" cm="1">
        <f t="array" ref="D114">_xlfn.IFS(C114&lt;=0.5,"High corruption",C114&lt;=0.7,"Medium corruption",C114&lt;=0.939,"Low corruption")</f>
        <v>Low corruption</v>
      </c>
    </row>
    <row r="115" spans="1:4" x14ac:dyDescent="0.3">
      <c r="A115" t="s">
        <v>78</v>
      </c>
      <c r="B115" t="s">
        <v>141</v>
      </c>
      <c r="C115">
        <v>0.84</v>
      </c>
      <c r="D115" t="str" cm="1">
        <f t="array" ref="D115">_xlfn.IFS(C115&lt;=0.5,"High corruption",C115&lt;=0.7,"Medium corruption",C115&lt;=0.939,"Low corruption")</f>
        <v>Low corruption</v>
      </c>
    </row>
    <row r="116" spans="1:4" x14ac:dyDescent="0.3">
      <c r="A116" t="s">
        <v>78</v>
      </c>
      <c r="B116" t="s">
        <v>142</v>
      </c>
      <c r="C116">
        <v>0.748</v>
      </c>
      <c r="D116" t="str" cm="1">
        <f t="array" ref="D116">_xlfn.IFS(C116&lt;=0.5,"High corruption",C116&lt;=0.7,"Medium corruption",C116&lt;=0.939,"Low corruption")</f>
        <v>Low corruption</v>
      </c>
    </row>
    <row r="117" spans="1:4" x14ac:dyDescent="0.3">
      <c r="A117" t="s">
        <v>78</v>
      </c>
      <c r="B117" t="s">
        <v>144</v>
      </c>
      <c r="C117">
        <v>0.68400000000000005</v>
      </c>
      <c r="D117" t="str" cm="1">
        <f t="array" ref="D117">_xlfn.IFS(C117&lt;=0.5,"High corruption",C117&lt;=0.7,"Medium corruption",C117&lt;=0.939,"Low corruption")</f>
        <v>Medium corruption</v>
      </c>
    </row>
    <row r="118" spans="1:4" x14ac:dyDescent="0.3">
      <c r="A118" t="s">
        <v>78</v>
      </c>
      <c r="B118" t="s">
        <v>145</v>
      </c>
      <c r="C118">
        <v>0.878</v>
      </c>
      <c r="D118" t="str" cm="1">
        <f t="array" ref="D118">_xlfn.IFS(C118&lt;=0.5,"High corruption",C118&lt;=0.7,"Medium corruption",C118&lt;=0.939,"Low corruption")</f>
        <v>Low corruption</v>
      </c>
    </row>
    <row r="119" spans="1:4" x14ac:dyDescent="0.3">
      <c r="A119" t="s">
        <v>78</v>
      </c>
      <c r="B119" t="s">
        <v>146</v>
      </c>
      <c r="C119">
        <v>0.82699999999999996</v>
      </c>
      <c r="D119" t="str" cm="1">
        <f t="array" ref="D119">_xlfn.IFS(C119&lt;=0.5,"High corruption",C119&lt;=0.7,"Medium corruption",C119&lt;=0.939,"Low corruption")</f>
        <v>Low corruption</v>
      </c>
    </row>
    <row r="120" spans="1:4" x14ac:dyDescent="0.3">
      <c r="A120" t="s">
        <v>78</v>
      </c>
      <c r="B120" t="s">
        <v>148</v>
      </c>
      <c r="C120">
        <v>0.85499999999999998</v>
      </c>
      <c r="D120" t="str" cm="1">
        <f t="array" ref="D120">_xlfn.IFS(C120&lt;=0.5,"High corruption",C120&lt;=0.7,"Medium corruption",C120&lt;=0.939,"Low corruption")</f>
        <v>Low corruption</v>
      </c>
    </row>
    <row r="121" spans="1:4" x14ac:dyDescent="0.3">
      <c r="A121" t="s">
        <v>78</v>
      </c>
      <c r="B121" t="s">
        <v>149</v>
      </c>
      <c r="C121">
        <v>0.85</v>
      </c>
      <c r="D121" t="str" cm="1">
        <f t="array" ref="D121">_xlfn.IFS(C121&lt;=0.5,"High corruption",C121&lt;=0.7,"Medium corruption",C121&lt;=0.939,"Low corruption")</f>
        <v>Low corruption</v>
      </c>
    </row>
    <row r="122" spans="1:4" x14ac:dyDescent="0.3">
      <c r="A122" t="s">
        <v>78</v>
      </c>
      <c r="B122" t="s">
        <v>150</v>
      </c>
      <c r="C122">
        <v>0.82499999999999996</v>
      </c>
      <c r="D122" t="str" cm="1">
        <f t="array" ref="D122">_xlfn.IFS(C122&lt;=0.5,"High corruption",C122&lt;=0.7,"Medium corruption",C122&lt;=0.939,"Low corruption")</f>
        <v>Low corruption</v>
      </c>
    </row>
    <row r="123" spans="1:4" x14ac:dyDescent="0.3">
      <c r="A123" t="s">
        <v>78</v>
      </c>
      <c r="B123" t="s">
        <v>153</v>
      </c>
      <c r="C123">
        <v>0.84699999999999998</v>
      </c>
      <c r="D123" t="str" cm="1">
        <f t="array" ref="D123">_xlfn.IFS(C123&lt;=0.5,"High corruption",C123&lt;=0.7,"Medium corruption",C123&lt;=0.939,"Low corruption")</f>
        <v>Low corruption</v>
      </c>
    </row>
    <row r="124" spans="1:4" x14ac:dyDescent="0.3">
      <c r="A124" t="s">
        <v>78</v>
      </c>
      <c r="B124" t="s">
        <v>157</v>
      </c>
      <c r="C124">
        <v>0.80700000000000005</v>
      </c>
      <c r="D124" t="str" cm="1">
        <f t="array" ref="D124">_xlfn.IFS(C124&lt;=0.5,"High corruption",C124&lt;=0.7,"Medium corruption",C124&lt;=0.939,"Low corruption")</f>
        <v>Low corruption</v>
      </c>
    </row>
    <row r="125" spans="1:4" x14ac:dyDescent="0.3">
      <c r="A125" t="s">
        <v>78</v>
      </c>
      <c r="B125" t="s">
        <v>159</v>
      </c>
      <c r="C125">
        <v>0.70799999999999996</v>
      </c>
      <c r="D125" t="str" cm="1">
        <f t="array" ref="D125">_xlfn.IFS(C125&lt;=0.5,"High corruption",C125&lt;=0.7,"Medium corruption",C125&lt;=0.939,"Low corruption")</f>
        <v>Low corruption</v>
      </c>
    </row>
    <row r="126" spans="1:4" x14ac:dyDescent="0.3">
      <c r="A126" t="s">
        <v>78</v>
      </c>
      <c r="B126" t="s">
        <v>160</v>
      </c>
      <c r="C126">
        <v>0.78100000000000003</v>
      </c>
      <c r="D126" t="str" cm="1">
        <f t="array" ref="D126">_xlfn.IFS(C126&lt;=0.5,"High corruption",C126&lt;=0.7,"Medium corruption",C126&lt;=0.939,"Low corruption")</f>
        <v>Low corruption</v>
      </c>
    </row>
    <row r="127" spans="1:4" x14ac:dyDescent="0.3">
      <c r="A127" t="s">
        <v>78</v>
      </c>
      <c r="B127" t="s">
        <v>162</v>
      </c>
      <c r="C127">
        <v>0.76100000000000001</v>
      </c>
      <c r="D127" t="str" cm="1">
        <f t="array" ref="D127">_xlfn.IFS(C127&lt;=0.5,"High corruption",C127&lt;=0.7,"Medium corruption",C127&lt;=0.939,"Low corruption")</f>
        <v>Low corruption</v>
      </c>
    </row>
    <row r="128" spans="1:4" x14ac:dyDescent="0.3">
      <c r="A128" t="s">
        <v>78</v>
      </c>
      <c r="B128" t="s">
        <v>163</v>
      </c>
      <c r="C128">
        <v>0.73099999999999998</v>
      </c>
      <c r="D128" t="str" cm="1">
        <f t="array" ref="D128">_xlfn.IFS(C128&lt;=0.5,"High corruption",C128&lt;=0.7,"Medium corruption",C128&lt;=0.939,"Low corruption")</f>
        <v>Low corruption</v>
      </c>
    </row>
    <row r="129" spans="1:4" x14ac:dyDescent="0.3">
      <c r="A129" t="s">
        <v>78</v>
      </c>
      <c r="B129" t="s">
        <v>164</v>
      </c>
      <c r="C129">
        <v>0.80300000000000005</v>
      </c>
      <c r="D129" t="str" cm="1">
        <f t="array" ref="D129">_xlfn.IFS(C129&lt;=0.5,"High corruption",C129&lt;=0.7,"Medium corruption",C129&lt;=0.939,"Low corruption")</f>
        <v>Low corruption</v>
      </c>
    </row>
    <row r="130" spans="1:4" x14ac:dyDescent="0.3">
      <c r="A130" t="s">
        <v>78</v>
      </c>
      <c r="B130" t="s">
        <v>165</v>
      </c>
      <c r="C130">
        <v>0.77200000000000002</v>
      </c>
      <c r="D130" t="str" cm="1">
        <f t="array" ref="D130">_xlfn.IFS(C130&lt;=0.5,"High corruption",C130&lt;=0.7,"Medium corruption",C130&lt;=0.939,"Low corruption")</f>
        <v>Low corruption</v>
      </c>
    </row>
    <row r="131" spans="1:4" x14ac:dyDescent="0.3">
      <c r="A131" t="s">
        <v>78</v>
      </c>
      <c r="B131" t="s">
        <v>166</v>
      </c>
      <c r="C131">
        <v>0.82299999999999995</v>
      </c>
      <c r="D131" t="str" cm="1">
        <f t="array" ref="D131">_xlfn.IFS(C131&lt;=0.5,"High corruption",C131&lt;=0.7,"Medium corruption",C131&lt;=0.939,"Low corruption")</f>
        <v>Low corruption</v>
      </c>
    </row>
    <row r="132" spans="1:4" x14ac:dyDescent="0.3">
      <c r="A132" t="s">
        <v>78</v>
      </c>
      <c r="B132" t="s">
        <v>167</v>
      </c>
      <c r="C132">
        <v>0.86599999999999999</v>
      </c>
      <c r="D132" t="str" cm="1">
        <f t="array" ref="D132">_xlfn.IFS(C132&lt;=0.5,"High corruption",C132&lt;=0.7,"Medium corruption",C132&lt;=0.939,"Low corruption")</f>
        <v>Low corruption</v>
      </c>
    </row>
    <row r="133" spans="1:4" x14ac:dyDescent="0.3">
      <c r="A133" t="s">
        <v>78</v>
      </c>
      <c r="B133" t="s">
        <v>169</v>
      </c>
      <c r="C133">
        <v>0.60699999999999998</v>
      </c>
      <c r="D133" t="str" cm="1">
        <f t="array" ref="D133">_xlfn.IFS(C133&lt;=0.5,"High corruption",C133&lt;=0.7,"Medium corruption",C133&lt;=0.939,"Low corruption")</f>
        <v>Medium corruption</v>
      </c>
    </row>
    <row r="134" spans="1:4" x14ac:dyDescent="0.3">
      <c r="A134" t="s">
        <v>78</v>
      </c>
      <c r="B134" t="s">
        <v>171</v>
      </c>
      <c r="C134">
        <v>0.57699999999999996</v>
      </c>
      <c r="D134" t="str" cm="1">
        <f t="array" ref="D134">_xlfn.IFS(C134&lt;=0.5,"High corruption",C134&lt;=0.7,"Medium corruption",C134&lt;=0.939,"Low corruption")</f>
        <v>Medium corruption</v>
      </c>
    </row>
    <row r="135" spans="1:4" x14ac:dyDescent="0.3">
      <c r="A135" t="s">
        <v>78</v>
      </c>
      <c r="B135" t="s">
        <v>173</v>
      </c>
      <c r="C135">
        <v>0.72899999999999998</v>
      </c>
      <c r="D135" t="str" cm="1">
        <f t="array" ref="D135">_xlfn.IFS(C135&lt;=0.5,"High corruption",C135&lt;=0.7,"Medium corruption",C135&lt;=0.939,"Low corruption")</f>
        <v>Low corruption</v>
      </c>
    </row>
    <row r="136" spans="1:4" x14ac:dyDescent="0.3">
      <c r="A136" t="s">
        <v>78</v>
      </c>
      <c r="B136" t="s">
        <v>174</v>
      </c>
      <c r="C136">
        <v>0.91500000000000004</v>
      </c>
      <c r="D136" t="str" cm="1">
        <f t="array" ref="D136">_xlfn.IFS(C136&lt;=0.5,"High corruption",C136&lt;=0.7,"Medium corruption",C136&lt;=0.939,"Low corruption")</f>
        <v>Low corruption</v>
      </c>
    </row>
    <row r="137" spans="1:4" x14ac:dyDescent="0.3">
      <c r="A137" t="s">
        <v>78</v>
      </c>
      <c r="B137" t="s">
        <v>175</v>
      </c>
      <c r="C137">
        <v>0.80100000000000005</v>
      </c>
      <c r="D137" t="str" cm="1">
        <f t="array" ref="D137">_xlfn.IFS(C137&lt;=0.5,"High corruption",C137&lt;=0.7,"Medium corruption",C137&lt;=0.939,"Low corruption")</f>
        <v>Low corruption</v>
      </c>
    </row>
    <row r="138" spans="1:4" x14ac:dyDescent="0.3">
      <c r="A138" t="s">
        <v>78</v>
      </c>
      <c r="B138" t="s">
        <v>176</v>
      </c>
      <c r="C138">
        <v>0.16700000000000001</v>
      </c>
      <c r="D138" t="str" cm="1">
        <f t="array" ref="D138">_xlfn.IFS(C138&lt;=0.5,"High corruption",C138&lt;=0.7,"Medium corruption",C138&lt;=0.939,"Low corruption")</f>
        <v>High corruption</v>
      </c>
    </row>
    <row r="139" spans="1:4" x14ac:dyDescent="0.3">
      <c r="A139" t="s">
        <v>78</v>
      </c>
      <c r="B139" t="s">
        <v>177</v>
      </c>
      <c r="C139">
        <v>0.82099999999999995</v>
      </c>
      <c r="D139" t="str" cm="1">
        <f t="array" ref="D139">_xlfn.IFS(C139&lt;=0.5,"High corruption",C139&lt;=0.7,"Medium corruption",C139&lt;=0.939,"Low corruption")</f>
        <v>Low corruption</v>
      </c>
    </row>
    <row r="140" spans="1:4" x14ac:dyDescent="0.3">
      <c r="A140" t="s">
        <v>21</v>
      </c>
      <c r="B140" t="s">
        <v>20</v>
      </c>
      <c r="C140">
        <v>0.186</v>
      </c>
      <c r="D140" t="str" cm="1">
        <f t="array" ref="D140">_xlfn.IFS(C140&lt;=0.5,"High corruption",C140&lt;=0.7,"Medium corruption",C140&lt;=0.939,"Low corruption")</f>
        <v>High corruption</v>
      </c>
    </row>
    <row r="141" spans="1:4" x14ac:dyDescent="0.3">
      <c r="A141" t="s">
        <v>21</v>
      </c>
      <c r="B141" t="s">
        <v>22</v>
      </c>
      <c r="C141">
        <v>0.17899999999999999</v>
      </c>
      <c r="D141" t="str" cm="1">
        <f t="array" ref="D141">_xlfn.IFS(C141&lt;=0.5,"High corruption",C141&lt;=0.7,"Medium corruption",C141&lt;=0.939,"Low corruption")</f>
        <v>High corruption</v>
      </c>
    </row>
    <row r="142" spans="1:4" x14ac:dyDescent="0.3">
      <c r="A142" t="s">
        <v>21</v>
      </c>
      <c r="B142" t="s">
        <v>23</v>
      </c>
      <c r="C142">
        <v>0.29199999999999998</v>
      </c>
      <c r="D142" t="str" cm="1">
        <f t="array" ref="D142">_xlfn.IFS(C142&lt;=0.5,"High corruption",C142&lt;=0.7,"Medium corruption",C142&lt;=0.939,"Low corruption")</f>
        <v>High corruption</v>
      </c>
    </row>
    <row r="143" spans="1:4" x14ac:dyDescent="0.3">
      <c r="A143" t="s">
        <v>21</v>
      </c>
      <c r="B143" t="s">
        <v>24</v>
      </c>
      <c r="C143">
        <v>0.67300000000000004</v>
      </c>
      <c r="D143" t="str" cm="1">
        <f t="array" ref="D143">_xlfn.IFS(C143&lt;=0.5,"High corruption",C143&lt;=0.7,"Medium corruption",C143&lt;=0.939,"Low corruption")</f>
        <v>Medium corruption</v>
      </c>
    </row>
    <row r="144" spans="1:4" x14ac:dyDescent="0.3">
      <c r="A144" t="s">
        <v>21</v>
      </c>
      <c r="B144" t="s">
        <v>25</v>
      </c>
      <c r="C144">
        <v>0.33800000000000002</v>
      </c>
      <c r="D144" t="str" cm="1">
        <f t="array" ref="D144">_xlfn.IFS(C144&lt;=0.5,"High corruption",C144&lt;=0.7,"Medium corruption",C144&lt;=0.939,"Low corruption")</f>
        <v>High corruption</v>
      </c>
    </row>
    <row r="145" spans="1:7" x14ac:dyDescent="0.3">
      <c r="A145" t="s">
        <v>21</v>
      </c>
      <c r="B145" t="s">
        <v>26</v>
      </c>
      <c r="C145">
        <v>0.27</v>
      </c>
      <c r="D145" t="str" cm="1">
        <f t="array" ref="D145">_xlfn.IFS(C145&lt;=0.5,"High corruption",C145&lt;=0.7,"Medium corruption",C145&lt;=0.939,"Low corruption")</f>
        <v>High corruption</v>
      </c>
    </row>
    <row r="146" spans="1:7" x14ac:dyDescent="0.3">
      <c r="A146" t="s">
        <v>21</v>
      </c>
      <c r="B146" t="s">
        <v>27</v>
      </c>
      <c r="C146">
        <v>0.23699999999999999</v>
      </c>
      <c r="D146" t="str" cm="1">
        <f t="array" ref="D146">_xlfn.IFS(C146&lt;=0.5,"High corruption",C146&lt;=0.7,"Medium corruption",C146&lt;=0.939,"Low corruption")</f>
        <v>High corruption</v>
      </c>
    </row>
    <row r="147" spans="1:7" x14ac:dyDescent="0.3">
      <c r="A147" t="s">
        <v>21</v>
      </c>
      <c r="B147" t="s">
        <v>28</v>
      </c>
      <c r="C147">
        <v>0.38600000000000001</v>
      </c>
      <c r="D147" t="str" cm="1">
        <f t="array" ref="D147">_xlfn.IFS(C147&lt;=0.5,"High corruption",C147&lt;=0.7,"Medium corruption",C147&lt;=0.939,"Low corruption")</f>
        <v>High corruption</v>
      </c>
    </row>
    <row r="148" spans="1:7" x14ac:dyDescent="0.3">
      <c r="A148" t="s">
        <v>21</v>
      </c>
      <c r="B148" t="s">
        <v>31</v>
      </c>
      <c r="C148">
        <v>0.48099999999999998</v>
      </c>
      <c r="D148" t="str" cm="1">
        <f t="array" ref="D148">_xlfn.IFS(C148&lt;=0.5,"High corruption",C148&lt;=0.7,"Medium corruption",C148&lt;=0.939,"Low corruption")</f>
        <v>High corruption</v>
      </c>
    </row>
    <row r="149" spans="1:7" x14ac:dyDescent="0.3">
      <c r="A149" t="s">
        <v>21</v>
      </c>
      <c r="B149" t="s">
        <v>35</v>
      </c>
      <c r="C149">
        <v>0.46</v>
      </c>
      <c r="D149" t="str" cm="1">
        <f t="array" ref="D149">_xlfn.IFS(C149&lt;=0.5,"High corruption",C149&lt;=0.7,"Medium corruption",C149&lt;=0.939,"Low corruption")</f>
        <v>High corruption</v>
      </c>
    </row>
    <row r="150" spans="1:7" x14ac:dyDescent="0.3">
      <c r="A150" t="s">
        <v>21</v>
      </c>
      <c r="B150" t="s">
        <v>37</v>
      </c>
      <c r="C150">
        <v>0.36299999999999999</v>
      </c>
      <c r="D150" t="str" cm="1">
        <f t="array" ref="D150">_xlfn.IFS(C150&lt;=0.5,"High corruption",C150&lt;=0.7,"Medium corruption",C150&lt;=0.939,"Low corruption")</f>
        <v>High corruption</v>
      </c>
    </row>
    <row r="151" spans="1:7" x14ac:dyDescent="0.3">
      <c r="A151" t="s">
        <v>21</v>
      </c>
      <c r="B151" t="s">
        <v>40</v>
      </c>
      <c r="C151">
        <v>0.45900000000000002</v>
      </c>
      <c r="D151" t="str" cm="1">
        <f t="array" ref="D151">_xlfn.IFS(C151&lt;=0.5,"High corruption",C151&lt;=0.7,"Medium corruption",C151&lt;=0.939,"Low corruption")</f>
        <v>High corruption</v>
      </c>
    </row>
    <row r="152" spans="1:7" x14ac:dyDescent="0.3">
      <c r="A152" t="s">
        <v>21</v>
      </c>
      <c r="B152" t="s">
        <v>44</v>
      </c>
      <c r="C152">
        <v>0.64600000000000002</v>
      </c>
      <c r="D152" t="str" cm="1">
        <f t="array" ref="D152">_xlfn.IFS(C152&lt;=0.5,"High corruption",C152&lt;=0.7,"Medium corruption",C152&lt;=0.939,"Low corruption")</f>
        <v>Medium corruption</v>
      </c>
    </row>
    <row r="153" spans="1:7" x14ac:dyDescent="0.3">
      <c r="A153" t="s">
        <v>21</v>
      </c>
      <c r="B153" t="s">
        <v>45</v>
      </c>
      <c r="C153">
        <v>0.57099999999999995</v>
      </c>
      <c r="D153" t="str" cm="1">
        <f t="array" ref="D153">_xlfn.IFS(C153&lt;=0.5,"High corruption",C153&lt;=0.7,"Medium corruption",C153&lt;=0.939,"Low corruption")</f>
        <v>Medium corruption</v>
      </c>
    </row>
    <row r="154" spans="1:7" x14ac:dyDescent="0.3">
      <c r="A154" t="s">
        <v>21</v>
      </c>
      <c r="B154" t="s">
        <v>47</v>
      </c>
      <c r="C154">
        <v>0.65300000000000002</v>
      </c>
      <c r="D154" t="str" cm="1">
        <f t="array" ref="D154">_xlfn.IFS(C154&lt;=0.5,"High corruption",C154&lt;=0.7,"Medium corruption",C154&lt;=0.939,"Low corruption")</f>
        <v>Medium corruption</v>
      </c>
    </row>
    <row r="155" spans="1:7" x14ac:dyDescent="0.3">
      <c r="A155" t="s">
        <v>21</v>
      </c>
      <c r="B155" t="s">
        <v>52</v>
      </c>
      <c r="C155">
        <v>0.745</v>
      </c>
      <c r="D155" t="str" cm="1">
        <f t="array" ref="D155">_xlfn.IFS(C155&lt;=0.5,"High corruption",C155&lt;=0.7,"Medium corruption",C155&lt;=0.939,"Low corruption")</f>
        <v>Low corruption</v>
      </c>
    </row>
    <row r="156" spans="1:7" x14ac:dyDescent="0.3">
      <c r="A156" t="s">
        <v>21</v>
      </c>
      <c r="B156" t="s">
        <v>53</v>
      </c>
      <c r="C156">
        <v>0.86599999999999999</v>
      </c>
      <c r="D156" t="str" cm="1">
        <f t="array" ref="D156">_xlfn.IFS(C156&lt;=0.5,"High corruption",C156&lt;=0.7,"Medium corruption",C156&lt;=0.939,"Low corruption")</f>
        <v>Low corruption</v>
      </c>
    </row>
    <row r="157" spans="1:7" x14ac:dyDescent="0.3">
      <c r="A157" t="s">
        <v>21</v>
      </c>
      <c r="B157" t="s">
        <v>65</v>
      </c>
      <c r="C157">
        <v>0.84399999999999997</v>
      </c>
      <c r="D157" t="str" cm="1">
        <f t="array" ref="D157">_xlfn.IFS(C157&lt;=0.5,"High corruption",C157&lt;=0.7,"Medium corruption",C157&lt;=0.939,"Low corruption")</f>
        <v>Low corruption</v>
      </c>
    </row>
    <row r="158" spans="1:7" x14ac:dyDescent="0.3">
      <c r="A158" t="s">
        <v>21</v>
      </c>
      <c r="B158" t="s">
        <v>86</v>
      </c>
      <c r="C158">
        <v>0.88700000000000001</v>
      </c>
      <c r="D158" t="str" cm="1">
        <f t="array" ref="D158">_xlfn.IFS(C158&lt;=0.5,"High corruption",C158&lt;=0.7,"Medium corruption",C158&lt;=0.939,"Low corruption")</f>
        <v>Low corruption</v>
      </c>
      <c r="G158">
        <f>1000</f>
        <v>1000</v>
      </c>
    </row>
    <row r="159" spans="1:7" x14ac:dyDescent="0.3">
      <c r="A159" t="s">
        <v>21</v>
      </c>
      <c r="B159" t="s">
        <v>96</v>
      </c>
      <c r="C159">
        <v>0.82299999999999995</v>
      </c>
      <c r="D159" t="str" cm="1">
        <f t="array" ref="D159">_xlfn.IFS(C159&lt;=0.5,"High corruption",C159&lt;=0.7,"Medium corruption",C159&lt;=0.939,"Low corruption")</f>
        <v>Low corruption</v>
      </c>
    </row>
    <row r="160" spans="1:7" x14ac:dyDescent="0.3">
      <c r="A160" t="s">
        <v>21</v>
      </c>
      <c r="B160" t="s">
        <v>102</v>
      </c>
      <c r="C160">
        <v>0.626</v>
      </c>
      <c r="D160" t="str" cm="1">
        <f t="array" ref="D160">_xlfn.IFS(C160&lt;=0.5,"High corruption",C160&lt;=0.7,"Medium corruption",C160&lt;=0.939,"Low corruption")</f>
        <v>Medium corruption</v>
      </c>
    </row>
    <row r="162" spans="1:10" ht="15.6" x14ac:dyDescent="0.3">
      <c r="A162" s="6" t="s">
        <v>267</v>
      </c>
    </row>
    <row r="163" spans="1:10" x14ac:dyDescent="0.3">
      <c r="A163" t="s">
        <v>0</v>
      </c>
      <c r="B163" t="s">
        <v>1</v>
      </c>
      <c r="C163" t="s">
        <v>2</v>
      </c>
      <c r="D163" t="s">
        <v>3</v>
      </c>
      <c r="E163" t="s">
        <v>6</v>
      </c>
      <c r="F163" t="s">
        <v>7</v>
      </c>
      <c r="G163" t="s">
        <v>8</v>
      </c>
      <c r="H163" t="s">
        <v>9</v>
      </c>
      <c r="I163" t="s">
        <v>10</v>
      </c>
      <c r="J163" t="s">
        <v>11</v>
      </c>
    </row>
    <row r="164" spans="1:10" x14ac:dyDescent="0.3">
      <c r="A164" s="19" t="s">
        <v>20</v>
      </c>
      <c r="B164" t="s">
        <v>21</v>
      </c>
      <c r="C164">
        <f>7842/(1000)</f>
        <v>7.8419999999999996</v>
      </c>
      <c r="D164">
        <v>3.2000000000000001E-2</v>
      </c>
      <c r="E164">
        <f>10775/(1000)</f>
        <v>10.775</v>
      </c>
      <c r="F164">
        <v>0.95399999999999996</v>
      </c>
      <c r="G164">
        <f>72000/(1000)</f>
        <v>72</v>
      </c>
      <c r="H164">
        <v>0.94899999999999995</v>
      </c>
      <c r="I164">
        <v>-9.8000000000000004E-2</v>
      </c>
      <c r="J164">
        <v>0.186</v>
      </c>
    </row>
    <row r="165" spans="1:10" x14ac:dyDescent="0.3">
      <c r="A165" s="19" t="s">
        <v>22</v>
      </c>
      <c r="B165" t="s">
        <v>21</v>
      </c>
      <c r="C165">
        <f>7620/(1000)</f>
        <v>7.62</v>
      </c>
      <c r="D165">
        <v>3.5000000000000003E-2</v>
      </c>
      <c r="E165">
        <f>10933/(1000)</f>
        <v>10.933</v>
      </c>
      <c r="F165">
        <v>0.95399999999999996</v>
      </c>
      <c r="G165">
        <f>72700/(1000)</f>
        <v>72.7</v>
      </c>
      <c r="H165">
        <v>0.94599999999999995</v>
      </c>
      <c r="I165">
        <v>0.03</v>
      </c>
      <c r="J165">
        <v>0.17899999999999999</v>
      </c>
    </row>
    <row r="166" spans="1:10" x14ac:dyDescent="0.3">
      <c r="A166" s="19" t="s">
        <v>23</v>
      </c>
      <c r="B166" t="s">
        <v>21</v>
      </c>
      <c r="C166">
        <f>7571/(1000)</f>
        <v>7.5709999999999997</v>
      </c>
      <c r="D166">
        <v>3.5999999999999997E-2</v>
      </c>
      <c r="E166">
        <f>11117/(1000)</f>
        <v>11.117000000000001</v>
      </c>
      <c r="F166">
        <v>0.94199999999999995</v>
      </c>
      <c r="G166">
        <f>74400/(1000)</f>
        <v>74.400000000000006</v>
      </c>
      <c r="H166">
        <v>0.91900000000000004</v>
      </c>
      <c r="I166">
        <v>2.5000000000000001E-2</v>
      </c>
      <c r="J166">
        <v>0.29199999999999998</v>
      </c>
    </row>
    <row r="167" spans="1:10" x14ac:dyDescent="0.3">
      <c r="A167" s="19" t="s">
        <v>24</v>
      </c>
      <c r="B167" t="s">
        <v>21</v>
      </c>
      <c r="C167">
        <f>7554/(1000)</f>
        <v>7.5540000000000003</v>
      </c>
      <c r="D167">
        <v>5.8999999999999997E-2</v>
      </c>
      <c r="E167">
        <f>10878/(1000)</f>
        <v>10.878</v>
      </c>
      <c r="F167">
        <v>0.98299999999999998</v>
      </c>
      <c r="G167">
        <f>73000/(1000)</f>
        <v>73</v>
      </c>
      <c r="H167">
        <v>0.95499999999999996</v>
      </c>
      <c r="I167">
        <v>0.16</v>
      </c>
      <c r="J167">
        <v>0.67300000000000004</v>
      </c>
    </row>
    <row r="168" spans="1:10" x14ac:dyDescent="0.3">
      <c r="A168" s="19" t="s">
        <v>25</v>
      </c>
      <c r="B168" t="s">
        <v>21</v>
      </c>
      <c r="C168">
        <f>7464/(1000)</f>
        <v>7.4640000000000004</v>
      </c>
      <c r="D168">
        <v>2.7E-2</v>
      </c>
      <c r="E168">
        <f>10932/(1000)</f>
        <v>10.932</v>
      </c>
      <c r="F168">
        <v>0.94199999999999995</v>
      </c>
      <c r="G168">
        <f>72400/(1000)</f>
        <v>72.400000000000006</v>
      </c>
      <c r="H168">
        <v>0.91300000000000003</v>
      </c>
      <c r="I168">
        <v>0.17499999999999999</v>
      </c>
      <c r="J168">
        <v>0.33800000000000002</v>
      </c>
    </row>
    <row r="169" spans="1:10" x14ac:dyDescent="0.3">
      <c r="A169" s="18" t="s">
        <v>174</v>
      </c>
      <c r="B169" t="s">
        <v>78</v>
      </c>
      <c r="C169">
        <f>3512/(1000)</f>
        <v>3.512</v>
      </c>
      <c r="D169">
        <v>0.12</v>
      </c>
      <c r="E169">
        <f>7926/(1000)</f>
        <v>7.9260000000000002</v>
      </c>
      <c r="F169">
        <v>0.78700000000000003</v>
      </c>
      <c r="G169">
        <f>48700/(1000)</f>
        <v>48.7</v>
      </c>
      <c r="H169">
        <v>0.71499999999999997</v>
      </c>
      <c r="I169">
        <v>-0.13100000000000001</v>
      </c>
      <c r="J169">
        <v>0.91500000000000004</v>
      </c>
    </row>
    <row r="170" spans="1:10" x14ac:dyDescent="0.3">
      <c r="A170" s="18" t="s">
        <v>175</v>
      </c>
      <c r="B170" t="s">
        <v>78</v>
      </c>
      <c r="C170">
        <f>3467/(1000)</f>
        <v>3.4670000000000001</v>
      </c>
      <c r="D170">
        <v>7.3999999999999996E-2</v>
      </c>
      <c r="E170">
        <f>9782/(1000)</f>
        <v>9.782</v>
      </c>
      <c r="F170">
        <v>0.78400000000000003</v>
      </c>
      <c r="G170">
        <f>59269/(1000)</f>
        <v>59.268999999999998</v>
      </c>
      <c r="H170">
        <v>0.82399999999999995</v>
      </c>
      <c r="I170">
        <v>-0.246</v>
      </c>
      <c r="J170">
        <v>0.80100000000000005</v>
      </c>
    </row>
    <row r="171" spans="1:10" x14ac:dyDescent="0.3">
      <c r="A171" s="18" t="s">
        <v>176</v>
      </c>
      <c r="B171" t="s">
        <v>78</v>
      </c>
      <c r="C171">
        <f>3415/(1000)</f>
        <v>3.415</v>
      </c>
      <c r="D171">
        <v>6.8000000000000005E-2</v>
      </c>
      <c r="E171">
        <f>7676/(1000)</f>
        <v>7.6760000000000002</v>
      </c>
      <c r="F171">
        <v>0.55200000000000005</v>
      </c>
      <c r="G171">
        <f>61400/(1000)</f>
        <v>61.4</v>
      </c>
      <c r="H171">
        <v>0.89700000000000002</v>
      </c>
      <c r="I171">
        <v>6.0999999999999999E-2</v>
      </c>
      <c r="J171">
        <v>0.16700000000000001</v>
      </c>
    </row>
    <row r="172" spans="1:10" x14ac:dyDescent="0.3">
      <c r="A172" s="18" t="s">
        <v>177</v>
      </c>
      <c r="B172" t="s">
        <v>78</v>
      </c>
      <c r="C172">
        <f>3145/(1000)</f>
        <v>3.145</v>
      </c>
      <c r="D172">
        <v>5.8000000000000003E-2</v>
      </c>
      <c r="E172">
        <f>7943/(1000)</f>
        <v>7.9429999999999996</v>
      </c>
      <c r="F172">
        <v>0.75</v>
      </c>
      <c r="G172">
        <f>56201/(1000)</f>
        <v>56.201000000000001</v>
      </c>
      <c r="H172">
        <v>0.67700000000000005</v>
      </c>
      <c r="I172">
        <v>-4.7E-2</v>
      </c>
      <c r="J172">
        <v>0.82099999999999995</v>
      </c>
    </row>
    <row r="173" spans="1:10" x14ac:dyDescent="0.3">
      <c r="A173" s="18" t="s">
        <v>178</v>
      </c>
      <c r="B173" t="s">
        <v>116</v>
      </c>
      <c r="C173">
        <f>2523/(1000)</f>
        <v>2.5230000000000001</v>
      </c>
      <c r="D173">
        <v>3.7999999999999999E-2</v>
      </c>
      <c r="E173">
        <f>7695/(1000)</f>
        <v>7.6950000000000003</v>
      </c>
      <c r="F173">
        <v>0.46300000000000002</v>
      </c>
      <c r="G173">
        <f>52493/(1000)</f>
        <v>52.493000000000002</v>
      </c>
      <c r="H173">
        <v>0.38200000000000001</v>
      </c>
      <c r="I173">
        <v>-0.10199999999999999</v>
      </c>
      <c r="J173">
        <v>0.92400000000000004</v>
      </c>
    </row>
    <row r="174" spans="1:10" x14ac:dyDescent="0.3">
      <c r="C174" t="s">
        <v>2</v>
      </c>
      <c r="D174" t="s">
        <v>3</v>
      </c>
      <c r="E174" t="s">
        <v>6</v>
      </c>
      <c r="F174" t="s">
        <v>7</v>
      </c>
      <c r="G174" t="s">
        <v>8</v>
      </c>
      <c r="H174" t="s">
        <v>9</v>
      </c>
      <c r="I174" t="s">
        <v>10</v>
      </c>
      <c r="J174" t="s">
        <v>11</v>
      </c>
    </row>
    <row r="175" spans="1:10" x14ac:dyDescent="0.3">
      <c r="B175" t="s">
        <v>277</v>
      </c>
      <c r="C175">
        <f t="shared" ref="C175:J175" si="0">AVERAGE(C164:C168)</f>
        <v>7.6102000000000007</v>
      </c>
      <c r="D175">
        <f t="shared" si="0"/>
        <v>3.78E-2</v>
      </c>
      <c r="E175" s="1">
        <f t="shared" si="0"/>
        <v>10.927000000000001</v>
      </c>
      <c r="F175">
        <f t="shared" si="0"/>
        <v>0.95499999999999985</v>
      </c>
      <c r="G175">
        <f t="shared" si="0"/>
        <v>72.900000000000006</v>
      </c>
      <c r="H175">
        <f t="shared" si="0"/>
        <v>0.93640000000000012</v>
      </c>
      <c r="I175">
        <f t="shared" si="0"/>
        <v>5.8399999999999994E-2</v>
      </c>
      <c r="J175">
        <f t="shared" si="0"/>
        <v>0.33360000000000001</v>
      </c>
    </row>
    <row r="176" spans="1:10" x14ac:dyDescent="0.3">
      <c r="B176" t="s">
        <v>278</v>
      </c>
      <c r="C176">
        <f t="shared" ref="C176:J176" si="1">AVERAGE(C169:C173)</f>
        <v>3.2124000000000001</v>
      </c>
      <c r="D176">
        <f t="shared" si="1"/>
        <v>7.1599999999999997E-2</v>
      </c>
      <c r="E176" s="1">
        <f t="shared" si="1"/>
        <v>8.2043999999999997</v>
      </c>
      <c r="F176">
        <f t="shared" si="1"/>
        <v>0.66720000000000002</v>
      </c>
      <c r="G176">
        <f t="shared" si="1"/>
        <v>55.6126</v>
      </c>
      <c r="H176">
        <f t="shared" si="1"/>
        <v>0.69900000000000007</v>
      </c>
      <c r="I176">
        <f t="shared" si="1"/>
        <v>-9.2999999999999999E-2</v>
      </c>
      <c r="J176">
        <f t="shared" si="1"/>
        <v>0.72560000000000002</v>
      </c>
    </row>
  </sheetData>
  <sortState xmlns:xlrd2="http://schemas.microsoft.com/office/spreadsheetml/2017/richdata2" ref="A12:C160">
    <sortCondition ref="B12:B160"/>
  </sortState>
  <conditionalFormatting sqref="C12:C16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podatki</vt:lpstr>
      <vt:lpstr>analiza</vt:lpstr>
      <vt:lpstr>Sheet1</vt:lpstr>
      <vt:lpstr>Sheet2</vt:lpstr>
      <vt:lpstr>Sheet3</vt:lpstr>
      <vt:lpstr>Sheet4</vt:lpstr>
      <vt:lpstr>Sheet7</vt:lpstr>
      <vt:lpstr>Sheet5</vt:lpstr>
      <vt:lpstr>Sheet6</vt:lpstr>
      <vt:lpstr>Sheet4!Criteria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Veler, Jakob Urh</dc:creator>
  <cp:lastModifiedBy>Veler, Jakob Urh</cp:lastModifiedBy>
  <dcterms:created xsi:type="dcterms:W3CDTF">2025-05-28T19:50:33Z</dcterms:created>
  <dcterms:modified xsi:type="dcterms:W3CDTF">2025-06-04T17:38:43Z</dcterms:modified>
</cp:coreProperties>
</file>