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Automob\"/>
    </mc:Choice>
  </mc:AlternateContent>
  <xr:revisionPtr revIDLastSave="0" documentId="13_ncr:1_{FF3A97F6-708D-4538-8569-459A7606704E}" xr6:coauthVersionLast="47" xr6:coauthVersionMax="47" xr10:uidLastSave="{00000000-0000-0000-0000-000000000000}"/>
  <bookViews>
    <workbookView xWindow="-120" yWindow="-120" windowWidth="19440" windowHeight="15000" tabRatio="500" activeTab="1" xr2:uid="{00000000-000D-0000-FFFF-FFFF00000000}"/>
  </bookViews>
  <sheets>
    <sheet name="Simulador" sheetId="1" r:id="rId1"/>
    <sheet name="DRE" sheetId="2" r:id="rId2"/>
  </sheets>
  <calcPr calcId="18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" i="2" l="1"/>
  <c r="E6" i="2"/>
  <c r="F6" i="2"/>
  <c r="G6" i="2"/>
  <c r="G7" i="2"/>
  <c r="G8" i="2"/>
  <c r="G9" i="2"/>
  <c r="G10" i="2"/>
  <c r="G11" i="2"/>
  <c r="G14" i="2"/>
  <c r="G4" i="2"/>
  <c r="G15" i="2"/>
  <c r="G16" i="2"/>
  <c r="G17" i="2"/>
  <c r="G18" i="2"/>
  <c r="F7" i="2"/>
  <c r="F8" i="2"/>
  <c r="F9" i="2"/>
  <c r="F10" i="2"/>
  <c r="F11" i="2"/>
  <c r="F14" i="2"/>
  <c r="F4" i="2"/>
  <c r="F15" i="2"/>
  <c r="F16" i="2"/>
  <c r="F17" i="2"/>
  <c r="F18" i="2"/>
  <c r="E7" i="2"/>
  <c r="E8" i="2"/>
  <c r="E9" i="2"/>
  <c r="E10" i="2"/>
  <c r="E11" i="2"/>
  <c r="E14" i="2"/>
  <c r="E4" i="2"/>
  <c r="E15" i="2"/>
  <c r="E16" i="2"/>
  <c r="E17" i="2"/>
  <c r="E18" i="2"/>
  <c r="D7" i="2"/>
  <c r="D8" i="2"/>
  <c r="D9" i="2"/>
  <c r="D10" i="2"/>
  <c r="D11" i="2"/>
  <c r="D14" i="2"/>
  <c r="D4" i="2"/>
  <c r="D15" i="2"/>
  <c r="D16" i="2"/>
  <c r="D17" i="2"/>
  <c r="D18" i="2"/>
  <c r="C7" i="2"/>
  <c r="C8" i="2"/>
  <c r="C9" i="2"/>
  <c r="C10" i="2"/>
  <c r="C11" i="2"/>
  <c r="C14" i="2"/>
  <c r="C4" i="2"/>
  <c r="C15" i="2"/>
  <c r="C16" i="2"/>
  <c r="C17" i="2"/>
  <c r="C18" i="2"/>
  <c r="G5" i="2"/>
  <c r="F5" i="2"/>
  <c r="E5" i="2"/>
  <c r="D5" i="2"/>
  <c r="C5" i="2"/>
  <c r="D4" i="1"/>
  <c r="D6" i="1"/>
  <c r="E4" i="1"/>
  <c r="C17" i="1"/>
  <c r="D9" i="1"/>
  <c r="D10" i="1"/>
  <c r="D20" i="1"/>
  <c r="D21" i="1"/>
  <c r="E6" i="1"/>
  <c r="F4" i="1"/>
  <c r="E9" i="1"/>
  <c r="E10" i="1"/>
  <c r="E20" i="1"/>
  <c r="E21" i="1"/>
  <c r="F6" i="1"/>
  <c r="G4" i="1"/>
  <c r="F9" i="1"/>
  <c r="F10" i="1"/>
  <c r="F20" i="1"/>
  <c r="F21" i="1"/>
  <c r="G6" i="1"/>
  <c r="H4" i="1"/>
  <c r="G9" i="1"/>
  <c r="G10" i="1"/>
  <c r="G20" i="1"/>
  <c r="G21" i="1"/>
  <c r="H6" i="1"/>
  <c r="H9" i="1"/>
  <c r="H10" i="1"/>
  <c r="H20" i="1"/>
  <c r="H21" i="1"/>
  <c r="C21" i="1"/>
  <c r="I20" i="1"/>
  <c r="H22" i="1"/>
  <c r="C24" i="1"/>
  <c r="C25" i="1"/>
  <c r="C29" i="1"/>
  <c r="C35" i="1"/>
  <c r="C34" i="1"/>
  <c r="C33" i="1"/>
  <c r="D3" i="1"/>
  <c r="E3" i="1"/>
  <c r="F3" i="1"/>
  <c r="G3" i="1"/>
  <c r="H3" i="1"/>
</calcChain>
</file>

<file path=xl/sharedStrings.xml><?xml version="1.0" encoding="utf-8"?>
<sst xmlns="http://schemas.openxmlformats.org/spreadsheetml/2006/main" count="44" uniqueCount="41">
  <si>
    <t>Receita Bruta</t>
  </si>
  <si>
    <t>(-) Deduções (PIS/COFINS/ISS)</t>
  </si>
  <si>
    <t>Receita Líquida</t>
  </si>
  <si>
    <t>(-) Custo dos serviços ou produtos vendidos</t>
  </si>
  <si>
    <t>Lucro Bruto</t>
  </si>
  <si>
    <t>Fluxo de Caixa</t>
  </si>
  <si>
    <t>Ano</t>
  </si>
  <si>
    <t>Despesas gerais e administrativas</t>
  </si>
  <si>
    <t>Despesas de vendas e marketing</t>
  </si>
  <si>
    <t>Faturamento projetado</t>
  </si>
  <si>
    <t>Resultado operacional</t>
  </si>
  <si>
    <t>Despesas financeiras</t>
  </si>
  <si>
    <t>Receitas Financeiras</t>
  </si>
  <si>
    <t>Resultado antes dos impostos</t>
  </si>
  <si>
    <t>Margem líquida</t>
  </si>
  <si>
    <t>IR</t>
  </si>
  <si>
    <t>CSLL</t>
  </si>
  <si>
    <t>Resultado do Exercício</t>
  </si>
  <si>
    <t>Depreciação de ativos permanentes</t>
  </si>
  <si>
    <t>Margem Líquida</t>
  </si>
  <si>
    <t>Investimentos em ativos permanentes</t>
  </si>
  <si>
    <t>Investimentos em capital de giro</t>
  </si>
  <si>
    <t>Fluxo de Caixa Livre Projetado</t>
  </si>
  <si>
    <t>Custo de Capital</t>
  </si>
  <si>
    <t>Taxa de crescimento g</t>
  </si>
  <si>
    <t>Prazo médio de estocagem</t>
  </si>
  <si>
    <t>Prazo médio de fornecedores</t>
  </si>
  <si>
    <t>Prazo médio de recebimento</t>
  </si>
  <si>
    <t>Prazo médio de necessidade de capital de giro</t>
  </si>
  <si>
    <t>Valor Presente do Fluxo de Caixa Livre</t>
  </si>
  <si>
    <t>Perpetuidade</t>
  </si>
  <si>
    <t>Valor Presente da Perpetuidade</t>
  </si>
  <si>
    <t>Valor da Firma</t>
  </si>
  <si>
    <t>Financiamentos</t>
  </si>
  <si>
    <t>Caixa e Aplicações Financeiras</t>
  </si>
  <si>
    <t>Contingências potenciais</t>
  </si>
  <si>
    <t>Valor das ações</t>
  </si>
  <si>
    <t>Intervalo de segurança</t>
  </si>
  <si>
    <t>Cenário pessimista</t>
  </si>
  <si>
    <t>Cenário realista</t>
  </si>
  <si>
    <t>Cenário otimista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</si>
</sst>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#,##0;\(#,##0\);\-"/>
  </numFmts>
  <fonts count="8" x14ac:knownFonts="1">
    <font>
      <sz val="12"/>
      <color rgb="FF00000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FFFFFF"/>
      <name val="Arial"/>
      <family val="2"/>
    </font>
    <font>
      <sz val="11"/>
      <color rgb="FF0E2340"/>
      <name val="Arial"/>
      <family val="2"/>
    </font>
    <font>
      <sz val="11"/>
      <color rgb="FF555555"/>
      <name val="Arial"/>
      <family val="2"/>
    </font>
    <font>
      <sz val="11"/>
      <color theme="0"/>
      <name val="Arial"/>
      <family val="2"/>
    </font>
    <font>
      <b/>
      <sz val="12"/>
      <color rgb="FF0070C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3155A6"/>
        <bgColor rgb="FF3155A6"/>
      </patternFill>
    </fill>
    <fill>
      <patternFill patternType="solid">
        <fgColor rgb="FF9ACA3C"/>
        <bgColor rgb="FF9ACA3C"/>
      </patternFill>
    </fill>
    <fill>
      <patternFill patternType="solid">
        <fgColor rgb="FF9ACA3C"/>
        <bgColor rgb="FF008000"/>
      </patternFill>
    </fill>
    <fill>
      <patternFill patternType="solid">
        <fgColor rgb="FF3155A6"/>
        <bgColor rgb="FF00009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8000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165" fontId="1" fillId="0" borderId="3" xfId="0" applyNumberFormat="1" applyFont="1" applyBorder="1"/>
    <xf numFmtId="0" fontId="4" fillId="0" borderId="0" xfId="0" applyFont="1"/>
    <xf numFmtId="0" fontId="3" fillId="2" borderId="3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9" fontId="3" fillId="3" borderId="3" xfId="0" applyNumberFormat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165" fontId="5" fillId="0" borderId="3" xfId="0" applyNumberFormat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165" fontId="3" fillId="3" borderId="3" xfId="0" applyNumberFormat="1" applyFont="1" applyFill="1" applyBorder="1" applyAlignment="1">
      <alignment vertical="center"/>
    </xf>
    <xf numFmtId="0" fontId="5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165" fontId="1" fillId="0" borderId="0" xfId="0" applyNumberFormat="1" applyFont="1"/>
    <xf numFmtId="165" fontId="5" fillId="0" borderId="4" xfId="0" applyNumberFormat="1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165" fontId="4" fillId="0" borderId="0" xfId="0" applyNumberFormat="1" applyFont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10" fontId="3" fillId="3" borderId="2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10" fontId="3" fillId="3" borderId="3" xfId="0" applyNumberFormat="1" applyFont="1" applyFill="1" applyBorder="1" applyAlignment="1">
      <alignment horizontal="center" vertical="center"/>
    </xf>
    <xf numFmtId="1" fontId="3" fillId="3" borderId="3" xfId="0" applyNumberFormat="1" applyFont="1" applyFill="1" applyBorder="1" applyAlignment="1">
      <alignment horizontal="center" vertical="center"/>
    </xf>
    <xf numFmtId="1" fontId="5" fillId="0" borderId="4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165" fontId="5" fillId="0" borderId="5" xfId="0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165" fontId="5" fillId="0" borderId="2" xfId="0" applyNumberFormat="1" applyFont="1" applyBorder="1" applyAlignment="1">
      <alignment vertical="center"/>
    </xf>
    <xf numFmtId="165" fontId="3" fillId="2" borderId="3" xfId="0" applyNumberFormat="1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165" fontId="3" fillId="2" borderId="4" xfId="0" applyNumberFormat="1" applyFont="1" applyFill="1" applyBorder="1" applyAlignment="1">
      <alignment vertical="center"/>
    </xf>
    <xf numFmtId="0" fontId="3" fillId="0" borderId="0" xfId="0" applyFont="1"/>
    <xf numFmtId="0" fontId="3" fillId="4" borderId="3" xfId="0" applyFont="1" applyFill="1" applyBorder="1" applyAlignment="1">
      <alignment horizontal="left"/>
    </xf>
    <xf numFmtId="165" fontId="3" fillId="4" borderId="3" xfId="0" applyNumberFormat="1" applyFont="1" applyFill="1" applyBorder="1"/>
    <xf numFmtId="0" fontId="3" fillId="5" borderId="2" xfId="0" applyFont="1" applyFill="1" applyBorder="1" applyAlignment="1">
      <alignment horizontal="left"/>
    </xf>
    <xf numFmtId="164" fontId="3" fillId="5" borderId="2" xfId="0" applyNumberFormat="1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left"/>
    </xf>
    <xf numFmtId="165" fontId="3" fillId="5" borderId="3" xfId="0" applyNumberFormat="1" applyFont="1" applyFill="1" applyBorder="1"/>
    <xf numFmtId="0" fontId="3" fillId="5" borderId="4" xfId="0" applyFont="1" applyFill="1" applyBorder="1" applyAlignment="1">
      <alignment horizontal="left"/>
    </xf>
    <xf numFmtId="165" fontId="3" fillId="5" borderId="4" xfId="0" applyNumberFormat="1" applyFont="1" applyFill="1" applyBorder="1"/>
    <xf numFmtId="0" fontId="3" fillId="5" borderId="5" xfId="0" applyFont="1" applyFill="1" applyBorder="1"/>
    <xf numFmtId="10" fontId="3" fillId="5" borderId="5" xfId="0" applyNumberFormat="1" applyFont="1" applyFill="1" applyBorder="1"/>
    <xf numFmtId="10" fontId="6" fillId="6" borderId="0" xfId="0" applyNumberFormat="1" applyFont="1" applyFill="1"/>
    <xf numFmtId="0" fontId="6" fillId="6" borderId="0" xfId="0" applyFont="1" applyFill="1"/>
    <xf numFmtId="9" fontId="6" fillId="7" borderId="0" xfId="0" applyNumberFormat="1" applyFont="1" applyFill="1"/>
    <xf numFmtId="0" fontId="4" fillId="0" borderId="6" xfId="0" applyFont="1" applyBorder="1" applyAlignment="1">
      <alignment horizontal="center" vertical="center"/>
    </xf>
    <xf numFmtId="0" fontId="0" fillId="0" borderId="0" xfId="0"/>
    <xf numFmtId="0" fontId="7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3155A6"/>
      <color rgb="FF9ACA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18"/>
  <c:chart>
    <c:autoTitleDeleted val="1"/>
    <c:plotArea>
      <c:layout>
        <c:manualLayout>
          <c:xMode val="edge"/>
          <c:yMode val="edge"/>
          <c:x val="0.29393449704103097"/>
          <c:y val="6.3229596199943394E-2"/>
          <c:w val="0.67203084120186896"/>
          <c:h val="0.87354080760011299"/>
        </c:manualLayout>
      </c:layout>
      <c:barChart>
        <c:barDir val="bar"/>
        <c:grouping val="clustered"/>
        <c:varyColors val="1"/>
        <c:ser>
          <c:idx val="0"/>
          <c:order val="0"/>
          <c:spPr>
            <a:solidFill>
              <a:srgbClr val="3155A6"/>
            </a:solidFill>
          </c:spPr>
          <c:invertIfNegative val="1"/>
          <c:cat>
            <c:strRef>
              <c:f>Simulador!$B$33:$B$35</c:f>
              <c:strCache>
                <c:ptCount val="3"/>
                <c:pt idx="0">
                  <c:v>Cenário pessimista</c:v>
                </c:pt>
                <c:pt idx="1">
                  <c:v>Cenário realista</c:v>
                </c:pt>
                <c:pt idx="2">
                  <c:v>Cenário otimista</c:v>
                </c:pt>
              </c:strCache>
            </c:strRef>
          </c:cat>
          <c:val>
            <c:numRef>
              <c:f>Simulador!$C$33:$C$35</c:f>
              <c:numCache>
                <c:formatCode>#,##0;\(#,##0\);\-</c:formatCode>
                <c:ptCount val="3"/>
                <c:pt idx="0">
                  <c:v>9169964.0530641656</c:v>
                </c:pt>
                <c:pt idx="1">
                  <c:v>10788193.003604902</c:v>
                </c:pt>
                <c:pt idx="2">
                  <c:v>12406421.954145636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067A-4392-8A9F-BCC3013BC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6471696"/>
        <c:axId val="2127988928"/>
      </c:barChart>
      <c:catAx>
        <c:axId val="2136471696"/>
        <c:scaling>
          <c:orientation val="maxMin"/>
        </c:scaling>
        <c:delete val="0"/>
        <c:axPos val="l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1200" b="1" i="0">
                <a:solidFill>
                  <a:srgbClr val="555555"/>
                </a:solidFill>
              </a:defRPr>
            </a:pPr>
            <a:endParaRPr lang="pt-BR"/>
          </a:p>
        </c:txPr>
        <c:crossAx val="2127988928"/>
        <c:crosses val="autoZero"/>
        <c:auto val="1"/>
        <c:lblAlgn val="ctr"/>
        <c:lblOffset val="100"/>
        <c:noMultiLvlLbl val="1"/>
      </c:catAx>
      <c:valAx>
        <c:axId val="2127988928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numFmt formatCode="#,##0;\(#,##0\);\-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pt-BR"/>
          </a:p>
        </c:txPr>
        <c:crossAx val="2136471696"/>
        <c:crosses val="max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22</xdr:row>
      <xdr:rowOff>114300</xdr:rowOff>
    </xdr:from>
    <xdr:to>
      <xdr:col>8</xdr:col>
      <xdr:colOff>790575</xdr:colOff>
      <xdr:row>34</xdr:row>
      <xdr:rowOff>133350</xdr:rowOff>
    </xdr:to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sqref="A1:I1"/>
    </sheetView>
  </sheetViews>
  <sheetFormatPr defaultColWidth="11.125" defaultRowHeight="15" customHeight="1" x14ac:dyDescent="0.25"/>
  <cols>
    <col min="1" max="1" width="4.625" customWidth="1"/>
    <col min="2" max="2" width="39.5" customWidth="1"/>
    <col min="3" max="3" width="10.5" customWidth="1"/>
    <col min="4" max="8" width="11.625" customWidth="1"/>
    <col min="9" max="9" width="10.875" customWidth="1"/>
    <col min="10" max="10" width="12.125" customWidth="1"/>
    <col min="11" max="26" width="10.5" customWidth="1"/>
  </cols>
  <sheetData>
    <row r="1" spans="1:26" ht="20.25" customHeight="1" x14ac:dyDescent="0.25">
      <c r="A1" s="57"/>
      <c r="B1" s="58"/>
      <c r="C1" s="58"/>
      <c r="D1" s="58"/>
      <c r="E1" s="58"/>
      <c r="F1" s="58"/>
      <c r="G1" s="58"/>
      <c r="H1" s="58"/>
      <c r="I1" s="58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5">
      <c r="A2" s="5"/>
      <c r="B2" s="6" t="s">
        <v>5</v>
      </c>
      <c r="C2" s="7"/>
      <c r="D2" s="7"/>
      <c r="E2" s="7"/>
      <c r="F2" s="7"/>
      <c r="G2" s="7"/>
      <c r="H2" s="7"/>
      <c r="I2" s="7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5">
      <c r="A3" s="5"/>
      <c r="B3" s="8" t="s">
        <v>6</v>
      </c>
      <c r="C3" s="9">
        <v>2017</v>
      </c>
      <c r="D3" s="8">
        <f t="shared" ref="D3:H3" si="0">C3+1</f>
        <v>2018</v>
      </c>
      <c r="E3" s="8">
        <f t="shared" si="0"/>
        <v>2019</v>
      </c>
      <c r="F3" s="8">
        <f t="shared" si="0"/>
        <v>2020</v>
      </c>
      <c r="G3" s="8">
        <f t="shared" si="0"/>
        <v>2021</v>
      </c>
      <c r="H3" s="8">
        <f t="shared" si="0"/>
        <v>2022</v>
      </c>
      <c r="I3" s="7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5">
      <c r="A4" s="5"/>
      <c r="B4" s="10" t="s">
        <v>9</v>
      </c>
      <c r="C4" s="11"/>
      <c r="D4" s="12">
        <f>DRE!C6</f>
        <v>10000000</v>
      </c>
      <c r="E4" s="12">
        <f>DRE!D6</f>
        <v>11000000</v>
      </c>
      <c r="F4" s="12">
        <f>DRE!E6</f>
        <v>12000000</v>
      </c>
      <c r="G4" s="12">
        <f>DRE!F6</f>
        <v>13000000</v>
      </c>
      <c r="H4" s="12">
        <f>DRE!G6</f>
        <v>14000000</v>
      </c>
      <c r="I4" s="7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25">
      <c r="A5" s="5"/>
      <c r="B5" s="13" t="s">
        <v>14</v>
      </c>
      <c r="C5" s="14"/>
      <c r="D5" s="15">
        <v>0.2</v>
      </c>
      <c r="E5" s="15">
        <v>0.2</v>
      </c>
      <c r="F5" s="15">
        <v>0.2</v>
      </c>
      <c r="G5" s="15">
        <v>0.2</v>
      </c>
      <c r="H5" s="15">
        <v>0.2</v>
      </c>
      <c r="I5" s="7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5">
      <c r="A6" s="5"/>
      <c r="B6" s="16" t="s">
        <v>17</v>
      </c>
      <c r="C6" s="17"/>
      <c r="D6" s="18">
        <f t="shared" ref="D6:H6" si="1">D4*D5</f>
        <v>2000000</v>
      </c>
      <c r="E6" s="18">
        <f t="shared" si="1"/>
        <v>2200000</v>
      </c>
      <c r="F6" s="18">
        <f t="shared" si="1"/>
        <v>2400000</v>
      </c>
      <c r="G6" s="18">
        <f t="shared" si="1"/>
        <v>2600000</v>
      </c>
      <c r="H6" s="18">
        <f t="shared" si="1"/>
        <v>2800000</v>
      </c>
      <c r="I6" s="7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25">
      <c r="A7" s="5"/>
      <c r="B7" s="13" t="s">
        <v>18</v>
      </c>
      <c r="C7" s="19"/>
      <c r="D7" s="20">
        <v>50000</v>
      </c>
      <c r="E7" s="20">
        <v>50000</v>
      </c>
      <c r="F7" s="20">
        <v>50000</v>
      </c>
      <c r="G7" s="20">
        <v>50000</v>
      </c>
      <c r="H7" s="20">
        <v>50000</v>
      </c>
      <c r="I7" s="7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25">
      <c r="A8" s="5"/>
      <c r="B8" s="13" t="s">
        <v>20</v>
      </c>
      <c r="C8" s="19"/>
      <c r="D8" s="20">
        <v>100000</v>
      </c>
      <c r="E8" s="20">
        <v>100000</v>
      </c>
      <c r="F8" s="20">
        <v>20000</v>
      </c>
      <c r="G8" s="20">
        <v>20000</v>
      </c>
      <c r="H8" s="20">
        <v>20000</v>
      </c>
      <c r="I8" s="7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25">
      <c r="A9" s="5"/>
      <c r="B9" s="16" t="s">
        <v>21</v>
      </c>
      <c r="C9" s="17"/>
      <c r="D9" s="18">
        <f t="shared" ref="D9:G9" si="2">(E4-D4)*($C$17/365)</f>
        <v>95890.410958904104</v>
      </c>
      <c r="E9" s="18">
        <f t="shared" si="2"/>
        <v>95890.410958904104</v>
      </c>
      <c r="F9" s="18">
        <f t="shared" si="2"/>
        <v>95890.410958904104</v>
      </c>
      <c r="G9" s="18">
        <f t="shared" si="2"/>
        <v>95890.410958904104</v>
      </c>
      <c r="H9" s="18">
        <f>((H4*(1+C13))-H4)*(C17/365)</f>
        <v>80547.945205479453</v>
      </c>
      <c r="I9" s="7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5">
      <c r="A10" s="5"/>
      <c r="B10" s="21" t="s">
        <v>22</v>
      </c>
      <c r="C10" s="22"/>
      <c r="D10" s="24">
        <f t="shared" ref="D10:H10" si="3">D6+D7-D8-D9</f>
        <v>1854109.5890410959</v>
      </c>
      <c r="E10" s="24">
        <f t="shared" si="3"/>
        <v>2054109.5890410959</v>
      </c>
      <c r="F10" s="24">
        <f t="shared" si="3"/>
        <v>2334109.5890410957</v>
      </c>
      <c r="G10" s="24">
        <f t="shared" si="3"/>
        <v>2534109.5890410957</v>
      </c>
      <c r="H10" s="24">
        <f t="shared" si="3"/>
        <v>2749452.0547945206</v>
      </c>
      <c r="I10" s="7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25">
      <c r="A11" s="5"/>
      <c r="B11" s="25"/>
      <c r="C11" s="25"/>
      <c r="D11" s="26"/>
      <c r="E11" s="26"/>
      <c r="F11" s="26"/>
      <c r="G11" s="26"/>
      <c r="H11" s="26"/>
      <c r="I11" s="7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25">
      <c r="A12" s="5"/>
      <c r="B12" s="27" t="s">
        <v>23</v>
      </c>
      <c r="C12" s="28">
        <v>0.25</v>
      </c>
      <c r="D12" s="7"/>
      <c r="E12" s="7"/>
      <c r="F12" s="7"/>
      <c r="G12" s="7"/>
      <c r="H12" s="7"/>
      <c r="I12" s="7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25">
      <c r="A13" s="5"/>
      <c r="B13" s="29" t="s">
        <v>24</v>
      </c>
      <c r="C13" s="30">
        <v>0.06</v>
      </c>
      <c r="D13" s="7"/>
      <c r="E13" s="7"/>
      <c r="F13" s="5"/>
      <c r="G13" s="7"/>
      <c r="H13" s="7"/>
      <c r="I13" s="7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25">
      <c r="A14" s="5"/>
      <c r="B14" s="29" t="s">
        <v>25</v>
      </c>
      <c r="C14" s="31">
        <v>20</v>
      </c>
      <c r="D14" s="7"/>
      <c r="E14" s="7"/>
      <c r="F14" s="7"/>
      <c r="G14" s="7"/>
      <c r="H14" s="7"/>
      <c r="I14" s="7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25">
      <c r="A15" s="5"/>
      <c r="B15" s="29" t="s">
        <v>26</v>
      </c>
      <c r="C15" s="31">
        <v>15</v>
      </c>
      <c r="D15" s="7"/>
      <c r="E15" s="7"/>
      <c r="F15" s="7"/>
      <c r="G15" s="7"/>
      <c r="H15" s="7"/>
      <c r="I15" s="7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25">
      <c r="A16" s="5"/>
      <c r="B16" s="29" t="s">
        <v>27</v>
      </c>
      <c r="C16" s="31">
        <v>30</v>
      </c>
      <c r="D16" s="7"/>
      <c r="E16" s="7"/>
      <c r="F16" s="7"/>
      <c r="G16" s="7"/>
      <c r="H16" s="7"/>
      <c r="I16" s="7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25">
      <c r="A17" s="5"/>
      <c r="B17" s="21" t="s">
        <v>28</v>
      </c>
      <c r="C17" s="32">
        <f>C14-C15+C16</f>
        <v>35</v>
      </c>
      <c r="D17" s="7"/>
      <c r="E17" s="7"/>
      <c r="F17" s="7"/>
      <c r="G17" s="7"/>
      <c r="H17" s="7"/>
      <c r="I17" s="7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9.75" customHeight="1" x14ac:dyDescent="0.25">
      <c r="A18" s="5"/>
      <c r="B18" s="7"/>
      <c r="C18" s="7"/>
      <c r="D18" s="7"/>
      <c r="E18" s="7"/>
      <c r="F18" s="7"/>
      <c r="G18" s="7"/>
      <c r="H18" s="7"/>
      <c r="I18" s="7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25">
      <c r="A19" s="5"/>
      <c r="B19" s="8" t="s">
        <v>6</v>
      </c>
      <c r="C19" s="8">
        <v>0</v>
      </c>
      <c r="D19" s="8">
        <v>1</v>
      </c>
      <c r="E19" s="8">
        <v>2</v>
      </c>
      <c r="F19" s="8">
        <v>3</v>
      </c>
      <c r="G19" s="8">
        <v>4</v>
      </c>
      <c r="H19" s="8">
        <v>5</v>
      </c>
      <c r="I19" s="8">
        <v>6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5">
      <c r="A20" s="5"/>
      <c r="B20" s="33" t="s">
        <v>22</v>
      </c>
      <c r="C20" s="33"/>
      <c r="D20" s="34">
        <f t="shared" ref="D20:H20" si="4">D10</f>
        <v>1854109.5890410959</v>
      </c>
      <c r="E20" s="34">
        <f t="shared" si="4"/>
        <v>2054109.5890410959</v>
      </c>
      <c r="F20" s="34">
        <f t="shared" si="4"/>
        <v>2334109.5890410957</v>
      </c>
      <c r="G20" s="34">
        <f t="shared" si="4"/>
        <v>2534109.5890410957</v>
      </c>
      <c r="H20" s="34">
        <f t="shared" si="4"/>
        <v>2749452.0547945206</v>
      </c>
      <c r="I20" s="34">
        <f>H20*(1+C13)</f>
        <v>2914419.1780821919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5">
      <c r="A21" s="5"/>
      <c r="B21" s="33" t="s">
        <v>29</v>
      </c>
      <c r="C21" s="34">
        <f>SUM(D21:H21)</f>
        <v>5931893.6547945198</v>
      </c>
      <c r="D21" s="34">
        <f t="shared" ref="D21:H21" si="5">D20/(1+$C$12)^D19</f>
        <v>1483287.6712328768</v>
      </c>
      <c r="E21" s="34">
        <f t="shared" si="5"/>
        <v>1314630.1369863013</v>
      </c>
      <c r="F21" s="34">
        <f t="shared" si="5"/>
        <v>1195064.109589041</v>
      </c>
      <c r="G21" s="34">
        <f t="shared" si="5"/>
        <v>1037971.2876712328</v>
      </c>
      <c r="H21" s="34">
        <f t="shared" si="5"/>
        <v>900940.44931506854</v>
      </c>
      <c r="I21" s="3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5">
      <c r="A22" s="5"/>
      <c r="B22" s="33" t="s">
        <v>30</v>
      </c>
      <c r="C22" s="35"/>
      <c r="D22" s="35"/>
      <c r="E22" s="35"/>
      <c r="F22" s="35"/>
      <c r="G22" s="35"/>
      <c r="H22" s="34">
        <f>I20/(C12-C13)</f>
        <v>15339048.305695746</v>
      </c>
      <c r="I22" s="3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5">
      <c r="A23" s="5"/>
      <c r="B23" s="5"/>
      <c r="C23" s="5"/>
      <c r="D23" s="7"/>
      <c r="E23" s="7"/>
      <c r="F23" s="7"/>
      <c r="G23" s="7"/>
      <c r="H23" s="7"/>
      <c r="I23" s="7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5">
      <c r="A24" s="5"/>
      <c r="B24" s="36" t="s">
        <v>31</v>
      </c>
      <c r="C24" s="37">
        <f>H22/(1+C12)^H19</f>
        <v>5026299.3488103822</v>
      </c>
      <c r="D24" s="7"/>
      <c r="E24" s="7"/>
      <c r="F24" s="7"/>
      <c r="G24" s="7"/>
      <c r="H24" s="7"/>
      <c r="I24" s="7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5">
      <c r="A25" s="5"/>
      <c r="B25" s="6" t="s">
        <v>32</v>
      </c>
      <c r="C25" s="38">
        <f>+C21+C24</f>
        <v>10958193.003604902</v>
      </c>
      <c r="D25" s="7"/>
      <c r="E25" s="7"/>
      <c r="F25" s="7"/>
      <c r="G25" s="7"/>
      <c r="H25" s="7"/>
      <c r="I25" s="7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5">
      <c r="A26" s="5"/>
      <c r="B26" s="13" t="s">
        <v>33</v>
      </c>
      <c r="C26" s="20">
        <v>200000</v>
      </c>
      <c r="D26" s="7"/>
      <c r="E26" s="7"/>
      <c r="F26" s="7"/>
      <c r="G26" s="7"/>
      <c r="H26" s="7"/>
      <c r="I26" s="7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5">
      <c r="A27" s="5"/>
      <c r="B27" s="13" t="s">
        <v>34</v>
      </c>
      <c r="C27" s="20">
        <v>50000</v>
      </c>
      <c r="D27" s="7"/>
      <c r="E27" s="7"/>
      <c r="F27" s="7"/>
      <c r="G27" s="7"/>
      <c r="H27" s="7"/>
      <c r="I27" s="7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5">
      <c r="A28" s="5"/>
      <c r="B28" s="13" t="s">
        <v>35</v>
      </c>
      <c r="C28" s="20">
        <v>20000</v>
      </c>
      <c r="D28" s="55"/>
      <c r="E28" s="56"/>
      <c r="F28" s="26"/>
      <c r="G28" s="7"/>
      <c r="H28" s="7"/>
      <c r="I28" s="7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5">
      <c r="A29" s="5"/>
      <c r="B29" s="39" t="s">
        <v>36</v>
      </c>
      <c r="C29" s="40">
        <f>C25+C27-C26-C28</f>
        <v>10788193.003604902</v>
      </c>
      <c r="D29" s="7"/>
      <c r="E29" s="7"/>
      <c r="F29" s="7"/>
      <c r="G29" s="7"/>
      <c r="H29" s="7"/>
      <c r="I29" s="7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5">
      <c r="A30" s="5"/>
      <c r="B30" s="41"/>
      <c r="C30" s="41"/>
      <c r="D30" s="7"/>
      <c r="E30" s="7"/>
      <c r="F30" s="7"/>
      <c r="G30" s="7"/>
      <c r="H30" s="7"/>
      <c r="I30" s="7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5">
      <c r="A31" s="5"/>
      <c r="B31" s="41"/>
      <c r="C31" s="41"/>
      <c r="D31" s="7"/>
      <c r="E31" s="7"/>
      <c r="F31" s="7"/>
      <c r="G31" s="7"/>
      <c r="H31" s="7"/>
      <c r="I31" s="7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5">
      <c r="A32" s="5"/>
      <c r="B32" s="10" t="s">
        <v>37</v>
      </c>
      <c r="C32" s="28">
        <v>0.15</v>
      </c>
      <c r="D32" s="7"/>
      <c r="E32" s="7"/>
      <c r="F32" s="7"/>
      <c r="G32" s="7"/>
      <c r="H32" s="7"/>
      <c r="I32" s="7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5">
      <c r="A33" s="5"/>
      <c r="B33" s="6" t="s">
        <v>38</v>
      </c>
      <c r="C33" s="38">
        <f>C29*(1-C32)</f>
        <v>9169964.0530641656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5">
      <c r="A34" s="5"/>
      <c r="B34" s="6" t="s">
        <v>39</v>
      </c>
      <c r="C34" s="38">
        <f>C29</f>
        <v>10788193.003604902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5">
      <c r="A35" s="5"/>
      <c r="B35" s="39" t="s">
        <v>40</v>
      </c>
      <c r="C35" s="40">
        <f>C29*(1+C32)</f>
        <v>12406421.954145636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D28:E28"/>
    <mergeCell ref="A1:I1"/>
  </mergeCell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showGridLines="0" showRowColHeaders="0" tabSelected="1" workbookViewId="0">
      <selection activeCell="C3" sqref="C3"/>
    </sheetView>
  </sheetViews>
  <sheetFormatPr defaultColWidth="11.125" defaultRowHeight="15" customHeight="1" x14ac:dyDescent="0.25"/>
  <cols>
    <col min="1" max="1" width="6.5" customWidth="1"/>
    <col min="2" max="2" width="39.125" customWidth="1"/>
    <col min="3" max="3" width="11.625" customWidth="1"/>
    <col min="4" max="4" width="11.5" customWidth="1"/>
    <col min="5" max="7" width="11.625" customWidth="1"/>
    <col min="8" max="26" width="10.5" customWidth="1"/>
  </cols>
  <sheetData>
    <row r="1" spans="1:26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"/>
      <c r="B3" s="1"/>
      <c r="C3" s="2">
        <v>2018</v>
      </c>
      <c r="D3" s="2">
        <v>2019</v>
      </c>
      <c r="E3" s="2">
        <v>2020</v>
      </c>
      <c r="F3" s="2">
        <v>2021</v>
      </c>
      <c r="G3" s="2">
        <v>2022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"/>
      <c r="B4" s="44" t="s">
        <v>0</v>
      </c>
      <c r="C4" s="45">
        <f t="shared" ref="C4:G4" si="0">C6/(1-$A$5)</f>
        <v>10946907.498631638</v>
      </c>
      <c r="D4" s="45">
        <f t="shared" si="0"/>
        <v>12041598.2484948</v>
      </c>
      <c r="E4" s="45">
        <f t="shared" si="0"/>
        <v>13136288.998357965</v>
      </c>
      <c r="F4" s="45">
        <f t="shared" si="0"/>
        <v>14230979.748221127</v>
      </c>
      <c r="G4" s="45">
        <f t="shared" si="0"/>
        <v>15325670.498084292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52">
        <v>8.6499999999999994E-2</v>
      </c>
      <c r="B5" s="3" t="s">
        <v>1</v>
      </c>
      <c r="C5" s="4">
        <f t="shared" ref="C5:G5" si="1">C4*$A$5</f>
        <v>946907.49863163661</v>
      </c>
      <c r="D5" s="4">
        <f t="shared" si="1"/>
        <v>1041598.2484948002</v>
      </c>
      <c r="E5" s="4">
        <f t="shared" si="1"/>
        <v>1136288.9983579637</v>
      </c>
      <c r="F5" s="4">
        <f t="shared" si="1"/>
        <v>1230979.7482211273</v>
      </c>
      <c r="G5" s="4">
        <f t="shared" si="1"/>
        <v>1325670.4980842911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53"/>
      <c r="B6" s="42" t="s">
        <v>2</v>
      </c>
      <c r="C6" s="43">
        <v>10000000</v>
      </c>
      <c r="D6" s="43">
        <f t="shared" ref="D6:G6" si="2">C6+1000000</f>
        <v>11000000</v>
      </c>
      <c r="E6" s="43">
        <f t="shared" si="2"/>
        <v>12000000</v>
      </c>
      <c r="F6" s="43">
        <f t="shared" si="2"/>
        <v>13000000</v>
      </c>
      <c r="G6" s="43">
        <f t="shared" si="2"/>
        <v>14000000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54">
        <v>0.55000000000000004</v>
      </c>
      <c r="B7" s="3" t="s">
        <v>3</v>
      </c>
      <c r="C7" s="4">
        <f t="shared" ref="C7:G7" si="3">C6*$A$7</f>
        <v>5500000</v>
      </c>
      <c r="D7" s="4">
        <f t="shared" si="3"/>
        <v>6050000.0000000009</v>
      </c>
      <c r="E7" s="4">
        <f t="shared" si="3"/>
        <v>6600000.0000000009</v>
      </c>
      <c r="F7" s="4">
        <f t="shared" si="3"/>
        <v>7150000.0000000009</v>
      </c>
      <c r="G7" s="4">
        <f t="shared" si="3"/>
        <v>7700000.0000000009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53"/>
      <c r="B8" s="46" t="s">
        <v>4</v>
      </c>
      <c r="C8" s="47">
        <f t="shared" ref="C8:G8" si="4">C6-C7</f>
        <v>4500000</v>
      </c>
      <c r="D8" s="47">
        <f t="shared" si="4"/>
        <v>4949999.9999999991</v>
      </c>
      <c r="E8" s="47">
        <f t="shared" si="4"/>
        <v>5399999.9999999991</v>
      </c>
      <c r="F8" s="47">
        <f t="shared" si="4"/>
        <v>5849999.9999999991</v>
      </c>
      <c r="G8" s="47">
        <f t="shared" si="4"/>
        <v>6299999.9999999991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54">
        <v>0.08</v>
      </c>
      <c r="B9" s="3" t="s">
        <v>7</v>
      </c>
      <c r="C9" s="4">
        <f t="shared" ref="C9:G9" si="5">C6*$A$9</f>
        <v>800000</v>
      </c>
      <c r="D9" s="4">
        <f t="shared" si="5"/>
        <v>880000</v>
      </c>
      <c r="E9" s="4">
        <f t="shared" si="5"/>
        <v>960000</v>
      </c>
      <c r="F9" s="4">
        <f t="shared" si="5"/>
        <v>1040000</v>
      </c>
      <c r="G9" s="4">
        <f t="shared" si="5"/>
        <v>1120000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54">
        <v>6.5000000000000002E-2</v>
      </c>
      <c r="B10" s="3" t="s">
        <v>8</v>
      </c>
      <c r="C10" s="4">
        <f t="shared" ref="C10:G10" si="6">C6*$A$10</f>
        <v>650000</v>
      </c>
      <c r="D10" s="4">
        <f t="shared" si="6"/>
        <v>715000</v>
      </c>
      <c r="E10" s="4">
        <f t="shared" si="6"/>
        <v>780000</v>
      </c>
      <c r="F10" s="4">
        <f t="shared" si="6"/>
        <v>845000</v>
      </c>
      <c r="G10" s="4">
        <f t="shared" si="6"/>
        <v>910000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53"/>
      <c r="B11" s="46" t="s">
        <v>10</v>
      </c>
      <c r="C11" s="47">
        <f t="shared" ref="C11:G11" si="7">C8-C9-C10</f>
        <v>3050000</v>
      </c>
      <c r="D11" s="47">
        <f t="shared" si="7"/>
        <v>3354999.9999999991</v>
      </c>
      <c r="E11" s="47">
        <f t="shared" si="7"/>
        <v>3659999.9999999991</v>
      </c>
      <c r="F11" s="47">
        <f t="shared" si="7"/>
        <v>3964999.9999999991</v>
      </c>
      <c r="G11" s="47">
        <f t="shared" si="7"/>
        <v>4269999.9999999991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53"/>
      <c r="B12" s="3" t="s">
        <v>11</v>
      </c>
      <c r="C12" s="43">
        <v>259278</v>
      </c>
      <c r="D12" s="43">
        <v>280205</v>
      </c>
      <c r="E12" s="43">
        <v>301133</v>
      </c>
      <c r="F12" s="43">
        <v>322061</v>
      </c>
      <c r="G12" s="43">
        <v>342989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53"/>
      <c r="B13" s="3" t="s">
        <v>12</v>
      </c>
      <c r="C13" s="43">
        <v>50000</v>
      </c>
      <c r="D13" s="43">
        <v>50000</v>
      </c>
      <c r="E13" s="43">
        <v>50000</v>
      </c>
      <c r="F13" s="43">
        <v>50000</v>
      </c>
      <c r="G13" s="43">
        <v>50000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53"/>
      <c r="B14" s="46" t="s">
        <v>13</v>
      </c>
      <c r="C14" s="47">
        <f t="shared" ref="C14:G14" si="8">C11-C12+C13</f>
        <v>2840722</v>
      </c>
      <c r="D14" s="47">
        <f t="shared" si="8"/>
        <v>3124794.9999999991</v>
      </c>
      <c r="E14" s="47">
        <f t="shared" si="8"/>
        <v>3408866.9999999991</v>
      </c>
      <c r="F14" s="47">
        <f t="shared" si="8"/>
        <v>3692938.9999999991</v>
      </c>
      <c r="G14" s="47">
        <f t="shared" si="8"/>
        <v>3977010.9999999991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52">
        <v>4.8000000000000001E-2</v>
      </c>
      <c r="B15" s="3" t="s">
        <v>15</v>
      </c>
      <c r="C15" s="4">
        <f t="shared" ref="C15:G15" si="9">C4*$A$15</f>
        <v>525451.55993431865</v>
      </c>
      <c r="D15" s="4">
        <f t="shared" si="9"/>
        <v>577996.71592775045</v>
      </c>
      <c r="E15" s="4">
        <f t="shared" si="9"/>
        <v>630541.87192118226</v>
      </c>
      <c r="F15" s="4">
        <f t="shared" si="9"/>
        <v>683087.02791461407</v>
      </c>
      <c r="G15" s="4">
        <f t="shared" si="9"/>
        <v>735632.18390804599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52">
        <v>2.8799999999999999E-2</v>
      </c>
      <c r="B16" s="3" t="s">
        <v>16</v>
      </c>
      <c r="C16" s="4">
        <f t="shared" ref="C16:G16" si="10">C4*$A$16</f>
        <v>315270.93596059113</v>
      </c>
      <c r="D16" s="4">
        <f t="shared" si="10"/>
        <v>346798.02955665026</v>
      </c>
      <c r="E16" s="4">
        <f t="shared" si="10"/>
        <v>378325.12315270939</v>
      </c>
      <c r="F16" s="4">
        <f t="shared" si="10"/>
        <v>409852.21674876846</v>
      </c>
      <c r="G16" s="4">
        <f t="shared" si="10"/>
        <v>441379.31034482759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48" t="s">
        <v>17</v>
      </c>
      <c r="C17" s="49">
        <f t="shared" ref="C17:G17" si="11">C14-C15-C16</f>
        <v>1999999.5041050904</v>
      </c>
      <c r="D17" s="49">
        <f t="shared" si="11"/>
        <v>2200000.2545155985</v>
      </c>
      <c r="E17" s="49">
        <f t="shared" si="11"/>
        <v>2400000.0049261074</v>
      </c>
      <c r="F17" s="49">
        <f t="shared" si="11"/>
        <v>2599999.7553366167</v>
      </c>
      <c r="G17" s="49">
        <f t="shared" si="11"/>
        <v>2799999.5057471255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50" t="s">
        <v>19</v>
      </c>
      <c r="C18" s="51">
        <f t="shared" ref="C18:G18" si="12">C17/C6</f>
        <v>0.19999995041050905</v>
      </c>
      <c r="D18" s="51">
        <f t="shared" si="12"/>
        <v>0.20000002313778167</v>
      </c>
      <c r="E18" s="51">
        <f t="shared" si="12"/>
        <v>0.20000000041050894</v>
      </c>
      <c r="F18" s="51">
        <f t="shared" si="12"/>
        <v>0.19999998117973974</v>
      </c>
      <c r="G18" s="51">
        <f t="shared" si="12"/>
        <v>0.19999996469622325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23"/>
      <c r="D21" s="23"/>
      <c r="E21" s="23"/>
      <c r="F21" s="23"/>
      <c r="G21" s="2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23"/>
      <c r="D22" s="23"/>
      <c r="E22" s="23"/>
      <c r="F22" s="23"/>
      <c r="G22" s="2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Simulador</vt:lpstr>
      <vt:lpstr>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Augusto</cp:lastModifiedBy>
  <dcterms:modified xsi:type="dcterms:W3CDTF">2024-05-22T13:21:26Z</dcterms:modified>
</cp:coreProperties>
</file>