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ŠE (Neupravovat, automatické)" sheetId="1" r:id="rId4"/>
    <sheet state="visible" name="Blahopřání" sheetId="2" r:id="rId5"/>
    <sheet state="visible" name="Čestná občanství" sheetId="3" r:id="rId6"/>
    <sheet state="visible" name="Čestné jméno" sheetId="4" r:id="rId7"/>
    <sheet state="visible" name="Varia" sheetId="5" r:id="rId8"/>
    <sheet state="visible" name="Hmotné dary" sheetId="6" r:id="rId9"/>
    <sheet state="visible" name="Telegramy" sheetId="7" r:id="rId10"/>
    <sheet state="visible" name="Závazky" sheetId="8" r:id="rId11"/>
  </sheets>
  <definedNames>
    <definedName hidden="1" localSheetId="6" name="_xlnm._FilterDatabase">Telegramy!$C$1:$C$1000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M1">
      <text>
        <t xml:space="preserve">Obecně název soubory "něco.jpg"</t>
      </text>
    </comment>
    <comment authorId="0" ref="N1">
      <text>
        <t xml:space="preserve">Obecně název soubory "něco.jpg"</t>
      </text>
    </comment>
  </commentList>
</comments>
</file>

<file path=xl/comments2.xml><?xml version="1.0" encoding="utf-8"?>
<comments xmlns:r="http://schemas.openxmlformats.org/officeDocument/2006/relationships" xmlns="http://schemas.openxmlformats.org/spreadsheetml/2006/main">
  <authors>
    <author/>
  </authors>
  <commentList>
    <comment authorId="0" ref="M1">
      <text>
        <t xml:space="preserve">zde musí být přesný název obrázku, i s koncovkou (např. .jpg, .png, apod.)
	-Jakub Ferenc</t>
      </text>
    </comment>
  </commentList>
</comments>
</file>

<file path=xl/sharedStrings.xml><?xml version="1.0" encoding="utf-8"?>
<sst xmlns="http://schemas.openxmlformats.org/spreadsheetml/2006/main" count="2729" uniqueCount="1310">
  <si>
    <t>id</t>
  </si>
  <si>
    <t>x</t>
  </si>
  <si>
    <t>y</t>
  </si>
  <si>
    <t>name</t>
  </si>
  <si>
    <t>description</t>
  </si>
  <si>
    <t>type</t>
  </si>
  <si>
    <t>layer</t>
  </si>
  <si>
    <t>exists</t>
  </si>
  <si>
    <t>date_start</t>
  </si>
  <si>
    <t>date_end</t>
  </si>
  <si>
    <t>původce</t>
  </si>
  <si>
    <t>source</t>
  </si>
  <si>
    <t>order_images</t>
  </si>
  <si>
    <t>images__image1__name</t>
  </si>
  <si>
    <t>images__image1__abstract</t>
  </si>
  <si>
    <t>images__image1__desc</t>
  </si>
  <si>
    <t>images__image1__source</t>
  </si>
  <si>
    <t>images__image2__name</t>
  </si>
  <si>
    <t>images__image2__abstract</t>
  </si>
  <si>
    <t>images__image2__desc</t>
  </si>
  <si>
    <t>images__image2__source</t>
  </si>
  <si>
    <t>images__image3__name</t>
  </si>
  <si>
    <t>images__image3__abstract</t>
  </si>
  <si>
    <t>images__image3__desc</t>
  </si>
  <si>
    <t>images__image3__source</t>
  </si>
  <si>
    <t>images__image4__name</t>
  </si>
  <si>
    <t>images__image4__abstract</t>
  </si>
  <si>
    <t>images__image4__desc</t>
  </si>
  <si>
    <t>images__image4__source</t>
  </si>
  <si>
    <t>images__image5__name</t>
  </si>
  <si>
    <t>images__image5__abstract</t>
  </si>
  <si>
    <t>images__image5__desc</t>
  </si>
  <si>
    <t>images__image5__source</t>
  </si>
  <si>
    <t>images__image6__name</t>
  </si>
  <si>
    <t>images__image6__abstract</t>
  </si>
  <si>
    <t>images__image6__desc</t>
  </si>
  <si>
    <t>images__image6__source</t>
  </si>
  <si>
    <t>images__image7__name</t>
  </si>
  <si>
    <t>images__image7__abstract</t>
  </si>
  <si>
    <t>images__image7__desc</t>
  </si>
  <si>
    <t>images__image7__source</t>
  </si>
  <si>
    <t>images_image6__source</t>
  </si>
  <si>
    <t>images__image8__name</t>
  </si>
  <si>
    <t>images__image8__abstract</t>
  </si>
  <si>
    <t>images__image8__desc</t>
  </si>
  <si>
    <t>images__image8__source</t>
  </si>
  <si>
    <t>13.9945047</t>
  </si>
  <si>
    <t>50.6428674</t>
  </si>
  <si>
    <t>Trmice, blahopřání k narozeninám</t>
  </si>
  <si>
    <t>Blahopřání k narozeninám a slib dvouletky. Hnědé kožené desky s vytlačovanými nápisy, florálním dekorem a hvězdou s rukou nesoucí pochodeň, svázáno rudou stuhou, drobná ilustrace s vlajkami a továrnou, rkp, archy s podpisy, 20 ll, 34 x 25 cm.</t>
  </si>
  <si>
    <t>dokumenty</t>
  </si>
  <si>
    <t>Blahopřání</t>
  </si>
  <si>
    <t>listopad 1948</t>
  </si>
  <si>
    <t>Místní organizace KSČ.</t>
  </si>
  <si>
    <t>Národní muzeum, Archiv NM, Sbírka Muzea dělnického hnutí, sbírka Klement Gottwald - kult osobnosti.</t>
  </si>
  <si>
    <t>Trmice_zdr01.jpg</t>
  </si>
  <si>
    <t>Obrazová dokumentace archiválie.</t>
  </si>
  <si>
    <t>Trmice_zdr02.jpg</t>
  </si>
  <si>
    <t>15.6299395</t>
  </si>
  <si>
    <t>50.3716773</t>
  </si>
  <si>
    <t>Hořice, zdravice Místního národního výboru k výročí republiky</t>
  </si>
  <si>
    <t>Zdravice k 30. výročí ČSR, připojeno hlášení o splnění dvouletého pracovního plánu. Tištěný diplom s grafickým motivem veduty města, městské pečeti a bohatého florálního ornamentu (sign. WR 1922), tisk, 31 x 40 cm. Viz užití stejného předtištěného diplomu u zdravice ONV.</t>
  </si>
  <si>
    <t>26. říjen 1948</t>
  </si>
  <si>
    <t xml:space="preserve">Místní národní výbor. </t>
  </si>
  <si>
    <t>HořiceMNV_zdr.jpg</t>
  </si>
  <si>
    <t>15.6357742</t>
  </si>
  <si>
    <t>50.3687221</t>
  </si>
  <si>
    <t>Hořice, zdravice Okresního národního výboru k výročí republiky</t>
  </si>
  <si>
    <t>Zdravice k 30. výročí ČSR, připojeno hlášení o splnění plánu i protiplánu dvouletky, text barvitější než u obdobné zdravice MNV (solidárnost s pracujícími v továrnách). Tištěný diplom s grafickým motivem veduty města, městské pečeti a bohatého florálního ornamentu (sign. WR 1922), rkp, podpisy, 31 x 40 cm. Viz užití stejného předtištěného diplomu u zdravice ONV.</t>
  </si>
  <si>
    <t>25. říjen 1948</t>
  </si>
  <si>
    <t>Okresní národní výbor.</t>
  </si>
  <si>
    <t>HořiceONV_zdr.jpg</t>
  </si>
  <si>
    <t>17.6542313</t>
  </si>
  <si>
    <t>49.2328517</t>
  </si>
  <si>
    <t xml:space="preserve">Zlín, blahopřání k narozeninám </t>
  </si>
  <si>
    <t xml:space="preserve">Blahopřání k 50. narozeninám, připojen dar práce (2464 hodin při výstavbě mateřské školy). Rudé papírové desky se zlacenou hvězdou, srpem a kladivem, ruční papír, drobná ilustrace s motivem lipové ratolesti a čísla 50 tisk, archy s podpisy, 4 ll, 54 x 36 cm. KG oslavován nejen obecně jako vůdce/min. předseda, ale konkrétně jako předseda strany, tvůrce košického vládního programu a iniciátor dvouletky - tyto furmulace nebyly v podobných textech neobvyklé. Běžná je také užitá ikonografie. </t>
  </si>
  <si>
    <t>23. listopad 1946</t>
  </si>
  <si>
    <t>Místní organizace KSČ ve Zlínských Pasekách.</t>
  </si>
  <si>
    <t>Zlín_zdr01.jpg</t>
  </si>
  <si>
    <t>14.8988102</t>
  </si>
  <si>
    <t>49.7063276</t>
  </si>
  <si>
    <t>Vlašim, zdravice továrny Baťa k výročí republiky</t>
  </si>
  <si>
    <t>Zdravice k 30. výročí ČSR. Šedé papírové desky, uvnitř kolorovaný diplom, vícebarevná textilní šňůra, akvarelová ilustrace s motivem boty a iniciála s městským motivem, rkp, podpisy, razítka, A3 (přeložené).</t>
  </si>
  <si>
    <t>28. říjen 1948</t>
  </si>
  <si>
    <t>Baťa, národní podnik.</t>
  </si>
  <si>
    <t>VlašimBaťa_zdr01.jpg</t>
  </si>
  <si>
    <t>VlašimBaťa_zdr02.jpg</t>
  </si>
  <si>
    <t>VlašimBaťa_zdr03.jpg</t>
  </si>
  <si>
    <t>14.8981236</t>
  </si>
  <si>
    <t>49.7054395</t>
  </si>
  <si>
    <t>Vlašim, zdravice Okresní spořitelny k výročí republiky</t>
  </si>
  <si>
    <t>Zdravice k 30. výročí ČSR, text hlásící se k lidově-demokratickému programu. Červené textilní desky, ruční papír, kolorovaná ilustrace na titulu - motiv lipové větve, včelího úlu a krajiny, rkp, podpisy razítko, 32 x 22 cm.</t>
  </si>
  <si>
    <t>Okresní spořitelna a záložna.</t>
  </si>
  <si>
    <t>Vlašim_zdr01.jpg</t>
  </si>
  <si>
    <t>Vlašim_zdr02.jpg</t>
  </si>
  <si>
    <t>17.108269</t>
  </si>
  <si>
    <t>48.1323439</t>
  </si>
  <si>
    <t>Bratislava, blahopřání k narozeninám</t>
  </si>
  <si>
    <t>Blahopřání k 55. narozeninám, připojena brožura o ženách pracujících v Hutním kombinátu v Košicích. Kožená přírodní krabice s vytlačovanou iniciálou a motivem továrny, vložen průvodní dopis s podpisy předsedky a tajemnice a vlastní brožura, 29 ll, 29 x 21 cm.</t>
  </si>
  <si>
    <t>22. listopad 1946</t>
  </si>
  <si>
    <t>Živena - Čs. svaz žen.</t>
  </si>
  <si>
    <t>Bratislava_zdr01.jpg</t>
  </si>
  <si>
    <t>Bratislava_zdr02.jpg</t>
  </si>
  <si>
    <t>Bratislava_zdr03.jpg</t>
  </si>
  <si>
    <t>Bratislava_zdr04.jpg</t>
  </si>
  <si>
    <t>Bratislava_zdr05.jpg</t>
  </si>
  <si>
    <t>17.6498377</t>
  </si>
  <si>
    <t>49.0302725</t>
  </si>
  <si>
    <t>Uherský Brod, blahopřání k narozeninám</t>
  </si>
  <si>
    <t>Blahopřání k 50. narozeninám. Kolorovaný diplom, ilustrace s motivy karikaturního portrétu KG ve vavřínovém věnci, číslice 50, personifikace dvouletky - dítě v kolébce a folklórní ornament. rám, 34 x 23 cm.</t>
  </si>
  <si>
    <t>13. listopad 1951</t>
  </si>
  <si>
    <t>Svaz česká mládeže při n.p. Česká zbrojovka Strakonice.</t>
  </si>
  <si>
    <t>Uherský Brod_zdr.jpg</t>
  </si>
  <si>
    <t>14.5396991</t>
  </si>
  <si>
    <t>50.6785201</t>
  </si>
  <si>
    <t>Česká Lípa, zdravice k výročí bolševické revoluce</t>
  </si>
  <si>
    <t>Zdravice k 31. výročí bolševické revoluce v Rusku s heslem "bez 17. listopadu by nebylo 28. října". Toto heslo se objevovalo na přáních k 30. výročí samostatné ČSR, zde však vysloveně zmíněno pouze výročí 31 let práce sovětského lidu. Modré papírovo-textilní desky, vloženy listy s akvarelovými ilustracemi na motivy československo-sovětského přátelství, trikolorová stuha, rkp, podpisy, razítka, 33 x 23 cm.</t>
  </si>
  <si>
    <t>listopad 1946</t>
  </si>
  <si>
    <t>Česká Lípa_zdr01.jpg</t>
  </si>
  <si>
    <t>Česká Lípa_zdr02.jpg</t>
  </si>
  <si>
    <t>Česká Lípa_zdr03.jpg</t>
  </si>
  <si>
    <t>19.28206</t>
  </si>
  <si>
    <t>49.08622</t>
  </si>
  <si>
    <t>Rybárpole, zdravice k výročí republiky</t>
  </si>
  <si>
    <t>Zdravice k 30. výročí ČSR a dar splnění dvouletky. Tištěný diplom, barevná tištěná ilustrace - florální motivy, znak podniku, strany a odborového hnutí., podpisy - rkp, stopy po kroužkové vazbě - zařazení mezi podobné materiály, 42 x 27 cm.</t>
  </si>
  <si>
    <t>Slovenské bavlnářské závody</t>
  </si>
  <si>
    <t>Rybárpole_zdr.jpg</t>
  </si>
  <si>
    <t>16.6109569</t>
  </si>
  <si>
    <t>49.1973034</t>
  </si>
  <si>
    <t>Brno, blahopřání k narozeninám</t>
  </si>
  <si>
    <t xml:space="preserve">Blahopřání k 50. narozeninám, zmíněny ukázky tvorby v rámci dvouletky - zřejmě přiloženo k daru knih. Oranžové papírovo-textilní desky s kovovým pásem s nápisem Klement Gottwald, vložen přeložený diplom na ručním papíře, akvarelová ilustrace s figurálním motivem práce a budování (tiskárny Rovnost budují po boku továren a zemědělců, sign. D), tisk, 16 x 21 cm. </t>
  </si>
  <si>
    <t>Tiskové podniky Rovnost.</t>
  </si>
  <si>
    <t>Brno_zdr.jpg</t>
  </si>
  <si>
    <t>17.1221416</t>
  </si>
  <si>
    <t>49.0128572</t>
  </si>
  <si>
    <t>Kyjov, blahopřání k narozeninám</t>
  </si>
  <si>
    <t>Veršované blahopřání k 50. narozeninám, text oslavující KG. Barevný tisk na papíře ve zlaceném rámu, ilustrace - portrét KG ve vavřínovém věnci (sign. Červenka), dřevěný rám, podpisy, A2.</t>
  </si>
  <si>
    <t>Místní organizace KSČ v Kyjově. Červenka.</t>
  </si>
  <si>
    <t>Kyjov_zdr.jpg</t>
  </si>
  <si>
    <t>15.7950578</t>
  </si>
  <si>
    <t>49.9497244</t>
  </si>
  <si>
    <t>Chrudim, blahopřání k narozeninám</t>
  </si>
  <si>
    <t>Blahopřání k 51. narozeninám, srovnání výsledků v soutěži o nejlepší výsledek při získávání nových členů strany, soupisy podle počtů získaných u jednotlivých místních organizací a jednotlivých straníků. Tmavožluté textilní desky s kolor. motivem rudé hvězdy, vavřínové ratolesti a podpisu KG, uvnitř figurální kolorované ilustrace - alegorie práce, symboly lipového listí apod. (sign. 47), rkp, strojopis, 7 ll, 44 x 31 cm. Pro rok 1947 je množství materiálu tohoto typu malé a pochází výhradně od organizací interně svázaných se stranou a jejími orgány.</t>
  </si>
  <si>
    <t>listopad 1947</t>
  </si>
  <si>
    <t>Místní organizace KSČ Chrudim.</t>
  </si>
  <si>
    <t>Chrudim_zdr.jpg</t>
  </si>
  <si>
    <t>Chrudim_zdr02.jpg</t>
  </si>
  <si>
    <t>Chrudim_zdr03.jpg</t>
  </si>
  <si>
    <t>Chrudim_zdr04.jpg</t>
  </si>
  <si>
    <t>Chrudim_zdr05.jpg</t>
  </si>
  <si>
    <t>13.9989449</t>
  </si>
  <si>
    <t>49.685432</t>
  </si>
  <si>
    <t>Příbram, blahopřání k narozeninám</t>
  </si>
  <si>
    <t xml:space="preserve">Blahopřání k 50. narozeninám, připojen pracovní závazek. Červené koženkové desky, grafická ilustrace s motivem horníků (signována K. Hojden), tisk, podpisy, razítko, 4ll, A4.  </t>
  </si>
  <si>
    <t>Příbramské rudné doly, n. p. V. Hojden.</t>
  </si>
  <si>
    <t>Příbram_zdr01.jpg</t>
  </si>
  <si>
    <t>Příbram_zdr02.jpg</t>
  </si>
  <si>
    <t>Příbram_zdr03.jpg</t>
  </si>
  <si>
    <t>14.4378005</t>
  </si>
  <si>
    <t>50.0755381</t>
  </si>
  <si>
    <t xml:space="preserve">Praha, dar Rudého práva k narozeninám </t>
  </si>
  <si>
    <t>Dar k 51. narozeninám - album s karikaturami od významných kreslířů Leo Haase a Jaroslava Pelcla. Papírová krabice, jednotlivé paspartované a signované kresby na politicko-satirická témata (12 ks) svázané ve světle hnědých textilních deskách, A3. Vynikající příklad dobové komunistické výtvarné propagandy.</t>
  </si>
  <si>
    <t>umělecká díla</t>
  </si>
  <si>
    <t>23. listopad 1947</t>
  </si>
  <si>
    <t>Rudé právo. L. Haas, J. Pelc.</t>
  </si>
  <si>
    <t>PrahaRP_zdr01.jpg</t>
  </si>
  <si>
    <t>PrahaRP_zdr10.jpg</t>
  </si>
  <si>
    <t>PrahaRP_zdr03.jpg</t>
  </si>
  <si>
    <t>PrahaRP_zdr04.jpg</t>
  </si>
  <si>
    <t>PrahaRP_zdr05.jpg</t>
  </si>
  <si>
    <t>18.740612660311076</t>
  </si>
  <si>
    <t>49.22361022982452, 18.740612660311076</t>
  </si>
  <si>
    <t>Žilina, zdravice k výročí republiky</t>
  </si>
  <si>
    <t>Zdravice k 30. výročí ČSR a 31. výročí bolševické revoluce (heslo "Bez 7. listopadu by nebylo 28. října. Skládací triptych z tvzeného papíru, potaženo šedou koženkou, na uzávěru bílá kresba lva se slovenským znakem. Interiér rozdělen na tři díly, šedé kresby s motivy Emila Zátopka, lipových ratolestí a klasů, kolorované čs. a SSSR znaky, rkp, razítko, podpisy, 33 x 41 cm (zavřené).</t>
  </si>
  <si>
    <t>Okresný národný výbor.</t>
  </si>
  <si>
    <t>Žilina_zdr01.jpg</t>
  </si>
  <si>
    <t>Žilina_zdr02.jpg</t>
  </si>
  <si>
    <t>14.1305458</t>
  </si>
  <si>
    <t>50.5384197</t>
  </si>
  <si>
    <t>Litoměřice, zdravice k výročí republiky</t>
  </si>
  <si>
    <t>Zdravice ke 30. výročí ČSR s mottem "bez 7. listopadu by nebylo 28. října". Hnědé textilní desky s nápisem, uvnitř přeložený diplom s akvarelovou ilustrací s motivem pohledu na město a ruským a českým znakem, podpisy, razítka, 36 x 23 cm.</t>
  </si>
  <si>
    <t>říjen 1948</t>
  </si>
  <si>
    <t>Organizace okresu Litoměřice. V. A. Šrůtek.</t>
  </si>
  <si>
    <t>Litoměřice_zdr01.jpg</t>
  </si>
  <si>
    <t>Litoměřice_zdr02.jpg</t>
  </si>
  <si>
    <t>Litoměřice_zdr03.jpg</t>
  </si>
  <si>
    <t>16.387875</t>
  </si>
  <si>
    <t>49.1823196</t>
  </si>
  <si>
    <t xml:space="preserve">Rosice, příležitostná zdravice </t>
  </si>
  <si>
    <t>Zdravice u příležitosti závěru měsíce československo-sovětského přátelství (zřejmě i k narozeninám J. V. Stalina 18. 12.) Rudé kožené desky s plochou zdobenou intarzovaným motivem holubice míru s trikolorou, hvězdy a trikolory, uvnitř tušová ilustrace s motivem tváře horníka, kahanu, dvou vlajek atp., rkp,  podpisy, razítka, 43 x 32 cm.</t>
  </si>
  <si>
    <t>12. prosinec 1952</t>
  </si>
  <si>
    <t>Předseda ONV a předseda MNV v Rosicích.</t>
  </si>
  <si>
    <t>Rosice_zdr01.jpg</t>
  </si>
  <si>
    <t>Rosice_zdr02.jpg</t>
  </si>
  <si>
    <t>Rosice_zdr03.jpg</t>
  </si>
  <si>
    <t>Rosice_zdr04.jpg</t>
  </si>
  <si>
    <t>Rosice_zdr05.jpg</t>
  </si>
  <si>
    <t>12.371222</t>
  </si>
  <si>
    <t>50.0579783</t>
  </si>
  <si>
    <t xml:space="preserve">Háje, zdravice k výročí republiky </t>
  </si>
  <si>
    <t>Zdravice k 30. výročí ČSR a slip plnění pětiletky, přivěšena krabička s pohraniční prstí. Šedo-rudé textilní desky se zlacenými nápisy, na šňůře šedá kulatá krabička (p. 9 cm), barevná kaligrafie a symboly lipové a vavřínové ratolesti, rkp, podpisy, razítka, 6 ll, 34 x 25 cm.</t>
  </si>
  <si>
    <t>Místní národní výbor Háje, okres Cheb</t>
  </si>
  <si>
    <t>Háje_zdr01.jpg</t>
  </si>
  <si>
    <t>Háje_zdr02.jpg</t>
  </si>
  <si>
    <t>Háje_zdr03.jpg</t>
  </si>
  <si>
    <t>Háje_zdr04.jpg</t>
  </si>
  <si>
    <t>Háje_zdr05.jpg</t>
  </si>
  <si>
    <t>14.4234889</t>
  </si>
  <si>
    <t>50.0871106</t>
  </si>
  <si>
    <t>Praha, poúnorová zdravice Univerzity Karlovy</t>
  </si>
  <si>
    <t>Zdravice, poděkování KG za přízeň a přihlášení se k únorovému programu. Světle hnědé kožené desky, drobné ornamenty, rkp, podpisy vedoucích fakult, razítka, 4 ll, A4.</t>
  </si>
  <si>
    <t>14. duben 1948</t>
  </si>
  <si>
    <t>Univerzita Karlova.</t>
  </si>
  <si>
    <t>PrahaUK_zdr01.jpg</t>
  </si>
  <si>
    <t>PrahaUK_zdr02.jpg</t>
  </si>
  <si>
    <t>14.0835921</t>
  </si>
  <si>
    <t>50.1418783</t>
  </si>
  <si>
    <t>Kladno, čestné občanství </t>
  </si>
  <si>
    <t>Diplom čestného občanství. Světle hnědé kožené desky s ořízkou a zlaceným G, titulní ilustrace se znakem a hornickými symboly, rkp, podpisy, 4 ll, 31 x 40 cm.</t>
  </si>
  <si>
    <t>Čestná občanství</t>
  </si>
  <si>
    <t>2. květen 1946</t>
  </si>
  <si>
    <t>Místní národní výbor.</t>
  </si>
  <si>
    <t>Kladno_obc01.jpg</t>
  </si>
  <si>
    <t>Kladno_obc02.jpg</t>
  </si>
  <si>
    <t>Kladno_obc03.jpg</t>
  </si>
  <si>
    <t>13.7278687</t>
  </si>
  <si>
    <t>50.1032033</t>
  </si>
  <si>
    <t xml:space="preserve">Rakovník, čestné občanství </t>
  </si>
  <si>
    <t>Diplom čestného občanství u příležitosti 52. narozenin. Světle hnědé kožené desky se zlacenou iniciálou KG, diplom s ilustrací ženy s květinami a městským znakem (pravděp. Václav Rabas), tisk, podpisy, 4 ll, 39 x 30 cm.</t>
  </si>
  <si>
    <t>22. listopad 1948</t>
  </si>
  <si>
    <t>Místní národní výbor. V. Rabas (?).</t>
  </si>
  <si>
    <t>Rakovník_obc01.jpg</t>
  </si>
  <si>
    <t>Rakovník_obc02.jpg</t>
  </si>
  <si>
    <t xml:space="preserve">Praha, čestné občanství </t>
  </si>
  <si>
    <t>Diplom čestného občanství. Světle hnědé kožené desky se zlaceným znakem města a florálním dekorem, na žluto-červené šňůře přivěšena pečeť města v misce, ruční papír, rkp, podpis primátora Vacka, 6 ll, 33 x 22 cm.</t>
  </si>
  <si>
    <t>25. říjen 1946</t>
  </si>
  <si>
    <t>Magistrát hlavního města, primátor Václav Vacek. A. Šťastný.</t>
  </si>
  <si>
    <t>Praha_obc01.jpg</t>
  </si>
  <si>
    <t>Praha_obc02.jpg</t>
  </si>
  <si>
    <t>Praha_obc03.jpg</t>
  </si>
  <si>
    <t>Praha_obc04.jpg</t>
  </si>
  <si>
    <t>12.7011977</t>
  </si>
  <si>
    <t>49.9645986</t>
  </si>
  <si>
    <t xml:space="preserve">Mariánské Lázně, čestná občanství </t>
  </si>
  <si>
    <t>Diplom čestného občanství, zpráva o jeho udělení na plénu MNV (21. 11. 1948). Světle hnědé kožené desky s aplikací z rudé kůže se zlaceným znakem města, bohatě barevně ilustrováno tématikou budovatelství a lázeňství, ruční papír, rkp, 10 ll, 35 x 26 cm. MNV ovšem, zdá se, zapomněl, že čestné občanství K. Gottwaldovi udělil již v roce 1946, ještě když byl ve funkci předsedy vlády, viz poslední zobrazení.</t>
  </si>
  <si>
    <t>21. listopad 1948 / 9. říjen 1946</t>
  </si>
  <si>
    <t>Místní národní výbor. R. Lander.</t>
  </si>
  <si>
    <t>Mariánské Lázně_obc01.jpg</t>
  </si>
  <si>
    <t>Mariánské Lázně_obc02.jpg</t>
  </si>
  <si>
    <t>Mariánské Lázně_obc03.jpg</t>
  </si>
  <si>
    <t>Mariánské Lázně_obc04.jpg</t>
  </si>
  <si>
    <t>Mariánské Lázně_obc05.jpg</t>
  </si>
  <si>
    <t>Mariánské Lázně_obc07.jpg</t>
  </si>
  <si>
    <t>16.3996617</t>
  </si>
  <si>
    <t>49.9721801</t>
  </si>
  <si>
    <t xml:space="preserve">Ústí nad Orlicí, čestné občanství </t>
  </si>
  <si>
    <t>Rámovaný diplom čestného občanství. Zlatý rám A2, tisk ze zlato-rudou tištěnou ilustrací se symbolikou budovatelství a pětiletky.</t>
  </si>
  <si>
    <t>8. listopad 1948</t>
  </si>
  <si>
    <t>Ústí nad Orlicí_obc.jpg</t>
  </si>
  <si>
    <t>13.4088487</t>
  </si>
  <si>
    <t>50.4630604</t>
  </si>
  <si>
    <t xml:space="preserve">Chomutov, čestné občanství </t>
  </si>
  <si>
    <t>Diplom čestného občanství udělený u příležitosti 50. narozenin. Světle hnědé kožené desky se zlaceným znakem města, ruční papír, bohatě figurálně ilustrováno, kolorované kresby s motivy symbolů práce, pohled na město, figura pokroku atp., rkp, podpisy, razítko, 8 ll, 43 x 37 cm. Tento dokument byl vystaven v expozici Výstavky darů prezidenta K. Gottwalda v Lobkovickém paláci na Pražském hradě (1952 až 1958).</t>
  </si>
  <si>
    <t>25. listopad 1946</t>
  </si>
  <si>
    <t>Chomutov_obc01.jpg</t>
  </si>
  <si>
    <t>Chomutov_obc02.jpg</t>
  </si>
  <si>
    <t>Chomutov_obc03.jpg</t>
  </si>
  <si>
    <t>Chomutov_obc04.jpg</t>
  </si>
  <si>
    <t>Chomutov_obc05.jpg</t>
  </si>
  <si>
    <t>15.1568091</t>
  </si>
  <si>
    <t>50.587285</t>
  </si>
  <si>
    <t xml:space="preserve">Turnov, čestné občanství </t>
  </si>
  <si>
    <t>Diplom čestného občanství udělený u příležitosti 50. narozenin. Desky z mačkaného papíru, diplom s kolorovanou kresbou - florální dekor a znak města, rkp, 33 x 23 cm.</t>
  </si>
  <si>
    <t>20. listopad 1946</t>
  </si>
  <si>
    <t>Turnov_obc01.jpg</t>
  </si>
  <si>
    <t>Turnov_obc02.jpg</t>
  </si>
  <si>
    <t>13.7267734</t>
  </si>
  <si>
    <t>50.6591994</t>
  </si>
  <si>
    <t xml:space="preserve">Hrob, čestné občanství </t>
  </si>
  <si>
    <t>Diplom čestného občanství. Bílo-rudé papírové desky, diplom s kolorovanou ilustrací: znak města, lipová ratolest, rkp, podpisy, přeložená A3.</t>
  </si>
  <si>
    <t>Hrob_obc.jpg</t>
  </si>
  <si>
    <t>15.1943409</t>
  </si>
  <si>
    <t>50.7333624</t>
  </si>
  <si>
    <t xml:space="preserve">Jablonecké Paseky, čestné občanství </t>
  </si>
  <si>
    <t>Dvě shodné varianty diplomu čestného občanství, jedna za MNV a druhá, téměř totožná za ONV, rozdílné jen podpisy. Pergamen obšitý trikolorovou šňůrkou s ilustrací na pozadí: motiv obce a florální dekor, rkp, podpisy, 23 x 40 cm.</t>
  </si>
  <si>
    <t>Místní národní výbor / Okresní národní výbor.</t>
  </si>
  <si>
    <t>Jablonecké Paseky_obc.jpg</t>
  </si>
  <si>
    <t>13.5546524</t>
  </si>
  <si>
    <t>49.1435211</t>
  </si>
  <si>
    <t xml:space="preserve">Kašperské Hory, čestné občanství </t>
  </si>
  <si>
    <t>Diplom čestného občanství. Diplom s bohatě ilustrovaným rámem: imitace gotické kresby, motivy související s městem, přivěšena městská pečeť na světle modro-bílé stuze, rkp, podpisy, razítko, A3.</t>
  </si>
  <si>
    <t>Kašperské Hory_obc.jpg</t>
  </si>
  <si>
    <t>12.6361921</t>
  </si>
  <si>
    <t>49.7987803</t>
  </si>
  <si>
    <t xml:space="preserve">Tachov, čestné občanství </t>
  </si>
  <si>
    <t>Rámovaný diplom čestného občanství. Předtištěný diplom s bohatou ilustrací se slovansko-romantizujícím motivem múz, rkp, podpisy, razítko, 46 x 62 cm.</t>
  </si>
  <si>
    <t>2. prosince 1946</t>
  </si>
  <si>
    <t>Tachov_obc.jpg</t>
  </si>
  <si>
    <t>13.8268726</t>
  </si>
  <si>
    <t>50.641301</t>
  </si>
  <si>
    <t xml:space="preserve">Teplice Šanov, čestné občanství </t>
  </si>
  <si>
    <t>Diplom čestného občanství (rozhodnutí o udělení padlo na schůzi již 19. prosince 1946). Světlehnědé kožené desky se zlacenou iniciálou, ruční papír, bohatě ilustrováno: malby s městskou a přírodní krajinou krajinou (autorská signatura Evžen Trunečka Prostějovský), tisk, podpis, 8 ll, 34 x 26 cm.</t>
  </si>
  <si>
    <t>únor 1947</t>
  </si>
  <si>
    <t>Místní národní výbor. E. Trunečka Prostějovský.</t>
  </si>
  <si>
    <t>Teplice Šanov_obc01.jpg</t>
  </si>
  <si>
    <t>Teplice Šanov_obc03.jpg</t>
  </si>
  <si>
    <t>Teplice Šanov_obc04.jpg</t>
  </si>
  <si>
    <t>18.0933139</t>
  </si>
  <si>
    <t>49.8635922</t>
  </si>
  <si>
    <t xml:space="preserve">Velká Polom, čestné občanství </t>
  </si>
  <si>
    <t>Rámovaný diplom čestného občanství. Zlacený rám, akvarelová ilustrace s motivem pohledu na obec a symbolickým dekorem, rkp, podpisy, 45 x 32 cm.</t>
  </si>
  <si>
    <t>Velká Polom_obc.jpg</t>
  </si>
  <si>
    <t xml:space="preserve">Vlašim, čestné občanství </t>
  </si>
  <si>
    <t xml:space="preserve">Diplom čestného občanství, uděleno u příležitosti 52. narozenin na schůzi 19. listopadu 1948. Hnědé kožené desky s vytlačeným znakem města a nápisem, s přivěšenou pečetí města, akvarelová veduta města (signováno R. Dušek), rkp, podpisy, otevřené 52 x 35 cm. </t>
  </si>
  <si>
    <t>1. červen 1949</t>
  </si>
  <si>
    <t>Místní národní výbor. R. Dušek.</t>
  </si>
  <si>
    <t>Vlašim_obc01.jpg</t>
  </si>
  <si>
    <t>Vlašim_obc02.jpg</t>
  </si>
  <si>
    <t>15.4206424</t>
  </si>
  <si>
    <t>50.7812659</t>
  </si>
  <si>
    <t xml:space="preserve">Harrachov, čestné občanství </t>
  </si>
  <si>
    <t>Rámovaný diplom čestného občanství. Zlacený rám, diplom bohatě ilustrovaný: pohled na město a budovatelská symbolika práce, klasicistní orámování, lipová ratolest, rkp, podpisy, razítko, 52 x 35 cm.</t>
  </si>
  <si>
    <t>30. září 1946</t>
  </si>
  <si>
    <t>Harrachov_obc.jpg</t>
  </si>
  <si>
    <t>14.117827</t>
  </si>
  <si>
    <t>50.1937817</t>
  </si>
  <si>
    <t xml:space="preserve">Pchery, čestné občanství </t>
  </si>
  <si>
    <t>Diplom čestného občanství, uděleného již na schůzi 21. listopadu 1946. Rudé textilní desky se zlaceným orámováním, kolorovaná ilustrace s motivem hornictví a názvem města, rkp, podpisy, razítko, 6 ll, 34 x 25 cm.</t>
  </si>
  <si>
    <t>21. prosince 1947</t>
  </si>
  <si>
    <t>Místní národní výbor. sign. S. K.</t>
  </si>
  <si>
    <t>Pchery_obc01.jpg</t>
  </si>
  <si>
    <t>Pchery_obc02.jpg</t>
  </si>
  <si>
    <t>Pchery_obc03.jpg</t>
  </si>
  <si>
    <t>Pchery_obc04.jpg</t>
  </si>
  <si>
    <t>16.2230307</t>
  </si>
  <si>
    <t>50.0016037</t>
  </si>
  <si>
    <t xml:space="preserve">Choceň, čestné občanství </t>
  </si>
  <si>
    <t>Diplom čestného občanství. Bílé textilní desky s barevným a vytlačovaným nápisem, trojdílný složený diplom z ručního papíru s červenou figurální ilustrací na motivy oslavy práce, tisk, 33 x 23 cm.</t>
  </si>
  <si>
    <t>12. listopadu 1948</t>
  </si>
  <si>
    <t>Obyvatelé Chocně.</t>
  </si>
  <si>
    <t>Choceň_obc01.jpg</t>
  </si>
  <si>
    <t>Choceň_obc02.jpg</t>
  </si>
  <si>
    <t>18.6707901</t>
  </si>
  <si>
    <t>49.677631</t>
  </si>
  <si>
    <t xml:space="preserve">Třinec, čestné občanství </t>
  </si>
  <si>
    <t>Diplom čestného občanství. Textilní desky s kovovým plátem s rytou, kolorovanou ilustrací s motivem dolu, ruční papír, bohatě ilustrováno: figurální zobrazení na motivy oslavy práce, pohledy na město a doly, symbol kladiva a srpu s pracovními výjevy, rkp, podpisy, razítko, 32 x 28 cm. </t>
  </si>
  <si>
    <t>14. července 1948</t>
  </si>
  <si>
    <t>Místní národní výbor. Biron (?).</t>
  </si>
  <si>
    <t>Třinec_obc01.jpg</t>
  </si>
  <si>
    <t>Třinec_obc02.jpg</t>
  </si>
  <si>
    <t>Třinec_obc03.jpg</t>
  </si>
  <si>
    <t>Třinec_obc04.jpg</t>
  </si>
  <si>
    <t>Třinec_obc05.jpg</t>
  </si>
  <si>
    <t>13.6573027</t>
  </si>
  <si>
    <t>50.5932836</t>
  </si>
  <si>
    <t xml:space="preserve">Lom, čestné občanství </t>
  </si>
  <si>
    <t>Diplom čestného občanství. Hnědo-bílé papírové desky, akvarelové ilustrace (signované Karel Kupka): pohled na továrnu, lipové ratolesti, znak obce, rkp, podpisy, 4 ll, 36 x 34 cm.</t>
  </si>
  <si>
    <t>21. listopadu 1947.</t>
  </si>
  <si>
    <t>Místní národní výbor. K. Kupka.</t>
  </si>
  <si>
    <t>Lom_obc01.jpg</t>
  </si>
  <si>
    <t>Lom_obc02.jpg</t>
  </si>
  <si>
    <t>Lom_obc03.jpg</t>
  </si>
  <si>
    <t>Lom_obc04.jpg</t>
  </si>
  <si>
    <t>14.1149223</t>
  </si>
  <si>
    <t>50.1709674</t>
  </si>
  <si>
    <t>Hnidousy, žádost o propůjčení jmén</t>
  </si>
  <si>
    <t>Rozhodnutí o přejmenování dolu Ronna. Hnědo-šedé koženkové desky, rkp, podpisy, razítka, 4 ll, 35 x 24 cm.</t>
  </si>
  <si>
    <t>Čestné jméno</t>
  </si>
  <si>
    <t>10. únor 1946</t>
  </si>
  <si>
    <t>Osazenstvo dolu Ronna. </t>
  </si>
  <si>
    <t>HnidousyII_jme01.jpg</t>
  </si>
  <si>
    <t xml:space="preserve">Hnidousy_žádost03.jpg                                                                                         </t>
  </si>
  <si>
    <t>Hnidousy_žádost04.jpg</t>
  </si>
  <si>
    <t>Hnidousy_žádost05.jpg</t>
  </si>
  <si>
    <t>Hnidousy, slavnostní pojmenování</t>
  </si>
  <si>
    <t>Pamětní spis u příležitosti přejmenování na Důl Gottwald. Celokožené hnědé desky s koženým reliéfem s motivem dolu, drobné i celostránkové kolorované ilustrace s hornickými motivy (autor: Stanislav Holeček), rkp, 10 ll, 45 cm x 33 cm. Důl v Hnidousích představuje značně plodného původce, samotné přejmenování dolu je zastoupeno minimálně dvěmi kusy dedikací KG, mezi dochovanými archiváliemi se nachází nejméně jedna další zdravice a závazek. Dá se předpokládat, že to nepředstavuje celou produkci tohoto typu materiálů tamějšího vedení.</t>
  </si>
  <si>
    <t>23. březen 1946</t>
  </si>
  <si>
    <t>Závodní rada dolu Ronna. S. Holeček.</t>
  </si>
  <si>
    <t>Hnidousy_jme01.jpg</t>
  </si>
  <si>
    <t>Hnidousy_jme02.jpg</t>
  </si>
  <si>
    <t>Hnidousy_jme03.jpg</t>
  </si>
  <si>
    <t>Hnidousy_jme04.jpg</t>
  </si>
  <si>
    <t>Hnidousy_jme05.jpg</t>
  </si>
  <si>
    <t>Obrazová dokumentace archiválie. Národní muzeum, Archiv NM, Sbírka Muzea dělnického hnutí, sbírka Klement Gottwald - kult osobnosti.</t>
  </si>
  <si>
    <t>Hnidousy_jme06.jpg</t>
  </si>
  <si>
    <t>Hnidousy_jme07.jpg</t>
  </si>
  <si>
    <t>17.6627635</t>
  </si>
  <si>
    <t>49.2244365</t>
  </si>
  <si>
    <t>Zlín, přejmenování na Gottwaldov</t>
  </si>
  <si>
    <t xml:space="preserve">Oznámení o sdružení obcí na Zlínsku a přejmenování celého konglomerátu na Gottwaldow. Pravděpodobně pouze část adresy, neboť zmiňované podpisy na tomto listu nejsou. Diplom s kaligrafickým rkp, 41 x 27 cm. </t>
  </si>
  <si>
    <t>Obce na Zlínsku ("níže podepsaní").</t>
  </si>
  <si>
    <t>Národní muzeum, Archiv NM, Sbírka Muzea dělnického hnutí, sbírka Klement Gottwald - kult osobnosti.Národní muzeum, Archiv NM, Sbírka Muzea dělnického hnutí, sbírka Klement Gottwald - kult osobnosti.</t>
  </si>
  <si>
    <t>Zlín_jme.jpg</t>
  </si>
  <si>
    <t>14.3151897</t>
  </si>
  <si>
    <t>48.8104674</t>
  </si>
  <si>
    <t>Český Krumlov, pojmenování náměstí</t>
  </si>
  <si>
    <t>Oznámení o přejmenování centrálního náměstí na nám. Klementa Gottwalda (nyní nám. Svornosti). Tmavě hnědá papírová krabice, červené koženkové desky, úvodní akvarelová ilustrace s motivem náměstí, motiv českého lva, rkp, podpisy, razítko, 4 ll, 32 x 22 cm.</t>
  </si>
  <si>
    <t>23. listopad 1948</t>
  </si>
  <si>
    <t>Český Krumlov_jme01.jpg</t>
  </si>
  <si>
    <t>Český Krumlov_jme02.jpg</t>
  </si>
  <si>
    <t>13.6898576</t>
  </si>
  <si>
    <t>50.6040435</t>
  </si>
  <si>
    <t>Hrdlovka, "křestní list" dolu</t>
  </si>
  <si>
    <t xml:space="preserve">"Křestní list" dolu, oznámení o přejmenování dolu v Hrdlovce, okres Duchcov. Červené kožené desky se zlaceným symbolem hornických kladiv a zeleno-černým nápisem, ruční papír, tisk, podpisy, poškozeno, 34 x 25 cm. Vydáno u příležitosti dne horníků 11. září 1949. </t>
  </si>
  <si>
    <t>11. září 1948</t>
  </si>
  <si>
    <t>Osazenstvo dolu Alexandr.</t>
  </si>
  <si>
    <t>Hrdlovka_jme01.jpg</t>
  </si>
  <si>
    <t>Hrdlovka_jme02.jpg</t>
  </si>
  <si>
    <t>14.1067465</t>
  </si>
  <si>
    <t>50.1416986</t>
  </si>
  <si>
    <t>Kladno, žádost o propůjčení čestného jména</t>
  </si>
  <si>
    <t>Žádost o povolení pojmenovat kulturního dům čestným jménem K. Gottwalda, přiloženo pozvání na slavnostní shromáždění za účelem pojmenování (24. listopadu 1946). Bílé papírové desky, tisk, podpisy a razítka, 8 ll, 32 x 23 cm.</t>
  </si>
  <si>
    <t>Kladno_jme01.jpg</t>
  </si>
  <si>
    <t>Kladno_jme02.jpg</t>
  </si>
  <si>
    <t>Kladno_jme03.jpg</t>
  </si>
  <si>
    <t>Kladno_jme04.jpg</t>
  </si>
  <si>
    <t>Kladno_jme05.jpg</t>
  </si>
  <si>
    <t>Kladno_jme06.jpg</t>
  </si>
  <si>
    <t>13.4518893</t>
  </si>
  <si>
    <t>50.5117596</t>
  </si>
  <si>
    <t>Červený Hrádek, zdravice z národní manifestace</t>
  </si>
  <si>
    <t xml:space="preserve">Zdravice náměstkovi předsedy vlády a ministrovi u příležitosti národní manifestace konané na zámku Červený Hrádek u Jirkova, připojen slavnostní slib práce ve prospěch republiky. Červená krabice z tvrzeného papíru, uvnitř diplom v tvrdých bílých papírových deskách se zlaceným vytlačovaným znakem města Chomutova, rudá stuha, rkp, podpisy členů slavnostní komise, akvarelová ilustrace s motivem zámku, signovaná A. Klouda, v obalu 31 x 23 cm. Příklad rané adresy zaslané KG ještě ve funkci ministra, původce představoval správní orgán, který býval ustanovován v místech s většinově nespolehlivým obyvatelstvem (zde se jedná o oblast sudet s dosud převládajícím německým obyvatelstvem) místo obvyklého Národního výboru, viz vládní nařízení 5/1945 Sb. par. 6. </t>
  </si>
  <si>
    <t>Varia</t>
  </si>
  <si>
    <t>9. září 1945</t>
  </si>
  <si>
    <t>Okresní správní komise / Slavnostní výbor národní manifestace.</t>
  </si>
  <si>
    <t>Červený Hrádek_var01.jpg</t>
  </si>
  <si>
    <t>Červený Hrádek_var02.jpg</t>
  </si>
  <si>
    <t>Červený Hrádek_var03.jpg</t>
  </si>
  <si>
    <t>Červený Hrádek_var04.jpg</t>
  </si>
  <si>
    <t>14.3767908</t>
  </si>
  <si>
    <t>50.0913562</t>
  </si>
  <si>
    <t>Praha – Střešovice, únorová zdravice</t>
  </si>
  <si>
    <t xml:space="preserve">Zdravice střešovické místní organizace KSČ v předvečer komunistického puče v únoru 1948. Únorový převrat byl podnětem pro vznik značného množství tohoto typu dedikací, datace před 28. únorem je méně obvyklá a objevuje se spíše jen u organizací interně svázaných s vedením KSČ. První polovina března je však svědkem velkého množství adres od nejrůznějších původců, kteří se chtěli, ať již formálně či z vnitřního přesvědčení, přihlásit k novému režimu a slíbit věrnost vládě jedné strany v osobě jejího vůdce KG. </t>
  </si>
  <si>
    <t>27. únor 1948</t>
  </si>
  <si>
    <t>Praha Střešovice_var01.jpg</t>
  </si>
  <si>
    <t>Praha Střešovice_var02.jpg</t>
  </si>
  <si>
    <t>Praha Střešovice_var03.jpg</t>
  </si>
  <si>
    <t>14.4766795</t>
  </si>
  <si>
    <t>50.1060903</t>
  </si>
  <si>
    <t>Praha – Libeň, plán obnovy závodu</t>
  </si>
  <si>
    <t xml:space="preserve">Plán obnovy podniku zaslaný u příležitosti I. krajské konference KSČ. Hnědé papírové album s názvem na deskách, na titulní straně uhlová kolorovaná kresba s motivem závodu a dělníků, na dalších čtvrtkách nákresy, grafy, tabulky a dokumentační čb fotografie, rkp, strojopis, barevné ilustrace, 14 ll, 36 x 47 cm. Pečlivě vypracované srovnání stavu závodu v době těsně po osvobození a plánované obnovy, která má být realizována během roku 1946. Odráží atmosféru poválečného společného budování, již sdílela většina obyvatel. </t>
  </si>
  <si>
    <t>Závodní organizace KSČ v Českomoravských strojírnách v Libni.</t>
  </si>
  <si>
    <t>Praha Libeň_var01.jpg</t>
  </si>
  <si>
    <t>Praha Libeň_var02.jpg</t>
  </si>
  <si>
    <t>Praha Libeň_var03.jpg</t>
  </si>
  <si>
    <t>Praha Libeň_var04.jpg</t>
  </si>
  <si>
    <t>15.5870415</t>
  </si>
  <si>
    <t>49.3983782</t>
  </si>
  <si>
    <t>Jihlava, jmenování čestným členem</t>
  </si>
  <si>
    <t>Jmenování KG čestným členem družstva.</t>
  </si>
  <si>
    <t>14. srpen 1947</t>
  </si>
  <si>
    <t>Pleta - Pletařské družstvo v Jihlavě.</t>
  </si>
  <si>
    <t>Jihlava_var01.jpg</t>
  </si>
  <si>
    <t>Jihlava_var02.jpg</t>
  </si>
  <si>
    <t>Jihlava_var03.jpg</t>
  </si>
  <si>
    <t>17.9032009</t>
  </si>
  <si>
    <t>49.7123742</t>
  </si>
  <si>
    <t>Fulnek, báseň</t>
  </si>
  <si>
    <t>Básnické pásmo, psáno 25.5.1949 - 29.5.1949, několik delších básní reflektujících soudobé události a glorifikujících KG. Černý zápisník s obálkou s motivem západu slunce v palmové zátoce, rkp, popsáno 32/70 ll, A5. Individuální dar, který je příkladem autentických motivací projevů vůdcovského kultu, text obsahuje antisemitských proklamací.</t>
  </si>
  <si>
    <t>květen 1949</t>
  </si>
  <si>
    <t>Beseermann, Karel (dělník a soudruh).</t>
  </si>
  <si>
    <t>Fulnek_var01.jpg</t>
  </si>
  <si>
    <t>Fulnek_var03.jpg</t>
  </si>
  <si>
    <t>Fulnek_var04.jpg</t>
  </si>
  <si>
    <t>Fulnek_var05.jpg</t>
  </si>
  <si>
    <t>Fulnek_var06.jpg</t>
  </si>
  <si>
    <t>15.0061389</t>
  </si>
  <si>
    <t>49.1444823</t>
  </si>
  <si>
    <t>Jindřichův Hradec, zpráva o činnosti strany</t>
  </si>
  <si>
    <t>Hlášení o činnosti strany v regionu během transformace v letech 1945 až 1946, na konci slib pokračujících aktivit, včetně "důsledného provádění konfiskací." Červené textilní desky s trikolorou v dolním rohu, ilustrace s motivem vlajky ČSR, rudé hvězdy a srpu a kladiva, drobný znak pětiletky v závěru, podpisy, razítko,  6 ll, A3.</t>
  </si>
  <si>
    <t>18. květen 1946</t>
  </si>
  <si>
    <t>Okresní organizace KSČ Jindřichův Hradec.</t>
  </si>
  <si>
    <t>Jindřichův Hradec_var01.jpg</t>
  </si>
  <si>
    <t>Jindřichův Hradec_var02.jpg</t>
  </si>
  <si>
    <t>Jindřichův Hradec_var03.jpg</t>
  </si>
  <si>
    <t>Jindřichův Hradec_var04.jpg</t>
  </si>
  <si>
    <t>Jindřichův Hradec_var05.jpg</t>
  </si>
  <si>
    <t>17.45023</t>
  </si>
  <si>
    <t>49.4564788</t>
  </si>
  <si>
    <t>Přerov, zpěvník Lidových milicí</t>
  </si>
  <si>
    <t>Zpěvník Lidových milicí dedikovaný prezidentovi republiky u příležitosti 30. výročí založení KSČ. Sbírka 17 písní různých autorů, svázána v červených koženkových deskách se zlacenými nápisy, rkp, 35 ll, 37 x 26 cm.</t>
  </si>
  <si>
    <t>květen 1951</t>
  </si>
  <si>
    <t>Lidové milice Přerovska.</t>
  </si>
  <si>
    <t>Přerov_var01.jpg</t>
  </si>
  <si>
    <t>Přerov_var02.jpg</t>
  </si>
  <si>
    <t>Přerov_var04.jpg</t>
  </si>
  <si>
    <t>Přerov_var05.jpg</t>
  </si>
  <si>
    <t>Přerov_var06.jpg</t>
  </si>
  <si>
    <t>14.480255</t>
  </si>
  <si>
    <t>48.9756578</t>
  </si>
  <si>
    <t xml:space="preserve">České Budějovice, grafické album </t>
  </si>
  <si>
    <t>Dar s věnováním u příležitosti návštěvy. Album grafických prací, autor Karel Štech (regionálně významný umělec). Béžové textilní desky se zlaceným znakem města, svázané grafické listy (16 ks) - sociální témata, přírodní a městská krajina, různé techniky, rkp, tisk, podpisy, 22 ll, 42 x 30 cm.</t>
  </si>
  <si>
    <t>18. května 1946</t>
  </si>
  <si>
    <t>Okresní komise žen. K. Štech.</t>
  </si>
  <si>
    <t>České Budějovice_zav01.jpg</t>
  </si>
  <si>
    <t>České Budějovice_zav02.jpg</t>
  </si>
  <si>
    <t>České Budějovice_zav04.jpg</t>
  </si>
  <si>
    <t>České Budějovice_zav05.jpg</t>
  </si>
  <si>
    <t>České Budějovice_zav06.jpg</t>
  </si>
  <si>
    <t>19.9693394</t>
  </si>
  <si>
    <t>48.8606744</t>
  </si>
  <si>
    <t>Helpa, plastika Sokol</t>
  </si>
  <si>
    <t>Dar K. Gottwaldovi; Polychromovaná dřevěná plastika znázorňuje sokola na skále, hledícího na sele ukryté u stromu pod ním. U skály je na pravé straně reliéf zřejmě ještěrky, na levé straně je ztvárněn vlk. Plastiku dovezl do Prahy osobně autor, lidový řezbář Josef Kemko z obce Helpa (okres Brezno nad Hronom), jako dar k narozeninám prezidentu Klementu Gottwaldovi v listopadu 1952. Společně s ní přivezl i píšťalu z lískového dřeva a vyřezávaný džbánek ze švestkového dřeva. 
O předání daru byl v Kanceláři prezidenta republiky udělán zápis: "Je důchodce Čsl. drah, pobírá 2.000.- Kčs pense, má 3 syny, čtvrtý byl zabit loňského roku při svozu dřeva. Nejmladší syn studuje na lesnické škole. ... Přednosta kanceláře Josefu Kemkovi poděkoval a věnoval mu stříbrnou pamětní stokorunu s portrétem pana presidenta republiky, 2 stříbrné padesátikoruny s portrétem J. V. Stalina a 300.- Kčs na výlohy. ..."</t>
  </si>
  <si>
    <t>Hmotné dary</t>
  </si>
  <si>
    <t>1952</t>
  </si>
  <si>
    <t>Jozef Kemko, obec Helpa (okres Brezno nad Hronom)</t>
  </si>
  <si>
    <t xml:space="preserve">Národní muzeum, Sbírka Muzea dělnického hnutí, fond Výtvarné umění;
Archiv Kanceláře prezidenta  republiky, inv. č. 24316, k 608.
POHRIBNÝ, Arsén a TKÁČ, Štefan. Naivní umění v Československu. 1. vyd. Praha: NČSVU, 1967, s. 76 - 81.
</t>
  </si>
  <si>
    <t>H11U-475.JPG</t>
  </si>
  <si>
    <t>Dar K. Gottwaldovi; Jozef Kemko; Sokol; 1952; dřevo; 280 x 350 x 520 mm; Národní muzeum, H11U-475 ; foto: O. Tlapáková, 2018.</t>
  </si>
  <si>
    <t>Národní muzeum, Sbírka Muzea dělnického hnutí, fond Výtvarné umění.</t>
  </si>
  <si>
    <t>H11U-475_Kniha darů KG_položka 1036.jpg</t>
  </si>
  <si>
    <t>Evidenční zápis daru č. 1036 od Jozefa Kemka v Knize darů vedené v Kanceláři prezidenta republiky.</t>
  </si>
  <si>
    <t>Národní muzeum, Sbírka Muzea dělnického hnutí, dokumentace Kolekce darů KG.</t>
  </si>
  <si>
    <t>18.1571098</t>
  </si>
  <si>
    <t>47.9881643</t>
  </si>
  <si>
    <t>Nové Zámky, malba Dělníci na trati</t>
  </si>
  <si>
    <t>Dar K. Gottwaldovi; V. Ostrožlík; Dělníci na trati; malba na plátně v dřevěném rámu; 59 x 73 cm; Národní muzeum, H11U-198: Olejomalba na plátně s římsovitě profilovaným dřevěným rámem zachycuje dvojici dělníků na vlakové trati při práci s krumpáči. Obě postavy mají identický oděv (modré montérky, bílou košily a hnědou čepici s kšiltem). .</t>
  </si>
  <si>
    <t>1950</t>
  </si>
  <si>
    <t>II. traťová stavební správa Nové Zámky</t>
  </si>
  <si>
    <t>H11U-198.jpg</t>
  </si>
  <si>
    <t>Dar K. Gottwaldovi; V. Ostrožlík; Dělníci na trati; malba na plátně v dřevěném rámu; 59 x 73 cm; Národní muzeum, H11U-198; foto: O. Tlapáková, 2021.</t>
  </si>
  <si>
    <t>15.1703135</t>
  </si>
  <si>
    <t>50.7220528</t>
  </si>
  <si>
    <t>Jablonec nad Nisou, dárková kazeta se státním znakem ČSR</t>
  </si>
  <si>
    <t>Dar K. Gottwaldovi; Státní znak ČSR v dárkové kazetě; venování: „Jablonecké vývozní domy, 23. 11. 1948"; 1948; sklo, kov, papír, samet; 28,5 x 33 x 32,5 cm (otevřená), Národní muzeum, H11S-16. </t>
  </si>
  <si>
    <t>1948</t>
  </si>
  <si>
    <t>Jablonecké vývozní domy</t>
  </si>
  <si>
    <t>Národní muzeum, Sbírka muzea dělnického hnutí, fond Společnost a spolkový život, Kolekce darů KG.</t>
  </si>
  <si>
    <t>H11S-16.JPG</t>
  </si>
  <si>
    <t>Dar K. Gottwaldovi; Státní znak ČSR v dárkové kazetě; venování: „Jablonecké vývozní domy, 23. 11. 1948"; 1948; sklo, kov, papír, samet; 28,5 x 33 x 32,5 cm (otevřená), Národní muzeum, H11S-16.</t>
  </si>
  <si>
    <t>Národní muzeum, Sbírka Muzea dělnického hnutí, fond Společnost a spolkový život, Kolekce darů KG.</t>
  </si>
  <si>
    <t>13.410737</t>
  </si>
  <si>
    <t>50.4634975</t>
  </si>
  <si>
    <t>Chomutov, krabička tvaru pěticípé hvězdy</t>
  </si>
  <si>
    <t>Dar K. Gottwaldovi; Jakub Soukup, Krabička tvaru pěticípé hvězdy s fotografií K. Gottwalda, věnování: "56 Našemu presidentu s. Klementu Gottwaldovi k 56. narozeninám věnuje Soukup Jakub Chomutov."; 1952; papír, celofán, folie, silon; výška 9 a průměr 35 cm; Národní muzeum, H11S-84.</t>
  </si>
  <si>
    <t>Jakub Soukup</t>
  </si>
  <si>
    <t>H11S-84.jpg</t>
  </si>
  <si>
    <r>
      <rPr>
        <rFont val="Arial"/>
        <color rgb="FF000000"/>
        <sz val="10.0"/>
      </rPr>
      <t>Dar K. Gottwaldovi; Jakub Soukup, Krabička tvaru pěticípé hvězdy s fotografií K. Gottwalda, věnování: "56 Našemu presidentu s. Klementu Gottwaldovi k 56. narozeninám věnuje Soukup Jakub Chomutov."; 1952; papír, celofán, folie, silon; Národní muzeum, H11S-84 (foto: G. Hrzánová, 2020)</t>
    </r>
    <r>
      <rPr>
        <rFont val="Arial"/>
        <color rgb="FF000000"/>
        <sz val="11.0"/>
      </rPr>
      <t>.</t>
    </r>
  </si>
  <si>
    <t>H11S-84_věnování.JPG</t>
  </si>
  <si>
    <t>Dar K. Gottwaldovi; Jakub Soukup, Krabička tvaru pěticípé hvězdy s fotografií K. Gottwalda, věnování: "56 Našemu presidentu s. Klementu Gottwaldovi k 56. narozeninám věnuje Soukup Jakub Chomutov."; 1952; papír, celofán, folie, silon; Národní muzeum, H11S-84 (foto: G. Hrzánová, 2020).</t>
  </si>
  <si>
    <t>12.5183942</t>
  </si>
  <si>
    <t>50.3231088</t>
  </si>
  <si>
    <t>Kraslice, výšivka s blahopřáním k narozeninám</t>
  </si>
  <si>
    <t xml:space="preserve">Dar K. Gottwaldovi; podnik LEKO (pracoviště Kraslice), Výšivka s blahopřáním k narozeninám K. Gottwalda; 1948; textil, dřevo; 64 x 50 x 1 cm; Národní muzeum, H11S-98: Blahopřání k 52. narozeninám K. Gottwalda vysité na bílým saténem potažené desce. Text doplněn státním znakem s ratolestí a československou vlajkou nad pěticípou hvězdou se srpem a kladivem, která je doplněna ratolestí s nápisem KSČ. 
Do pražského národního podniku Leko byly včleněny zbylé kraslické textilní provozovny vyrábějící prádlo a lehkou konfekci a místem jeho působnosti se staly budovy bývalé továrny na hudební nástroje V. Kohlert's Söhne.
</t>
  </si>
  <si>
    <t>LEKO Kraslice</t>
  </si>
  <si>
    <t xml:space="preserve">Národní muzeum, Sbírka Muzea dělnického hnutí, fond Společnost  a spolkový život, Kolekce darů KG.
Státní oblastní archiv v Plzni - Státní okresní archiv Sokolov se sídlem v Jindřichovicích: Inventář fondu Městský národní výbor Kraslice (1922) 1945 – 1990 (1991) EL NAD č. 866 AP č. 98; online: https://adoc.pub/1922-1991-el-nad-ap-98.html (21.7.2021).
</t>
  </si>
  <si>
    <t>H11S-98.jpg</t>
  </si>
  <si>
    <t>podnik LEKO (pracoviště Kraslice), Výšivka s blahopřáním k narozeninám K. Gottwalda; 1948; textil, dřevo; 64 x 50 x 1 cm.</t>
  </si>
  <si>
    <t>Národní muzeum, Sbírka Muzea dělnického hnutí, fond Společnost  a spolkový život, Kolekce darů KG.</t>
  </si>
  <si>
    <t>14.4258116</t>
  </si>
  <si>
    <t>50.0929264</t>
  </si>
  <si>
    <t>Praha, model univerzálního rýpadla ŠKODA E7</t>
  </si>
  <si>
    <t xml:space="preserve">Dar K. Gottwaldovi; Model, univerzální rýpadlo ŠKODA E7, 1951, kov, dřevo, Národní muzeum, H11E-41.
 Učni s modelem univerzálního rýpadla ŠKODA E7, 1951, fotografie, Národní muzeum, H11E-41.
Model včetně fotografie jeho autorů byl darován k narozeninám prezidentu Gottwaldovi v roce 1951 Ministerstvem těžkého strojírenství za ministra Augustina Klimenta (1889-1953). Modelu chybí zavěšená lžíce rypadla.
</t>
  </si>
  <si>
    <t>1951</t>
  </si>
  <si>
    <t>Ministerstvo těžkého strojírenství</t>
  </si>
  <si>
    <t xml:space="preserve">Národní muzeum, Sbírka Muzea dělnického hnutí, fond Modely.
https://www.mpo.cz/cz/rozcestnik/ministerstvo/o-ministerstvu/historie/historie-ministerstva-prumyslu-a-obchodu--6438/ (online: 21.7.2021)
</t>
  </si>
  <si>
    <t>H11E-41.JPG</t>
  </si>
  <si>
    <t>Model, univerzální rýpadlo ŠKODA E7, 1951, kov, dřevo, Národní muzeum, H11E-41, stav před restaurováním, foto: G. Hrzánová, 2020.</t>
  </si>
  <si>
    <t>Národní muzeum, Sbírka Muzea dělnického hnutí, fond Modely.</t>
  </si>
  <si>
    <t>H11E-41-b.JPG</t>
  </si>
  <si>
    <t>Učni s modelem univerzálního rýpadla ŠKODA E7, 1951, fotografie, Národní muzeum, H11E-41.</t>
  </si>
  <si>
    <t>15.3035418</t>
  </si>
  <si>
    <t>50.7377984</t>
  </si>
  <si>
    <t>Tanvald, hodiny se znakem</t>
  </si>
  <si>
    <t>Dar K. Gottwaldovi; Hodiny se znakem města Tanvald, na kulatém podstavci zakryté skleněným poklopem s hvězdami; přelom 40.-50. let 20. století; kov, dřevo, sklo; výška 48 a průměr 35 cm; Národní muzeum, H11S-53.</t>
  </si>
  <si>
    <t>přelom 40.-50. let 20. století</t>
  </si>
  <si>
    <t>město Tanvald (?)</t>
  </si>
  <si>
    <t>H11S-53.jpg</t>
  </si>
  <si>
    <t>Hodiny se znakem města Tanvald, na kulatém podstavci zakryté skleněným poklopem s hvězdami; přelom 40.-50. let 20. století; kov, dřevo, sklo; výška 48 a průměr 35 cm; Národní muzeum, H11S-53; foto: O. Tlapáková, 2020.</t>
  </si>
  <si>
    <t>15.0726048</t>
  </si>
  <si>
    <t>49.2393527</t>
  </si>
  <si>
    <t>Nová Včelnice, lastura se státním znakem ČSR</t>
  </si>
  <si>
    <t>Dar K. Gottwaldovi; Lastura s velkým státním znakem ČSR; lastura, dřevo, darováno 1950 (vznik 30. léta 20. století); 22 x 23 x 15 cm; Národní muzeum, H11S-14 (foto: O. Tlapáková, 2018). </t>
  </si>
  <si>
    <t>Marie Brabcová, tkadlena vlnařských závodů </t>
  </si>
  <si>
    <t>H11S-14.JPG</t>
  </si>
  <si>
    <t>Lastura s velkým státním znakem ČSR; lastura, dřevo, darováno 1950 (vznik 30. léta 20. století?); 22 x 23 x 15 cm; Národní muzeum, H11S-14; foto: J. Tothová, 2018.</t>
  </si>
  <si>
    <t>18.1095383</t>
  </si>
  <si>
    <t>48.8020944</t>
  </si>
  <si>
    <t>Trenčijanské Jastrabie, blok ve tvaru srdce</t>
  </si>
  <si>
    <t>Dar K. Gottwaldovi; papírový blok ve tvaru srdce, nelinkovaný, na vnějších stranách foto K. Gottwalda a foto zasněžené horské krajiny s věnováním: „Slovenské Tatry 23. 12. 1949 Ručne práce venuje panu Prezidentovy našej Republiky Sudr. Valach“, okraje lemovány výšivkou v národních barvách, potaženo pevným celofánem, šňůrky se střapci;  v 3,5 x š 19,5 x h 18,5 cm; Národní muzeum, H11S-81.</t>
  </si>
  <si>
    <t>Anton Valacha</t>
  </si>
  <si>
    <t>H11S-81_01.JPG</t>
  </si>
  <si>
    <t>Dar K. Gottwaldovi; papírový blok ve tvaru srdce, nelinkovaný, na vnějších stranách foto K. Gottwalda a foto zasněžené horské krajiny s věnováním: „Slovenské Tatry 23. 12. 1949 Ručne práce venuje panu Prezidentovy našej Republiky Sudr. Valach“, okraje lemovány výšivkou v národních barvách, potaženo pevným celofánem, šňůrky se střapci;  v 3,5 x š 19,5 x h 18,5 cm; Národní muzeum, H11S-81; foto: G. Hrzánová, 2020.</t>
  </si>
  <si>
    <t>H11S-81_02.JPG</t>
  </si>
  <si>
    <t>14.387747</t>
  </si>
  <si>
    <t>50.0804993</t>
  </si>
  <si>
    <t>Praha, plaketa s prezidentem Benešem</t>
  </si>
  <si>
    <t>Dar K. Gottwaldovi; Plaketa s E. Benešem na mramorovém podstavci, na plaketě levý profil a nápis: PRESIDENT REPUBLIKY ČESKOSLOVENSKÉ - DR. EDVARD BENEŠ 1935; signováno JB; na spodní části odznáček: Sportovní klub v Praze + logo; Národní muzeum; H11S-68; v 22 x š 29 x h 8 cm.</t>
  </si>
  <si>
    <t>1949</t>
  </si>
  <si>
    <t>Sportovní klub Praha</t>
  </si>
  <si>
    <t>H11S-68_01.JPG</t>
  </si>
  <si>
    <t>Dar K. Gottwaldovi; Plaketa s E. Benešem na mramorovém podstavci, na plaketě levý profil a nápis: PRESIDENT REPUBLIKY ČESKOSLOVENSKÉ - DR. EDVARD BENEŠ 1935; signováno JB; na spodní části odznáček: Sportovní klub v Praze + logo; Národní muzeum; H11S-68; v 22 x š 29 x h 8 cm; foto: G. Hrzánová, 2020.</t>
  </si>
  <si>
    <t>H11S-68_02.jpg</t>
  </si>
  <si>
    <t>12.8952936</t>
  </si>
  <si>
    <t>50.2443961</t>
  </si>
  <si>
    <t>Dalovice u Karlových Varů, kovaná růže</t>
  </si>
  <si>
    <t>Dar K. Gottwaldovi; Těžítko, růže ručně kovaná; dárce: František Šimeček, kovář; darováno 25.11.1952; kov; Národní muzeum; H11S-73; v 5 x d 21 x š 13 cm.</t>
  </si>
  <si>
    <t>František Šimeček</t>
  </si>
  <si>
    <t>H11S-73.JPG</t>
  </si>
  <si>
    <t>Dar K. Gottwaldovi; Těžítko, růže ručně kovaná; dárce: František Šimeček, kovář; darováno 25.11.1952; kov; Národní muzeum; H11S-73; v 5 x d 21 x š 13 cm; foto: G. Hrzánocá, 2020.</t>
  </si>
  <si>
    <t>14.4557227</t>
  </si>
  <si>
    <t>48.9213921</t>
  </si>
  <si>
    <t>Včelná, dřevěný reliéf </t>
  </si>
  <si>
    <t>Dar K. Gottwaldovi; reliéf s portrétem muže a ženy doplněným zaťatou pěstí, dřevěný na dřevěné desce, na spodní části plechový štítek s nápisem: KSČ VČELNÁ 18.V.46, sign. na zadní straně desky: Pepík, zádlab s plíškem pro zavěšení; Národní muzeum; H11S-94; v 40 x š 19 x h 4 cm. V roce 1977 byl z Muzea Klementa Gottwalda zapůjčen do Muzea dělnického revolučního hnutí jižních Čech v Českých Budějovicích.</t>
  </si>
  <si>
    <t>1946</t>
  </si>
  <si>
    <t>KSČ</t>
  </si>
  <si>
    <t>H11S-94.jpg</t>
  </si>
  <si>
    <t>Dar K. Gottwaldovi; reliéf s portrétem muže a ženy doplněným zaťatou pěstí, dřevěný na dřevěné desce, na spodní části plechový štítek s nápisem: KSČ VČELNÁ 18.V.46, sign. na zadní straně desky: Pepík, zádlab s plíškem pro zavěšení; Národní muzeum; H11S-94; v 40 x š 19 x h 4 cm; foto: G. Hrzánová, 2020.</t>
  </si>
  <si>
    <t>15.2540856</t>
  </si>
  <si>
    <t>50.64274</t>
  </si>
  <si>
    <t>Železný Brod, skleněný věnec na rakev K. Gottwalda</t>
  </si>
  <si>
    <t xml:space="preserve">Dar K. Gottwaldovi; z jednotlivých skleněných lístků na drátcích složený věnec o průměru 100 cm. Okvětní lístky jsou červené barvy a lístky jsou zelené barvy. Každý z lístků je originálně tvarován. K věnci náleží i skleněná plochá hvězda červené barvy s nápisem: „SOUDRUHOVI KLEMENTU GOTTWALDOVI ZAMĚSTNANCÍ N. P. ŽELEZNO BRODSKÉHO SKLA“.
V současnosti je součástí expozice pražského Národního památníku na Vítkově.
</t>
  </si>
  <si>
    <t>1953</t>
  </si>
  <si>
    <t>zaměstnanci národního podniku železnobrodského skla</t>
  </si>
  <si>
    <t>H11S-1.jpg</t>
  </si>
  <si>
    <t>Dar K. Gottwaldovi; z jednotlivých skleněných lístků na drátcích složený věnec, výrobce: Želoznobrodské sklárny, 1953, sklo a kov, průměr 100 cm, Národní muzeum, H11S-1; foto: O. Tlapáková, 2017.</t>
  </si>
  <si>
    <t>18.3760739</t>
  </si>
  <si>
    <t>49.7931487</t>
  </si>
  <si>
    <t>Šenov ve Slezsku, malba Nástup do práce</t>
  </si>
  <si>
    <t>Dar K. Gottwaldovi; Vilém Wünsche, Nástup do práce, olejomalba na kartonu, 1945, Národní muzeum; H11U-64. </t>
  </si>
  <si>
    <t>místní skupina KSČ</t>
  </si>
  <si>
    <t>H11U-64.jpg</t>
  </si>
  <si>
    <t>Dar K. Gottwaldovi; Vilém Wünsche, Nástup do práce, olejomalba na kartonu, 1945, Národní muzeum; H11U-64; foto: O. Tlapáková, 2019.</t>
  </si>
  <si>
    <t>H11U-64_věnování.jpg</t>
  </si>
  <si>
    <t>Dar K. Gottwaldovi; Vilém Wünsche, Nástup do práce, olejomalba na kartonu, 1945, Národní muzeum; H11U-64; foto: O. Tlapáková, 2019 - detail věnování.</t>
  </si>
  <si>
    <t>15.7811994</t>
  </si>
  <si>
    <t>50.0343092</t>
  </si>
  <si>
    <t>Pardubice, malba Příchod Rudé armády do Pardubic</t>
  </si>
  <si>
    <t>Dar K. Gottwaldovi; Svatopluk Havrlík, Příchod Rudé armády do Pardubic, olejomalba na plátně, 1945, Národní muzeum, H11U-258; foto: J. Tothová.
Obraz byl pravděpodobně již  v kanceláři prezidenta použit pro výzdobu kanceláří. </t>
  </si>
  <si>
    <t>neznámý</t>
  </si>
  <si>
    <t>H11U-258.jpg</t>
  </si>
  <si>
    <t>Dar K. Gottwaldovi; Svatopluk Havrlík, Příchod Rudé armády do Pardubic, olejomalba na plátně, 1945, Národní muzeum, H11U-258; foto: J. Tothová, 2020.</t>
  </si>
  <si>
    <t>17.8580895</t>
  </si>
  <si>
    <t>48.8025995</t>
  </si>
  <si>
    <t>Trenčianske Bohuslavice, kresby a koláže</t>
  </si>
  <si>
    <t>Dar K. Gottwaldovi; Alois Rosecký a kol., Kresby a koláže vzniklé při doškolovacím kurzu, kombinovaná technika, v originálních amatérských rámech, 9 ks; 1950, Národní muzeum, H11U-337 až H11U-345.
Kolekce byla K. Gottwaldovi darována v dřevěné bedně. </t>
  </si>
  <si>
    <t>Československé stavby silnic a železnic n.p., závod pre vodné stavby </t>
  </si>
  <si>
    <t xml:space="preserve">Národní muzeum, Sbírka Muzea dělnického hnutí, fond Výtvarné umění.
PETIŠKOVÁ, Tereza. Československý socialistický realismus 1948-1958. Praha: Gallery, 2002. 101 s. ISBN 80-86010-61-9.
</t>
  </si>
  <si>
    <t>H11U-337.jpg</t>
  </si>
  <si>
    <t>Dar K. Gottwaldovi; Alois Rosecký a kol., Kresby a koláže vzniklé při doškolovacím kurzu, kombinovaná technika, úvodní tablo ze série 9 ks; 1950, Národní muzeum, H11U-337; sken: G. Hrzánová, 2021.</t>
  </si>
  <si>
    <t>H11U-338.jpg</t>
  </si>
  <si>
    <t>Dar K. Gottwaldovi; Alois Rosecký a kol., Kresby a koláže vzniklé při doškolovacím kurzu, kombinovaná technika, jeden ze série 9 ks; 1950, Národní muzeum, H11U-337; sken: G. Hrzánová, 2021.</t>
  </si>
  <si>
    <t>H11U-339.jpg</t>
  </si>
  <si>
    <t>H11U-340.jpg</t>
  </si>
  <si>
    <t>H11U-341.jpg</t>
  </si>
  <si>
    <t>H11U-342.jpg</t>
  </si>
  <si>
    <t>H11U-343.jpg</t>
  </si>
  <si>
    <t>14.4362352</t>
  </si>
  <si>
    <t>50.0927792</t>
  </si>
  <si>
    <t>Praha, plastika Rozsévač</t>
  </si>
  <si>
    <t>Dar K. Gottwaldovi; Cyril Zatloukal, Rozsévač, nedatováno, bronz a kamenný sokl, Národní muzeum, H11U-467; foto O. Tlapáková, 2018.
Na soklu kovový štítek s věnováním: Panu min. předsedovi Klementu Gottwaldovi k padesátinám, Zemědělská banka - národní podnik. </t>
  </si>
  <si>
    <t>Zemědělská banka, n.p.</t>
  </si>
  <si>
    <t>H11U-467.jpg</t>
  </si>
  <si>
    <t>Dar K. Gottwaldovi; Cyril Zatloukal, Rozsévač, nedatováno, bronz a kamenný sokl, Národní muzeum, H11U-467; foto O. Tlapáková, 2018.</t>
  </si>
  <si>
    <t>H11U-467 věnování.jpg</t>
  </si>
  <si>
    <t>Dar K. Gottwaldovi; Cyril Zatloukal, Rozsévač, nedatováno, bronz a kamenný sokl, Národní muzeum, H11U-467; foto O. Tlapáková, 2018 - detail věnování.</t>
  </si>
  <si>
    <t>14.4342708</t>
  </si>
  <si>
    <t>49.0522544</t>
  </si>
  <si>
    <t>Hluboká nad Vltavou, dřevěný korbel</t>
  </si>
  <si>
    <t xml:space="preserve">Dar K. Gottwaldovi; korbel, dřevěný, na víčku nápis: „K. G. 1946.“ a ratolest, na vnější straně dna sign: R. Suchý, Hluboká n./Vl., uvnitř papírová popiska (vizitka) s logem červené pěticípé hvězdy s ratolestmi a popisek: „Dřevěný korbel. Dar závod. org. KSČ. továrny na sudy Hluboká n/ Vltavou.“(popisek z výstavky darů); Národní muzeum; H11S-88; v 18 x š 19 x průměr 13 cm; foto: G. Hrzánová, 2020.
V roce 1977 byl korbel z Muzea Klementa Gottwalda zapůjčen do Muzea dělnického revolučního hnutí jižních Čech v Českých Budějovicích.
</t>
  </si>
  <si>
    <t>Závodní organizace KSČ, továrna na sudy</t>
  </si>
  <si>
    <t>H11S-88.jpg</t>
  </si>
  <si>
    <t>Dar K. Gottwaldovi; korbel, dřevěný, na víčku nápis: „K. G. 1946.“ a ratolest, na vnější straně dna sign: R. Suchý, Hluboká n./Vl., dar závod. org. KSČ. továrny na sudy Hluboká n/ Vltavou.“(popisek z výstavky darů); Národní muzeum; H11S-88; v 18 x š 19 x průměr 13 cm; foto: G. Hrzánová, 2020.</t>
  </si>
  <si>
    <t>H11S-88_popiska z Výstavky darů.jpg</t>
  </si>
  <si>
    <t xml:space="preserve">Papírová popiska (vizitka) s logem červené pěticípé hvězdy s ratolestmi a popisek: „Dřevěný korbel. Dar závod. org. KSČ. továrny na sudy Hluboká n/ Vltavou.“; popisek z výstavky darů k předmětu: korbel, dřevěný, na víčku nápis: „K. G. 1946.“ a ratolest, na vnější straně dna sign: R. Suchý, Hluboká n./Vl., uvnitř ; Národní muzeum; H11S-88; foto: G. Hrzánová, 2020.
</t>
  </si>
  <si>
    <t>18.5400995</t>
  </si>
  <si>
    <t>49.8548493</t>
  </si>
  <si>
    <t>Fryštát, malba Horník</t>
  </si>
  <si>
    <t>Dar K. Gottwaldovi; J. Baran, Horník, olej na plátně, 1948, Národní muzeum, H11U-293.</t>
  </si>
  <si>
    <t>Okresní národní výbor Fryštát</t>
  </si>
  <si>
    <t>H11U-293.jpg</t>
  </si>
  <si>
    <t>17.667229</t>
  </si>
  <si>
    <t>49.7935069</t>
  </si>
  <si>
    <t>Svatoňovice, grafika závod VUD</t>
  </si>
  <si>
    <t>Dar K. Gottwaldovi; Ivan Strnad, bez názvu (pohled na závod Svatoňovice), grafika, 1949, věnování na paspartě: Horničtí učňové VUD Svatoňovice presidentu republiky, 10. července 1949; Národní muzeum, H11U-411.
V knize darů jsou uvedeny 3 ks obrazů k tomuto daru.</t>
  </si>
  <si>
    <t>horničtí učňové Východočeských uhelných dolů, Svatoňovice</t>
  </si>
  <si>
    <t>H11U-411.jpg</t>
  </si>
  <si>
    <t>Dar K. Gottwaldovi; Ivan Strnad, bez názvu (pohled na závod Svatoňovice), grafika, 1949, věnování na paspartě: Horničtí učňové VUD Svatoňovice presidentu republiky, 10. července 1949; Národní muzeum, H11U-411; sken: G. Hrzánová, 2021.</t>
  </si>
  <si>
    <t>15.6321904</t>
  </si>
  <si>
    <t>50.3676014</t>
  </si>
  <si>
    <t>Hořice, plaketa K. Gottwald - k čestnému občanství</t>
  </si>
  <si>
    <t>Dar K. Gottwaldovi; Karel Samohrd, plaketa s portrétem K. Gottwalda, 1947, bronz na dřevěné desce, 63 x 56 x 5 cm, Národní muzeum, H11U-1205.
Plaketa byla na objednávku města Hořice zadána již k 50. narozeninám K. Gottwalda, který ale přijetí delegace několikráte odmítl. Dne 14.11.1947 neohlášenou delegaci osobně K. Gottwald přijal.   </t>
  </si>
  <si>
    <t>1947</t>
  </si>
  <si>
    <t>Město Hořice</t>
  </si>
  <si>
    <t xml:space="preserve">Národní muzeum, Sbírka Muzea dělnického hnutí, fond Výtvarné umění.
https://www.horice.org/cestni-obcane/ms-4193 (online, 26.8.2021
</t>
  </si>
  <si>
    <t>H11U-1205.jpg</t>
  </si>
  <si>
    <t xml:space="preserve">Dar K. Gottwaldovi; Karel Samohrd, plaketa s portrétem K. Gottwalda, 1947, bronz na dřevěné desce, 63 x 56 x 5 cm, Národní muzeum, H11U-1205; sken: G. Hrzánová, 2021.  </t>
  </si>
  <si>
    <t>13.3484057</t>
  </si>
  <si>
    <t>49.7388303</t>
  </si>
  <si>
    <t>Plzeň, plastika Kovák</t>
  </si>
  <si>
    <t>Dar K. Gottwaldovi; neznámý autor; Kovák; 1948; litina s nátěrem, dřevěný sokl; 76 x 25 x 27 cm; Národní muzeum; H11U-1322.
Na soklu štítek s nápisem: K 52. narozeninám p. presidenta lid. dem. republiky československé Klementa Gottwalda, Plzeň 23.11.1948, věnují škodováci.</t>
  </si>
  <si>
    <t>zaměstnanci závodu ŠKODA</t>
  </si>
  <si>
    <t>H11U-1322.JPG</t>
  </si>
  <si>
    <t>Dar K. Gottwaldovi; neznámý autor; Kovák; 1948; litina s nátěrem, dřevěný sokl; 76 x 25 x 27 cm; Národní muzeum; H11U-1322; foto: O. Tlapáková, 2021.</t>
  </si>
  <si>
    <t>H11U-1322_věnování.JPG</t>
  </si>
  <si>
    <t>Dar K. Gottwaldovi; neznámý autor; Kovák; 1948; litina s nátěrem, dřevěný sokl; 76 x 25 x 27 cm; Národní muzeum; H11U-1322; foto: O. Tlapáková, 2021 - detail věnování.</t>
  </si>
  <si>
    <t>14.9090806</t>
  </si>
  <si>
    <t>49.6946053</t>
  </si>
  <si>
    <t>Vlašim, plastika Soustružník</t>
  </si>
  <si>
    <t>Dar K. Gottwaldovi; neznámý autor; Soustružník; 1949; bronz, mramorový sokl; 53 x 25 x 17,5 cm; Národní muzeum; H11U-1323.
Na soklu štítek s nápisem: V upomínku k udělení čestného občanství města Vlašimi presidentu Klementu Gottwaldovi za jeho budovatelské úsilí věnuje Zbrojovka Vlašim, n.p., Vlašim, 1949.</t>
  </si>
  <si>
    <t>Zbrojovka Vlašim, n.p.</t>
  </si>
  <si>
    <t>H11U-1323.JPG</t>
  </si>
  <si>
    <t>Dar K. Gottwaldovi; neznámý autor; Soustružník; 1949; bronz, mramorový sokl; 53 x 25 x 17,5 cm; Národní muzeum; H11U-1323; foto: O. Tlapáková, 2020.</t>
  </si>
  <si>
    <t>H11U-1323_věnování.JPG</t>
  </si>
  <si>
    <t xml:space="preserve">Věnování na soklu plastiky: "V upomínku k udělení čestného občanství města Vlašimi presidentu Klementu Gottwaldovi za jeho budovatelské úsilí věnuje Zbrojovka Vlašim, n.p., Vlašim, 1949"; dar K. Gottwaldovi; neznámý autor; Soustružník; 1949; bronz, mramorový sokl; 53 x 25 x 17,5 cm; Národní muzeum; H11U-1323; foto: O. Tlapáková, 2020.
</t>
  </si>
  <si>
    <t>14.4431899</t>
  </si>
  <si>
    <t>50.0849217</t>
  </si>
  <si>
    <t>Praha, plastika Kovář</t>
  </si>
  <si>
    <t>Dar K. Gottwaldovi; Ladislav Šaloun, Kovář, nedatováno, bronz, kamenný sokl, Národní muzeum, H11U-1324.
Na kovovém štítku na soklu věnování: Předsedovi vlády našemu čestnému členu Klementu Gottwaldovi k padesátým narozeninám věnuje R.O.H.</t>
  </si>
  <si>
    <t>Revoluční a odborové hnutí</t>
  </si>
  <si>
    <t>H11U-1324.JPG</t>
  </si>
  <si>
    <t>Dar K. Gottwaldovi; Ladislav Šaloun, Kovář, nedatováno, bronz, kamenný sokl, Národní muzeum, H11U-1324; foto: O. Tlapáková, 2021.</t>
  </si>
  <si>
    <t>18.2644252</t>
  </si>
  <si>
    <t>49.8570345</t>
  </si>
  <si>
    <t>Přívoz, plastika Rudoarmějec</t>
  </si>
  <si>
    <t>Dar K. Gottwaldovi; Rudolf Kratochvíl, Rudoarmějec, nedatováno, dřevo, Národní muzeum, H11U-1116.</t>
  </si>
  <si>
    <t>KSČ Důl Generál Svoboda</t>
  </si>
  <si>
    <t>H11U-1116.JPG</t>
  </si>
  <si>
    <t>Dar K. Gottwaldovi; Rudolf Kratochvíl, Rudoarmějec, nedatováno, dřevo, Národní muzeum, H11U-1116; foto: O. Tlapáková, 2021.</t>
  </si>
  <si>
    <t>18.2775133</t>
  </si>
  <si>
    <t>49.8165796</t>
  </si>
  <si>
    <t>Vítkovice, plastika Hutník</t>
  </si>
  <si>
    <t>Dar K. Gottwaldovi; Vladimír Brázdil, Hutník, nedatováno, bronz, dřevěný sokl, Národní muzeum, H11U-1343.
Na bronzovém soklu je věnování: Svému milému presidentovi Klementu Gottwaldovi věnují vděční zaměstnanci Vítkovických železáren Klementa Gottwalda, národní podnik.</t>
  </si>
  <si>
    <t>zaměstnanci Vítkovických železáren Klementa Gottwalda, n.p.</t>
  </si>
  <si>
    <t>H11U-1343.JPG</t>
  </si>
  <si>
    <t>Dar K. Gottwaldovi; Vladimír Brázdil, Hutník, nedatováno, bronz, dřevěný sokl, Národní muzeum, H11U-1343; foto: O. Tlapáková, 2021.</t>
  </si>
  <si>
    <t>H11U-1343_věnování.JPG</t>
  </si>
  <si>
    <t xml:space="preserve">Věnování na bronzovém soklu platiky: Svému milému presidentovi Klementu Gottwaldovi věnují vděční zaměstnanci Vítkovických železáren Klementa Gottwalda, národní podnik; Dar K. Gottwaldovi; Vladimír Brázdil, Hutník, nedatováno, bronz, dřevěný sokl, Národní muzeum, H11U-1343; foto: O. Tlapáková, 2021.
</t>
  </si>
  <si>
    <t>14.0746768</t>
  </si>
  <si>
    <t>49.9643158</t>
  </si>
  <si>
    <t>Beroun, Beroun ve fotografii Jiřího Jeníčka</t>
  </si>
  <si>
    <t xml:space="preserve">Dar K. Gottwaldovi; Jiří Jeníček, Beroun ve fotografii Jiřího Jeníčka, nedatováno, soubor 77 pozitivů A4 v kartonových deskách, Národní muzeum, b.č.
</t>
  </si>
  <si>
    <t>1945</t>
  </si>
  <si>
    <t>zaměstnanci města Berouna</t>
  </si>
  <si>
    <t>Národní muzeum, Sbírka Muzea dělnického hnutí, fond Fotografie a audiovizuálních médií.</t>
  </si>
  <si>
    <t>Beroun_dar KG_věnování.jpg</t>
  </si>
  <si>
    <t>Dar K. Gottwaldovi; Jiří Jeníček, Beroun ve fotografii Jiřího Jeníčka, věnování, nedatováno, soubor 77 pozitivů A4 v kartonových deskách, Národní muzeum, b.č.; sken: G. Hrzánová, 2021.</t>
  </si>
  <si>
    <t>Beroun_dar KG_Vnitřní město.jpg</t>
  </si>
  <si>
    <t>Dar K. Gottwaldovi; Jiří Jeníček, Beroun ve fotografii Jiřího Jeníčka, snímek Vnitřní město, nedatováno, soubor 77 pozitivů A4 v kartonových deskách, Národní muzeum, b.č.; sken: G. Hrzánová, 2021.</t>
  </si>
  <si>
    <t>Beroun_dar KG_Textilní závody.jpg</t>
  </si>
  <si>
    <t>Dar K. Gottwaldovi; Jiří Jeníček, Beroun ve fotografii Jiřího Jeníčka, snímek Textilní závody, nedatováno, soubor 77 pozitivů A4 v kartonových deskách, Národní muzeum, b.č.; sken: G. Hrzánová, 2021.</t>
  </si>
  <si>
    <t>Beroun_dar KG_bez názvu_učeň.jpg</t>
  </si>
  <si>
    <t>Dar K. Gottwaldovi; Jiří Jeníček, Beroun ve fotografii Jiřího Jeníčka, snímek bez názvu, nedatováno, soubor 77 pozitivů A4 v kartonových deskách, Národní muzeum, b.č.; sken: G. Hrzánová, 2021.</t>
  </si>
  <si>
    <t>Beroun_dar KG_bez názvu_dělník.jpg</t>
  </si>
  <si>
    <t>Beroun_dar KG_bez názvu_stařenka.jpg</t>
  </si>
  <si>
    <t>Beroun_dar KG_Ochránce městské pokladnice klepáček.jpg</t>
  </si>
  <si>
    <t>Dar K. Gottwaldovi; Jiří Jeníček, Beroun ve fotografii Jiřího Jeníčka, snímek Ochránce městské pokladnice "klepáček", nedatováno, soubor 77 pozitivů A4 v kartonových deskách, Národní muzeum, b.č.; sken: G. Hrzánová, 2021.</t>
  </si>
  <si>
    <t>17.0987136</t>
  </si>
  <si>
    <t>50.3093303</t>
  </si>
  <si>
    <t>Žulová, živá káčata - průvodní dokumenty</t>
  </si>
  <si>
    <t xml:space="preserve">Dar K. Gottwaldovi; Dne 23. 11. 1951 bylo rychlíkem z vlakové stanice Jeseník zasláno 55 živých káčat jako dar k narozeninám prezidentu Klementu Gottwaldovi. Zásilka byla vydána 24. 11. 1951 v Praze na Wilsonově nádraží. O osudu tohoto daru není v současnosti nic známo.
Dar je doložen záznamem na Spěšninovém lístku č. 384. Archiv Národního muzea, fond Sbírky Muzea dělnického hnutí - Muzeum Klementa Gottwalda, nezpracováno.
</t>
  </si>
  <si>
    <t>Československé státní statky, statek Žulová</t>
  </si>
  <si>
    <t>Archiv Národního muzea, fond Sbírky Muzea dělnického hnutí - Muzeum Klementa Gottwalda, nezpracováno.</t>
  </si>
  <si>
    <t>Žulová, káčata.jpg</t>
  </si>
  <si>
    <t>Spěšninový lístek zásilky s darem pro Klementa Gottwalda k 55. narozeninám. Dokumentační foto.</t>
  </si>
  <si>
    <t>14.5156607</t>
  </si>
  <si>
    <t>50.1103651</t>
  </si>
  <si>
    <t>Praha, plastika Slévač</t>
  </si>
  <si>
    <t>Dar K. Gottwaldovi; Šanda; Slévač; bronz, kamenný sokl; 1947; Národní muzeum; H11U-464. </t>
  </si>
  <si>
    <t>ČKD (Kolbenka)</t>
  </si>
  <si>
    <t>Národní muzeum, Sbírka Muzea dělnického hnutí, fond Výtvarné umění. </t>
  </si>
  <si>
    <t>H11U-1351_01.JPG</t>
  </si>
  <si>
    <t>Dar K. Gottwaldovi; Šanda; Slévač; bronz, kamenný sokl; 1947; Národní muzeum; H11U-464; foto: O. Tlapáková, 2020.</t>
  </si>
  <si>
    <t xml:space="preserve">Národní muzeum, Sbírka Muzea dělnického hnutí, fond Výtvarné umění. </t>
  </si>
  <si>
    <t>H11U-1351_věnování.JPG</t>
  </si>
  <si>
    <t>Dar K. Gottwaldovi; Šanda; Slévač; bronz, kamenný sokl; 1947; Národní muzeum; H11U-464; foto: O. Tlapáková, 2020 - detail věnování.</t>
  </si>
  <si>
    <t>17.189073</t>
  </si>
  <si>
    <t>50.2399839</t>
  </si>
  <si>
    <t>Lázně Jeseník, tkané obrazy K. Gottwalda a J. V. Stalina</t>
  </si>
  <si>
    <t xml:space="preserve">Dar K. Gottwaldovi; Pozdravný dopis a tkané obrazy k 56. narozeninám K. Gottwalda byly dne 22. 11. 1952 osobně předány v Kanceláři presidenta republiky.  Jindřich Turek; Portrét K. Gottwalda; len - strojně vytkávaný vzor; 1952; výroba ARANDAR, tkalcovny a úpravny lnu, n. p. Lázně Jeseník; 89 x 69 cm; Národní muzeum; H11U-1743.
Jindřich Turek; Portrét J. V. Stalina; len - strojně vytkávaný vzor; 1952; výroba ARANDAR, tkalcovny a úpravny lnu, n. p. Lázně Jeseník; 89 x 69 cm; Národní muzeum; H11U-1742.
</t>
  </si>
  <si>
    <t>ARANDAR, tkalcovny a úpravny lnu, n. p.</t>
  </si>
  <si>
    <t>H11U-1742.jpg</t>
  </si>
  <si>
    <t xml:space="preserve">Návrh: Jindřich Turek; Portrét J. V. Stalina; len - strojně vytkávaný vzor; 1952; výroba ARANDAR, tkalcovny a úpravny lnu, n. p. Lázně Jeseník; 89 x 69 cm; Národní muzeum; H11U-1742; sken: G. Hrzánová, 2021.
</t>
  </si>
  <si>
    <t>H11U-1743.jpg</t>
  </si>
  <si>
    <t>Návrh: Jindřich Turek; Portrét K. Gottwalda; len - strojně vytkávaný vzor; 1952; výroba ARANDAR, tkalcovny a úpravny lnu, n. p. Lázně Jeseník; 89 x 69 cm; Národní muzeum; H11U-1743; sken: G. Hrzánová, 2021.</t>
  </si>
  <si>
    <t>14.4035044</t>
  </si>
  <si>
    <t>50.0888163</t>
  </si>
  <si>
    <t>Praha, báseň a malovaný šátek - nezachované</t>
  </si>
  <si>
    <t xml:space="preserve">Báseň Vítězný únor 1948; autor: pplk. Vacek; 1949. 
Šátek, hedvábný ručně malovaný s lidovými ornamenty, znakem KSČ, letopočty 1896-1949, iniciálami KG a SNB; autor: vrchní strážmistr Jaroslav Růžička; 1949. 
Informace o daru jsou převzaty ze spisové agendy kanceláře. Šátek byl předán do sbírky darů.
</t>
  </si>
  <si>
    <t>Ministerstvo vnitra, velitelství Veřejné bezpečnosti</t>
  </si>
  <si>
    <t>Archiv Kanceláře prezidenta republiky, inv. č. 24316, k 608.</t>
  </si>
  <si>
    <t>KPR_01.jpg</t>
  </si>
  <si>
    <t>17.993563</t>
  </si>
  <si>
    <t>49.3381397</t>
  </si>
  <si>
    <t>Vsetín, papuče, valaška, košile a pokrývka - nezachované</t>
  </si>
  <si>
    <t xml:space="preserve">Předměty předané přednostovi Kanceláře prezidenta republiky delegací Místního národního výboru Vsetín 21. 11. 1949 k narozeninám K. Gottwalda: papuče (předány do domácnosti prezidenta); valaška a vyšívaná košile s perleťovou broží (předáno do muzea darů); ozdobná pokrývka (předána do domácnosti prezidenta). 
Informace o daru jsou převzaty ze spisové agendy kanceláře.
</t>
  </si>
  <si>
    <t>Místní národní výbor Vsetín</t>
  </si>
  <si>
    <t>KPR_02.jpg</t>
  </si>
  <si>
    <t>15.1902854</t>
  </si>
  <si>
    <t>49.1211903</t>
  </si>
  <si>
    <t>Kunžak, bavlněné punčochy - nezachované</t>
  </si>
  <si>
    <t>Předměty předané přednostovi Kanceláře prezidenta republiky delegací Místního národního výboru Kunžak 21. 11. 1949 k narozeninám K. Gottwalda: krabice pleteného zboží o pěti balíčcích bavlněných punčoch (předáno do domácnosti prezidenta). 
Informace o daru jsou převzaty ze spisové agendy kanceláře.</t>
  </si>
  <si>
    <t>Místní národní výbor Kunžak</t>
  </si>
  <si>
    <t>KPR_03.jpg</t>
  </si>
  <si>
    <t>17.1260024</t>
  </si>
  <si>
    <t>48.8529391</t>
  </si>
  <si>
    <t>Hodonín, kočárek - nezachované</t>
  </si>
  <si>
    <t>Prototyp dětského kočárku pro vnučku K. Gottwalda předala přednostovi Kanceláře prezidenta republiky delegace Lidové družstvo KLADIVO v Hodoníně 22. 12. 1951. Téhož dne byl dar předán do Lán.
Informace o daru jsou převzaty ze spisové agendy kanceláře.</t>
  </si>
  <si>
    <t>Lidové družstvo KLADIVO v Hodoníně</t>
  </si>
  <si>
    <t>KPR_04.jpg</t>
  </si>
  <si>
    <t>14.5976686</t>
  </si>
  <si>
    <t>50.1127167</t>
  </si>
  <si>
    <t>Praha - Horní Počernice, zdobené pštrosí vejce z Egypta - nezachované</t>
  </si>
  <si>
    <t>Zdobené pštrosí vejce (přivezené v roce 1896 otcem dárkyně Aloisem Zelenkou z montáže v cukrovaru v Egyptě) předala společně s dopisem dárkyně přednostovi Kanceláře prezidenta republiky 19. 11. 1952 k narozeninám K. Gottwalda. Vejce předáno do Výstavky darů, jak si v dopise paní Schusterová přála.
Informace o daru jsou převzaty ze spisové agendy kanceláře.</t>
  </si>
  <si>
    <t>Pavla Schusterová - Zelenková</t>
  </si>
  <si>
    <t>KPR_05.jpg</t>
  </si>
  <si>
    <t>14.3987014</t>
  </si>
  <si>
    <t>50.0901701</t>
  </si>
  <si>
    <t>Praha, brožura Klement Gottwald vzor pracovníka</t>
  </si>
  <si>
    <t>Dar K. Gottwaldovi; NEČÁSEK, František. Klement Gottwald, vzor pracovníka: (O několika vlastnostech a zásadách jeho práce a literární tvorby): Přednáška proslovená 18. listopadu 1948 v Ústřední knihovně hl. města Prahy. 1. vyd. Praha: Ministerstvo informací a osvěty, 1948. V knize rukopisné věnování: Presidentovi soudruhu Gottwaldovi - v úctě a lásce František Nečásek Vánoce 1948.
V letech 1948-1953 byl František Nečásek přednostou kulturního a tiskového odboru Kanceláře prezidenta republiky.</t>
  </si>
  <si>
    <t>František Nečásek (1913-1968)</t>
  </si>
  <si>
    <t>Národní muzeum, Sbírka Muzea dělnického hnutí, fond Knihy. </t>
  </si>
  <si>
    <t>H11K-2_titulka.jpg</t>
  </si>
  <si>
    <t>NEČÁSEK, František. Klement Gottwald, vzor pracovníka: (O několika vlastnostech a zásadách jeho práce a literární tvorby): Přednáška proslovená 18. listopadu 1948 v Ústřední knihovně hl. města Prahy. 1. vyd. Praha: Ministerstvo informací a osvěty, 1948; sken: G. Hrzánová, 2021.</t>
  </si>
  <si>
    <t>Národní muzeum, Sbírka Muzea dělnického hnutí, fond Knihy.</t>
  </si>
  <si>
    <t>H11K-2_věnování.jpg</t>
  </si>
  <si>
    <t>Hnidousy, telegram k volbě prezidentem</t>
  </si>
  <si>
    <t>Telegram K. Gottwaldovi k volbě prezidentem - obec Hnidousy; formulář telegram; 13.6.1948; papír; formát A5.</t>
  </si>
  <si>
    <t>Telegramy</t>
  </si>
  <si>
    <t>Obec Hnidousy</t>
  </si>
  <si>
    <t>1948_Hnidousy_volba.jpg</t>
  </si>
  <si>
    <t>Telegram K. Gottwaldovi k volbě prezidentem - obec Hnidousy; formulář telegram; 13.6.1948; papír; formát A5; sken: G. Hrzánová, 2021.</t>
  </si>
  <si>
    <t>12.1950127</t>
  </si>
  <si>
    <t>50.2238827</t>
  </si>
  <si>
    <t>Aš, telegram k volbě prezidentem, závod STEPO</t>
  </si>
  <si>
    <t>Telegram K. Gottwaldovi k volbě prezidentem - závod STEPO Aš; formulář telegram; 11.6.1948; papír; formát A5.</t>
  </si>
  <si>
    <t>závod STEPO Aš</t>
  </si>
  <si>
    <t>1948, Aš, závod STEPO, telegram k volbě prezidentem.jpg</t>
  </si>
  <si>
    <t>Telegram K. Gottwaldovi k volbě prezidentem - závod STEPO Aš; formulář telegram; 11.6.1948; papír; formát A5; sken: G. Hrzánová, 2021.</t>
  </si>
  <si>
    <t>15.222983</t>
  </si>
  <si>
    <t>49.4306207</t>
  </si>
  <si>
    <t>Pelhřimov, telegram k volbě prezidentem</t>
  </si>
  <si>
    <t>Telegram K. Gottwaldovi k volbě prezidentem - firma Matějka s.s. Pelhřimov; formulář telegram; 11.6.1948; papír; formát A5.</t>
  </si>
  <si>
    <t>Závodní organizace a předsednictvi firmy Matějka Aš</t>
  </si>
  <si>
    <t>1948, Pelhřimov, firma Matějka, telegram K Gottwaldovi k volbě prezidentem.jpg</t>
  </si>
  <si>
    <t>Telegram K. Gottwaldovi k volbě prezidentem - firma Matějka s.s. Pelhřimov; formulář telegram; 11.6.1948; papír; formát A5; sken: G. Hrzánová, 2021.</t>
  </si>
  <si>
    <t>13.1629837</t>
  </si>
  <si>
    <t>50.0919285</t>
  </si>
  <si>
    <t>Žlutice, telegram k volbě prezidentem</t>
  </si>
  <si>
    <t>Telegram K. Gottwaldovi k volbě prezidentem - Jednotný svaz zemědělců; formulář telegram; 11.6.1948; papír; formát A5.</t>
  </si>
  <si>
    <t>Jednotný svaz zemědělců</t>
  </si>
  <si>
    <t>1948, Žlutice, Jednotný svaz zemědělců, telegram K Gottwaldovi k volbě prezidentem.jpg</t>
  </si>
  <si>
    <t>Telegram K. Gottwaldovi k volbě prezidentem - Jednotný svaz zemědělců; formulář telegram; 11.6.1948; papír; formát A5; sken: G. Hrzánová, 2021.</t>
  </si>
  <si>
    <t>14.4828842</t>
  </si>
  <si>
    <t>50.0503722</t>
  </si>
  <si>
    <t>Praha, telegram k volbě prezidentem, Společenstvo výrobců koženého zboží ozdobného</t>
  </si>
  <si>
    <t>Telegram K. Gottwaldovi k volbě prezidentem - Společenstvo výrobců koženého zboží ozdobného, Praha; formulář telegram; 12.6.1948; papír; formát A5.</t>
  </si>
  <si>
    <t>Společenstvo výrobců koženého zboží ozdobného, Praha</t>
  </si>
  <si>
    <t>1948, Praha, Společenstvo výrobců koženého zboží ozdobného, telegram k volbě prezidentem.jpg</t>
  </si>
  <si>
    <t>Telegram K. Gottwaldovi k volbě prezidentem - Společenstvo výrobců koženého zboží ozdobného, Praha; formulář telegram; 12.6.1948; papír; formát A5; sken: G. Hrzánová, 2021.</t>
  </si>
  <si>
    <t>12.1946671</t>
  </si>
  <si>
    <t>50.2210168</t>
  </si>
  <si>
    <t>Aš, telegram k volbě prezidentem, firma Schmidt</t>
  </si>
  <si>
    <t>Telegram K. Gottwaldovi k volbě prezidentem - firma Schmidt vdova AŠ; formulář telegram; 12.6.1948; papír; formát A5.</t>
  </si>
  <si>
    <t>firma F. Schmidt vdova</t>
  </si>
  <si>
    <t xml:space="preserve">Národní muzeum, Archiv NM, Sbírka Muzea dělnického hnutí, sbírka Klement Gottwald - kult osobnosti.
http://www.industrialnitopografie.cz/karta.php?zaznam=V011366 (online 22.7.2021).
</t>
  </si>
  <si>
    <t>1948, Aš, firma Schmidt vdova, telegram k volbě prezidentem.jpg</t>
  </si>
  <si>
    <t>Telegram K. Gottwaldovi k volbě prezidentem - firma Schmidt vdova AŠ; formulář telegram; 12.6.1948; papír; formát A5; sken: G. Hrzánová, 2021.</t>
  </si>
  <si>
    <t>Pardubice, telegram k volbě prezidentem, Krajský výbor KSČ</t>
  </si>
  <si>
    <t>Telegram K. Gottwaldovi k volbě prezidentem - Krajský výbor KSČ Pardubice; formulář telegram; 12.6.1948; papír; formát A5.</t>
  </si>
  <si>
    <t>Krajský výbor KSČ Pardubice</t>
  </si>
  <si>
    <t>1948, Pardubice, Krajský výbor KSČ, telegram k volbě prezidentem_01.jpg</t>
  </si>
  <si>
    <t>Telegram K. Gottwaldovi k volbě prezidentem - Krajský výbor KSČ Pardubice; formulář telegram; 12.6.1948; papír; formát A5; sken: G. Hrzánová, 2021.</t>
  </si>
  <si>
    <t>1948, Pardubice, Krajský výbor KSČ, telegram k volbě prezidentem_02.jpg</t>
  </si>
  <si>
    <t>Mariánské Lázně, telegram k volbě prezidentem</t>
  </si>
  <si>
    <t>Telegram K. Gottwaldovi k volbě prezidentem - Okresní kriminální úřadovna Mariánské Lázně; formulář telegram; 11.6.1948; papír; formát A5.</t>
  </si>
  <si>
    <t>příslušníci kriminální úřadovny Mariánské Lázně</t>
  </si>
  <si>
    <t>1948, Mariánské Lázně, Okresní kriminální úřadovna, telegram k volbě prezidentem_01.jpg</t>
  </si>
  <si>
    <t>Telegram K. Gottwaldovi k volbě prezidentem - Okresní kriminální úřadovna Mariánské Lázně; formulář telegram; 11.6.1948; papír; formát A5; sken: G. Hrzánová, 2021.</t>
  </si>
  <si>
    <t>1948, Mariánské Lázně, Okresní kriminální úřadovna, telegram k volbě prezidentem_02.jpg</t>
  </si>
  <si>
    <t>15.0543387</t>
  </si>
  <si>
    <t>50.76628</t>
  </si>
  <si>
    <t>Liberec, telegram k volbě prezidentem</t>
  </si>
  <si>
    <t>Telegram K. Gottwaldovi k volbě prezidentem - Krajský výbor KSČ Liberec; formulář telegram; 12.6.1948; papír; formát A5.</t>
  </si>
  <si>
    <t>Krajský výbor KSČ Liberec</t>
  </si>
  <si>
    <t>1948, Liberec, Krajský výbor KSČ, telegram k volbě prezidentem_01.jpg</t>
  </si>
  <si>
    <t>Telegram K. Gottwaldovi k volbě prezidentem - Krajský výbor KSČ Liberec; formulář telegram; 12.6.1948; papír; formát A5; sken: G. Hrzánová, 2021.</t>
  </si>
  <si>
    <t>1948, Liberec, Krajský výbor KSČ, telegram k volbě prezidentem_02.jpg</t>
  </si>
  <si>
    <t>14.6592444</t>
  </si>
  <si>
    <t>50.1863259</t>
  </si>
  <si>
    <t>Brandýs nad Labem, telegram k volbě prezidentem</t>
  </si>
  <si>
    <t>Telegram K. Gottwaldovi k volbě prezidentem - Okresní výbor KSČ Brandýs nad Labem; formulář telegram; 12.6.1948 v 19:50; papír; formát A5.</t>
  </si>
  <si>
    <t>Okresní výbor KSČ Brandýs nad Labem</t>
  </si>
  <si>
    <t>1948, Brandýs nad Labem, Okresní výbor KSČ, telegram k volbě prezidentem_01jpg</t>
  </si>
  <si>
    <t>Telegram K. Gottwaldovi k volbě prezidentem - Okresní výbor KSČ Brandýs nad Labem; formulář telegram; 12.6.1948 v 19:50; papír; formát A5; sken: G. Hrzánová, 2021.</t>
  </si>
  <si>
    <t>1948, Brandýs nad Labem, Okresní výbor KSČ, telegram k volbě prezidentem_02.jpg</t>
  </si>
  <si>
    <t>1948, Brandýs nad Labem, Okresní výbor KSČ, telegram k volbě prezidentem_03.jpg</t>
  </si>
  <si>
    <t>14.4813957</t>
  </si>
  <si>
    <t>50.0536819</t>
  </si>
  <si>
    <t>Praha, telegram k volbě prezidentem, Společenstvo masérů, pedikářů a kosmetiků</t>
  </si>
  <si>
    <t>Telegram K. Gottwaldovi k volbě prezidentem - Společenstvo masérů, pedikářů a kosmetiků, Praha; formulář telegram; 12.6.1948; papír; formát A5.</t>
  </si>
  <si>
    <t>Společenstvo masérů, pedikářů a kosmetiků, Praha</t>
  </si>
  <si>
    <t>1948, Praha, Společenstvo masérů, pedikářů a kosmetiků, telegram k volbě prezidentem.jpg</t>
  </si>
  <si>
    <t>Telegram K. Gottwaldovi k volbě prezidentem - Společenstvo masérů, pedikářů a kosmetiků, Praha; formulář telegram; 12.6.1948; papír; formát A5; sken: G. Hrzánová, 2021.</t>
  </si>
  <si>
    <t>15.7718175</t>
  </si>
  <si>
    <t>50.0355333</t>
  </si>
  <si>
    <t>Pardubice, telegram k volbě prezidentem, družstvo PANCO</t>
  </si>
  <si>
    <t>Telegram K. Gottwaldovi k volbě prezidentem - Družstvo PANCO plnící pera Pardubice; formulář telegram; 11.6.1948; papír; formát A5.</t>
  </si>
  <si>
    <t>zaměstnanci Družstva PANCO plnící pera Pardubice</t>
  </si>
  <si>
    <t>1948, Pardubice, Družstvo PANCO plnící pera, telegram k volbě prezidentem.jpg</t>
  </si>
  <si>
    <t>Telegram K. Gottwaldovi k volbě prezidentem - Družstvo PANCO plnící pera Pardubice; formulář telegram; 11.6.1948; papír; formát A5; sken: G. Hrzánová, 2021.</t>
  </si>
  <si>
    <t>12.8719616</t>
  </si>
  <si>
    <t>50.2318521</t>
  </si>
  <si>
    <t>Karlovy Vary, telegram k volbě prezidentem</t>
  </si>
  <si>
    <t>Telegram K. Gottwaldovi k volbě prezidentem - Krajský výbor Svazu čs. mládeže Karlovy Vary; formulář telegram; 11.6.1948; papír; formát A5.</t>
  </si>
  <si>
    <t>Krajský výbor Svazu československé mládeže Karlovy Vary</t>
  </si>
  <si>
    <t>1948, Karlovy Vary, Svaz čs mládeže, telegram k volbě prezidentem.jpg</t>
  </si>
  <si>
    <t>Telegram K. Gottwaldovi k volbě prezidentem - Krajský výbor Svazu čs. mládeže Karlovy Vary; formulář telegram; 11.6.1948; papír; formát A5; sken: G. Hrzánová, 2021.</t>
  </si>
  <si>
    <t>13.2256544</t>
  </si>
  <si>
    <t>49.6784086</t>
  </si>
  <si>
    <t>Zbůch, telegram k volbě prezidentem</t>
  </si>
  <si>
    <t>Telegram K. Gottwaldovi k volbě prezidentem - Měšťanská a obecná škola ve Zbůchu; formulář telegram; 11.6.1948; papír; formát A5.</t>
  </si>
  <si>
    <t>Učitelstvo a žactvo Měšťanské a obecné školy ve Zbůchu</t>
  </si>
  <si>
    <t>1948, Zbůch, Měšťanská a obecná škola, telegram k volbě prezidentem.jpg</t>
  </si>
  <si>
    <t>Telegram K. Gottwaldovi k volbě prezidentem - Měšťanská a obecná škola ve Zbůchu; formulář telegram; 11.6.1948; papír; formát A5; sken: G. Hrzánová, 2021.</t>
  </si>
  <si>
    <t>13.2046047</t>
  </si>
  <si>
    <t>49.7127158</t>
  </si>
  <si>
    <t>Nýřany, telegram k volbě prezidentem</t>
  </si>
  <si>
    <t>Telegram K. Gottwaldovi k volbě prezidentem - Měšťanská škola chlapecká Nýřany; formulář telegram; 11.6.1948; papír; formát A5.</t>
  </si>
  <si>
    <t>Učitelstvo a žactvo Měšťanské školy chlapecké Nýřany</t>
  </si>
  <si>
    <t>1948, Nýřany, Měšťanská škola chlapecká, telegram k volbě prezidentem.jpg</t>
  </si>
  <si>
    <t>Telegram K. Gottwaldovi k volbě prezidentem - Měšťanská škola chlapecká Nýřany; formulář telegram; 11.6.1948; papír; formát A5; sken: G. Hrzánová, 2021.</t>
  </si>
  <si>
    <t>14.3938762</t>
  </si>
  <si>
    <t>49.2599512</t>
  </si>
  <si>
    <t>Hosty, telegram k volbě prezidentem</t>
  </si>
  <si>
    <t>Telegram K. Gottwaldovi k volbě prezidentem - Místní akční výbor Národní fronty v Hostech; formulář telegram; 11.6.1948; papír; formát A5.</t>
  </si>
  <si>
    <t>Místní akční výbor Národní fronty v Hostech</t>
  </si>
  <si>
    <t>1948, Hosty, Místní akční výbor Národní fronty, telegram k volbě prezidentem.jpg</t>
  </si>
  <si>
    <t>Telegram K. Gottwaldovi k volbě prezidentem - Místní akční výbor Národní fronty v Hostech; formulář telegram; 11.6.1948; papír; formát A5; sken: G. Hrzánová, 2021.</t>
  </si>
  <si>
    <t>16.543365</t>
  </si>
  <si>
    <t>49.93099</t>
  </si>
  <si>
    <t>Ostrov, telegram k volbě prezidentem</t>
  </si>
  <si>
    <t>Telegram K. Gottwaldovi k volbě prezidentem - Místní akční výbor Národní fronty Ostrov (okr. Lanškroun); formulář telegram; 11.6.1948; papír; formát A5.</t>
  </si>
  <si>
    <t>Místní akční výbor Národní fronty Ostrov (okr. Lanškroun)</t>
  </si>
  <si>
    <t>1948, Ostrov, Místní akční výbor Národní fronty, telegram k volbě prezidentem.jpg</t>
  </si>
  <si>
    <t>Telegram K. Gottwaldovi k volbě prezidentem - Místní akční výbor Národní fronty Ostrov (okr. Lanškroun); formulář telegram; 11.6.1948; papír; formát A5; sken: G. Hrzánová, 2021.</t>
  </si>
  <si>
    <t>14.908438</t>
  </si>
  <si>
    <t>50.4134249</t>
  </si>
  <si>
    <t>Mladá Boleslav, telegram k volbě prezidentem</t>
  </si>
  <si>
    <t>Telegram K. Gottwaldovi k volbě prezidentem - Okresní národní výbor v Mladé Boleslavy; formulář telegram; 11.6.1948; papír; formát A5.</t>
  </si>
  <si>
    <t>Okresní národní výbor v Mladé Boleslavy</t>
  </si>
  <si>
    <t>1948, Mladá Boleslav, Okresní národní výbor, telegram k volbě prezidentem.jpg</t>
  </si>
  <si>
    <t>Telegram K. Gottwaldovi k volbě prezidentem - Okresní národní výbor v Mladé Boleslavy; formulář telegram; 11.6.1948; papír; formát A5; sken: G. Hrzánová, 2021.</t>
  </si>
  <si>
    <t>13.6329122</t>
  </si>
  <si>
    <t>50.5015549</t>
  </si>
  <si>
    <t>Most, telegram k volbě prezidentem</t>
  </si>
  <si>
    <t>Telegram K. Gottwaldovi k volbě prezidentem - Stavba mládeže - brigáda Most; formulář telegram; 11.6.1948; papír; formát A5.</t>
  </si>
  <si>
    <t>Stavba mládeže - brigáda Most</t>
  </si>
  <si>
    <t>1948, Most, Stavba mládeže - brigáda Most, telegram k volbě prezidentem.jpg</t>
  </si>
  <si>
    <t>Telegram K. Gottwaldovi k volbě prezidentem - Stavba mládeže - brigáda Most; formulář telegram; 11.6.1948; papír; formát A5; sken: G. Hrzánová, 2021.</t>
  </si>
  <si>
    <t>Zlín, telegram k volbě prezidentem, Společenstvo řezníků a uzenářů</t>
  </si>
  <si>
    <t>Telegram K. Gottwaldovi k volbě prezidentem - Společenstvo řezníků a uzenářů ve Zlíně; formulář telegram; 11.6.1948; papír; formát A5.</t>
  </si>
  <si>
    <t>Společenstvo řezníků a uzenářů ve Zlíně</t>
  </si>
  <si>
    <t>1948, Zlín, Společenstvo řezníků a uzenářů ve Zlíně, telegram k volbě prezidentem.jpg</t>
  </si>
  <si>
    <t>Telegram K. Gottwaldovi k volbě prezidentem - Společenstvo řezníků a uzenářů ve Zlíně; formulář telegram; 11.6.1948; papír; formát A5; sken: G. Hrzánová, 2021.</t>
  </si>
  <si>
    <t>16.571604</t>
  </si>
  <si>
    <t>49.264605</t>
  </si>
  <si>
    <t>Ivanovice u Brna, telegram k volbě prezidentem</t>
  </si>
  <si>
    <t>Telegram K. Gottwaldovi k volbě prezidentem - Místní organizace KSČ Ivanovice u Brna; formulář telegram; 12.6.1948; papír; formát A5.</t>
  </si>
  <si>
    <t>Místní organizace KSČ Ivanovice u Brna</t>
  </si>
  <si>
    <t>1948, Ivanovice u Brna, Místní organizace KSČ, telegram k volbě prezidentem.jpg</t>
  </si>
  <si>
    <t>Telegram K. Gottwaldovi k volbě prezidentem - Místní organizace KSČ Ivanovice u Brna; formulář telegram; 12.6.1948; papír; formát A5; sken: G. Hrzánová, 2021.</t>
  </si>
  <si>
    <t>13.58683</t>
  </si>
  <si>
    <t>50.56875</t>
  </si>
  <si>
    <t>Záluží, telegram k volbě prezidentem</t>
  </si>
  <si>
    <t>Telegram K. Gottwaldovi k volbě prezidentem - Osazenstvo Dolu Kolumbus v Záluží (u Litvínova); formulář telegram; nedatováno- červen 1948; papír; formát A5.</t>
  </si>
  <si>
    <t>Osazenstvo Dolu Kolumbus v Záluží (u Litvínova)</t>
  </si>
  <si>
    <t xml:space="preserve">Národní muzeum, Archiv NM, Sbírka Muzea dělnického hnutí, sbírka Klement Gottwald - kult osobnosti.
Lokace osady horníků Dolu Kolumbus: http://zanikleobce.cz/index.php?lang=d&amp;obec=26175 (online, 27.7.2021).
</t>
  </si>
  <si>
    <t>1948, Záluží, Osazenstvo Dolu Kolumbus, telegram k volbě prezidentem.jpg</t>
  </si>
  <si>
    <t>Telegram K. Gottwaldovi k volbě prezidentem - Osazenstvo Dolu Kolumbus v Záluží (u Litvínova); formulář telegram; nedatováno- červen 1948; papír; formát A5; sken: G. Hrzánová, 2021.</t>
  </si>
  <si>
    <t>14.5305702</t>
  </si>
  <si>
    <t>50.745117</t>
  </si>
  <si>
    <t>Skalice u České Lípy, telegram k volbě prezidentem</t>
  </si>
  <si>
    <t>Telegram K. Gottwaldovi k volbě prezidentem - Obec Skalice u České Lípy; formulář telegram; 12.6.1948; papír; formát A5.</t>
  </si>
  <si>
    <t>Obec Skalice u České Lípy</t>
  </si>
  <si>
    <t>1948, Skalice u České Lípy, obec, telegram k volbě prezidentem.jpg</t>
  </si>
  <si>
    <t>Telegram K. Gottwaldovi k volbě prezidentem - Obec Skalice u České Lípy; formulář telegram; 12.6.1948; papír; formát A5; sken: G. Hrzánová, 2021.</t>
  </si>
  <si>
    <t>13.835284</t>
  </si>
  <si>
    <t>50.6444579</t>
  </si>
  <si>
    <t>Teplice, telegram k volbě prezidentem</t>
  </si>
  <si>
    <t>Telegram K. Gottwaldovi k volbě prezidentem - Okresní výbor Svazu čs. mládeže Lázně Teplice; formulář telegram; 12.6.1948; papír; formát A5.</t>
  </si>
  <si>
    <t>Okresní výbor Svazu čs. mládeže Lázně Teplice</t>
  </si>
  <si>
    <t>1948, Teplice, Okresní výbor Svazu čs mládeže, telegram k volbě prezidentem.jpg</t>
  </si>
  <si>
    <t>Telegram K. Gottwaldovi k volbě prezidentem - Okresní výbor Svazu čs. mládeže Lázně Teplice; formulář telegram; 12.6.1948; papír; formát A5; sken: G. Hrzánová, 2021.</t>
  </si>
  <si>
    <t>14.4842103</t>
  </si>
  <si>
    <t>50.0468528</t>
  </si>
  <si>
    <t>Praha, telegram k volbě prezidentem, Okresní jednota živnostenských společenstev</t>
  </si>
  <si>
    <t>Telegram K. Gottwaldovi k volbě prezidentem - Okresní jednota živnostenských společenstev ve Velké Praze; formulář telegram; 12.6.1948; papír; formát A5.</t>
  </si>
  <si>
    <t>Okresní jednota živnostenských společenstev ve Velké Praze </t>
  </si>
  <si>
    <t>1948, Praha, Okresní jednota živnostenských společenstev, telegram k volbě prezidentem.jpg</t>
  </si>
  <si>
    <t>Telegram K. Gottwaldovi k volbě prezidentem - Okresní jednota živnostenských společenstev ve Velké Praze; formulář telegram; 12.6.1948; papír; formát A5; sken: G. Hrzánová, 2021.</t>
  </si>
  <si>
    <t>14.3843361</t>
  </si>
  <si>
    <t>50.0882417</t>
  </si>
  <si>
    <t>Praha, telegram k volbě prezidentem, Místní organizace KSČ</t>
  </si>
  <si>
    <t>Telegram K. Gottwaldovi k volbě prezidentem - Místní organizace KSČ, Hradčanská kolej, Praha; formulář telegram; 12.6.1948, 13:35; papír; formát A5.</t>
  </si>
  <si>
    <t>Místní organizace KSČ, Hradčanská kolej, Praha</t>
  </si>
  <si>
    <t>1948, Praha, Místní organizace KSČ, Hradčanská kolej, telegram k volbě prezidentem.jpg</t>
  </si>
  <si>
    <t>Telegram K. Gottwaldovi k volbě prezidentem - Místní organizace KSČ, Hradčanská kolej, Praha; formulář telegram; 12.6.1948, 13:35; papír; formát A5; sken: G. Hrzánová, 2021.</t>
  </si>
  <si>
    <t>19.6438178</t>
  </si>
  <si>
    <t>48.8060729</t>
  </si>
  <si>
    <t>Brezno, telegram k volbě prezidentem</t>
  </si>
  <si>
    <t>Telegram K. Gottwaldovi k volbě prezidentem - Okresní odborová rada, Brezno nad Hronom; formulář telegram; 12.6.1948, 12:00; papír; formát A5.</t>
  </si>
  <si>
    <t>Okresní odborová rada, Brezno nad Hronom</t>
  </si>
  <si>
    <t>1948, Brezno, Okresní odborová rada, telegram k volbě prezidentem.jpg</t>
  </si>
  <si>
    <t>Telegram K. Gottwaldovi k volbě prezidentem - Okresní odborová rada, Brezno nad Hronom; formulář telegram; 12.6.1948, 12:00; papír; formát A5; sken: G. Hrzánová, 2021.</t>
  </si>
  <si>
    <t>17.8882504</t>
  </si>
  <si>
    <t>48.6980375</t>
  </si>
  <si>
    <t>Hrádok, telegram k volbě prezidentem</t>
  </si>
  <si>
    <t>Telegram K. Gottwaldovi k volbě prezidentem - Místní organizace KSS, Hrádok nad Hronom; formulář telegram; 12.6.1948, 12:15; papír; formát A5.</t>
  </si>
  <si>
    <t>Místní organizace KSS, Hrádok nad Hronom</t>
  </si>
  <si>
    <t>1948, Hrádok, Místní organizace KSS, telegram k volbě prezidentem.jpg</t>
  </si>
  <si>
    <t>Telegram K. Gottwaldovi k volbě prezidentem - Místní organizace KSS, Hrádok nad Hronom; formulář telegram; 12.6.1948, 12:15; papír; formát A5; sken: G. Hrzánová, 2021.</t>
  </si>
  <si>
    <t>17.5334034</t>
  </si>
  <si>
    <t>48.8620736</t>
  </si>
  <si>
    <t>Javorník, telegram k volbě prezidentem</t>
  </si>
  <si>
    <t>Telegram K. Gottwaldovi k volbě prezidentem - Místní organizace KSČ, Javorník; formulář telegram; 12.6.1948, 11:50; papír; formát A5.</t>
  </si>
  <si>
    <t>Místní organizace KSČ, Javorník</t>
  </si>
  <si>
    <t>1948, Javorník, Místní organizace KSČ, telegram k volbě prezidentem.jpg</t>
  </si>
  <si>
    <t>Telegram K. Gottwaldovi k volbě prezidentem - Místní organizace KSČ, Javorník; formulář telegram; 12.6.1948, 11:50; papír; formát A5; sken: G. Hrzánová, 2021.</t>
  </si>
  <si>
    <t>17.5933177</t>
  </si>
  <si>
    <t>48.8609474</t>
  </si>
  <si>
    <t>Nová Lhota, telegram k volbě prezidentem</t>
  </si>
  <si>
    <t>Telegram K. Gottwaldovi k volbě prezidentem - Místní organizace KSČ, Nová Lhota; formulář telegram; 12.6.1948; papír; formát A5.</t>
  </si>
  <si>
    <t>Místní organizace KSČ, Nová Lhota</t>
  </si>
  <si>
    <t>1948, Nová Lhota, Místní organizace KSČ, telegram k volbě prezidentem.jpg</t>
  </si>
  <si>
    <t>Telegram K. Gottwaldovi k volbě prezidentem - Místní organizace KSČ, Nová Lhota; formulář telegram; 12.6.1948; papír; formát A5; sken: G. Hrzánová, 2021.</t>
  </si>
  <si>
    <t>16.6211039</t>
  </si>
  <si>
    <t>49.1807162</t>
  </si>
  <si>
    <t>Brno - Komárov, telegram k volbě prezidentem</t>
  </si>
  <si>
    <t>Telegram K. Gottwaldovi k volbě prezidentem - Závodní organizace KSČ, Streblovy závody, Brno Komárov; formulář telegram; 12.6.1948, 10:45; papír; formát A5.</t>
  </si>
  <si>
    <t>Závodní organizace KSČ, Streblovy závody, Brno Komárov</t>
  </si>
  <si>
    <t>1948, Brno - Komárov, Závodní organizace KSČ, Streblovy závody, telegram k volbě prezidentem.jpg</t>
  </si>
  <si>
    <t>Telegram K. Gottwaldovi k volbě prezidentem - Závodní organizace KSČ, Streblovy závody, Brno Komárov; formulář telegram; 12.6.1948, 10:45; papír; formát A5; sken: G. Hrzánová, 2021.</t>
  </si>
  <si>
    <t>Zlín, telegram k volbě prezidentem, Společenstvo malířů pokojů a lakýrníků</t>
  </si>
  <si>
    <t>Telegram K. Gottwaldovi k volbě prezidentem - Společenstvo malířů pokojů a lakýrníků, Zlín; formulář telegram; 11.6.1948, 10:10; papír; formát A5.</t>
  </si>
  <si>
    <t>Společenstvo malířů pokojů a lakýrníků, Zlín</t>
  </si>
  <si>
    <t>1948, Zlín, Společenstvo malířů pokojů a lakýrníků, telegram k volbě prezidentem.jpg</t>
  </si>
  <si>
    <t>Telegram K. Gottwaldovi k volbě prezidentem - Společenstvo malířů pokojů a lakýrníků, Zlín; formulář telegram; 11.6.1948, 10:10; papír; formát A5; sken: G. Hrzánová, 2021.</t>
  </si>
  <si>
    <t>14.5158984</t>
  </si>
  <si>
    <t>50.1424912</t>
  </si>
  <si>
    <t>Praha - Letňany, telegram k volbě prezidentem</t>
  </si>
  <si>
    <t xml:space="preserve">Telegram K. Gottwaldovi k volbě prezidentem - Závodní odborová skupina a závodní rada automobilových závodů národní podnik AVIA závod J. Dimitrova, Praha - Letňany; formulář telegram; 10.6.1948, 14:30; papír; formát A5. </t>
  </si>
  <si>
    <t>Závodní odborová skupina a závodní rada automobilových závodů národní podnik AVIA závod J. Dimitrova, Praha - Letňany</t>
  </si>
  <si>
    <t>1948, Praha - Letňany, Závodní odborová skupina a závodní rada automobilových závodů národní podnik AVIA závod J Dimitrova, telegram k volbě prezidentem.jpg</t>
  </si>
  <si>
    <t>Telegram K. Gottwaldovi k volbě prezidentem - Závodní odborová skupina a závodní rada automobilových závodů národní podnik AVIA závod J. Dimitrova, Praha - Letňany; formulář telegram; 10.6.1948, 14:30; papír; formát A5; sken: G. Hrzánová, 2021.</t>
  </si>
  <si>
    <t>14.6873698</t>
  </si>
  <si>
    <t>49.7837821</t>
  </si>
  <si>
    <t>Benešov, telegram k volbě prezidentem</t>
  </si>
  <si>
    <t>Telegram K. Gottwaldovi k volbě prezidentem - Ředitelství, závodní rada a závodní odborová skupina státního statku a rybníků, Benešov; formulář telegram; 10.6.1948, 15:00; papír; formát A5.</t>
  </si>
  <si>
    <t>Ředitelství, závodní rada a závodní odborová skupina státního statku a rybníků, Benešov</t>
  </si>
  <si>
    <t>1948, Benešov, Ředitelství, závodní rada a závodní odborová skupina státního statku a rybníků, telegram k volbě prezidentem.jpg</t>
  </si>
  <si>
    <t>Telegram K. Gottwaldovi k volbě prezidentem - Ředitelství, závodní rada a závodní odborová skupina státního statku a rybníků, Benešov; formulář telegram; 10.6.1948, 15:00; papír; formát A5; sken: G. Hrzánová, 2021.</t>
  </si>
  <si>
    <t>13.2510894</t>
  </si>
  <si>
    <t>49.7758804</t>
  </si>
  <si>
    <t>Město Touškov, telegram k volbě prezidentem</t>
  </si>
  <si>
    <t>Telegram K. Gottwaldovi k volbě prezidentem - učitelstvo a žactvo měšťanské školy , Město Touškov; formulář telegram; 11.6.1948, 14:07; papír; formát A5.</t>
  </si>
  <si>
    <t>učitelstvo a žactvo měšťanské školy , Město Touškov</t>
  </si>
  <si>
    <t>1948, Město Touškov, Učitelstvo a žactvo měšťanské školy, telegram k volbě prezidentem.jpg</t>
  </si>
  <si>
    <t>Telegram K. Gottwaldovi k volbě prezidentem - učitelstvo a žactvo měšťanské školy , Město Touškov; formulář telegram; 11.6.1948, 14:07; papír; formát A5; sken: G. Hrzánová, 2021.</t>
  </si>
  <si>
    <t>13.2027224</t>
  </si>
  <si>
    <t>49.6540901</t>
  </si>
  <si>
    <t>Chotěšov, telegram k volbě prezidentem</t>
  </si>
  <si>
    <t>Telegram K. Gottwaldovi k volbě prezidentem - učitelstvo a žactvo měšťanské školy, Chotěšov; formulář telegram; 11.6.1948, 14:00; papír; formát A5.</t>
  </si>
  <si>
    <t>Učitelstvo a žactvo měšťanské školy, Chotěšov</t>
  </si>
  <si>
    <t>1948, Chotěšov, Učitelstvo a žactvo měšťanské školy, telegram k volbě prezidentem.jpg</t>
  </si>
  <si>
    <t>Telegram K. Gottwaldovi k volbě prezidentem - učitelstvo a žactvo měšťanské školy, Chotěšov; formulář telegram; 11.6.1948, 14:00; papír; formát A5; sken: G. Hrzánová, 2021.</t>
  </si>
  <si>
    <t>13.3736371</t>
  </si>
  <si>
    <t>49.7384314</t>
  </si>
  <si>
    <t>Plzeň, telegram k volbě prezidentem</t>
  </si>
  <si>
    <t>Telegram K. Gottwaldovi k volbě prezidentem - Závodní skupina ROH, Ředitelství pošt, Plzeň; formulář telegram; 11.6.1948, 14:20; papír; formát A5.</t>
  </si>
  <si>
    <t>Závodní skupina ROH, Ředitelství pošt, Plzeň</t>
  </si>
  <si>
    <t>1948, Plzeň, Závodní skupina ROH, Ředitelství pošt, telegram k volbě prezidentem.jpg</t>
  </si>
  <si>
    <t>Telegram K. Gottwaldovi k volbě prezidentem - Závodní skupina ROH, Ředitelství pošt, Plzeň; formulář telegram; 11.6.1948, 14:20; papír; formát A5; sken: G. Hrzánová, 2021.</t>
  </si>
  <si>
    <t>17.0900484</t>
  </si>
  <si>
    <t>48.9169376</t>
  </si>
  <si>
    <t>Dubňany, telegram k volbě prezidentem</t>
  </si>
  <si>
    <t>Telegram K. Gottwaldovi k volbě prezidentem - Horníci Dolu Pomoc boží, Dubňany; formulář telegram; 12.6.1948, 10:40; papír; formát A5.</t>
  </si>
  <si>
    <t>Horníci Dolu Pomoc boží, Dubňany</t>
  </si>
  <si>
    <t>1948, Dubňany, Horníci Dolu Pomoc boží, telegram k volbě prezidentem.jpg</t>
  </si>
  <si>
    <t>Telegram K. Gottwaldovi k volbě prezidentem - Horníci Dolu Pomoc boží, Dubňany; formulář telegram; 12.6.1948, 10:40; papír; formát A5; sken: G. Hrzánová, 2021.</t>
  </si>
  <si>
    <t>18.5432186</t>
  </si>
  <si>
    <t>49.8566524</t>
  </si>
  <si>
    <t>Karviná, telegram k volbě prezidentem, Závodní rada Jámy Hlubina</t>
  </si>
  <si>
    <t>Telegram K. Gottwaldovi k volbě prezidentem - Závodní rada Jámy Hlubina, Karviná; formulář telegram; 11.6.1948, 11:30; papír; formát A5.</t>
  </si>
  <si>
    <t>Závodní rada Jámy Hlubiny, Karviná</t>
  </si>
  <si>
    <t>1948, Karviná, Závodní rada Jámy Hlubina, telegram k volbě prezidentem.jpg</t>
  </si>
  <si>
    <t>Telegram K. Gottwaldovi k volbě prezidentem - Závodní rada Jámy Hlubina, Karviná; formulář telegram; 11.6.1948, 11:30; papír; formát A5; sken: G. Hrzánová, 2021.</t>
  </si>
  <si>
    <t>15.5826975</t>
  </si>
  <si>
    <t>50.4287432</t>
  </si>
  <si>
    <t>Lázně Bělohrad, telegram k volbě prezidentem</t>
  </si>
  <si>
    <t>Telegram K. Gottwaldovi k volbě prezidentem - Zaměstnanci firmy Kremlička v národní správě, Lázně Bělohrad; formulář telegram; 11.6.1948, 11:50; papír; formát A5.</t>
  </si>
  <si>
    <t>Zaměstnanci firmy Kremlička v národní správě, Lázně Bělohrad</t>
  </si>
  <si>
    <t>1948, Lázně Bělohrad, Zaměstnanci firmy Kremlička v národní správě, telegram k volbě prezidentem.jpg</t>
  </si>
  <si>
    <t>Telegram K. Gottwaldovi k volbě prezidentem - Zaměstnanci firmy Kremlička v národní správě, Lázně Bělohrad; formulář telegram; 11.6.1948, 11:50; papír; formát A5; sken: G. Hrzánová, 2021.</t>
  </si>
  <si>
    <t>15.1203639</t>
  </si>
  <si>
    <t>50.1451652</t>
  </si>
  <si>
    <t>Poděbrady, telegram k volbě prezidentem</t>
  </si>
  <si>
    <t>Telegram K. Gottwaldovi k volbě prezidentem - Ivan Olbracht, Poděbrady; formulář telegram; 10.6.1948, 09:00; papír; formát A5.</t>
  </si>
  <si>
    <t>Ivan Olbracht</t>
  </si>
  <si>
    <t>1948, Poděbrady, Ivan Olbracht, telegram k volbě prezidentem.jpg</t>
  </si>
  <si>
    <t>Telegram K. Gottwaldovi k volbě prezidentem - Ivan Olbracht, Poděbrady; formulář telegram; 10.6.1948, 09:00; papír; formát A5; sken: G. Hrzánová, 2021.</t>
  </si>
  <si>
    <t>19.1461917</t>
  </si>
  <si>
    <t>48.736277</t>
  </si>
  <si>
    <t>Banská Bystrica, telegram k volbě prezidentem</t>
  </si>
  <si>
    <t>Telegram K. Gottwaldovi k volbě prezidentem - Sjezd báňských a hutních inženýrů, Banská Bystrica; formulář telegram; 11.6.1948, 09:10; papír; formát A5.</t>
  </si>
  <si>
    <t>Sjezd báňských a hutních inženýrů v Banské Bystrici</t>
  </si>
  <si>
    <t>1948, Banská Bystrica, Sjezd báňských a hutních inženýrů, telegram k volbě prezidentem.jpg</t>
  </si>
  <si>
    <t>Telegram K. Gottwaldovi k volbě prezidentem - Sjezd báňských a hutních inženýrů, Banská Bystrica; formulář telegram; 11.6.1948, 09:10; papír; formát A5; sken: G. Hrzánová, 2021.</t>
  </si>
  <si>
    <t>19.1679073</t>
  </si>
  <si>
    <t>49.1201726</t>
  </si>
  <si>
    <t>Ľubochňa, telegram k volbě prezidentem</t>
  </si>
  <si>
    <t>Telegram K. Gottwaldovi k volbě prezidentem - Ústřední svaz cestovního ruchu - ředitelství pro cestovní ruch, Ľubochňa; formulář telegram; 12.6.1948, 16:00; papír; formát A5.</t>
  </si>
  <si>
    <t>Ústřední svaz cestovního ruchu - ředitelství pro cestovní ruch</t>
  </si>
  <si>
    <t>1948, Ľubochňa, Ústřední svaz cestovního ruchu, telegram k volbě prezidentem.jpg</t>
  </si>
  <si>
    <t>Telegram K. Gottwaldovi k volbě prezidentem - Ústřední svaz cestovního ruchu - ředitelství pro cestovní ruch, Ľubochňa; formulář telegram; 12.6.1948, 16:00; papír; formát A5; sken: G. Hrzánová, 2021.</t>
  </si>
  <si>
    <t>Trenčianske Bohuslavice, telegram k volbě prezidentem</t>
  </si>
  <si>
    <t>Telegram K. Gottwaldovi k volbě prezidentem - Místní organizace KSS, Trenčianske Bohuslavice; formulář telegram; 12.6.1948, 08:00; papír; formát A5.</t>
  </si>
  <si>
    <t>Místní organizace KSS</t>
  </si>
  <si>
    <t>1948 Trenčianske Bohuslavice, Místní organizace KSS, telegram k volbě prezidentem.jpg</t>
  </si>
  <si>
    <t>Telegram K. Gottwaldovi k volbě prezidentem - Místní organizace KSS, Trenčianske Bohuslavice; formulář telegram; 12.6.1948, 08:00; papír; formát A5; sken: G. Hrzánová, 2021.</t>
  </si>
  <si>
    <t>19.6112558</t>
  </si>
  <si>
    <t>49.1192931</t>
  </si>
  <si>
    <t>Bobrovec, telegram k volbě prezidentem</t>
  </si>
  <si>
    <t>Telegram K. Gottwaldovi k volbě prezidentem - Jozef Misuth, Bobrovec, okr. Liptovský Mikuláš; formulář telegram; 12.6.1948, 11:50; papír; formát A5.</t>
  </si>
  <si>
    <t>Jozef Misuth</t>
  </si>
  <si>
    <t>Národní muzeum, Archiv NM, Sbírka Muzea dělnického hnutí, sbírka Klement Gottwald - kult osobnosti..</t>
  </si>
  <si>
    <t>1948, Bobrovec, Jozef Misuth, telegram k volbě prezidentem.jpg</t>
  </si>
  <si>
    <t>Telegram K. Gottwaldovi k volbě prezidentem - Jozef Misuth, Bobrovec, okr. Liptovský Mikuláš; formulář telegram; 12.6.1948, 11:50; papír; formát A5; sken: G. Hrzánová, 2021.</t>
  </si>
  <si>
    <t>17.1225387</t>
  </si>
  <si>
    <t>49.9177259</t>
  </si>
  <si>
    <t>Třemešek, telegram k volbě prezidentem</t>
  </si>
  <si>
    <t>Telegram K. Gottwaldovi k volbě prezidentem - Místní národní výbor, Místní akční výbor Národní fronty a občané, Třemešek; formulář telegram; 14.6.1948, 17:45; papír; formát A5.</t>
  </si>
  <si>
    <t>Místní národní výbor, Místní akční výbor Národní fronty a občané</t>
  </si>
  <si>
    <t>1948, Třemešek, Místní národní výbor, Místní akční výbor Národní fronty a občané, telegram k volbě prezidentem.jpg</t>
  </si>
  <si>
    <t>Telegram K. Gottwaldovi k volbě prezidentem - Místní národní výbor, Místní akční výbor Národní fronty a občané, Třemešek; formulář telegram; 14.6.1948, 17:45; papír; formát A5; sken: G. Hrzánová, 2021.</t>
  </si>
  <si>
    <t>20.3603549</t>
  </si>
  <si>
    <t>49.3841841</t>
  </si>
  <si>
    <t>Spišská Stará Ves, telegram k volbě prezidentem</t>
  </si>
  <si>
    <t>Telegram K. Gottwaldovi k volbě prezidentem - Sbor slovenské ligy reemigrantů z Polska, Spišská Stará Ves; formulář telegram; 13.6.1948, 12:00; papír; formát A5.</t>
  </si>
  <si>
    <t>Sbor slovenské ligy reemigrantů z Polska</t>
  </si>
  <si>
    <t>1948, Spišská Stará Ves, Sbor slovenské ligy reemigrantů z Polska, telegram k volbě prezidentem.jpg</t>
  </si>
  <si>
    <t>Telegram K. Gottwaldovi k volbě prezidentem - Sbor slovenské ligy reemigrantů z Polska, Spišská Stará Ves; formulář telegram; 13.6.1948, 12:00; papír; formát A5; sken: G. Hrzánová, 2021.</t>
  </si>
  <si>
    <t>18.7408001</t>
  </si>
  <si>
    <t>49.2194498</t>
  </si>
  <si>
    <t>Žilina, telegram k volbě prezidentem</t>
  </si>
  <si>
    <t>Telegram K. Gottwaldovi k volbě prezidentem - Delegáti Okresní konference SSM, Žilina; formulář telegram; 13.6.1948, 18:45; papír; formát A5.</t>
  </si>
  <si>
    <t>Delegáti Okresní konference SSM</t>
  </si>
  <si>
    <t>1948, Žilina, Delegáti Okresní konference SSM, telegram k volbě prezidentem.jpg</t>
  </si>
  <si>
    <t>Telegram K. Gottwaldovi k volbě prezidentem - Delegáti Okresní konference SSM, Žilina; formulář telegram; 13.6.1948, 18:45; papír; formát A5; sken: G. Hrzánová, 2021.</t>
  </si>
  <si>
    <t>17.1077477</t>
  </si>
  <si>
    <t>48.1485965</t>
  </si>
  <si>
    <t>Bratislava, telegram k volbě prezidentem</t>
  </si>
  <si>
    <t>Telegram K. Gottwaldovi k volbě prezidentem - Oblastní akční výbor Národní fronty, Bratislava; formulář telegram; 13.6.1948, 13:45; papír; formát A5.</t>
  </si>
  <si>
    <t>Oblastní akční výbor Národní fronty</t>
  </si>
  <si>
    <t>1948, Bratislava, Oblastní akční výbor Národní fronty, telegram k volbě prezidentem_01.jpg</t>
  </si>
  <si>
    <t>Telegram K. Gottwaldovi k volbě prezidentem - Oblastní akční výbor Národní fronty, Bratislava; formulář telegram; 13.6.1948, 13:45; papír; formát A5; sken: G. Hrzánová, 2021.</t>
  </si>
  <si>
    <t>1948, Bratislava, Oblastní akční výbor Národní fronty, telegram k volbě prezidentem_02.jpg</t>
  </si>
  <si>
    <t>1948, Bratislava, Oblastní akční výbor Národní fronty, telegram k volbě prezidentem_03.jpg</t>
  </si>
  <si>
    <t>18.6461201</t>
  </si>
  <si>
    <t>47.7777903</t>
  </si>
  <si>
    <t>Obid (Ebed), telegram k volbě prezidentem</t>
  </si>
  <si>
    <t>Telegram K. Gottwaldovi k volbě prezidentem - Obec Ebed (Obid), okr. Parkán (Štúrovo); formulář telegram; 13.6.1948, 17:00; papír; formát A5.</t>
  </si>
  <si>
    <t>Obec Ebed (Obid), okr. Parkán (Štúrovo)</t>
  </si>
  <si>
    <t>1948, Obid (Ebed), Obec Ebed, telegram k volbě prezidentem.jpg</t>
  </si>
  <si>
    <t>Telegram K. Gottwaldovi k volbě prezidentem - Obec Ebed (Obid), okr. Parkán (Štúrovo); formulář telegram; 13.6.1948, 17:00; papír; formát A5; sken: G. Hrzánová, 2021.</t>
  </si>
  <si>
    <t>14.7136163</t>
  </si>
  <si>
    <t>49.9364431</t>
  </si>
  <si>
    <t>Mnichovice, telegram k volbě prezidentem</t>
  </si>
  <si>
    <t>Telegram K. Gottwaldovi k volbě prezidentem - Sokol, Mnichovice; formulář telegram; 12.6.1948, 10:10; papír; formát A5.</t>
  </si>
  <si>
    <t>Sokol Mnichovice</t>
  </si>
  <si>
    <t>1948, Mnichovice, Sokol, telegram k volbě prezidentem.jpg</t>
  </si>
  <si>
    <t>Telegram K. Gottwaldovi k volbě prezidentem - Sokol, Mnichovice; formulář telegram; 12.6.1948, 10:10; papír; formát A5; sken: G. Hrzánová, 2021.</t>
  </si>
  <si>
    <t>13.7753594</t>
  </si>
  <si>
    <t>50.5485474</t>
  </si>
  <si>
    <t>Bílina, telegram k volbě prezidentem</t>
  </si>
  <si>
    <t>Telegram K. Gottwaldovi k volbě prezidentem - Spolek socialistických bezvěrců, Bílina; formulář telegram; 14.6.1948, 09:55; papír; formát A5.</t>
  </si>
  <si>
    <t>Spolek socialistických bezvěrců</t>
  </si>
  <si>
    <t>1948, Bílina, Spolek socialistických bezvěrců, telegram k volbě prezidentem.jpg</t>
  </si>
  <si>
    <t>Telegram K. Gottwaldovi k volbě prezidentem - Spolek socialistických bezvěrců, Bílina; formulář telegram; 14.6.1948, 09:55; papír; formát A5; sken: G. Hrzánová, 2021.</t>
  </si>
  <si>
    <t>14.2627351</t>
  </si>
  <si>
    <t>50.0663305</t>
  </si>
  <si>
    <t>Praha - Petrovská 55 (Pavlická), telegram k volbě prezidentem</t>
  </si>
  <si>
    <t>Telegram K. Gottwaldovi k volbě prezidentem - Karel a Vlasta Váňovi, Anděla Čejpová, Praha - Petrovská 55 (Pavlická); formulář telegram; 14.6.1948, 16:55; papír; formát A5.</t>
  </si>
  <si>
    <t>Karel a Vlasta Váňovi, Anděla Čejpová</t>
  </si>
  <si>
    <t>1948, Praha - Petrovská 55 (Pavlická), Karel a Vlasta Váňovi, Anděla Čejpová, telegram k volbě prezidentem.jpg</t>
  </si>
  <si>
    <t>Telegram K. Gottwaldovi k volbě prezidentem - Karel a Vlasta Váňovi, Anděla Čejpová, Praha - Petrovská 55 (Pavlická); formulář telegram; 14.6.1948, 16:55; papír; formát A5; sken: G. Hrzánová, 2021.</t>
  </si>
  <si>
    <t>18.4959104</t>
  </si>
  <si>
    <t>49.8438321</t>
  </si>
  <si>
    <t>Karviná, telegram k volbě prezidentem, Koksovna President Beneš</t>
  </si>
  <si>
    <t>Telegram K. Gottwaldovi k volbě prezidentem - Koksovna President Beneš, Karviná; formulář telegram; 10.6.1948, 15:00; papír; formát A5.</t>
  </si>
  <si>
    <t>Koksovna President Beneš</t>
  </si>
  <si>
    <t xml:space="preserve">Národní muzeum, Archiv NM, Sbírka Muzea dělnického hnutí, sbírka Klement Gottwald - kult osobnosti.
https://www.archives.cz/web/soka/karvina/projekt/resources/karvina/hruby/kronika/text5.htm (online, 24.8.2021).
</t>
  </si>
  <si>
    <t>1948, Karviná, Koksovna President Beneš, telegram k volbě prezidentem.jpg</t>
  </si>
  <si>
    <t>Telegram K. Gottwaldovi k volbě prezidentem - Koksovna President Beneš, Karviná; formulář telegram; 10.6.1948, 15:00; papír; formát A5; sken: G. Hrzánová, 2021.</t>
  </si>
  <si>
    <t>Česká Lípa, pracovní závazek dvouletky</t>
  </si>
  <si>
    <t>Pracovní závazek plnění dvouletého pracovního plánu, připojeno k blahopřání k 50. narozeninám. Béžové kožené desky s aplikací číslice a lipové ratolesti, různé listy s logem podniku Tatra, n. p. závod Klementa Gottwalda, Č. Lípa, ruční papír bohatě ilustrovaný - kolorovaná iniciála, připojeny grafy výroby, ale i např. poměru Němců a Čechů v továrně, rkp, tisk, 10 ll, 42 x 30 cm.</t>
  </si>
  <si>
    <t>Závazky</t>
  </si>
  <si>
    <t>Závod Tatra.</t>
  </si>
  <si>
    <t>Česká Lípa_zav01.jpg</t>
  </si>
  <si>
    <t>Česká Lípa_zav02.jpg</t>
  </si>
  <si>
    <t>Česká Lípa_zav04.jpg</t>
  </si>
  <si>
    <t>Česká Lípa_zav05.jpg</t>
  </si>
  <si>
    <t>14.0869438</t>
  </si>
  <si>
    <t>50.2304622</t>
  </si>
  <si>
    <t>Slaný, pracovní závazek</t>
  </si>
  <si>
    <t>Pracovní závazek u příležitosti zvolení čestným občanem. Černé koženkové desky se zlaceným nápisem a barevnými symboly, realistické perokresby vyráběných strojů, rkp, 8 ll, 35 x 24 cm.</t>
  </si>
  <si>
    <t xml:space="preserve">b. d. </t>
  </si>
  <si>
    <t>Podnik ČKD.</t>
  </si>
  <si>
    <t>Slaný_zav01.jpg</t>
  </si>
  <si>
    <t>Slaný_zav02.jpg</t>
  </si>
  <si>
    <t>Slaný_zav03.jpg</t>
  </si>
  <si>
    <t>Slaný_zav04.jpg</t>
  </si>
  <si>
    <t>Slaný_zav05.jpg</t>
  </si>
  <si>
    <t>Kladno, soubor pracovních závazků z celého kraje</t>
  </si>
  <si>
    <t>Závazky organizací Kladenska. Svázáno v rudých koženkových deskách s bílým koženým plátem se zlaceným nápisem ROH, jednotlivé mnohdy bohatě ilustrované čtvrtky se závazky organizací v kraji (56 ks), řazeny podle oborů po úvodním listu se zlato-šedým symbolem výrobního odvětví, rkp, tisk, různé techniky, 68 ll, 39 x 30 cm.</t>
  </si>
  <si>
    <t>různá data, říjen 1948</t>
  </si>
  <si>
    <t>Krajská odborová konference (KOR) + jednotlivé organizace a závody</t>
  </si>
  <si>
    <t>Kladno_zav01.jpg</t>
  </si>
  <si>
    <t>Kladno_zav02.jpg</t>
  </si>
  <si>
    <t>Kladno_zav04.jpg</t>
  </si>
  <si>
    <t>Kladno_zav06.jpg</t>
  </si>
  <si>
    <t>Kladno_zav07.jpg</t>
  </si>
  <si>
    <t>Pardubice, zpráva o splnění závazku</t>
  </si>
  <si>
    <t xml:space="preserve">Hlášení o tom, že organizace splnila dříve uzavřený závazek ohledně počtu nově získaných. Papírový obal ve tvaru obálky, přírodní ruční papír, svázané listy, titulní ilustrace čeno-červená, motiv koně, podobná ilustrace s motivem ženy s rudou stuhou (autorská sign. L. Vele), tisk, podpisy, 8 ll, 33 x 27 cm. </t>
  </si>
  <si>
    <t>25. březen 1946</t>
  </si>
  <si>
    <t>Krajská komise žen</t>
  </si>
  <si>
    <t>Pardubice_zav01.jpg</t>
  </si>
  <si>
    <t>Pardubice_zav02.jpg</t>
  </si>
  <si>
    <t>15.825211</t>
  </si>
  <si>
    <t>50.2103605</t>
  </si>
  <si>
    <t>Hradec Králové, zpráva o splnění závazku</t>
  </si>
  <si>
    <t>Hlášení o splnění závazku získání nových členek, přiložen dopis o schůzi a závazku k VIII. sjezdu KSČ. Závazek datován 16. prosince 1945. Rudé koženkové desky se zlaceným nápisem Krajská komise žen a komunistickým symbolem, uvnitř složený ruční papír, kolorované tušové ilustrace s motivem žen v továrně a zemědělství, znak města, rkp, strojopis, podpisy, razítko, desky A4. Datace hlášení musí být chybná - uvedeno 27. března 1945 (sic!). Další příkla ze série dosvědčující hnutí získávání členů a členek strany či jejích speciálních útvarů, např. tzv. Komisí žen.</t>
  </si>
  <si>
    <t>27. května 1945 (sic!)</t>
  </si>
  <si>
    <t>Hradec Králové_zav01.jpg</t>
  </si>
  <si>
    <t>Hradec Králové_zav02.jpg</t>
  </si>
  <si>
    <t>Hradec Králové_zav03.jpg</t>
  </si>
  <si>
    <t>Hradec Králové_zav05.jpg</t>
  </si>
  <si>
    <t>15.5796552</t>
  </si>
  <si>
    <t>49.6043364</t>
  </si>
  <si>
    <t>Havlíčkův Brod, zpráva o splnění závazku</t>
  </si>
  <si>
    <t>Hlášení o výsledku závazku získat nové členky, uzavřen na konferenci 15. - 16. prosince 1945. Čedé textilní desky s dřevěnou aplikací iniciály, rkp, 6 ll, desky A4.</t>
  </si>
  <si>
    <t>Havlíčkův Brod_zav01.jpg</t>
  </si>
  <si>
    <t>Havlíčkův Brod_zav02.jpg</t>
  </si>
  <si>
    <t>Havlíčkův Brod_zav03.jpg</t>
  </si>
  <si>
    <t>Havlíčkův Brod_zav04.jpg</t>
  </si>
  <si>
    <t>13.032137</t>
  </si>
  <si>
    <t>50.4923255</t>
  </si>
  <si>
    <t>Vejprty, zpráva o splnění pracovního závazku</t>
  </si>
  <si>
    <t>Hlášení splnění dvouletého pracovního plánu a zároveň slib pětiletky. Textilní tvrdé desky s intarzií z barevných dřevěných plátků s motivy postavy držící pětku, státního znaku a továrny, uvnitř další figurální ilustrace k tématu práce a pětiletého prac. plánu, rkp, 2 ll, A4.</t>
  </si>
  <si>
    <t xml:space="preserve">Západočeské papírny, n. p. </t>
  </si>
  <si>
    <t>Vejprty_zav01.jpg</t>
  </si>
  <si>
    <t>Vejprty_zav02.jpg</t>
  </si>
  <si>
    <t>14.5555639</t>
  </si>
  <si>
    <t>50.7576138</t>
  </si>
  <si>
    <t>Nový Bor, pracovní závazek dvouletky</t>
  </si>
  <si>
    <t>Závazek dvouletky. Béžové kožené desky s hnědým znakem města, skleněná plaketa z černého skla, ryté nápisy a ilustrace, 4,5 kg, A3.</t>
  </si>
  <si>
    <t xml:space="preserve">Sklářský závod </t>
  </si>
  <si>
    <t>Bor_zav01.jpg</t>
  </si>
  <si>
    <t>Bor_zav02.jpg</t>
  </si>
  <si>
    <t>18.21079</t>
  </si>
  <si>
    <t>49.548345</t>
  </si>
  <si>
    <t>Frenštát pod Radhoštěm, zpráva o průběžném plnění pracovního závazku</t>
  </si>
  <si>
    <t>Hlášení o plnění pracovního plánu za třetí rok pětiletky, u příležitosti 55. narozenin. Žluté textilní desky s čeveno-bílými aplikacemi a trikolorou, uvnitř akvarelové ilustrace - pohled na továrnu, práce u stroje, symbolický dekor, rkp, 4 ll, 33 x 30 cm.</t>
  </si>
  <si>
    <t>23. listopad 1951</t>
  </si>
  <si>
    <t>MEZ - závodní organizace KSČ.</t>
  </si>
  <si>
    <t>Frenštát_zav01.jpg</t>
  </si>
  <si>
    <t>Frenštát_zav02.jpg</t>
  </si>
  <si>
    <t>Frenštát_zav03.jpg</t>
  </si>
  <si>
    <t>Frenštát_zav04.jpg</t>
  </si>
  <si>
    <t>14.2604647</t>
  </si>
  <si>
    <t>50.4252048</t>
  </si>
  <si>
    <t>Roudnice nad Labem, závazek "Do dolů"</t>
  </si>
  <si>
    <t>Pracovní závazek mladých dělníků s proklamací "do dolů". Ruční papír, kolorovaná akvarelová ilustrace oslavující práci, podpisy, razítko, A3. Adresa v rámci hnutí učňů, studentů a mladých pracovníků odcházet pracovat do dolů ač jakékoli kvalifikace.</t>
  </si>
  <si>
    <t>b. d. (po červnu 1948)</t>
  </si>
  <si>
    <t>Český svaz mládeže.</t>
  </si>
  <si>
    <t>Roudnice_zav.jpg</t>
  </si>
  <si>
    <t>16.1148022</t>
  </si>
  <si>
    <t>50.2674147</t>
  </si>
  <si>
    <t>Opočno, pracovní závazek dvouletky</t>
  </si>
  <si>
    <t>Závazek plnění dvouletého pracovního plánu u příležitosti 50. narozenin. Hnědo-rudé koženkové desky, vložen strojopisný dopis, diplom s ilustrací - perokresba pohledu na zámek, strojopis, 2 ll, 37 x 30 cm.</t>
  </si>
  <si>
    <t>27. listopad 1946</t>
  </si>
  <si>
    <t>Opočno_zav01.jpg</t>
  </si>
  <si>
    <t>Opočno_zav02.jpg</t>
  </si>
  <si>
    <t>Opočno_zav03.jpg</t>
  </si>
  <si>
    <t>15.4908263</t>
  </si>
  <si>
    <t>50.2415017</t>
  </si>
  <si>
    <t>Nový Bydžov, vyhlášení pracovní soutěže</t>
  </si>
  <si>
    <t>Oznámení o vyhlášení zemědělské soutěže na okrese o nejrychlejší zdolání žní v prvním roce pětiletky. Modrošedá krabice z mačkaného papíru, album s hnědými deskami z mačkaného papíru, červený tisk, podpisy, razítka, 4 ll, 35 x 22 cm.</t>
  </si>
  <si>
    <t>b. d.</t>
  </si>
  <si>
    <t>Okresní národní výbor a další organizace ve městě.</t>
  </si>
  <si>
    <t>Nový Bydžov_zav02.jpg</t>
  </si>
  <si>
    <t>Nový Bydžov_zav03.jpg</t>
  </si>
  <si>
    <t>Nový Bydžov_zav04.jpg</t>
  </si>
  <si>
    <t>Nový Bydžov_zav.jpg</t>
  </si>
  <si>
    <t>15.996554</t>
  </si>
  <si>
    <t>49.8434674</t>
  </si>
  <si>
    <t>Skuteč, zpráva o plnění pracovních závazků</t>
  </si>
  <si>
    <t>Hlášení jednotlivých pracovních závazků, které mají být splněny do 28.10.1948. Bílá papírová krabice, Černé koženkové album svázaných diplomů se závazky, řazeno podle jednotlivých obcí okresu (51), na každém listě je ilustrace tužkou s motivem veduty obce (signovány Gustav Porš), rkp, podpisy, 55 ll, 35 x 37 cm.</t>
  </si>
  <si>
    <t>Okres Skuteč, jednotlivé obce.</t>
  </si>
  <si>
    <t>Skuteč_zav01.jpg</t>
  </si>
  <si>
    <t>Skuteč_zav02.jpg</t>
  </si>
  <si>
    <t>Skuteč_zav03.jpg</t>
  </si>
  <si>
    <t>Skuteč_zav04.jpg</t>
  </si>
  <si>
    <t>Skuteč_zav05.jpg</t>
  </si>
  <si>
    <t>13.8678757</t>
  </si>
  <si>
    <t>50.0267197</t>
  </si>
  <si>
    <t>Roztoky na Křivoklátsku, pracovní závazek</t>
  </si>
  <si>
    <t xml:space="preserve">Jmenování čestným předsedou závodní rady u příležitosti 50. narozenin a vyhlášení dvouletky. Hnědá papírová krabice, červené koženkové album se zlaceným orámováním a komunistickými symboly, stříkaná ilustrace s motivem podnikového znaku, dvojky, siluety hradu a trikolorovou duhou, symbol lipových ratolestí, rkp, podpisy, razítka, 2 ll, A4.  </t>
  </si>
  <si>
    <t>Závodní rada podniku Transporta.</t>
  </si>
  <si>
    <t>Roztoky_zav.jpg</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</si>
</sst>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sz val="11.0"/>
      <color rgb="FF000000"/>
      <name val="Inconsolata"/>
    </font>
    <font>
      <color theme="1"/>
      <name val="Arial"/>
    </font>
    <font>
      <color rgb="FF000000"/>
      <name val="Roboto"/>
    </font>
    <font>
      <sz val="11.0"/>
      <color rgb="FF222222"/>
      <name val="&quot;Google Sans&quot;"/>
    </font>
    <font>
      <color rgb="FF000000"/>
      <name val="Docs-Roboto"/>
    </font>
    <font>
      <sz val="11.0"/>
      <color rgb="FF000000"/>
      <name val="&quot;Courier New&quot;"/>
    </font>
    <font>
      <sz val="10.0"/>
      <color theme="1"/>
      <name val="Arial"/>
    </font>
  </fonts>
  <fills count="4">
    <fill>
      <patternFill patternType="none"/>
    </fill>
    <fill>
      <patternFill patternType="lightGray"/>
    </fill>
    <fill>
      <patternFill patternType="solid">
        <fgColor rgb="FFFCE5CD"/>
        <bgColor rgb="FFFCE5CD"/>
      </patternFill>
    </fill>
    <fill>
      <patternFill patternType="solid">
        <fgColor rgb="FFFFFFFF"/>
        <bgColor rgb="FFFFFFF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vertical="bottom" wrapText="0"/>
    </xf>
    <xf borderId="0" fillId="0" fontId="1" numFmtId="49" xfId="0" applyAlignment="1" applyFont="1" applyNumberFormat="1">
      <alignment readingOrder="0" shrinkToFit="0" wrapText="0"/>
    </xf>
    <xf borderId="0" fillId="2" fontId="1" numFmtId="0" xfId="0" applyAlignment="1" applyFill="1" applyFont="1">
      <alignment shrinkToFit="0" vertical="bottom" wrapText="0"/>
    </xf>
    <xf borderId="0" fillId="2" fontId="1" numFmtId="0" xfId="0" applyAlignment="1" applyFont="1">
      <alignment readingOrder="0" shrinkToFit="0" vertical="bottom" wrapText="0"/>
    </xf>
    <xf borderId="0" fillId="0" fontId="1" numFmtId="0" xfId="0" applyAlignment="1" applyFont="1">
      <alignment readingOrder="0" shrinkToFit="0" vertical="bottom" wrapText="0"/>
    </xf>
    <xf borderId="0" fillId="3" fontId="2" numFmtId="0" xfId="0" applyAlignment="1" applyFill="1" applyFont="1">
      <alignment shrinkToFit="0" wrapText="0"/>
    </xf>
    <xf borderId="0" fillId="0" fontId="3" numFmtId="0" xfId="0" applyAlignment="1" applyFont="1">
      <alignment shrinkToFit="0" wrapText="0"/>
    </xf>
    <xf borderId="0" fillId="0" fontId="3" numFmtId="49" xfId="0" applyAlignment="1" applyFont="1" applyNumberFormat="1">
      <alignment shrinkToFit="0" wrapText="0"/>
    </xf>
    <xf borderId="0" fillId="0" fontId="3" numFmtId="0" xfId="0" applyFont="1"/>
    <xf borderId="0" fillId="0" fontId="3" numFmtId="49" xfId="0" applyFont="1" applyNumberFormat="1"/>
    <xf borderId="0" fillId="3" fontId="2" numFmtId="0" xfId="0" applyFont="1"/>
    <xf borderId="0" fillId="0" fontId="1" numFmtId="0" xfId="0" applyAlignment="1" applyFont="1">
      <alignment shrinkToFit="0" vertical="bottom" wrapText="0"/>
    </xf>
    <xf borderId="0" fillId="0" fontId="3" numFmtId="0" xfId="0" applyAlignment="1" applyFont="1">
      <alignment readingOrder="0" shrinkToFit="0" wrapText="0"/>
    </xf>
    <xf borderId="0" fillId="0" fontId="3" numFmtId="49" xfId="0" applyAlignment="1" applyFont="1" applyNumberFormat="1">
      <alignment readingOrder="0" shrinkToFit="0" wrapText="0"/>
    </xf>
    <xf borderId="0" fillId="3" fontId="4" numFmtId="0" xfId="0" applyAlignment="1" applyFont="1">
      <alignment readingOrder="0" shrinkToFit="0" wrapText="0"/>
    </xf>
    <xf borderId="0" fillId="3" fontId="2" numFmtId="0" xfId="0" applyAlignment="1" applyFont="1">
      <alignment readingOrder="0"/>
    </xf>
    <xf borderId="0" fillId="3" fontId="5" numFmtId="0" xfId="0" applyAlignment="1" applyFont="1">
      <alignment readingOrder="0"/>
    </xf>
    <xf borderId="0" fillId="3" fontId="4" numFmtId="0" xfId="0" applyAlignment="1" applyFont="1">
      <alignment horizontal="left" readingOrder="0" shrinkToFit="0" wrapText="0"/>
    </xf>
    <xf borderId="0" fillId="3" fontId="6" numFmtId="0" xfId="0" applyAlignment="1" applyFont="1">
      <alignment horizontal="left" readingOrder="0" shrinkToFit="0" wrapText="0"/>
    </xf>
    <xf borderId="0" fillId="3" fontId="4" numFmtId="49" xfId="0" applyAlignment="1" applyFont="1" applyNumberFormat="1">
      <alignment readingOrder="0" shrinkToFit="0" wrapText="0"/>
    </xf>
    <xf borderId="0" fillId="3" fontId="0" numFmtId="0" xfId="0" applyAlignment="1" applyFont="1">
      <alignment horizontal="left" readingOrder="0" shrinkToFit="0" wrapText="1"/>
    </xf>
    <xf borderId="0" fillId="3" fontId="4" numFmtId="0" xfId="0" applyAlignment="1" applyFont="1">
      <alignment readingOrder="0"/>
    </xf>
    <xf borderId="0" fillId="3" fontId="7" numFmtId="0" xfId="0" applyAlignment="1" applyFont="1">
      <alignment horizontal="left" readingOrder="0" shrinkToFit="0" wrapText="1"/>
    </xf>
    <xf borderId="0" fillId="0" fontId="8" numFmtId="0" xfId="0" applyAlignment="1" applyFont="1">
      <alignment readingOrder="0" shrinkToFit="0" wrapText="0"/>
    </xf>
    <xf borderId="0" fillId="3" fontId="0" numFmtId="0" xfId="0" applyAlignment="1" applyFont="1">
      <alignment readingOrder="0" shrinkToFit="0" wrapText="0"/>
    </xf>
    <xf borderId="0" fillId="3" fontId="0" numFmtId="0" xfId="0" applyAlignment="1" applyFont="1">
      <alignment horizontal="left" readingOrder="0" shrinkToFit="0" wrapText="0"/>
    </xf>
    <xf borderId="0" fillId="0" fontId="4" numFmtId="0" xfId="0" applyAlignment="1" applyFont="1">
      <alignment readingOrder="0" shrinkToFit="0" wrapText="0"/>
    </xf>
    <xf borderId="0" fillId="0" fontId="3" numFmtId="0" xfId="0" applyAlignment="1" applyFont="1">
      <alignment shrinkToFit="0" wrapText="0"/>
    </xf>
    <xf borderId="0" fillId="0" fontId="3" numFmtId="49" xfId="0" applyAlignment="1" applyFont="1" applyNumberFormat="1">
      <alignment shrinkToFit="0" wrapText="0"/>
    </xf>
    <xf borderId="0" fillId="3" fontId="3" numFmtId="0" xfId="0" applyAlignment="1" applyFont="1">
      <alignment readingOrder="0" shrinkToFit="0" wrapText="0"/>
    </xf>
    <xf borderId="0" fillId="0" fontId="3" numFmtId="0" xfId="0" applyAlignment="1" applyFont="1">
      <alignment readingOrder="0"/>
    </xf>
    <xf borderId="0" fillId="3"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44.0"/>
    <col customWidth="1" min="5" max="5" width="34.14"/>
    <col customWidth="1" min="6" max="6" width="51.14"/>
    <col customWidth="1" min="7" max="7" width="31.29"/>
    <col customWidth="1" min="14" max="14" width="179.86"/>
    <col customWidth="1" min="16" max="16" width="102.29"/>
  </cols>
  <sheetData>
    <row r="1">
      <c r="A1" s="1" t="s">
        <v>0</v>
      </c>
      <c r="B1" s="1" t="s">
        <v>1</v>
      </c>
      <c r="C1" s="1" t="s">
        <v>2</v>
      </c>
      <c r="D1" s="1" t="s">
        <v>3</v>
      </c>
      <c r="E1" s="2" t="s">
        <v>4</v>
      </c>
      <c r="F1" s="1" t="s">
        <v>5</v>
      </c>
      <c r="G1" s="1" t="s">
        <v>6</v>
      </c>
      <c r="H1" s="2" t="s">
        <v>7</v>
      </c>
      <c r="I1" s="3" t="s">
        <v>8</v>
      </c>
      <c r="J1" s="2" t="s">
        <v>9</v>
      </c>
      <c r="K1" s="1" t="s">
        <v>10</v>
      </c>
      <c r="L1" s="1" t="s">
        <v>11</v>
      </c>
      <c r="M1" s="2" t="s">
        <v>12</v>
      </c>
      <c r="N1" s="4" t="s">
        <v>13</v>
      </c>
      <c r="O1" s="2" t="s">
        <v>14</v>
      </c>
      <c r="P1" s="2" t="s">
        <v>15</v>
      </c>
      <c r="Q1" s="2" t="s">
        <v>16</v>
      </c>
      <c r="R1" s="4" t="s">
        <v>17</v>
      </c>
      <c r="S1" s="2" t="s">
        <v>18</v>
      </c>
      <c r="T1" s="2" t="s">
        <v>19</v>
      </c>
      <c r="U1" s="2" t="s">
        <v>20</v>
      </c>
      <c r="V1" s="5" t="s">
        <v>21</v>
      </c>
      <c r="W1" s="6" t="s">
        <v>22</v>
      </c>
      <c r="X1" s="6" t="s">
        <v>23</v>
      </c>
      <c r="Y1" s="6" t="s">
        <v>24</v>
      </c>
      <c r="Z1" s="5" t="s">
        <v>25</v>
      </c>
      <c r="AA1" s="6" t="s">
        <v>26</v>
      </c>
      <c r="AB1" s="6" t="s">
        <v>27</v>
      </c>
      <c r="AC1" s="6" t="s">
        <v>28</v>
      </c>
      <c r="AD1" s="5" t="s">
        <v>29</v>
      </c>
      <c r="AE1" s="6" t="s">
        <v>30</v>
      </c>
      <c r="AF1" s="6" t="s">
        <v>31</v>
      </c>
      <c r="AG1" s="6" t="s">
        <v>32</v>
      </c>
      <c r="AH1" s="5" t="s">
        <v>33</v>
      </c>
      <c r="AI1" s="6" t="s">
        <v>34</v>
      </c>
      <c r="AJ1" s="6" t="s">
        <v>35</v>
      </c>
      <c r="AK1" s="6" t="s">
        <v>36</v>
      </c>
      <c r="AL1" s="5" t="s">
        <v>37</v>
      </c>
      <c r="AM1" s="6" t="s">
        <v>38</v>
      </c>
      <c r="AN1" s="6" t="s">
        <v>39</v>
      </c>
      <c r="AO1" s="6" t="s">
        <v>40</v>
      </c>
    </row>
    <row r="2">
      <c r="A2" s="7">
        <f t="shared" ref="A2:A157" si="1"> COUNTA($B$2:B2)</f>
        <v>1</v>
      </c>
      <c r="B2" s="8" t="str">
        <f>IFERROR(__xludf.DUMMYFUNCTION("query({'Blahopřání'!A2:AR999;'Čestná občanství'!A2:AR999;'Čestné jméno'!A3:AR999; Varia!A2:AR999;'Hmotné dary'!A2:AR999;Telegramy!A2:AR999;'Závazky'!A2:AR999},""select * where Col1 &lt;&gt; ''"",0)"),"13.9945047")</f>
        <v>13.9945047</v>
      </c>
      <c r="C2" s="8" t="str">
        <f>IFERROR(__xludf.DUMMYFUNCTION("""COMPUTED_VALUE"""),"50.6428674")</f>
        <v>50.6428674</v>
      </c>
      <c r="D2" s="8" t="str">
        <f>IFERROR(__xludf.DUMMYFUNCTION("""COMPUTED_VALUE"""),"Trmice, blahopřání k narozeninám")</f>
        <v>Trmice, blahopřání k narozeninám</v>
      </c>
      <c r="E2" s="8" t="str">
        <f>IFERROR(__xludf.DUMMYFUNCTION("""COMPUTED_VALUE"""),"Blahopřání k narozeninám a slib dvouletky. Hnědé kožené desky s vytlačovanými nápisy, florálním dekorem a hvězdou s rukou nesoucí pochodeň, svázáno rudou stuhou, drobná ilustrace s vlajkami a továrnou, rkp, archy s podpisy, 20 ll, 34 x 25 cm.")</f>
        <v>Blahopřání k narozeninám a slib dvouletky. Hnědé kožené desky s vytlačovanými nápisy, florálním dekorem a hvězdou s rukou nesoucí pochodeň, svázáno rudou stuhou, drobná ilustrace s vlajkami a továrnou, rkp, archy s podpisy, 20 ll, 34 x 25 cm.</v>
      </c>
      <c r="F2" s="8" t="str">
        <f>IFERROR(__xludf.DUMMYFUNCTION("""COMPUTED_VALUE"""),"dokumenty")</f>
        <v>dokumenty</v>
      </c>
      <c r="G2" s="8" t="str">
        <f>IFERROR(__xludf.DUMMYFUNCTION("""COMPUTED_VALUE"""),"Blahopřání")</f>
        <v>Blahopřání</v>
      </c>
      <c r="H2" s="8"/>
      <c r="I2" s="9" t="str">
        <f>IFERROR(__xludf.DUMMYFUNCTION("""COMPUTED_VALUE"""),"listopad 1948")</f>
        <v>listopad 1948</v>
      </c>
      <c r="J2" s="8"/>
      <c r="K2" s="8" t="str">
        <f>IFERROR(__xludf.DUMMYFUNCTION("""COMPUTED_VALUE"""),"Místní organizace KSČ.")</f>
        <v>Místní organizace KSČ.</v>
      </c>
      <c r="L2" s="8" t="str">
        <f>IFERROR(__xludf.DUMMYFUNCTION("""COMPUTED_VALUE"""),"Národní muzeum, Archiv NM, Sbírka Muzea dělnického hnutí, sbírka Klement Gottwald - kult osobnosti.")</f>
        <v>Národní muzeum, Archiv NM, Sbírka Muzea dělnického hnutí, sbírka Klement Gottwald - kult osobnosti.</v>
      </c>
      <c r="M2" s="8"/>
      <c r="N2" s="8" t="str">
        <f>IFERROR(__xludf.DUMMYFUNCTION("""COMPUTED_VALUE"""),"Trmice_zdr01.jpg")</f>
        <v>Trmice_zdr01.jpg</v>
      </c>
      <c r="O2" s="8"/>
      <c r="P2" s="8" t="str">
        <f>IFERROR(__xludf.DUMMYFUNCTION("""COMPUTED_VALUE"""),"Obrazová dokumentace archiválie.")</f>
        <v>Obrazová dokumentace archiválie.</v>
      </c>
      <c r="Q2" s="8" t="str">
        <f>IFERROR(__xludf.DUMMYFUNCTION("""COMPUTED_VALUE"""),"Národní muzeum, Archiv NM, Sbírka Muzea dělnického hnutí, sbírka Klement Gottwald - kult osobnosti.")</f>
        <v>Národní muzeum, Archiv NM, Sbírka Muzea dělnického hnutí, sbírka Klement Gottwald - kult osobnosti.</v>
      </c>
      <c r="R2" s="8" t="str">
        <f>IFERROR(__xludf.DUMMYFUNCTION("""COMPUTED_VALUE"""),"Trmice_zdr02.jpg")</f>
        <v>Trmice_zdr02.jpg</v>
      </c>
      <c r="S2" s="8"/>
      <c r="T2" s="8" t="str">
        <f>IFERROR(__xludf.DUMMYFUNCTION("""COMPUTED_VALUE"""),"Obrazová dokumentace archiválie.")</f>
        <v>Obrazová dokumentace archiválie.</v>
      </c>
      <c r="U2" s="8" t="str">
        <f>IFERROR(__xludf.DUMMYFUNCTION("""COMPUTED_VALUE"""),"Národní muzeum, Archiv NM, Sbírka Muzea dělnického hnutí, sbírka Klement Gottwald - kult osobnosti.")</f>
        <v>Národní muzeum, Archiv NM, Sbírka Muzea dělnického hnutí, sbírka Klement Gottwald - kult osobnosti.</v>
      </c>
      <c r="V2" s="8"/>
      <c r="W2" s="8"/>
      <c r="X2" s="8"/>
      <c r="Y2" s="8"/>
      <c r="Z2" s="8"/>
      <c r="AA2" s="8"/>
      <c r="AB2" s="8"/>
      <c r="AC2" s="8"/>
      <c r="AD2" s="8"/>
      <c r="AE2" s="8"/>
      <c r="AF2" s="8"/>
      <c r="AG2" s="8"/>
      <c r="AH2" s="8"/>
      <c r="AI2" s="8"/>
      <c r="AJ2" s="8"/>
      <c r="AK2" s="8"/>
      <c r="AL2" s="8"/>
      <c r="AM2" s="8"/>
      <c r="AN2" s="8"/>
      <c r="AO2" s="8"/>
    </row>
    <row r="3">
      <c r="A3" s="7">
        <f t="shared" si="1"/>
        <v>2</v>
      </c>
      <c r="B3" s="8" t="str">
        <f>IFERROR(__xludf.DUMMYFUNCTION("""COMPUTED_VALUE"""),"15.6299395")</f>
        <v>15.6299395</v>
      </c>
      <c r="C3" s="8" t="str">
        <f>IFERROR(__xludf.DUMMYFUNCTION("""COMPUTED_VALUE"""),"50.3716773")</f>
        <v>50.3716773</v>
      </c>
      <c r="D3" s="8" t="str">
        <f>IFERROR(__xludf.DUMMYFUNCTION("""COMPUTED_VALUE"""),"Hořice, zdravice Místního národního výboru k výročí republiky")</f>
        <v>Hořice, zdravice Místního národního výboru k výročí republiky</v>
      </c>
      <c r="E3" s="8" t="str">
        <f>IFERROR(__xludf.DUMMYFUNCTION("""COMPUTED_VALUE"""),"Zdravice k 30. výročí ČSR, připojeno hlášení o splnění dvouletého pracovního plánu. Tištěný diplom s grafickým motivem veduty města, městské pečeti a bohatého florálního ornamentu (sign. WR 1922), tisk, 31 x 40 cm. Viz užití stejného předtištěného diplomu"&amp;" u zdravice ONV.")</f>
        <v>Zdravice k 30. výročí ČSR, připojeno hlášení o splnění dvouletého pracovního plánu. Tištěný diplom s grafickým motivem veduty města, městské pečeti a bohatého florálního ornamentu (sign. WR 1922), tisk, 31 x 40 cm. Viz užití stejného předtištěného diplomu u zdravice ONV.</v>
      </c>
      <c r="F3" s="8" t="str">
        <f>IFERROR(__xludf.DUMMYFUNCTION("""COMPUTED_VALUE"""),"dokumenty")</f>
        <v>dokumenty</v>
      </c>
      <c r="G3" s="8" t="str">
        <f>IFERROR(__xludf.DUMMYFUNCTION("""COMPUTED_VALUE"""),"Blahopřání")</f>
        <v>Blahopřání</v>
      </c>
      <c r="H3" s="8"/>
      <c r="I3" s="9" t="str">
        <f>IFERROR(__xludf.DUMMYFUNCTION("""COMPUTED_VALUE"""),"26. říjen 1948")</f>
        <v>26. říjen 1948</v>
      </c>
      <c r="J3" s="8"/>
      <c r="K3" s="8" t="str">
        <f>IFERROR(__xludf.DUMMYFUNCTION("""COMPUTED_VALUE"""),"Místní národní výbor. ")</f>
        <v>Místní národní výbor. </v>
      </c>
      <c r="L3" s="8" t="str">
        <f>IFERROR(__xludf.DUMMYFUNCTION("""COMPUTED_VALUE"""),"Národní muzeum, Archiv NM, Sbírka Muzea dělnického hnutí, sbírka Klement Gottwald - kult osobnosti.")</f>
        <v>Národní muzeum, Archiv NM, Sbírka Muzea dělnického hnutí, sbírka Klement Gottwald - kult osobnosti.</v>
      </c>
      <c r="M3" s="8"/>
      <c r="N3" s="8" t="str">
        <f>IFERROR(__xludf.DUMMYFUNCTION("""COMPUTED_VALUE"""),"HořiceMNV_zdr.jpg")</f>
        <v>HořiceMNV_zdr.jpg</v>
      </c>
      <c r="O3" s="8"/>
      <c r="P3" s="8" t="str">
        <f>IFERROR(__xludf.DUMMYFUNCTION("""COMPUTED_VALUE"""),"Obrazová dokumentace archiválie.")</f>
        <v>Obrazová dokumentace archiválie.</v>
      </c>
      <c r="Q3" s="8" t="str">
        <f>IFERROR(__xludf.DUMMYFUNCTION("""COMPUTED_VALUE"""),"Národní muzeum, Archiv NM, Sbírka Muzea dělnického hnutí, sbírka Klement Gottwald - kult osobnosti.")</f>
        <v>Národní muzeum, Archiv NM, Sbírka Muzea dělnického hnutí, sbírka Klement Gottwald - kult osobnosti.</v>
      </c>
      <c r="R3" s="8"/>
      <c r="S3" s="8"/>
      <c r="T3" s="8"/>
      <c r="U3" s="8"/>
      <c r="V3" s="8"/>
      <c r="W3" s="8"/>
      <c r="X3" s="8"/>
      <c r="Y3" s="8"/>
      <c r="Z3" s="8"/>
      <c r="AA3" s="8"/>
      <c r="AB3" s="8"/>
      <c r="AC3" s="8"/>
      <c r="AD3" s="8"/>
      <c r="AE3" s="8"/>
      <c r="AF3" s="8"/>
      <c r="AG3" s="8"/>
      <c r="AH3" s="8"/>
      <c r="AI3" s="8"/>
      <c r="AJ3" s="8"/>
      <c r="AK3" s="8"/>
      <c r="AL3" s="8"/>
      <c r="AM3" s="8"/>
      <c r="AN3" s="8"/>
      <c r="AO3" s="8"/>
    </row>
    <row r="4">
      <c r="A4" s="7">
        <f t="shared" si="1"/>
        <v>3</v>
      </c>
      <c r="B4" s="8" t="str">
        <f>IFERROR(__xludf.DUMMYFUNCTION("""COMPUTED_VALUE"""),"15.6357742")</f>
        <v>15.6357742</v>
      </c>
      <c r="C4" s="8" t="str">
        <f>IFERROR(__xludf.DUMMYFUNCTION("""COMPUTED_VALUE"""),"50.3687221")</f>
        <v>50.3687221</v>
      </c>
      <c r="D4" s="8" t="str">
        <f>IFERROR(__xludf.DUMMYFUNCTION("""COMPUTED_VALUE"""),"Hořice, zdravice Okresního národního výboru k výročí republiky")</f>
        <v>Hořice, zdravice Okresního národního výboru k výročí republiky</v>
      </c>
      <c r="E4" s="8" t="str">
        <f>IFERROR(__xludf.DUMMYFUNCTION("""COMPUTED_VALUE"""),"Zdravice k 30. výročí ČSR, připojeno hlášení o splnění plánu i protiplánu dvouletky, text barvitější než u obdobné zdravice MNV (solidárnost s pracujícími v továrnách). Tištěný diplom s grafickým motivem veduty města, městské pečeti a bohatého florálního "&amp;"ornamentu (sign. WR 1922), rkp, podpisy, 31 x 40 cm. Viz užití stejného předtištěného diplomu u zdravice ONV.")</f>
        <v>Zdravice k 30. výročí ČSR, připojeno hlášení o splnění plánu i protiplánu dvouletky, text barvitější než u obdobné zdravice MNV (solidárnost s pracujícími v továrnách). Tištěný diplom s grafickým motivem veduty města, městské pečeti a bohatého florálního ornamentu (sign. WR 1922), rkp, podpisy, 31 x 40 cm. Viz užití stejného předtištěného diplomu u zdravice ONV.</v>
      </c>
      <c r="F4" s="8" t="str">
        <f>IFERROR(__xludf.DUMMYFUNCTION("""COMPUTED_VALUE"""),"dokumenty")</f>
        <v>dokumenty</v>
      </c>
      <c r="G4" s="8" t="str">
        <f>IFERROR(__xludf.DUMMYFUNCTION("""COMPUTED_VALUE"""),"Blahopřání")</f>
        <v>Blahopřání</v>
      </c>
      <c r="H4" s="8"/>
      <c r="I4" s="9" t="str">
        <f>IFERROR(__xludf.DUMMYFUNCTION("""COMPUTED_VALUE"""),"25. říjen 1948")</f>
        <v>25. říjen 1948</v>
      </c>
      <c r="J4" s="8"/>
      <c r="K4" s="8" t="str">
        <f>IFERROR(__xludf.DUMMYFUNCTION("""COMPUTED_VALUE"""),"Okresní národní výbor.")</f>
        <v>Okresní národní výbor.</v>
      </c>
      <c r="L4" s="8" t="str">
        <f>IFERROR(__xludf.DUMMYFUNCTION("""COMPUTED_VALUE"""),"Národní muzeum, Archiv NM, Sbírka Muzea dělnického hnutí, sbírka Klement Gottwald - kult osobnosti.")</f>
        <v>Národní muzeum, Archiv NM, Sbírka Muzea dělnického hnutí, sbírka Klement Gottwald - kult osobnosti.</v>
      </c>
      <c r="M4" s="8"/>
      <c r="N4" s="8" t="str">
        <f>IFERROR(__xludf.DUMMYFUNCTION("""COMPUTED_VALUE"""),"HořiceONV_zdr.jpg")</f>
        <v>HořiceONV_zdr.jpg</v>
      </c>
      <c r="O4" s="8"/>
      <c r="P4" s="8" t="str">
        <f>IFERROR(__xludf.DUMMYFUNCTION("""COMPUTED_VALUE"""),"Obrazová dokumentace archiválie.")</f>
        <v>Obrazová dokumentace archiválie.</v>
      </c>
      <c r="Q4" s="8" t="str">
        <f>IFERROR(__xludf.DUMMYFUNCTION("""COMPUTED_VALUE"""),"Národní muzeum, Archiv NM, Sbírka Muzea dělnického hnutí, sbírka Klement Gottwald - kult osobnosti.")</f>
        <v>Národní muzeum, Archiv NM, Sbírka Muzea dělnického hnutí, sbírka Klement Gottwald - kult osobnosti.</v>
      </c>
      <c r="R4" s="8"/>
      <c r="S4" s="8"/>
      <c r="T4" s="8"/>
      <c r="U4" s="8"/>
      <c r="V4" s="8"/>
      <c r="W4" s="8"/>
      <c r="X4" s="8"/>
      <c r="Y4" s="8"/>
      <c r="Z4" s="8"/>
      <c r="AA4" s="8"/>
      <c r="AB4" s="8"/>
      <c r="AC4" s="8"/>
      <c r="AD4" s="8"/>
      <c r="AE4" s="8"/>
      <c r="AF4" s="8"/>
      <c r="AG4" s="8"/>
      <c r="AH4" s="8"/>
      <c r="AI4" s="8"/>
      <c r="AJ4" s="8"/>
      <c r="AK4" s="8"/>
      <c r="AL4" s="8"/>
      <c r="AM4" s="8"/>
      <c r="AN4" s="8"/>
      <c r="AO4" s="8"/>
    </row>
    <row r="5">
      <c r="A5" s="7">
        <f t="shared" si="1"/>
        <v>4</v>
      </c>
      <c r="B5" s="8" t="str">
        <f>IFERROR(__xludf.DUMMYFUNCTION("""COMPUTED_VALUE"""),"17.6542313")</f>
        <v>17.6542313</v>
      </c>
      <c r="C5" s="8" t="str">
        <f>IFERROR(__xludf.DUMMYFUNCTION("""COMPUTED_VALUE"""),"49.2328517")</f>
        <v>49.2328517</v>
      </c>
      <c r="D5" s="8" t="str">
        <f>IFERROR(__xludf.DUMMYFUNCTION("""COMPUTED_VALUE"""),"Zlín, blahopřání k narozeninám ")</f>
        <v>Zlín, blahopřání k narozeninám </v>
      </c>
      <c r="E5" s="8" t="str">
        <f>IFERROR(__xludf.DUMMYFUNCTION("""COMPUTED_VALUE"""),"Blahopřání k 50. narozeninám, připojen dar práce (2464 hodin při výstavbě mateřské školy). Rudé papírové desky se zlacenou hvězdou, srpem a kladivem, ruční papír, drobná ilustrace s motivem lipové ratolesti a čísla 50 tisk, archy s podpisy, 4 ll, 54 x 36 "&amp;"cm. KG oslavován nejen obecně jako vůdce/min. předseda, ale konkrétně jako předseda strany, tvůrce košického vládního programu a iniciátor dvouletky - tyto furmulace nebyly v podobných textech neobvyklé. Běžná je také užitá ikonografie. ")</f>
        <v>Blahopřání k 50. narozeninám, připojen dar práce (2464 hodin při výstavbě mateřské školy). Rudé papírové desky se zlacenou hvězdou, srpem a kladivem, ruční papír, drobná ilustrace s motivem lipové ratolesti a čísla 50 tisk, archy s podpisy, 4 ll, 54 x 36 cm. KG oslavován nejen obecně jako vůdce/min. předseda, ale konkrétně jako předseda strany, tvůrce košického vládního programu a iniciátor dvouletky - tyto furmulace nebyly v podobných textech neobvyklé. Běžná je také užitá ikonografie. </v>
      </c>
      <c r="F5" s="8" t="str">
        <f>IFERROR(__xludf.DUMMYFUNCTION("""COMPUTED_VALUE"""),"dokumenty")</f>
        <v>dokumenty</v>
      </c>
      <c r="G5" s="8" t="str">
        <f>IFERROR(__xludf.DUMMYFUNCTION("""COMPUTED_VALUE"""),"Blahopřání")</f>
        <v>Blahopřání</v>
      </c>
      <c r="H5" s="8"/>
      <c r="I5" s="9" t="str">
        <f>IFERROR(__xludf.DUMMYFUNCTION("""COMPUTED_VALUE"""),"23. listopad 1946")</f>
        <v>23. listopad 1946</v>
      </c>
      <c r="J5" s="8"/>
      <c r="K5" s="8" t="str">
        <f>IFERROR(__xludf.DUMMYFUNCTION("""COMPUTED_VALUE"""),"Místní organizace KSČ ve Zlínských Pasekách.")</f>
        <v>Místní organizace KSČ ve Zlínských Pasekách.</v>
      </c>
      <c r="L5" s="8" t="str">
        <f>IFERROR(__xludf.DUMMYFUNCTION("""COMPUTED_VALUE"""),"Národní muzeum, Archiv NM, Sbírka Muzea dělnického hnutí, sbírka Klement Gottwald - kult osobnosti.")</f>
        <v>Národní muzeum, Archiv NM, Sbírka Muzea dělnického hnutí, sbírka Klement Gottwald - kult osobnosti.</v>
      </c>
      <c r="M5" s="8"/>
      <c r="N5" s="8" t="str">
        <f>IFERROR(__xludf.DUMMYFUNCTION("""COMPUTED_VALUE"""),"Zlín_zdr01.jpg")</f>
        <v>Zlín_zdr01.jpg</v>
      </c>
      <c r="O5" s="8"/>
      <c r="P5" s="8" t="str">
        <f>IFERROR(__xludf.DUMMYFUNCTION("""COMPUTED_VALUE"""),"Obrazová dokumentace archiválie.")</f>
        <v>Obrazová dokumentace archiválie.</v>
      </c>
      <c r="Q5" s="8" t="str">
        <f>IFERROR(__xludf.DUMMYFUNCTION("""COMPUTED_VALUE"""),"Národní muzeum, Archiv NM, Sbírka Muzea dělnického hnutí, sbírka Klement Gottwald - kult osobnosti.")</f>
        <v>Národní muzeum, Archiv NM, Sbírka Muzea dělnického hnutí, sbírka Klement Gottwald - kult osobnosti.</v>
      </c>
      <c r="R5" s="8"/>
      <c r="S5" s="8"/>
      <c r="T5" s="8"/>
      <c r="U5" s="8"/>
      <c r="V5" s="8"/>
      <c r="W5" s="8"/>
      <c r="X5" s="8"/>
      <c r="Y5" s="8"/>
      <c r="Z5" s="8"/>
      <c r="AA5" s="8"/>
      <c r="AB5" s="8"/>
      <c r="AC5" s="8"/>
      <c r="AD5" s="8"/>
      <c r="AE5" s="8"/>
      <c r="AF5" s="8"/>
      <c r="AG5" s="8"/>
      <c r="AH5" s="8"/>
      <c r="AI5" s="8"/>
      <c r="AJ5" s="8"/>
      <c r="AK5" s="8"/>
      <c r="AL5" s="8"/>
      <c r="AM5" s="8"/>
      <c r="AN5" s="8"/>
      <c r="AO5" s="8"/>
    </row>
    <row r="6">
      <c r="A6" s="7">
        <f t="shared" si="1"/>
        <v>5</v>
      </c>
      <c r="B6" s="8" t="str">
        <f>IFERROR(__xludf.DUMMYFUNCTION("""COMPUTED_VALUE"""),"14.8988102")</f>
        <v>14.8988102</v>
      </c>
      <c r="C6" s="8" t="str">
        <f>IFERROR(__xludf.DUMMYFUNCTION("""COMPUTED_VALUE"""),"49.7063276")</f>
        <v>49.7063276</v>
      </c>
      <c r="D6" s="8" t="str">
        <f>IFERROR(__xludf.DUMMYFUNCTION("""COMPUTED_VALUE"""),"Vlašim, zdravice továrny Baťa k výročí republiky")</f>
        <v>Vlašim, zdravice továrny Baťa k výročí republiky</v>
      </c>
      <c r="E6" s="8" t="str">
        <f>IFERROR(__xludf.DUMMYFUNCTION("""COMPUTED_VALUE"""),"Zdravice k 30. výročí ČSR. Šedé papírové desky, uvnitř kolorovaný diplom, vícebarevná textilní šňůra, akvarelová ilustrace s motivem boty a iniciála s městským motivem, rkp, podpisy, razítka, A3 (přeložené).")</f>
        <v>Zdravice k 30. výročí ČSR. Šedé papírové desky, uvnitř kolorovaný diplom, vícebarevná textilní šňůra, akvarelová ilustrace s motivem boty a iniciála s městským motivem, rkp, podpisy, razítka, A3 (přeložené).</v>
      </c>
      <c r="F6" s="8" t="str">
        <f>IFERROR(__xludf.DUMMYFUNCTION("""COMPUTED_VALUE"""),"dokumenty")</f>
        <v>dokumenty</v>
      </c>
      <c r="G6" s="8" t="str">
        <f>IFERROR(__xludf.DUMMYFUNCTION("""COMPUTED_VALUE"""),"Blahopřání")</f>
        <v>Blahopřání</v>
      </c>
      <c r="H6" s="8"/>
      <c r="I6" s="9" t="str">
        <f>IFERROR(__xludf.DUMMYFUNCTION("""COMPUTED_VALUE"""),"28. říjen 1948")</f>
        <v>28. říjen 1948</v>
      </c>
      <c r="J6" s="8"/>
      <c r="K6" s="8" t="str">
        <f>IFERROR(__xludf.DUMMYFUNCTION("""COMPUTED_VALUE"""),"Baťa, národní podnik.")</f>
        <v>Baťa, národní podnik.</v>
      </c>
      <c r="L6" s="8" t="str">
        <f>IFERROR(__xludf.DUMMYFUNCTION("""COMPUTED_VALUE"""),"Národní muzeum, Archiv NM, Sbírka Muzea dělnického hnutí, sbírka Klement Gottwald - kult osobnosti.")</f>
        <v>Národní muzeum, Archiv NM, Sbírka Muzea dělnického hnutí, sbírka Klement Gottwald - kult osobnosti.</v>
      </c>
      <c r="M6" s="8"/>
      <c r="N6" s="8" t="str">
        <f>IFERROR(__xludf.DUMMYFUNCTION("""COMPUTED_VALUE"""),"VlašimBaťa_zdr01.jpg")</f>
        <v>VlašimBaťa_zdr01.jpg</v>
      </c>
      <c r="O6" s="8"/>
      <c r="P6" s="8" t="str">
        <f>IFERROR(__xludf.DUMMYFUNCTION("""COMPUTED_VALUE"""),"Obrazová dokumentace archiválie.")</f>
        <v>Obrazová dokumentace archiválie.</v>
      </c>
      <c r="Q6" s="8" t="str">
        <f>IFERROR(__xludf.DUMMYFUNCTION("""COMPUTED_VALUE"""),"Národní muzeum, Archiv NM, Sbírka Muzea dělnického hnutí, sbírka Klement Gottwald - kult osobnosti.")</f>
        <v>Národní muzeum, Archiv NM, Sbírka Muzea dělnického hnutí, sbírka Klement Gottwald - kult osobnosti.</v>
      </c>
      <c r="R6" s="8" t="str">
        <f>IFERROR(__xludf.DUMMYFUNCTION("""COMPUTED_VALUE"""),"VlašimBaťa_zdr02.jpg")</f>
        <v>VlašimBaťa_zdr02.jpg</v>
      </c>
      <c r="S6" s="8"/>
      <c r="T6" s="8" t="str">
        <f>IFERROR(__xludf.DUMMYFUNCTION("""COMPUTED_VALUE"""),"Obrazová dokumentace archiválie.")</f>
        <v>Obrazová dokumentace archiválie.</v>
      </c>
      <c r="U6" s="8" t="str">
        <f>IFERROR(__xludf.DUMMYFUNCTION("""COMPUTED_VALUE"""),"Národní muzeum, Archiv NM, Sbírka Muzea dělnického hnutí, sbírka Klement Gottwald - kult osobnosti.")</f>
        <v>Národní muzeum, Archiv NM, Sbírka Muzea dělnického hnutí, sbírka Klement Gottwald - kult osobnosti.</v>
      </c>
      <c r="V6" s="8" t="str">
        <f>IFERROR(__xludf.DUMMYFUNCTION("""COMPUTED_VALUE"""),"VlašimBaťa_zdr03.jpg")</f>
        <v>VlašimBaťa_zdr03.jpg</v>
      </c>
      <c r="W6" s="8"/>
      <c r="X6" s="8" t="str">
        <f>IFERROR(__xludf.DUMMYFUNCTION("""COMPUTED_VALUE"""),"Obrazová dokumentace archiválie.")</f>
        <v>Obrazová dokumentace archiválie.</v>
      </c>
      <c r="Y6" s="8" t="str">
        <f>IFERROR(__xludf.DUMMYFUNCTION("""COMPUTED_VALUE"""),"Národní muzeum, Archiv NM, Sbírka Muzea dělnického hnutí, sbírka Klement Gottwald - kult osobnosti.")</f>
        <v>Národní muzeum, Archiv NM, Sbírka Muzea dělnického hnutí, sbírka Klement Gottwald - kult osobnosti.</v>
      </c>
      <c r="Z6" s="8"/>
      <c r="AA6" s="8"/>
      <c r="AB6" s="8"/>
      <c r="AC6" s="8"/>
      <c r="AD6" s="8"/>
      <c r="AE6" s="8"/>
      <c r="AF6" s="8"/>
      <c r="AG6" s="8"/>
      <c r="AH6" s="8"/>
      <c r="AI6" s="8"/>
      <c r="AJ6" s="8"/>
      <c r="AK6" s="8"/>
      <c r="AL6" s="8"/>
      <c r="AM6" s="8"/>
      <c r="AN6" s="8"/>
      <c r="AO6" s="8"/>
    </row>
    <row r="7">
      <c r="A7" s="7">
        <f t="shared" si="1"/>
        <v>6</v>
      </c>
      <c r="B7" s="8" t="str">
        <f>IFERROR(__xludf.DUMMYFUNCTION("""COMPUTED_VALUE"""),"14.8981236")</f>
        <v>14.8981236</v>
      </c>
      <c r="C7" s="8" t="str">
        <f>IFERROR(__xludf.DUMMYFUNCTION("""COMPUTED_VALUE"""),"49.7054395")</f>
        <v>49.7054395</v>
      </c>
      <c r="D7" s="8" t="str">
        <f>IFERROR(__xludf.DUMMYFUNCTION("""COMPUTED_VALUE"""),"Vlašim, zdravice Okresní spořitelny k výročí republiky")</f>
        <v>Vlašim, zdravice Okresní spořitelny k výročí republiky</v>
      </c>
      <c r="E7" s="8" t="str">
        <f>IFERROR(__xludf.DUMMYFUNCTION("""COMPUTED_VALUE"""),"Zdravice k 30. výročí ČSR, text hlásící se k lidově-demokratickému programu. Červené textilní desky, ruční papír, kolorovaná ilustrace na titulu - motiv lipové větve, včelího úlu a krajiny, rkp, podpisy razítko, 32 x 22 cm.")</f>
        <v>Zdravice k 30. výročí ČSR, text hlásící se k lidově-demokratickému programu. Červené textilní desky, ruční papír, kolorovaná ilustrace na titulu - motiv lipové větve, včelího úlu a krajiny, rkp, podpisy razítko, 32 x 22 cm.</v>
      </c>
      <c r="F7" s="8" t="str">
        <f>IFERROR(__xludf.DUMMYFUNCTION("""COMPUTED_VALUE"""),"dokumenty")</f>
        <v>dokumenty</v>
      </c>
      <c r="G7" s="8" t="str">
        <f>IFERROR(__xludf.DUMMYFUNCTION("""COMPUTED_VALUE"""),"Blahopřání")</f>
        <v>Blahopřání</v>
      </c>
      <c r="H7" s="8"/>
      <c r="I7" s="9" t="str">
        <f>IFERROR(__xludf.DUMMYFUNCTION("""COMPUTED_VALUE"""),"28. říjen 1948")</f>
        <v>28. říjen 1948</v>
      </c>
      <c r="J7" s="8"/>
      <c r="K7" s="8" t="str">
        <f>IFERROR(__xludf.DUMMYFUNCTION("""COMPUTED_VALUE"""),"Okresní spořitelna a záložna.")</f>
        <v>Okresní spořitelna a záložna.</v>
      </c>
      <c r="L7" s="8" t="str">
        <f>IFERROR(__xludf.DUMMYFUNCTION("""COMPUTED_VALUE"""),"Národní muzeum, Archiv NM, Sbírka Muzea dělnického hnutí, sbírka Klement Gottwald - kult osobnosti.")</f>
        <v>Národní muzeum, Archiv NM, Sbírka Muzea dělnického hnutí, sbírka Klement Gottwald - kult osobnosti.</v>
      </c>
      <c r="M7" s="8"/>
      <c r="N7" s="8" t="str">
        <f>IFERROR(__xludf.DUMMYFUNCTION("""COMPUTED_VALUE"""),"Vlašim_zdr01.jpg")</f>
        <v>Vlašim_zdr01.jpg</v>
      </c>
      <c r="O7" s="8"/>
      <c r="P7" s="8" t="str">
        <f>IFERROR(__xludf.DUMMYFUNCTION("""COMPUTED_VALUE"""),"Obrazová dokumentace archiválie.")</f>
        <v>Obrazová dokumentace archiválie.</v>
      </c>
      <c r="Q7" s="8" t="str">
        <f>IFERROR(__xludf.DUMMYFUNCTION("""COMPUTED_VALUE"""),"Národní muzeum, Archiv NM, Sbírka Muzea dělnického hnutí, sbírka Klement Gottwald - kult osobnosti.")</f>
        <v>Národní muzeum, Archiv NM, Sbírka Muzea dělnického hnutí, sbírka Klement Gottwald - kult osobnosti.</v>
      </c>
      <c r="R7" s="8" t="str">
        <f>IFERROR(__xludf.DUMMYFUNCTION("""COMPUTED_VALUE"""),"Vlašim_zdr02.jpg")</f>
        <v>Vlašim_zdr02.jpg</v>
      </c>
      <c r="S7" s="8"/>
      <c r="T7" s="8" t="str">
        <f>IFERROR(__xludf.DUMMYFUNCTION("""COMPUTED_VALUE"""),"Obrazová dokumentace archiválie.")</f>
        <v>Obrazová dokumentace archiválie.</v>
      </c>
      <c r="U7" s="8" t="str">
        <f>IFERROR(__xludf.DUMMYFUNCTION("""COMPUTED_VALUE"""),"Národní muzeum, Archiv NM, Sbírka Muzea dělnického hnutí, sbírka Klement Gottwald - kult osobnosti.")</f>
        <v>Národní muzeum, Archiv NM, Sbírka Muzea dělnického hnutí, sbírka Klement Gottwald - kult osobnosti.</v>
      </c>
      <c r="V7" s="8"/>
      <c r="W7" s="8"/>
      <c r="X7" s="8"/>
      <c r="Y7" s="8"/>
      <c r="Z7" s="8"/>
      <c r="AA7" s="8"/>
      <c r="AB7" s="8"/>
      <c r="AC7" s="8"/>
      <c r="AD7" s="8"/>
      <c r="AE7" s="8"/>
      <c r="AF7" s="8"/>
      <c r="AG7" s="8"/>
      <c r="AH7" s="8"/>
      <c r="AI7" s="8"/>
      <c r="AJ7" s="8"/>
      <c r="AK7" s="8"/>
      <c r="AL7" s="8"/>
      <c r="AM7" s="8"/>
      <c r="AN7" s="8"/>
      <c r="AO7" s="8"/>
    </row>
    <row r="8">
      <c r="A8" s="7">
        <f t="shared" si="1"/>
        <v>7</v>
      </c>
      <c r="B8" s="8" t="str">
        <f>IFERROR(__xludf.DUMMYFUNCTION("""COMPUTED_VALUE"""),"17.108269")</f>
        <v>17.108269</v>
      </c>
      <c r="C8" s="8" t="str">
        <f>IFERROR(__xludf.DUMMYFUNCTION("""COMPUTED_VALUE"""),"48.1323439")</f>
        <v>48.1323439</v>
      </c>
      <c r="D8" s="8" t="str">
        <f>IFERROR(__xludf.DUMMYFUNCTION("""COMPUTED_VALUE"""),"Bratislava, blahopřání k narozeninám")</f>
        <v>Bratislava, blahopřání k narozeninám</v>
      </c>
      <c r="E8" s="8" t="str">
        <f>IFERROR(__xludf.DUMMYFUNCTION("""COMPUTED_VALUE"""),"Blahopřání k 55. narozeninám, připojena brožura o ženách pracujících v Hutním kombinátu v Košicích. Kožená přírodní krabice s vytlačovanou iniciálou a motivem továrny, vložen průvodní dopis s podpisy předsedky a tajemnice a vlastní brožura, 29 ll, 29 x 21"&amp;" cm.")</f>
        <v>Blahopřání k 55. narozeninám, připojena brožura o ženách pracujících v Hutním kombinátu v Košicích. Kožená přírodní krabice s vytlačovanou iniciálou a motivem továrny, vložen průvodní dopis s podpisy předsedky a tajemnice a vlastní brožura, 29 ll, 29 x 21 cm.</v>
      </c>
      <c r="F8" s="8" t="str">
        <f>IFERROR(__xludf.DUMMYFUNCTION("""COMPUTED_VALUE"""),"dokumenty")</f>
        <v>dokumenty</v>
      </c>
      <c r="G8" s="8" t="str">
        <f>IFERROR(__xludf.DUMMYFUNCTION("""COMPUTED_VALUE"""),"Blahopřání")</f>
        <v>Blahopřání</v>
      </c>
      <c r="H8" s="8"/>
      <c r="I8" s="9" t="str">
        <f>IFERROR(__xludf.DUMMYFUNCTION("""COMPUTED_VALUE"""),"22. listopad 1946")</f>
        <v>22. listopad 1946</v>
      </c>
      <c r="J8" s="8"/>
      <c r="K8" s="8" t="str">
        <f>IFERROR(__xludf.DUMMYFUNCTION("""COMPUTED_VALUE"""),"Živena - Čs. svaz žen.")</f>
        <v>Živena - Čs. svaz žen.</v>
      </c>
      <c r="L8" s="8" t="str">
        <f>IFERROR(__xludf.DUMMYFUNCTION("""COMPUTED_VALUE"""),"Národní muzeum, Archiv NM, Sbírka Muzea dělnického hnutí, sbírka Klement Gottwald - kult osobnosti.")</f>
        <v>Národní muzeum, Archiv NM, Sbírka Muzea dělnického hnutí, sbírka Klement Gottwald - kult osobnosti.</v>
      </c>
      <c r="M8" s="8"/>
      <c r="N8" s="8" t="str">
        <f>IFERROR(__xludf.DUMMYFUNCTION("""COMPUTED_VALUE"""),"Bratislava_zdr01.jpg")</f>
        <v>Bratislava_zdr01.jpg</v>
      </c>
      <c r="O8" s="8"/>
      <c r="P8" s="8" t="str">
        <f>IFERROR(__xludf.DUMMYFUNCTION("""COMPUTED_VALUE"""),"Obrazová dokumentace archiválie.")</f>
        <v>Obrazová dokumentace archiválie.</v>
      </c>
      <c r="Q8" s="8" t="str">
        <f>IFERROR(__xludf.DUMMYFUNCTION("""COMPUTED_VALUE"""),"Národní muzeum, Archiv NM, Sbírka Muzea dělnického hnutí, sbírka Klement Gottwald - kult osobnosti.")</f>
        <v>Národní muzeum, Archiv NM, Sbírka Muzea dělnického hnutí, sbírka Klement Gottwald - kult osobnosti.</v>
      </c>
      <c r="R8" s="8" t="str">
        <f>IFERROR(__xludf.DUMMYFUNCTION("""COMPUTED_VALUE"""),"Bratislava_zdr02.jpg")</f>
        <v>Bratislava_zdr02.jpg</v>
      </c>
      <c r="S8" s="8"/>
      <c r="T8" s="8" t="str">
        <f>IFERROR(__xludf.DUMMYFUNCTION("""COMPUTED_VALUE"""),"Obrazová dokumentace archiválie.")</f>
        <v>Obrazová dokumentace archiválie.</v>
      </c>
      <c r="U8" s="8" t="str">
        <f>IFERROR(__xludf.DUMMYFUNCTION("""COMPUTED_VALUE"""),"Národní muzeum, Archiv NM, Sbírka Muzea dělnického hnutí, sbírka Klement Gottwald - kult osobnosti.")</f>
        <v>Národní muzeum, Archiv NM, Sbírka Muzea dělnického hnutí, sbírka Klement Gottwald - kult osobnosti.</v>
      </c>
      <c r="V8" s="8" t="str">
        <f>IFERROR(__xludf.DUMMYFUNCTION("""COMPUTED_VALUE"""),"Bratislava_zdr03.jpg")</f>
        <v>Bratislava_zdr03.jpg</v>
      </c>
      <c r="W8" s="8"/>
      <c r="X8" s="8" t="str">
        <f>IFERROR(__xludf.DUMMYFUNCTION("""COMPUTED_VALUE"""),"Obrazová dokumentace archiválie.")</f>
        <v>Obrazová dokumentace archiválie.</v>
      </c>
      <c r="Y8" s="8" t="str">
        <f>IFERROR(__xludf.DUMMYFUNCTION("""COMPUTED_VALUE"""),"Národní muzeum, Archiv NM, Sbírka Muzea dělnického hnutí, sbírka Klement Gottwald - kult osobnosti.")</f>
        <v>Národní muzeum, Archiv NM, Sbírka Muzea dělnického hnutí, sbírka Klement Gottwald - kult osobnosti.</v>
      </c>
      <c r="Z8" s="8" t="str">
        <f>IFERROR(__xludf.DUMMYFUNCTION("""COMPUTED_VALUE"""),"Bratislava_zdr04.jpg")</f>
        <v>Bratislava_zdr04.jpg</v>
      </c>
      <c r="AA8" s="8"/>
      <c r="AB8" s="8" t="str">
        <f>IFERROR(__xludf.DUMMYFUNCTION("""COMPUTED_VALUE"""),"Obrazová dokumentace archiválie.")</f>
        <v>Obrazová dokumentace archiválie.</v>
      </c>
      <c r="AC8" s="8" t="str">
        <f>IFERROR(__xludf.DUMMYFUNCTION("""COMPUTED_VALUE"""),"Národní muzeum, Archiv NM, Sbírka Muzea dělnického hnutí, sbírka Klement Gottwald - kult osobnosti.")</f>
        <v>Národní muzeum, Archiv NM, Sbírka Muzea dělnického hnutí, sbírka Klement Gottwald - kult osobnosti.</v>
      </c>
      <c r="AD8" s="8" t="str">
        <f>IFERROR(__xludf.DUMMYFUNCTION("""COMPUTED_VALUE"""),"Bratislava_zdr05.jpg")</f>
        <v>Bratislava_zdr05.jpg</v>
      </c>
      <c r="AE8" s="8"/>
      <c r="AF8" s="8" t="str">
        <f>IFERROR(__xludf.DUMMYFUNCTION("""COMPUTED_VALUE"""),"Obrazová dokumentace archiválie.")</f>
        <v>Obrazová dokumentace archiválie.</v>
      </c>
      <c r="AG8" s="8" t="str">
        <f>IFERROR(__xludf.DUMMYFUNCTION("""COMPUTED_VALUE"""),"Národní muzeum, Archiv NM, Sbírka Muzea dělnického hnutí, sbírka Klement Gottwald - kult osobnosti.")</f>
        <v>Národní muzeum, Archiv NM, Sbírka Muzea dělnického hnutí, sbírka Klement Gottwald - kult osobnosti.</v>
      </c>
      <c r="AH8" s="8"/>
      <c r="AI8" s="8"/>
      <c r="AJ8" s="8"/>
      <c r="AK8" s="8"/>
      <c r="AL8" s="8"/>
      <c r="AM8" s="8"/>
      <c r="AN8" s="8"/>
      <c r="AO8" s="8"/>
    </row>
    <row r="9">
      <c r="A9" s="7">
        <f t="shared" si="1"/>
        <v>8</v>
      </c>
      <c r="B9" s="8" t="str">
        <f>IFERROR(__xludf.DUMMYFUNCTION("""COMPUTED_VALUE"""),"17.6498377")</f>
        <v>17.6498377</v>
      </c>
      <c r="C9" s="8" t="str">
        <f>IFERROR(__xludf.DUMMYFUNCTION("""COMPUTED_VALUE"""),"49.0302725")</f>
        <v>49.0302725</v>
      </c>
      <c r="D9" s="8" t="str">
        <f>IFERROR(__xludf.DUMMYFUNCTION("""COMPUTED_VALUE"""),"Uherský Brod, blahopřání k narozeninám")</f>
        <v>Uherský Brod, blahopřání k narozeninám</v>
      </c>
      <c r="E9" s="8" t="str">
        <f>IFERROR(__xludf.DUMMYFUNCTION("""COMPUTED_VALUE"""),"Blahopřání k 50. narozeninám. Kolorovaný diplom, ilustrace s motivy karikaturního portrétu KG ve vavřínovém věnci, číslice 50, personifikace dvouletky - dítě v kolébce a folklórní ornament. rám, 34 x 23 cm.")</f>
        <v>Blahopřání k 50. narozeninám. Kolorovaný diplom, ilustrace s motivy karikaturního portrétu KG ve vavřínovém věnci, číslice 50, personifikace dvouletky - dítě v kolébce a folklórní ornament. rám, 34 x 23 cm.</v>
      </c>
      <c r="F9" s="8" t="str">
        <f>IFERROR(__xludf.DUMMYFUNCTION("""COMPUTED_VALUE"""),"dokumenty")</f>
        <v>dokumenty</v>
      </c>
      <c r="G9" s="8" t="str">
        <f>IFERROR(__xludf.DUMMYFUNCTION("""COMPUTED_VALUE"""),"Blahopřání")</f>
        <v>Blahopřání</v>
      </c>
      <c r="H9" s="8"/>
      <c r="I9" s="9" t="str">
        <f>IFERROR(__xludf.DUMMYFUNCTION("""COMPUTED_VALUE"""),"13. listopad 1951")</f>
        <v>13. listopad 1951</v>
      </c>
      <c r="J9" s="8"/>
      <c r="K9" s="8" t="str">
        <f>IFERROR(__xludf.DUMMYFUNCTION("""COMPUTED_VALUE"""),"Svaz česká mládeže při n.p. Česká zbrojovka Strakonice.")</f>
        <v>Svaz česká mládeže při n.p. Česká zbrojovka Strakonice.</v>
      </c>
      <c r="L9" s="8" t="str">
        <f>IFERROR(__xludf.DUMMYFUNCTION("""COMPUTED_VALUE"""),"Národní muzeum, Archiv NM, Sbírka Muzea dělnického hnutí, sbírka Klement Gottwald - kult osobnosti.")</f>
        <v>Národní muzeum, Archiv NM, Sbírka Muzea dělnického hnutí, sbírka Klement Gottwald - kult osobnosti.</v>
      </c>
      <c r="M9" s="8"/>
      <c r="N9" s="8" t="str">
        <f>IFERROR(__xludf.DUMMYFUNCTION("""COMPUTED_VALUE"""),"Uherský Brod_zdr.jpg")</f>
        <v>Uherský Brod_zdr.jpg</v>
      </c>
      <c r="O9" s="8"/>
      <c r="P9" s="8" t="str">
        <f>IFERROR(__xludf.DUMMYFUNCTION("""COMPUTED_VALUE"""),"Obrazová dokumentace archiválie.")</f>
        <v>Obrazová dokumentace archiválie.</v>
      </c>
      <c r="Q9" s="8" t="str">
        <f>IFERROR(__xludf.DUMMYFUNCTION("""COMPUTED_VALUE"""),"Národní muzeum, Archiv NM, Sbírka Muzea dělnického hnutí, sbírka Klement Gottwald - kult osobnosti.")</f>
        <v>Národní muzeum, Archiv NM, Sbírka Muzea dělnického hnutí, sbírka Klement Gottwald - kult osobnosti.</v>
      </c>
      <c r="R9" s="8"/>
      <c r="S9" s="8"/>
      <c r="T9" s="8"/>
      <c r="U9" s="8"/>
      <c r="V9" s="8"/>
      <c r="W9" s="8"/>
      <c r="X9" s="8"/>
      <c r="Y9" s="8"/>
      <c r="Z9" s="8"/>
      <c r="AA9" s="8"/>
      <c r="AB9" s="8"/>
      <c r="AC9" s="8"/>
      <c r="AD9" s="8"/>
      <c r="AE9" s="8"/>
      <c r="AF9" s="8"/>
      <c r="AG9" s="8"/>
      <c r="AH9" s="8"/>
      <c r="AI9" s="8"/>
      <c r="AJ9" s="8"/>
      <c r="AK9" s="8"/>
      <c r="AL9" s="8"/>
      <c r="AM9" s="8"/>
      <c r="AN9" s="8"/>
      <c r="AO9" s="8"/>
    </row>
    <row r="10">
      <c r="A10" s="7">
        <f t="shared" si="1"/>
        <v>9</v>
      </c>
      <c r="B10" s="8" t="str">
        <f>IFERROR(__xludf.DUMMYFUNCTION("""COMPUTED_VALUE"""),"14.5396991")</f>
        <v>14.5396991</v>
      </c>
      <c r="C10" s="8" t="str">
        <f>IFERROR(__xludf.DUMMYFUNCTION("""COMPUTED_VALUE"""),"50.6785201")</f>
        <v>50.6785201</v>
      </c>
      <c r="D10" s="8" t="str">
        <f>IFERROR(__xludf.DUMMYFUNCTION("""COMPUTED_VALUE"""),"Česká Lípa, zdravice k výročí bolševické revoluce")</f>
        <v>Česká Lípa, zdravice k výročí bolševické revoluce</v>
      </c>
      <c r="E10" s="8" t="str">
        <f>IFERROR(__xludf.DUMMYFUNCTION("""COMPUTED_VALUE"""),"Zdravice k 31. výročí bolševické revoluce v Rusku s heslem ""bez 17. listopadu by nebylo 28. října"". Toto heslo se objevovalo na přáních k 30. výročí samostatné ČSR, zde však vysloveně zmíněno pouze výročí 31 let práce sovětského lidu. Modré papírovo-tex"&amp;"tilní desky, vloženy listy s akvarelovými ilustracemi na motivy československo-sovětského přátelství, trikolorová stuha, rkp, podpisy, razítka, 33 x 23 cm.")</f>
        <v>Zdravice k 31. výročí bolševické revoluce v Rusku s heslem "bez 17. listopadu by nebylo 28. října". Toto heslo se objevovalo na přáních k 30. výročí samostatné ČSR, zde však vysloveně zmíněno pouze výročí 31 let práce sovětského lidu. Modré papírovo-textilní desky, vloženy listy s akvarelovými ilustracemi na motivy československo-sovětského přátelství, trikolorová stuha, rkp, podpisy, razítka, 33 x 23 cm.</v>
      </c>
      <c r="F10" s="8" t="str">
        <f>IFERROR(__xludf.DUMMYFUNCTION("""COMPUTED_VALUE"""),"dokumenty")</f>
        <v>dokumenty</v>
      </c>
      <c r="G10" s="8" t="str">
        <f>IFERROR(__xludf.DUMMYFUNCTION("""COMPUTED_VALUE"""),"Blahopřání")</f>
        <v>Blahopřání</v>
      </c>
      <c r="H10" s="8"/>
      <c r="I10" s="9" t="str">
        <f>IFERROR(__xludf.DUMMYFUNCTION("""COMPUTED_VALUE"""),"listopad 1946")</f>
        <v>listopad 1946</v>
      </c>
      <c r="J10" s="8"/>
      <c r="K10" s="8" t="str">
        <f>IFERROR(__xludf.DUMMYFUNCTION("""COMPUTED_VALUE"""),"Okresní národní výbor.")</f>
        <v>Okresní národní výbor.</v>
      </c>
      <c r="L10" s="8" t="str">
        <f>IFERROR(__xludf.DUMMYFUNCTION("""COMPUTED_VALUE"""),"Národní muzeum, Archiv NM, Sbírka Muzea dělnického hnutí, sbírka Klement Gottwald - kult osobnosti.")</f>
        <v>Národní muzeum, Archiv NM, Sbírka Muzea dělnického hnutí, sbírka Klement Gottwald - kult osobnosti.</v>
      </c>
      <c r="M10" s="8"/>
      <c r="N10" s="8" t="str">
        <f>IFERROR(__xludf.DUMMYFUNCTION("""COMPUTED_VALUE"""),"Česká Lípa_zdr01.jpg")</f>
        <v>Česká Lípa_zdr01.jpg</v>
      </c>
      <c r="O10" s="8"/>
      <c r="P10" s="8" t="str">
        <f>IFERROR(__xludf.DUMMYFUNCTION("""COMPUTED_VALUE"""),"Obrazová dokumentace archiválie.")</f>
        <v>Obrazová dokumentace archiválie.</v>
      </c>
      <c r="Q10" s="8" t="str">
        <f>IFERROR(__xludf.DUMMYFUNCTION("""COMPUTED_VALUE"""),"Národní muzeum, Archiv NM, Sbírka Muzea dělnického hnutí, sbírka Klement Gottwald - kult osobnosti.")</f>
        <v>Národní muzeum, Archiv NM, Sbírka Muzea dělnického hnutí, sbírka Klement Gottwald - kult osobnosti.</v>
      </c>
      <c r="R10" s="8" t="str">
        <f>IFERROR(__xludf.DUMMYFUNCTION("""COMPUTED_VALUE"""),"Česká Lípa_zdr02.jpg")</f>
        <v>Česká Lípa_zdr02.jpg</v>
      </c>
      <c r="S10" s="8"/>
      <c r="T10" s="8" t="str">
        <f>IFERROR(__xludf.DUMMYFUNCTION("""COMPUTED_VALUE"""),"Obrazová dokumentace archiválie.")</f>
        <v>Obrazová dokumentace archiválie.</v>
      </c>
      <c r="U10" s="8" t="str">
        <f>IFERROR(__xludf.DUMMYFUNCTION("""COMPUTED_VALUE"""),"Národní muzeum, Archiv NM, Sbírka Muzea dělnického hnutí, sbírka Klement Gottwald - kult osobnosti.")</f>
        <v>Národní muzeum, Archiv NM, Sbírka Muzea dělnického hnutí, sbírka Klement Gottwald - kult osobnosti.</v>
      </c>
      <c r="V10" s="8" t="str">
        <f>IFERROR(__xludf.DUMMYFUNCTION("""COMPUTED_VALUE"""),"Česká Lípa_zdr03.jpg")</f>
        <v>Česká Lípa_zdr03.jpg</v>
      </c>
      <c r="W10" s="8"/>
      <c r="X10" s="8" t="str">
        <f>IFERROR(__xludf.DUMMYFUNCTION("""COMPUTED_VALUE"""),"Obrazová dokumentace archiválie.")</f>
        <v>Obrazová dokumentace archiválie.</v>
      </c>
      <c r="Y10" s="8" t="str">
        <f>IFERROR(__xludf.DUMMYFUNCTION("""COMPUTED_VALUE"""),"Národní muzeum, Archiv NM, Sbírka Muzea dělnického hnutí, sbírka Klement Gottwald - kult osobnosti.")</f>
        <v>Národní muzeum, Archiv NM, Sbírka Muzea dělnického hnutí, sbírka Klement Gottwald - kult osobnosti.</v>
      </c>
      <c r="Z10" s="8"/>
      <c r="AA10" s="8"/>
      <c r="AB10" s="8"/>
      <c r="AC10" s="8"/>
      <c r="AD10" s="8"/>
      <c r="AE10" s="8"/>
      <c r="AF10" s="8"/>
      <c r="AG10" s="8"/>
      <c r="AH10" s="8"/>
      <c r="AI10" s="8"/>
      <c r="AJ10" s="8"/>
      <c r="AK10" s="8"/>
      <c r="AL10" s="8"/>
      <c r="AM10" s="8"/>
      <c r="AN10" s="8"/>
      <c r="AO10" s="8"/>
    </row>
    <row r="11">
      <c r="A11" s="7">
        <f t="shared" si="1"/>
        <v>10</v>
      </c>
      <c r="B11" s="8" t="str">
        <f>IFERROR(__xludf.DUMMYFUNCTION("""COMPUTED_VALUE"""),"19.28206")</f>
        <v>19.28206</v>
      </c>
      <c r="C11" s="8" t="str">
        <f>IFERROR(__xludf.DUMMYFUNCTION("""COMPUTED_VALUE"""),"49.08622")</f>
        <v>49.08622</v>
      </c>
      <c r="D11" s="8" t="str">
        <f>IFERROR(__xludf.DUMMYFUNCTION("""COMPUTED_VALUE"""),"Rybárpole, zdravice k výročí republiky")</f>
        <v>Rybárpole, zdravice k výročí republiky</v>
      </c>
      <c r="E11" s="8" t="str">
        <f>IFERROR(__xludf.DUMMYFUNCTION("""COMPUTED_VALUE"""),"Zdravice k 30. výročí ČSR a dar splnění dvouletky. Tištěný diplom, barevná tištěná ilustrace - florální motivy, znak podniku, strany a odborového hnutí., podpisy - rkp, stopy po kroužkové vazbě - zařazení mezi podobné materiály, 42 x 27 cm.")</f>
        <v>Zdravice k 30. výročí ČSR a dar splnění dvouletky. Tištěný diplom, barevná tištěná ilustrace - florální motivy, znak podniku, strany a odborového hnutí., podpisy - rkp, stopy po kroužkové vazbě - zařazení mezi podobné materiály, 42 x 27 cm.</v>
      </c>
      <c r="F11" s="8" t="str">
        <f>IFERROR(__xludf.DUMMYFUNCTION("""COMPUTED_VALUE"""),"dokumenty")</f>
        <v>dokumenty</v>
      </c>
      <c r="G11" s="8" t="str">
        <f>IFERROR(__xludf.DUMMYFUNCTION("""COMPUTED_VALUE"""),"Blahopřání")</f>
        <v>Blahopřání</v>
      </c>
      <c r="H11" s="8"/>
      <c r="I11" s="9" t="str">
        <f>IFERROR(__xludf.DUMMYFUNCTION("""COMPUTED_VALUE"""),"28. říjen 1948")</f>
        <v>28. říjen 1948</v>
      </c>
      <c r="J11" s="8"/>
      <c r="K11" s="8" t="str">
        <f>IFERROR(__xludf.DUMMYFUNCTION("""COMPUTED_VALUE"""),"Slovenské bavlnářské závody")</f>
        <v>Slovenské bavlnářské závody</v>
      </c>
      <c r="L11" s="8" t="str">
        <f>IFERROR(__xludf.DUMMYFUNCTION("""COMPUTED_VALUE"""),"Národní muzeum, Archiv NM, Sbírka Muzea dělnického hnutí, sbírka Klement Gottwald - kult osobnosti.")</f>
        <v>Národní muzeum, Archiv NM, Sbírka Muzea dělnického hnutí, sbírka Klement Gottwald - kult osobnosti.</v>
      </c>
      <c r="M11" s="8"/>
      <c r="N11" s="8" t="str">
        <f>IFERROR(__xludf.DUMMYFUNCTION("""COMPUTED_VALUE"""),"Rybárpole_zdr.jpg")</f>
        <v>Rybárpole_zdr.jpg</v>
      </c>
      <c r="O11" s="8"/>
      <c r="P11" s="8" t="str">
        <f>IFERROR(__xludf.DUMMYFUNCTION("""COMPUTED_VALUE"""),"Obrazová dokumentace archiválie.")</f>
        <v>Obrazová dokumentace archiválie.</v>
      </c>
      <c r="Q11" s="8" t="str">
        <f>IFERROR(__xludf.DUMMYFUNCTION("""COMPUTED_VALUE"""),"Národní muzeum, Archiv NM, Sbírka Muzea dělnického hnutí, sbírka Klement Gottwald - kult osobnosti.")</f>
        <v>Národní muzeum, Archiv NM, Sbírka Muzea dělnického hnutí, sbírka Klement Gottwald - kult osobnosti.</v>
      </c>
      <c r="R11" s="8"/>
      <c r="S11" s="8"/>
      <c r="T11" s="8"/>
      <c r="U11" s="8"/>
      <c r="V11" s="8"/>
      <c r="W11" s="8"/>
      <c r="X11" s="8"/>
      <c r="Y11" s="8"/>
      <c r="Z11" s="8"/>
      <c r="AA11" s="8"/>
      <c r="AB11" s="8"/>
      <c r="AC11" s="8"/>
      <c r="AD11" s="8"/>
      <c r="AE11" s="8"/>
      <c r="AF11" s="8"/>
      <c r="AG11" s="8"/>
      <c r="AH11" s="8"/>
      <c r="AI11" s="8"/>
      <c r="AJ11" s="8"/>
      <c r="AK11" s="8"/>
      <c r="AL11" s="8"/>
      <c r="AM11" s="8"/>
      <c r="AN11" s="8"/>
      <c r="AO11" s="8"/>
    </row>
    <row r="12">
      <c r="A12" s="7">
        <f t="shared" si="1"/>
        <v>11</v>
      </c>
      <c r="B12" s="8" t="str">
        <f>IFERROR(__xludf.DUMMYFUNCTION("""COMPUTED_VALUE"""),"16.6109569")</f>
        <v>16.6109569</v>
      </c>
      <c r="C12" s="8" t="str">
        <f>IFERROR(__xludf.DUMMYFUNCTION("""COMPUTED_VALUE"""),"49.1973034")</f>
        <v>49.1973034</v>
      </c>
      <c r="D12" s="8" t="str">
        <f>IFERROR(__xludf.DUMMYFUNCTION("""COMPUTED_VALUE"""),"Brno, blahopřání k narozeninám")</f>
        <v>Brno, blahopřání k narozeninám</v>
      </c>
      <c r="E12" s="8" t="str">
        <f>IFERROR(__xludf.DUMMYFUNCTION("""COMPUTED_VALUE"""),"Blahopřání k 50. narozeninám, zmíněny ukázky tvorby v rámci dvouletky - zřejmě přiloženo k daru knih. Oranžové papírovo-textilní desky s kovovým pásem s nápisem Klement Gottwald, vložen přeložený diplom na ručním papíře, akvarelová ilustrace s figurálním "&amp;"motivem práce a budování (tiskárny Rovnost budují po boku továren a zemědělců, sign. D), tisk, 16 x 21 cm. ")</f>
        <v>Blahopřání k 50. narozeninám, zmíněny ukázky tvorby v rámci dvouletky - zřejmě přiloženo k daru knih. Oranžové papírovo-textilní desky s kovovým pásem s nápisem Klement Gottwald, vložen přeložený diplom na ručním papíře, akvarelová ilustrace s figurálním motivem práce a budování (tiskárny Rovnost budují po boku továren a zemědělců, sign. D), tisk, 16 x 21 cm. </v>
      </c>
      <c r="F12" s="8" t="str">
        <f>IFERROR(__xludf.DUMMYFUNCTION("""COMPUTED_VALUE"""),"dokumenty")</f>
        <v>dokumenty</v>
      </c>
      <c r="G12" s="8" t="str">
        <f>IFERROR(__xludf.DUMMYFUNCTION("""COMPUTED_VALUE"""),"Blahopřání")</f>
        <v>Blahopřání</v>
      </c>
      <c r="H12" s="8"/>
      <c r="I12" s="9" t="str">
        <f>IFERROR(__xludf.DUMMYFUNCTION("""COMPUTED_VALUE"""),"listopad 1946")</f>
        <v>listopad 1946</v>
      </c>
      <c r="J12" s="8"/>
      <c r="K12" s="8" t="str">
        <f>IFERROR(__xludf.DUMMYFUNCTION("""COMPUTED_VALUE"""),"Tiskové podniky Rovnost.")</f>
        <v>Tiskové podniky Rovnost.</v>
      </c>
      <c r="L12" s="8" t="str">
        <f>IFERROR(__xludf.DUMMYFUNCTION("""COMPUTED_VALUE"""),"Národní muzeum, Archiv NM, Sbírka Muzea dělnického hnutí, sbírka Klement Gottwald - kult osobnosti.")</f>
        <v>Národní muzeum, Archiv NM, Sbírka Muzea dělnického hnutí, sbírka Klement Gottwald - kult osobnosti.</v>
      </c>
      <c r="M12" s="8"/>
      <c r="N12" s="8" t="str">
        <f>IFERROR(__xludf.DUMMYFUNCTION("""COMPUTED_VALUE"""),"Brno_zdr.jpg")</f>
        <v>Brno_zdr.jpg</v>
      </c>
      <c r="O12" s="8"/>
      <c r="P12" s="8" t="str">
        <f>IFERROR(__xludf.DUMMYFUNCTION("""COMPUTED_VALUE"""),"Obrazová dokumentace archiválie.")</f>
        <v>Obrazová dokumentace archiválie.</v>
      </c>
      <c r="Q12" s="8" t="str">
        <f>IFERROR(__xludf.DUMMYFUNCTION("""COMPUTED_VALUE"""),"Národní muzeum, Archiv NM, Sbírka Muzea dělnického hnutí, sbírka Klement Gottwald - kult osobnosti.")</f>
        <v>Národní muzeum, Archiv NM, Sbírka Muzea dělnického hnutí, sbírka Klement Gottwald - kult osobnosti.</v>
      </c>
      <c r="R12" s="8"/>
      <c r="S12" s="8"/>
      <c r="T12" s="8"/>
      <c r="U12" s="8"/>
      <c r="V12" s="8"/>
      <c r="W12" s="8"/>
      <c r="X12" s="8"/>
      <c r="Y12" s="8"/>
      <c r="Z12" s="8"/>
      <c r="AA12" s="8"/>
      <c r="AB12" s="8"/>
      <c r="AC12" s="8"/>
      <c r="AD12" s="8"/>
      <c r="AE12" s="8"/>
      <c r="AF12" s="8"/>
      <c r="AG12" s="8"/>
      <c r="AH12" s="8"/>
      <c r="AI12" s="8"/>
      <c r="AJ12" s="8"/>
      <c r="AK12" s="8"/>
      <c r="AL12" s="8"/>
      <c r="AM12" s="8"/>
      <c r="AN12" s="8"/>
      <c r="AO12" s="8"/>
    </row>
    <row r="13">
      <c r="A13" s="7">
        <f t="shared" si="1"/>
        <v>12</v>
      </c>
      <c r="B13" s="8" t="str">
        <f>IFERROR(__xludf.DUMMYFUNCTION("""COMPUTED_VALUE"""),"17.1221416")</f>
        <v>17.1221416</v>
      </c>
      <c r="C13" s="8" t="str">
        <f>IFERROR(__xludf.DUMMYFUNCTION("""COMPUTED_VALUE"""),"49.0128572")</f>
        <v>49.0128572</v>
      </c>
      <c r="D13" s="8" t="str">
        <f>IFERROR(__xludf.DUMMYFUNCTION("""COMPUTED_VALUE"""),"Kyjov, blahopřání k narozeninám")</f>
        <v>Kyjov, blahopřání k narozeninám</v>
      </c>
      <c r="E13" s="8" t="str">
        <f>IFERROR(__xludf.DUMMYFUNCTION("""COMPUTED_VALUE"""),"Veršované blahopřání k 50. narozeninám, text oslavující KG. Barevný tisk na papíře ve zlaceném rámu, ilustrace - portrét KG ve vavřínovém věnci (sign. Červenka), dřevěný rám, podpisy, A2.")</f>
        <v>Veršované blahopřání k 50. narozeninám, text oslavující KG. Barevný tisk na papíře ve zlaceném rámu, ilustrace - portrét KG ve vavřínovém věnci (sign. Červenka), dřevěný rám, podpisy, A2.</v>
      </c>
      <c r="F13" s="8" t="str">
        <f>IFERROR(__xludf.DUMMYFUNCTION("""COMPUTED_VALUE"""),"dokumenty")</f>
        <v>dokumenty</v>
      </c>
      <c r="G13" s="8" t="str">
        <f>IFERROR(__xludf.DUMMYFUNCTION("""COMPUTED_VALUE"""),"Blahopřání")</f>
        <v>Blahopřání</v>
      </c>
      <c r="H13" s="8"/>
      <c r="I13" s="9" t="str">
        <f>IFERROR(__xludf.DUMMYFUNCTION("""COMPUTED_VALUE"""),"listopad 1946")</f>
        <v>listopad 1946</v>
      </c>
      <c r="J13" s="8"/>
      <c r="K13" s="8" t="str">
        <f>IFERROR(__xludf.DUMMYFUNCTION("""COMPUTED_VALUE"""),"Místní organizace KSČ v Kyjově. Červenka.")</f>
        <v>Místní organizace KSČ v Kyjově. Červenka.</v>
      </c>
      <c r="L13" s="8" t="str">
        <f>IFERROR(__xludf.DUMMYFUNCTION("""COMPUTED_VALUE"""),"Národní muzeum, Archiv NM, Sbírka Muzea dělnického hnutí, sbírka Klement Gottwald - kult osobnosti.")</f>
        <v>Národní muzeum, Archiv NM, Sbírka Muzea dělnického hnutí, sbírka Klement Gottwald - kult osobnosti.</v>
      </c>
      <c r="M13" s="8"/>
      <c r="N13" s="8" t="str">
        <f>IFERROR(__xludf.DUMMYFUNCTION("""COMPUTED_VALUE"""),"Kyjov_zdr.jpg")</f>
        <v>Kyjov_zdr.jpg</v>
      </c>
      <c r="O13" s="8"/>
      <c r="P13" s="8" t="str">
        <f>IFERROR(__xludf.DUMMYFUNCTION("""COMPUTED_VALUE"""),"Obrazová dokumentace archiválie.")</f>
        <v>Obrazová dokumentace archiválie.</v>
      </c>
      <c r="Q13" s="8" t="str">
        <f>IFERROR(__xludf.DUMMYFUNCTION("""COMPUTED_VALUE"""),"Národní muzeum, Archiv NM, Sbírka Muzea dělnického hnutí, sbírka Klement Gottwald - kult osobnosti.")</f>
        <v>Národní muzeum, Archiv NM, Sbírka Muzea dělnického hnutí, sbírka Klement Gottwald - kult osobnosti.</v>
      </c>
      <c r="R13" s="8"/>
      <c r="S13" s="8"/>
      <c r="T13" s="8"/>
      <c r="U13" s="8"/>
      <c r="V13" s="8"/>
      <c r="W13" s="8"/>
      <c r="X13" s="8"/>
      <c r="Y13" s="8"/>
      <c r="Z13" s="8"/>
      <c r="AA13" s="8"/>
      <c r="AB13" s="8"/>
      <c r="AC13" s="8"/>
      <c r="AD13" s="8"/>
      <c r="AE13" s="8"/>
      <c r="AF13" s="8"/>
      <c r="AG13" s="8"/>
      <c r="AH13" s="8"/>
      <c r="AI13" s="8"/>
      <c r="AJ13" s="8"/>
      <c r="AK13" s="8"/>
      <c r="AL13" s="8"/>
      <c r="AM13" s="8"/>
      <c r="AN13" s="8"/>
      <c r="AO13" s="8"/>
    </row>
    <row r="14">
      <c r="A14" s="7">
        <f t="shared" si="1"/>
        <v>13</v>
      </c>
      <c r="B14" s="8" t="str">
        <f>IFERROR(__xludf.DUMMYFUNCTION("""COMPUTED_VALUE"""),"15.7950578")</f>
        <v>15.7950578</v>
      </c>
      <c r="C14" s="8" t="str">
        <f>IFERROR(__xludf.DUMMYFUNCTION("""COMPUTED_VALUE"""),"49.9497244")</f>
        <v>49.9497244</v>
      </c>
      <c r="D14" s="8" t="str">
        <f>IFERROR(__xludf.DUMMYFUNCTION("""COMPUTED_VALUE"""),"Chrudim, blahopřání k narozeninám")</f>
        <v>Chrudim, blahopřání k narozeninám</v>
      </c>
      <c r="E14" s="8" t="str">
        <f>IFERROR(__xludf.DUMMYFUNCTION("""COMPUTED_VALUE"""),"Blahopřání k 51. narozeninám, srovnání výsledků v soutěži o nejlepší výsledek při získávání nových členů strany, soupisy podle počtů získaných u jednotlivých místních organizací a jednotlivých straníků. Tmavožluté textilní desky s kolor. motivem rudé hvěz"&amp;"dy, vavřínové ratolesti a podpisu KG, uvnitř figurální kolorované ilustrace - alegorie práce, symboly lipového listí apod. (sign. 47), rkp, strojopis, 7 ll, 44 x 31 cm. Pro rok 1947 je množství materiálu tohoto typu malé a pochází výhradně od organizací i"&amp;"nterně svázaných se stranou a jejími orgány.")</f>
        <v>Blahopřání k 51. narozeninám, srovnání výsledků v soutěži o nejlepší výsledek při získávání nových členů strany, soupisy podle počtů získaných u jednotlivých místních organizací a jednotlivých straníků. Tmavožluté textilní desky s kolor. motivem rudé hvězdy, vavřínové ratolesti a podpisu KG, uvnitř figurální kolorované ilustrace - alegorie práce, symboly lipového listí apod. (sign. 47), rkp, strojopis, 7 ll, 44 x 31 cm. Pro rok 1947 je množství materiálu tohoto typu malé a pochází výhradně od organizací interně svázaných se stranou a jejími orgány.</v>
      </c>
      <c r="F14" s="8" t="str">
        <f>IFERROR(__xludf.DUMMYFUNCTION("""COMPUTED_VALUE"""),"dokumenty")</f>
        <v>dokumenty</v>
      </c>
      <c r="G14" s="8" t="str">
        <f>IFERROR(__xludf.DUMMYFUNCTION("""COMPUTED_VALUE"""),"Blahopřání")</f>
        <v>Blahopřání</v>
      </c>
      <c r="H14" s="8"/>
      <c r="I14" s="9" t="str">
        <f>IFERROR(__xludf.DUMMYFUNCTION("""COMPUTED_VALUE"""),"listopad 1947")</f>
        <v>listopad 1947</v>
      </c>
      <c r="J14" s="8"/>
      <c r="K14" s="8" t="str">
        <f>IFERROR(__xludf.DUMMYFUNCTION("""COMPUTED_VALUE"""),"Místní organizace KSČ Chrudim.")</f>
        <v>Místní organizace KSČ Chrudim.</v>
      </c>
      <c r="L14" s="8" t="str">
        <f>IFERROR(__xludf.DUMMYFUNCTION("""COMPUTED_VALUE"""),"Národní muzeum, Archiv NM, Sbírka Muzea dělnického hnutí, sbírka Klement Gottwald - kult osobnosti.")</f>
        <v>Národní muzeum, Archiv NM, Sbírka Muzea dělnického hnutí, sbírka Klement Gottwald - kult osobnosti.</v>
      </c>
      <c r="M14" s="8"/>
      <c r="N14" s="8" t="str">
        <f>IFERROR(__xludf.DUMMYFUNCTION("""COMPUTED_VALUE"""),"Chrudim_zdr.jpg")</f>
        <v>Chrudim_zdr.jpg</v>
      </c>
      <c r="O14" s="8"/>
      <c r="P14" s="8" t="str">
        <f>IFERROR(__xludf.DUMMYFUNCTION("""COMPUTED_VALUE"""),"Obrazová dokumentace archiválie.")</f>
        <v>Obrazová dokumentace archiválie.</v>
      </c>
      <c r="Q14" s="8" t="str">
        <f>IFERROR(__xludf.DUMMYFUNCTION("""COMPUTED_VALUE"""),"Národní muzeum, Archiv NM, Sbírka Muzea dělnického hnutí, sbírka Klement Gottwald - kult osobnosti.")</f>
        <v>Národní muzeum, Archiv NM, Sbírka Muzea dělnického hnutí, sbírka Klement Gottwald - kult osobnosti.</v>
      </c>
      <c r="R14" s="8" t="str">
        <f>IFERROR(__xludf.DUMMYFUNCTION("""COMPUTED_VALUE"""),"Chrudim_zdr02.jpg")</f>
        <v>Chrudim_zdr02.jpg</v>
      </c>
      <c r="S14" s="8"/>
      <c r="T14" s="8" t="str">
        <f>IFERROR(__xludf.DUMMYFUNCTION("""COMPUTED_VALUE"""),"Obrazová dokumentace archiválie.")</f>
        <v>Obrazová dokumentace archiválie.</v>
      </c>
      <c r="U14" s="8" t="str">
        <f>IFERROR(__xludf.DUMMYFUNCTION("""COMPUTED_VALUE"""),"Národní muzeum, Archiv NM, Sbírka Muzea dělnického hnutí, sbírka Klement Gottwald - kult osobnosti.")</f>
        <v>Národní muzeum, Archiv NM, Sbírka Muzea dělnického hnutí, sbírka Klement Gottwald - kult osobnosti.</v>
      </c>
      <c r="V14" s="8" t="str">
        <f>IFERROR(__xludf.DUMMYFUNCTION("""COMPUTED_VALUE"""),"Chrudim_zdr03.jpg")</f>
        <v>Chrudim_zdr03.jpg</v>
      </c>
      <c r="W14" s="8"/>
      <c r="X14" s="8" t="str">
        <f>IFERROR(__xludf.DUMMYFUNCTION("""COMPUTED_VALUE"""),"Obrazová dokumentace archiválie.")</f>
        <v>Obrazová dokumentace archiválie.</v>
      </c>
      <c r="Y14" s="8" t="str">
        <f>IFERROR(__xludf.DUMMYFUNCTION("""COMPUTED_VALUE"""),"Národní muzeum, Archiv NM, Sbírka Muzea dělnického hnutí, sbírka Klement Gottwald - kult osobnosti.")</f>
        <v>Národní muzeum, Archiv NM, Sbírka Muzea dělnického hnutí, sbírka Klement Gottwald - kult osobnosti.</v>
      </c>
      <c r="Z14" s="8" t="str">
        <f>IFERROR(__xludf.DUMMYFUNCTION("""COMPUTED_VALUE"""),"Chrudim_zdr04.jpg")</f>
        <v>Chrudim_zdr04.jpg</v>
      </c>
      <c r="AA14" s="8"/>
      <c r="AB14" s="8" t="str">
        <f>IFERROR(__xludf.DUMMYFUNCTION("""COMPUTED_VALUE"""),"Obrazová dokumentace archiválie.")</f>
        <v>Obrazová dokumentace archiválie.</v>
      </c>
      <c r="AC14" s="8" t="str">
        <f>IFERROR(__xludf.DUMMYFUNCTION("""COMPUTED_VALUE"""),"Národní muzeum, Archiv NM, Sbírka Muzea dělnického hnutí, sbírka Klement Gottwald - kult osobnosti.")</f>
        <v>Národní muzeum, Archiv NM, Sbírka Muzea dělnického hnutí, sbírka Klement Gottwald - kult osobnosti.</v>
      </c>
      <c r="AD14" s="8" t="str">
        <f>IFERROR(__xludf.DUMMYFUNCTION("""COMPUTED_VALUE"""),"Chrudim_zdr05.jpg")</f>
        <v>Chrudim_zdr05.jpg</v>
      </c>
      <c r="AE14" s="8"/>
      <c r="AF14" s="8" t="str">
        <f>IFERROR(__xludf.DUMMYFUNCTION("""COMPUTED_VALUE"""),"Obrazová dokumentace archiválie.")</f>
        <v>Obrazová dokumentace archiválie.</v>
      </c>
      <c r="AG14" s="8" t="str">
        <f>IFERROR(__xludf.DUMMYFUNCTION("""COMPUTED_VALUE"""),"Národní muzeum, Archiv NM, Sbírka Muzea dělnického hnutí, sbírka Klement Gottwald - kult osobnosti.")</f>
        <v>Národní muzeum, Archiv NM, Sbírka Muzea dělnického hnutí, sbírka Klement Gottwald - kult osobnosti.</v>
      </c>
      <c r="AH14" s="8"/>
      <c r="AI14" s="8"/>
      <c r="AJ14" s="8"/>
      <c r="AK14" s="8"/>
      <c r="AL14" s="8"/>
      <c r="AM14" s="8"/>
      <c r="AN14" s="8"/>
      <c r="AO14" s="8"/>
    </row>
    <row r="15">
      <c r="A15" s="7">
        <f t="shared" si="1"/>
        <v>14</v>
      </c>
      <c r="B15" s="8" t="str">
        <f>IFERROR(__xludf.DUMMYFUNCTION("""COMPUTED_VALUE"""),"13.9989449")</f>
        <v>13.9989449</v>
      </c>
      <c r="C15" s="8" t="str">
        <f>IFERROR(__xludf.DUMMYFUNCTION("""COMPUTED_VALUE"""),"49.685432")</f>
        <v>49.685432</v>
      </c>
      <c r="D15" s="8" t="str">
        <f>IFERROR(__xludf.DUMMYFUNCTION("""COMPUTED_VALUE"""),"Příbram, blahopřání k narozeninám")</f>
        <v>Příbram, blahopřání k narozeninám</v>
      </c>
      <c r="E15" s="8" t="str">
        <f>IFERROR(__xludf.DUMMYFUNCTION("""COMPUTED_VALUE"""),"Blahopřání k 50. narozeninám, připojen pracovní závazek. Červené koženkové desky, grafická ilustrace s motivem horníků (signována K. Hojden), tisk, podpisy, razítko, 4ll, A4.  ")</f>
        <v>Blahopřání k 50. narozeninám, připojen pracovní závazek. Červené koženkové desky, grafická ilustrace s motivem horníků (signována K. Hojden), tisk, podpisy, razítko, 4ll, A4.  </v>
      </c>
      <c r="F15" s="8" t="str">
        <f>IFERROR(__xludf.DUMMYFUNCTION("""COMPUTED_VALUE"""),"dokumenty")</f>
        <v>dokumenty</v>
      </c>
      <c r="G15" s="8" t="str">
        <f>IFERROR(__xludf.DUMMYFUNCTION("""COMPUTED_VALUE"""),"Blahopřání")</f>
        <v>Blahopřání</v>
      </c>
      <c r="H15" s="8"/>
      <c r="I15" s="9" t="str">
        <f>IFERROR(__xludf.DUMMYFUNCTION("""COMPUTED_VALUE"""),"listopad 1946")</f>
        <v>listopad 1946</v>
      </c>
      <c r="J15" s="8"/>
      <c r="K15" s="8" t="str">
        <f>IFERROR(__xludf.DUMMYFUNCTION("""COMPUTED_VALUE"""),"Příbramské rudné doly, n. p. V. Hojden.")</f>
        <v>Příbramské rudné doly, n. p. V. Hojden.</v>
      </c>
      <c r="L15" s="8" t="str">
        <f>IFERROR(__xludf.DUMMYFUNCTION("""COMPUTED_VALUE"""),"Národní muzeum, Archiv NM, Sbírka Muzea dělnického hnutí, sbírka Klement Gottwald - kult osobnosti.")</f>
        <v>Národní muzeum, Archiv NM, Sbírka Muzea dělnického hnutí, sbírka Klement Gottwald - kult osobnosti.</v>
      </c>
      <c r="M15" s="8"/>
      <c r="N15" s="8" t="str">
        <f>IFERROR(__xludf.DUMMYFUNCTION("""COMPUTED_VALUE"""),"Příbram_zdr01.jpg")</f>
        <v>Příbram_zdr01.jpg</v>
      </c>
      <c r="O15" s="8"/>
      <c r="P15" s="8" t="str">
        <f>IFERROR(__xludf.DUMMYFUNCTION("""COMPUTED_VALUE"""),"Obrazová dokumentace archiválie.")</f>
        <v>Obrazová dokumentace archiválie.</v>
      </c>
      <c r="Q15" s="8" t="str">
        <f>IFERROR(__xludf.DUMMYFUNCTION("""COMPUTED_VALUE"""),"Národní muzeum, Archiv NM, Sbírka Muzea dělnického hnutí, sbírka Klement Gottwald - kult osobnosti.")</f>
        <v>Národní muzeum, Archiv NM, Sbírka Muzea dělnického hnutí, sbírka Klement Gottwald - kult osobnosti.</v>
      </c>
      <c r="R15" s="8" t="str">
        <f>IFERROR(__xludf.DUMMYFUNCTION("""COMPUTED_VALUE"""),"Příbram_zdr02.jpg")</f>
        <v>Příbram_zdr02.jpg</v>
      </c>
      <c r="S15" s="8"/>
      <c r="T15" s="8" t="str">
        <f>IFERROR(__xludf.DUMMYFUNCTION("""COMPUTED_VALUE"""),"Obrazová dokumentace archiválie.")</f>
        <v>Obrazová dokumentace archiválie.</v>
      </c>
      <c r="U15" s="8" t="str">
        <f>IFERROR(__xludf.DUMMYFUNCTION("""COMPUTED_VALUE"""),"Národní muzeum, Archiv NM, Sbírka Muzea dělnického hnutí, sbírka Klement Gottwald - kult osobnosti.")</f>
        <v>Národní muzeum, Archiv NM, Sbírka Muzea dělnického hnutí, sbírka Klement Gottwald - kult osobnosti.</v>
      </c>
      <c r="V15" s="8" t="str">
        <f>IFERROR(__xludf.DUMMYFUNCTION("""COMPUTED_VALUE"""),"Příbram_zdr03.jpg")</f>
        <v>Příbram_zdr03.jpg</v>
      </c>
      <c r="W15" s="8"/>
      <c r="X15" s="8" t="str">
        <f>IFERROR(__xludf.DUMMYFUNCTION("""COMPUTED_VALUE"""),"Obrazová dokumentace archiválie.")</f>
        <v>Obrazová dokumentace archiválie.</v>
      </c>
      <c r="Y15" s="8" t="str">
        <f>IFERROR(__xludf.DUMMYFUNCTION("""COMPUTED_VALUE"""),"Národní muzeum, Archiv NM, Sbírka Muzea dělnického hnutí, sbírka Klement Gottwald - kult osobnosti.")</f>
        <v>Národní muzeum, Archiv NM, Sbírka Muzea dělnického hnutí, sbírka Klement Gottwald - kult osobnosti.</v>
      </c>
      <c r="Z15" s="8"/>
      <c r="AA15" s="8"/>
      <c r="AB15" s="8"/>
      <c r="AC15" s="8"/>
      <c r="AD15" s="8"/>
      <c r="AE15" s="8"/>
      <c r="AF15" s="8"/>
      <c r="AG15" s="8"/>
      <c r="AH15" s="8"/>
      <c r="AI15" s="8"/>
      <c r="AJ15" s="8"/>
      <c r="AK15" s="8"/>
      <c r="AL15" s="8"/>
      <c r="AM15" s="8"/>
      <c r="AN15" s="8"/>
      <c r="AO15" s="8"/>
    </row>
    <row r="16">
      <c r="A16" s="7">
        <f t="shared" si="1"/>
        <v>15</v>
      </c>
      <c r="B16" s="8" t="str">
        <f>IFERROR(__xludf.DUMMYFUNCTION("""COMPUTED_VALUE"""),"14.4378005")</f>
        <v>14.4378005</v>
      </c>
      <c r="C16" s="8" t="str">
        <f>IFERROR(__xludf.DUMMYFUNCTION("""COMPUTED_VALUE"""),"50.0755381")</f>
        <v>50.0755381</v>
      </c>
      <c r="D16" s="8" t="str">
        <f>IFERROR(__xludf.DUMMYFUNCTION("""COMPUTED_VALUE"""),"Praha, dar Rudého práva k narozeninám ")</f>
        <v>Praha, dar Rudého práva k narozeninám </v>
      </c>
      <c r="E16" s="8" t="str">
        <f>IFERROR(__xludf.DUMMYFUNCTION("""COMPUTED_VALUE"""),"Dar k 51. narozeninám - album s karikaturami od významných kreslířů Leo Haase a Jaroslava Pelcla. Papírová krabice, jednotlivé paspartované a signované kresby na politicko-satirická témata (12 ks) svázané ve světle hnědých textilních deskách, A3. Vynikají"&amp;"cí příklad dobové komunistické výtvarné propagandy.")</f>
        <v>Dar k 51. narozeninám - album s karikaturami od významných kreslířů Leo Haase a Jaroslava Pelcla. Papírová krabice, jednotlivé paspartované a signované kresby na politicko-satirická témata (12 ks) svázané ve světle hnědých textilních deskách, A3. Vynikající příklad dobové komunistické výtvarné propagandy.</v>
      </c>
      <c r="F16" s="8" t="str">
        <f>IFERROR(__xludf.DUMMYFUNCTION("""COMPUTED_VALUE"""),"umělecká díla")</f>
        <v>umělecká díla</v>
      </c>
      <c r="G16" s="8" t="str">
        <f>IFERROR(__xludf.DUMMYFUNCTION("""COMPUTED_VALUE"""),"Blahopřání")</f>
        <v>Blahopřání</v>
      </c>
      <c r="H16" s="8"/>
      <c r="I16" s="9" t="str">
        <f>IFERROR(__xludf.DUMMYFUNCTION("""COMPUTED_VALUE"""),"23. listopad 1947")</f>
        <v>23. listopad 1947</v>
      </c>
      <c r="J16" s="8"/>
      <c r="K16" s="8" t="str">
        <f>IFERROR(__xludf.DUMMYFUNCTION("""COMPUTED_VALUE"""),"Rudé právo. L. Haas, J. Pelc.")</f>
        <v>Rudé právo. L. Haas, J. Pelc.</v>
      </c>
      <c r="L16" s="8" t="str">
        <f>IFERROR(__xludf.DUMMYFUNCTION("""COMPUTED_VALUE"""),"Národní muzeum, Archiv NM, Sbírka Muzea dělnického hnutí, sbírka Klement Gottwald - kult osobnosti.")</f>
        <v>Národní muzeum, Archiv NM, Sbírka Muzea dělnického hnutí, sbírka Klement Gottwald - kult osobnosti.</v>
      </c>
      <c r="M16" s="8"/>
      <c r="N16" s="8" t="str">
        <f>IFERROR(__xludf.DUMMYFUNCTION("""COMPUTED_VALUE"""),"PrahaRP_zdr01.jpg")</f>
        <v>PrahaRP_zdr01.jpg</v>
      </c>
      <c r="O16" s="8"/>
      <c r="P16" s="8" t="str">
        <f>IFERROR(__xludf.DUMMYFUNCTION("""COMPUTED_VALUE"""),"Obrazová dokumentace archiválie.")</f>
        <v>Obrazová dokumentace archiválie.</v>
      </c>
      <c r="Q16" s="8" t="str">
        <f>IFERROR(__xludf.DUMMYFUNCTION("""COMPUTED_VALUE"""),"Národní muzeum, Archiv NM, Sbírka Muzea dělnického hnutí, sbírka Klement Gottwald - kult osobnosti.")</f>
        <v>Národní muzeum, Archiv NM, Sbírka Muzea dělnického hnutí, sbírka Klement Gottwald - kult osobnosti.</v>
      </c>
      <c r="R16" s="8" t="str">
        <f>IFERROR(__xludf.DUMMYFUNCTION("""COMPUTED_VALUE"""),"PrahaRP_zdr10.jpg")</f>
        <v>PrahaRP_zdr10.jpg</v>
      </c>
      <c r="S16" s="8"/>
      <c r="T16" s="8" t="str">
        <f>IFERROR(__xludf.DUMMYFUNCTION("""COMPUTED_VALUE"""),"Obrazová dokumentace archiválie.")</f>
        <v>Obrazová dokumentace archiválie.</v>
      </c>
      <c r="U16" s="8" t="str">
        <f>IFERROR(__xludf.DUMMYFUNCTION("""COMPUTED_VALUE"""),"Národní muzeum, Archiv NM, Sbírka Muzea dělnického hnutí, sbírka Klement Gottwald - kult osobnosti.")</f>
        <v>Národní muzeum, Archiv NM, Sbírka Muzea dělnického hnutí, sbírka Klement Gottwald - kult osobnosti.</v>
      </c>
      <c r="V16" s="8" t="str">
        <f>IFERROR(__xludf.DUMMYFUNCTION("""COMPUTED_VALUE"""),"PrahaRP_zdr03.jpg")</f>
        <v>PrahaRP_zdr03.jpg</v>
      </c>
      <c r="W16" s="8"/>
      <c r="X16" s="8" t="str">
        <f>IFERROR(__xludf.DUMMYFUNCTION("""COMPUTED_VALUE"""),"Obrazová dokumentace archiválie.")</f>
        <v>Obrazová dokumentace archiválie.</v>
      </c>
      <c r="Y16" s="8" t="str">
        <f>IFERROR(__xludf.DUMMYFUNCTION("""COMPUTED_VALUE"""),"Národní muzeum, Archiv NM, Sbírka Muzea dělnického hnutí, sbírka Klement Gottwald - kult osobnosti.")</f>
        <v>Národní muzeum, Archiv NM, Sbírka Muzea dělnického hnutí, sbírka Klement Gottwald - kult osobnosti.</v>
      </c>
      <c r="Z16" s="8" t="str">
        <f>IFERROR(__xludf.DUMMYFUNCTION("""COMPUTED_VALUE"""),"PrahaRP_zdr04.jpg")</f>
        <v>PrahaRP_zdr04.jpg</v>
      </c>
      <c r="AA16" s="8"/>
      <c r="AB16" s="8" t="str">
        <f>IFERROR(__xludf.DUMMYFUNCTION("""COMPUTED_VALUE"""),"Obrazová dokumentace archiválie.")</f>
        <v>Obrazová dokumentace archiválie.</v>
      </c>
      <c r="AC16" s="8" t="str">
        <f>IFERROR(__xludf.DUMMYFUNCTION("""COMPUTED_VALUE"""),"Národní muzeum, Archiv NM, Sbírka Muzea dělnického hnutí, sbírka Klement Gottwald - kult osobnosti.")</f>
        <v>Národní muzeum, Archiv NM, Sbírka Muzea dělnického hnutí, sbírka Klement Gottwald - kult osobnosti.</v>
      </c>
      <c r="AD16" s="8" t="str">
        <f>IFERROR(__xludf.DUMMYFUNCTION("""COMPUTED_VALUE"""),"PrahaRP_zdr05.jpg")</f>
        <v>PrahaRP_zdr05.jpg</v>
      </c>
      <c r="AE16" s="8"/>
      <c r="AF16" s="8" t="str">
        <f>IFERROR(__xludf.DUMMYFUNCTION("""COMPUTED_VALUE"""),"Obrazová dokumentace archiválie.")</f>
        <v>Obrazová dokumentace archiválie.</v>
      </c>
      <c r="AG16" s="8" t="str">
        <f>IFERROR(__xludf.DUMMYFUNCTION("""COMPUTED_VALUE"""),"Národní muzeum, Archiv NM, Sbírka Muzea dělnického hnutí, sbírka Klement Gottwald - kult osobnosti.")</f>
        <v>Národní muzeum, Archiv NM, Sbírka Muzea dělnického hnutí, sbírka Klement Gottwald - kult osobnosti.</v>
      </c>
      <c r="AH16" s="8"/>
      <c r="AI16" s="8"/>
      <c r="AJ16" s="8"/>
      <c r="AK16" s="8"/>
      <c r="AL16" s="8"/>
      <c r="AM16" s="8"/>
      <c r="AN16" s="8"/>
      <c r="AO16" s="8"/>
    </row>
    <row r="17">
      <c r="A17" s="7">
        <f t="shared" si="1"/>
        <v>16</v>
      </c>
      <c r="B17" s="8" t="str">
        <f>IFERROR(__xludf.DUMMYFUNCTION("""COMPUTED_VALUE"""),"18.740612660311076")</f>
        <v>18.740612660311076</v>
      </c>
      <c r="C17" s="8" t="str">
        <f>IFERROR(__xludf.DUMMYFUNCTION("""COMPUTED_VALUE"""),"49.22361022982452, 18.740612660311076")</f>
        <v>49.22361022982452, 18.740612660311076</v>
      </c>
      <c r="D17" s="8" t="str">
        <f>IFERROR(__xludf.DUMMYFUNCTION("""COMPUTED_VALUE"""),"Žilina, zdravice k výročí republiky")</f>
        <v>Žilina, zdravice k výročí republiky</v>
      </c>
      <c r="E17" s="8" t="str">
        <f>IFERROR(__xludf.DUMMYFUNCTION("""COMPUTED_VALUE"""),"Zdravice k 30. výročí ČSR a 31. výročí bolševické revoluce (heslo ""Bez 7. listopadu by nebylo 28. října. Skládací triptych z tvzeného papíru, potaženo šedou koženkou, na uzávěru bílá kresba lva se slovenským znakem. Interiér rozdělen na tři díly, šedé kr"&amp;"esby s motivy Emila Zátopka, lipových ratolestí a klasů, kolorované čs. a SSSR znaky, rkp, razítko, podpisy, 33 x 41 cm (zavřené).")</f>
        <v>Zdravice k 30. výročí ČSR a 31. výročí bolševické revoluce (heslo "Bez 7. listopadu by nebylo 28. října. Skládací triptych z tvzeného papíru, potaženo šedou koženkou, na uzávěru bílá kresba lva se slovenským znakem. Interiér rozdělen na tři díly, šedé kresby s motivy Emila Zátopka, lipových ratolestí a klasů, kolorované čs. a SSSR znaky, rkp, razítko, podpisy, 33 x 41 cm (zavřené).</v>
      </c>
      <c r="F17" s="8" t="str">
        <f>IFERROR(__xludf.DUMMYFUNCTION("""COMPUTED_VALUE"""),"dokumenty")</f>
        <v>dokumenty</v>
      </c>
      <c r="G17" s="8" t="str">
        <f>IFERROR(__xludf.DUMMYFUNCTION("""COMPUTED_VALUE"""),"Blahopřání")</f>
        <v>Blahopřání</v>
      </c>
      <c r="H17" s="8"/>
      <c r="I17" s="9" t="str">
        <f>IFERROR(__xludf.DUMMYFUNCTION("""COMPUTED_VALUE"""),"28. říjen 1948")</f>
        <v>28. říjen 1948</v>
      </c>
      <c r="J17" s="8"/>
      <c r="K17" s="8" t="str">
        <f>IFERROR(__xludf.DUMMYFUNCTION("""COMPUTED_VALUE"""),"Okresný národný výbor.")</f>
        <v>Okresný národný výbor.</v>
      </c>
      <c r="L17" s="8" t="str">
        <f>IFERROR(__xludf.DUMMYFUNCTION("""COMPUTED_VALUE"""),"Národní muzeum, Archiv NM, Sbírka Muzea dělnického hnutí, sbírka Klement Gottwald - kult osobnosti.")</f>
        <v>Národní muzeum, Archiv NM, Sbírka Muzea dělnického hnutí, sbírka Klement Gottwald - kult osobnosti.</v>
      </c>
      <c r="M17" s="8"/>
      <c r="N17" s="8" t="str">
        <f>IFERROR(__xludf.DUMMYFUNCTION("""COMPUTED_VALUE"""),"Žilina_zdr01.jpg")</f>
        <v>Žilina_zdr01.jpg</v>
      </c>
      <c r="O17" s="8"/>
      <c r="P17" s="8" t="str">
        <f>IFERROR(__xludf.DUMMYFUNCTION("""COMPUTED_VALUE"""),"Obrazová dokumentace archiválie.")</f>
        <v>Obrazová dokumentace archiválie.</v>
      </c>
      <c r="Q17" s="8" t="str">
        <f>IFERROR(__xludf.DUMMYFUNCTION("""COMPUTED_VALUE"""),"Národní muzeum, Archiv NM, Sbírka Muzea dělnického hnutí, sbírka Klement Gottwald - kult osobnosti.")</f>
        <v>Národní muzeum, Archiv NM, Sbírka Muzea dělnického hnutí, sbírka Klement Gottwald - kult osobnosti.</v>
      </c>
      <c r="R17" s="8" t="str">
        <f>IFERROR(__xludf.DUMMYFUNCTION("""COMPUTED_VALUE"""),"Žilina_zdr02.jpg")</f>
        <v>Žilina_zdr02.jpg</v>
      </c>
      <c r="S17" s="8"/>
      <c r="T17" s="8" t="str">
        <f>IFERROR(__xludf.DUMMYFUNCTION("""COMPUTED_VALUE"""),"Obrazová dokumentace archiválie.")</f>
        <v>Obrazová dokumentace archiválie.</v>
      </c>
      <c r="U17" s="8" t="str">
        <f>IFERROR(__xludf.DUMMYFUNCTION("""COMPUTED_VALUE"""),"Národní muzeum, Archiv NM, Sbírka Muzea dělnického hnutí, sbírka Klement Gottwald - kult osobnosti.")</f>
        <v>Národní muzeum, Archiv NM, Sbírka Muzea dělnického hnutí, sbírka Klement Gottwald - kult osobnosti.</v>
      </c>
      <c r="V17" s="8"/>
      <c r="W17" s="8"/>
      <c r="X17" s="8"/>
      <c r="Y17" s="8"/>
      <c r="Z17" s="8"/>
      <c r="AA17" s="8"/>
      <c r="AB17" s="8"/>
      <c r="AC17" s="8"/>
      <c r="AD17" s="8"/>
      <c r="AE17" s="8"/>
      <c r="AF17" s="8"/>
      <c r="AG17" s="8"/>
      <c r="AH17" s="8"/>
      <c r="AI17" s="8"/>
      <c r="AJ17" s="8"/>
      <c r="AK17" s="8"/>
      <c r="AL17" s="8"/>
      <c r="AM17" s="8"/>
      <c r="AN17" s="8"/>
      <c r="AO17" s="8"/>
    </row>
    <row r="18">
      <c r="A18" s="7">
        <f t="shared" si="1"/>
        <v>17</v>
      </c>
      <c r="B18" s="8" t="str">
        <f>IFERROR(__xludf.DUMMYFUNCTION("""COMPUTED_VALUE"""),"14.1305458")</f>
        <v>14.1305458</v>
      </c>
      <c r="C18" s="8" t="str">
        <f>IFERROR(__xludf.DUMMYFUNCTION("""COMPUTED_VALUE"""),"50.5384197")</f>
        <v>50.5384197</v>
      </c>
      <c r="D18" s="8" t="str">
        <f>IFERROR(__xludf.DUMMYFUNCTION("""COMPUTED_VALUE"""),"Litoměřice, zdravice k výročí republiky")</f>
        <v>Litoměřice, zdravice k výročí republiky</v>
      </c>
      <c r="E18" s="8" t="str">
        <f>IFERROR(__xludf.DUMMYFUNCTION("""COMPUTED_VALUE"""),"Zdravice ke 30. výročí ČSR s mottem ""bez 7. listopadu by nebylo 28. října"". Hnědé textilní desky s nápisem, uvnitř přeložený diplom s akvarelovou ilustrací s motivem pohledu na město a ruským a českým znakem, podpisy, razítka, 36 x 23 cm.")</f>
        <v>Zdravice ke 30. výročí ČSR s mottem "bez 7. listopadu by nebylo 28. října". Hnědé textilní desky s nápisem, uvnitř přeložený diplom s akvarelovou ilustrací s motivem pohledu na město a ruským a českým znakem, podpisy, razítka, 36 x 23 cm.</v>
      </c>
      <c r="F18" s="8" t="str">
        <f>IFERROR(__xludf.DUMMYFUNCTION("""COMPUTED_VALUE"""),"dokumenty")</f>
        <v>dokumenty</v>
      </c>
      <c r="G18" s="8" t="str">
        <f>IFERROR(__xludf.DUMMYFUNCTION("""COMPUTED_VALUE"""),"Blahopřání")</f>
        <v>Blahopřání</v>
      </c>
      <c r="H18" s="8"/>
      <c r="I18" s="9" t="str">
        <f>IFERROR(__xludf.DUMMYFUNCTION("""COMPUTED_VALUE"""),"říjen 1948")</f>
        <v>říjen 1948</v>
      </c>
      <c r="J18" s="8"/>
      <c r="K18" s="8" t="str">
        <f>IFERROR(__xludf.DUMMYFUNCTION("""COMPUTED_VALUE"""),"Organizace okresu Litoměřice. V. A. Šrůtek.")</f>
        <v>Organizace okresu Litoměřice. V. A. Šrůtek.</v>
      </c>
      <c r="L18" s="8" t="str">
        <f>IFERROR(__xludf.DUMMYFUNCTION("""COMPUTED_VALUE"""),"Národní muzeum, Archiv NM, Sbírka Muzea dělnického hnutí, sbírka Klement Gottwald - kult osobnosti.")</f>
        <v>Národní muzeum, Archiv NM, Sbírka Muzea dělnického hnutí, sbírka Klement Gottwald - kult osobnosti.</v>
      </c>
      <c r="M18" s="8"/>
      <c r="N18" s="8" t="str">
        <f>IFERROR(__xludf.DUMMYFUNCTION("""COMPUTED_VALUE"""),"Litoměřice_zdr01.jpg")</f>
        <v>Litoměřice_zdr01.jpg</v>
      </c>
      <c r="O18" s="8"/>
      <c r="P18" s="8" t="str">
        <f>IFERROR(__xludf.DUMMYFUNCTION("""COMPUTED_VALUE"""),"Obrazová dokumentace archiválie.")</f>
        <v>Obrazová dokumentace archiválie.</v>
      </c>
      <c r="Q18" s="8" t="str">
        <f>IFERROR(__xludf.DUMMYFUNCTION("""COMPUTED_VALUE"""),"Národní muzeum, Archiv NM, Sbírka Muzea dělnického hnutí, sbírka Klement Gottwald - kult osobnosti.")</f>
        <v>Národní muzeum, Archiv NM, Sbírka Muzea dělnického hnutí, sbírka Klement Gottwald - kult osobnosti.</v>
      </c>
      <c r="R18" s="8" t="str">
        <f>IFERROR(__xludf.DUMMYFUNCTION("""COMPUTED_VALUE"""),"Litoměřice_zdr02.jpg")</f>
        <v>Litoměřice_zdr02.jpg</v>
      </c>
      <c r="S18" s="8"/>
      <c r="T18" s="8" t="str">
        <f>IFERROR(__xludf.DUMMYFUNCTION("""COMPUTED_VALUE"""),"Obrazová dokumentace archiválie.")</f>
        <v>Obrazová dokumentace archiválie.</v>
      </c>
      <c r="U18" s="8" t="str">
        <f>IFERROR(__xludf.DUMMYFUNCTION("""COMPUTED_VALUE"""),"Národní muzeum, Archiv NM, Sbírka Muzea dělnického hnutí, sbírka Klement Gottwald - kult osobnosti.")</f>
        <v>Národní muzeum, Archiv NM, Sbírka Muzea dělnického hnutí, sbírka Klement Gottwald - kult osobnosti.</v>
      </c>
      <c r="V18" s="8" t="str">
        <f>IFERROR(__xludf.DUMMYFUNCTION("""COMPUTED_VALUE"""),"Litoměřice_zdr03.jpg")</f>
        <v>Litoměřice_zdr03.jpg</v>
      </c>
      <c r="W18" s="8"/>
      <c r="X18" s="8" t="str">
        <f>IFERROR(__xludf.DUMMYFUNCTION("""COMPUTED_VALUE"""),"Obrazová dokumentace archiválie.")</f>
        <v>Obrazová dokumentace archiválie.</v>
      </c>
      <c r="Y18" s="8" t="str">
        <f>IFERROR(__xludf.DUMMYFUNCTION("""COMPUTED_VALUE"""),"Národní muzeum, Archiv NM, Sbírka Muzea dělnického hnutí, sbírka Klement Gottwald - kult osobnosti.")</f>
        <v>Národní muzeum, Archiv NM, Sbírka Muzea dělnického hnutí, sbírka Klement Gottwald - kult osobnosti.</v>
      </c>
      <c r="Z18" s="8"/>
      <c r="AA18" s="8"/>
      <c r="AB18" s="8"/>
      <c r="AC18" s="8"/>
      <c r="AD18" s="8"/>
      <c r="AE18" s="8"/>
      <c r="AF18" s="8"/>
      <c r="AG18" s="8"/>
      <c r="AH18" s="8"/>
      <c r="AI18" s="8"/>
      <c r="AJ18" s="8"/>
      <c r="AK18" s="8"/>
      <c r="AL18" s="8"/>
      <c r="AM18" s="8"/>
      <c r="AN18" s="8"/>
      <c r="AO18" s="8"/>
    </row>
    <row r="19">
      <c r="A19" s="7">
        <f t="shared" si="1"/>
        <v>18</v>
      </c>
      <c r="B19" s="8" t="str">
        <f>IFERROR(__xludf.DUMMYFUNCTION("""COMPUTED_VALUE"""),"16.387875")</f>
        <v>16.387875</v>
      </c>
      <c r="C19" s="8" t="str">
        <f>IFERROR(__xludf.DUMMYFUNCTION("""COMPUTED_VALUE"""),"49.1823196")</f>
        <v>49.1823196</v>
      </c>
      <c r="D19" s="8" t="str">
        <f>IFERROR(__xludf.DUMMYFUNCTION("""COMPUTED_VALUE"""),"Rosice, příležitostná zdravice ")</f>
        <v>Rosice, příležitostná zdravice </v>
      </c>
      <c r="E19" s="8" t="str">
        <f>IFERROR(__xludf.DUMMYFUNCTION("""COMPUTED_VALUE"""),"Zdravice u příležitosti závěru měsíce československo-sovětského přátelství (zřejmě i k narozeninám J. V. Stalina 18. 12.) Rudé kožené desky s plochou zdobenou intarzovaným motivem holubice míru s trikolorou, hvězdy a trikolory, uvnitř tušová ilustrace s m"&amp;"otivem tváře horníka, kahanu, dvou vlajek atp., rkp,  podpisy, razítka, 43 x 32 cm.")</f>
        <v>Zdravice u příležitosti závěru měsíce československo-sovětského přátelství (zřejmě i k narozeninám J. V. Stalina 18. 12.) Rudé kožené desky s plochou zdobenou intarzovaným motivem holubice míru s trikolorou, hvězdy a trikolory, uvnitř tušová ilustrace s motivem tváře horníka, kahanu, dvou vlajek atp., rkp,  podpisy, razítka, 43 x 32 cm.</v>
      </c>
      <c r="F19" s="8" t="str">
        <f>IFERROR(__xludf.DUMMYFUNCTION("""COMPUTED_VALUE"""),"dokumenty")</f>
        <v>dokumenty</v>
      </c>
      <c r="G19" s="8" t="str">
        <f>IFERROR(__xludf.DUMMYFUNCTION("""COMPUTED_VALUE"""),"Blahopřání")</f>
        <v>Blahopřání</v>
      </c>
      <c r="H19" s="8"/>
      <c r="I19" s="9" t="str">
        <f>IFERROR(__xludf.DUMMYFUNCTION("""COMPUTED_VALUE"""),"12. prosinec 1952")</f>
        <v>12. prosinec 1952</v>
      </c>
      <c r="J19" s="8"/>
      <c r="K19" s="8" t="str">
        <f>IFERROR(__xludf.DUMMYFUNCTION("""COMPUTED_VALUE"""),"Předseda ONV a předseda MNV v Rosicích.")</f>
        <v>Předseda ONV a předseda MNV v Rosicích.</v>
      </c>
      <c r="L19" s="8" t="str">
        <f>IFERROR(__xludf.DUMMYFUNCTION("""COMPUTED_VALUE"""),"Národní muzeum, Archiv NM, Sbírka Muzea dělnického hnutí, sbírka Klement Gottwald - kult osobnosti.")</f>
        <v>Národní muzeum, Archiv NM, Sbírka Muzea dělnického hnutí, sbírka Klement Gottwald - kult osobnosti.</v>
      </c>
      <c r="M19" s="8"/>
      <c r="N19" s="8" t="str">
        <f>IFERROR(__xludf.DUMMYFUNCTION("""COMPUTED_VALUE"""),"Rosice_zdr01.jpg")</f>
        <v>Rosice_zdr01.jpg</v>
      </c>
      <c r="O19" s="8"/>
      <c r="P19" s="8" t="str">
        <f>IFERROR(__xludf.DUMMYFUNCTION("""COMPUTED_VALUE"""),"Obrazová dokumentace archiválie.")</f>
        <v>Obrazová dokumentace archiválie.</v>
      </c>
      <c r="Q19" s="8" t="str">
        <f>IFERROR(__xludf.DUMMYFUNCTION("""COMPUTED_VALUE"""),"Národní muzeum, Archiv NM, Sbírka Muzea dělnického hnutí, sbírka Klement Gottwald - kult osobnosti.")</f>
        <v>Národní muzeum, Archiv NM, Sbírka Muzea dělnického hnutí, sbírka Klement Gottwald - kult osobnosti.</v>
      </c>
      <c r="R19" s="8" t="str">
        <f>IFERROR(__xludf.DUMMYFUNCTION("""COMPUTED_VALUE"""),"Rosice_zdr02.jpg")</f>
        <v>Rosice_zdr02.jpg</v>
      </c>
      <c r="S19" s="8"/>
      <c r="T19" s="8" t="str">
        <f>IFERROR(__xludf.DUMMYFUNCTION("""COMPUTED_VALUE"""),"Obrazová dokumentace archiválie.")</f>
        <v>Obrazová dokumentace archiválie.</v>
      </c>
      <c r="U19" s="8" t="str">
        <f>IFERROR(__xludf.DUMMYFUNCTION("""COMPUTED_VALUE"""),"Národní muzeum, Archiv NM, Sbírka Muzea dělnického hnutí, sbírka Klement Gottwald - kult osobnosti.")</f>
        <v>Národní muzeum, Archiv NM, Sbírka Muzea dělnického hnutí, sbírka Klement Gottwald - kult osobnosti.</v>
      </c>
      <c r="V19" s="8" t="str">
        <f>IFERROR(__xludf.DUMMYFUNCTION("""COMPUTED_VALUE"""),"Rosice_zdr03.jpg")</f>
        <v>Rosice_zdr03.jpg</v>
      </c>
      <c r="W19" s="8"/>
      <c r="X19" s="8" t="str">
        <f>IFERROR(__xludf.DUMMYFUNCTION("""COMPUTED_VALUE"""),"Obrazová dokumentace archiválie.")</f>
        <v>Obrazová dokumentace archiválie.</v>
      </c>
      <c r="Y19" s="8" t="str">
        <f>IFERROR(__xludf.DUMMYFUNCTION("""COMPUTED_VALUE"""),"Národní muzeum, Archiv NM, Sbírka Muzea dělnického hnutí, sbírka Klement Gottwald - kult osobnosti.")</f>
        <v>Národní muzeum, Archiv NM, Sbírka Muzea dělnického hnutí, sbírka Klement Gottwald - kult osobnosti.</v>
      </c>
      <c r="Z19" s="8" t="str">
        <f>IFERROR(__xludf.DUMMYFUNCTION("""COMPUTED_VALUE"""),"Rosice_zdr04.jpg")</f>
        <v>Rosice_zdr04.jpg</v>
      </c>
      <c r="AA19" s="8"/>
      <c r="AB19" s="8" t="str">
        <f>IFERROR(__xludf.DUMMYFUNCTION("""COMPUTED_VALUE"""),"Obrazová dokumentace archiválie.")</f>
        <v>Obrazová dokumentace archiválie.</v>
      </c>
      <c r="AC19" s="8" t="str">
        <f>IFERROR(__xludf.DUMMYFUNCTION("""COMPUTED_VALUE"""),"Národní muzeum, Archiv NM, Sbírka Muzea dělnického hnutí, sbírka Klement Gottwald - kult osobnosti.")</f>
        <v>Národní muzeum, Archiv NM, Sbírka Muzea dělnického hnutí, sbírka Klement Gottwald - kult osobnosti.</v>
      </c>
      <c r="AD19" s="8" t="str">
        <f>IFERROR(__xludf.DUMMYFUNCTION("""COMPUTED_VALUE"""),"Rosice_zdr05.jpg")</f>
        <v>Rosice_zdr05.jpg</v>
      </c>
      <c r="AE19" s="8"/>
      <c r="AF19" s="8" t="str">
        <f>IFERROR(__xludf.DUMMYFUNCTION("""COMPUTED_VALUE"""),"Obrazová dokumentace archiválie.")</f>
        <v>Obrazová dokumentace archiválie.</v>
      </c>
      <c r="AG19" s="8" t="str">
        <f>IFERROR(__xludf.DUMMYFUNCTION("""COMPUTED_VALUE"""),"Národní muzeum, Archiv NM, Sbírka Muzea dělnického hnutí, sbírka Klement Gottwald - kult osobnosti.")</f>
        <v>Národní muzeum, Archiv NM, Sbírka Muzea dělnického hnutí, sbírka Klement Gottwald - kult osobnosti.</v>
      </c>
      <c r="AH19" s="8"/>
      <c r="AI19" s="8"/>
      <c r="AJ19" s="8"/>
      <c r="AK19" s="8"/>
      <c r="AL19" s="8"/>
      <c r="AM19" s="8"/>
      <c r="AN19" s="8"/>
      <c r="AO19" s="8"/>
    </row>
    <row r="20">
      <c r="A20" s="7">
        <f t="shared" si="1"/>
        <v>19</v>
      </c>
      <c r="B20" s="8" t="str">
        <f>IFERROR(__xludf.DUMMYFUNCTION("""COMPUTED_VALUE"""),"12.371222")</f>
        <v>12.371222</v>
      </c>
      <c r="C20" s="8" t="str">
        <f>IFERROR(__xludf.DUMMYFUNCTION("""COMPUTED_VALUE"""),"50.0579783")</f>
        <v>50.0579783</v>
      </c>
      <c r="D20" s="8" t="str">
        <f>IFERROR(__xludf.DUMMYFUNCTION("""COMPUTED_VALUE"""),"Háje, zdravice k výročí republiky ")</f>
        <v>Háje, zdravice k výročí republiky </v>
      </c>
      <c r="E20" s="8" t="str">
        <f>IFERROR(__xludf.DUMMYFUNCTION("""COMPUTED_VALUE"""),"Zdravice k 30. výročí ČSR a slip plnění pětiletky, přivěšena krabička s pohraniční prstí. Šedo-rudé textilní desky se zlacenými nápisy, na šňůře šedá kulatá krabička (p. 9 cm), barevná kaligrafie a symboly lipové a vavřínové ratolesti, rkp, podpisy, razít"&amp;"ka, 6 ll, 34 x 25 cm.")</f>
        <v>Zdravice k 30. výročí ČSR a slip plnění pětiletky, přivěšena krabička s pohraniční prstí. Šedo-rudé textilní desky se zlacenými nápisy, na šňůře šedá kulatá krabička (p. 9 cm), barevná kaligrafie a symboly lipové a vavřínové ratolesti, rkp, podpisy, razítka, 6 ll, 34 x 25 cm.</v>
      </c>
      <c r="F20" s="8" t="str">
        <f>IFERROR(__xludf.DUMMYFUNCTION("""COMPUTED_VALUE"""),"dokumenty")</f>
        <v>dokumenty</v>
      </c>
      <c r="G20" s="8" t="str">
        <f>IFERROR(__xludf.DUMMYFUNCTION("""COMPUTED_VALUE"""),"Blahopřání")</f>
        <v>Blahopřání</v>
      </c>
      <c r="H20" s="8"/>
      <c r="I20" s="9" t="str">
        <f>IFERROR(__xludf.DUMMYFUNCTION("""COMPUTED_VALUE"""),"28. říjen 1948")</f>
        <v>28. říjen 1948</v>
      </c>
      <c r="J20" s="8"/>
      <c r="K20" s="8" t="str">
        <f>IFERROR(__xludf.DUMMYFUNCTION("""COMPUTED_VALUE"""),"Místní národní výbor Háje, okres Cheb")</f>
        <v>Místní národní výbor Háje, okres Cheb</v>
      </c>
      <c r="L20" s="8" t="str">
        <f>IFERROR(__xludf.DUMMYFUNCTION("""COMPUTED_VALUE"""),"Národní muzeum, Archiv NM, Sbírka Muzea dělnického hnutí, sbírka Klement Gottwald - kult osobnosti.")</f>
        <v>Národní muzeum, Archiv NM, Sbírka Muzea dělnického hnutí, sbírka Klement Gottwald - kult osobnosti.</v>
      </c>
      <c r="M20" s="8"/>
      <c r="N20" s="8" t="str">
        <f>IFERROR(__xludf.DUMMYFUNCTION("""COMPUTED_VALUE"""),"Háje_zdr01.jpg")</f>
        <v>Háje_zdr01.jpg</v>
      </c>
      <c r="O20" s="8"/>
      <c r="P20" s="8" t="str">
        <f>IFERROR(__xludf.DUMMYFUNCTION("""COMPUTED_VALUE"""),"Obrazová dokumentace archiválie.")</f>
        <v>Obrazová dokumentace archiválie.</v>
      </c>
      <c r="Q20" s="8" t="str">
        <f>IFERROR(__xludf.DUMMYFUNCTION("""COMPUTED_VALUE"""),"Národní muzeum, Archiv NM, Sbírka Muzea dělnického hnutí, sbírka Klement Gottwald - kult osobnosti.")</f>
        <v>Národní muzeum, Archiv NM, Sbírka Muzea dělnického hnutí, sbírka Klement Gottwald - kult osobnosti.</v>
      </c>
      <c r="R20" s="8" t="str">
        <f>IFERROR(__xludf.DUMMYFUNCTION("""COMPUTED_VALUE"""),"Háje_zdr02.jpg")</f>
        <v>Háje_zdr02.jpg</v>
      </c>
      <c r="S20" s="8"/>
      <c r="T20" s="8" t="str">
        <f>IFERROR(__xludf.DUMMYFUNCTION("""COMPUTED_VALUE"""),"Obrazová dokumentace archiválie.")</f>
        <v>Obrazová dokumentace archiválie.</v>
      </c>
      <c r="U20" s="8" t="str">
        <f>IFERROR(__xludf.DUMMYFUNCTION("""COMPUTED_VALUE"""),"Národní muzeum, Archiv NM, Sbírka Muzea dělnického hnutí, sbírka Klement Gottwald - kult osobnosti.")</f>
        <v>Národní muzeum, Archiv NM, Sbírka Muzea dělnického hnutí, sbírka Klement Gottwald - kult osobnosti.</v>
      </c>
      <c r="V20" s="8" t="str">
        <f>IFERROR(__xludf.DUMMYFUNCTION("""COMPUTED_VALUE"""),"Háje_zdr03.jpg")</f>
        <v>Háje_zdr03.jpg</v>
      </c>
      <c r="W20" s="8"/>
      <c r="X20" s="8" t="str">
        <f>IFERROR(__xludf.DUMMYFUNCTION("""COMPUTED_VALUE"""),"Obrazová dokumentace archiválie.")</f>
        <v>Obrazová dokumentace archiválie.</v>
      </c>
      <c r="Y20" s="8" t="str">
        <f>IFERROR(__xludf.DUMMYFUNCTION("""COMPUTED_VALUE"""),"Národní muzeum, Archiv NM, Sbírka Muzea dělnického hnutí, sbírka Klement Gottwald - kult osobnosti.")</f>
        <v>Národní muzeum, Archiv NM, Sbírka Muzea dělnického hnutí, sbírka Klement Gottwald - kult osobnosti.</v>
      </c>
      <c r="Z20" s="8" t="str">
        <f>IFERROR(__xludf.DUMMYFUNCTION("""COMPUTED_VALUE"""),"Háje_zdr04.jpg")</f>
        <v>Háje_zdr04.jpg</v>
      </c>
      <c r="AA20" s="8"/>
      <c r="AB20" s="8" t="str">
        <f>IFERROR(__xludf.DUMMYFUNCTION("""COMPUTED_VALUE"""),"Obrazová dokumentace archiválie.")</f>
        <v>Obrazová dokumentace archiválie.</v>
      </c>
      <c r="AC20" s="8" t="str">
        <f>IFERROR(__xludf.DUMMYFUNCTION("""COMPUTED_VALUE"""),"Národní muzeum, Archiv NM, Sbírka Muzea dělnického hnutí, sbírka Klement Gottwald - kult osobnosti.")</f>
        <v>Národní muzeum, Archiv NM, Sbírka Muzea dělnického hnutí, sbírka Klement Gottwald - kult osobnosti.</v>
      </c>
      <c r="AD20" s="8" t="str">
        <f>IFERROR(__xludf.DUMMYFUNCTION("""COMPUTED_VALUE"""),"Háje_zdr05.jpg")</f>
        <v>Háje_zdr05.jpg</v>
      </c>
      <c r="AE20" s="8"/>
      <c r="AF20" s="8" t="str">
        <f>IFERROR(__xludf.DUMMYFUNCTION("""COMPUTED_VALUE"""),"Obrazová dokumentace archiválie.")</f>
        <v>Obrazová dokumentace archiválie.</v>
      </c>
      <c r="AG20" s="8" t="str">
        <f>IFERROR(__xludf.DUMMYFUNCTION("""COMPUTED_VALUE"""),"Národní muzeum, Archiv NM, Sbírka Muzea dělnického hnutí, sbírka Klement Gottwald - kult osobnosti.")</f>
        <v>Národní muzeum, Archiv NM, Sbírka Muzea dělnického hnutí, sbírka Klement Gottwald - kult osobnosti.</v>
      </c>
      <c r="AH20" s="8"/>
      <c r="AI20" s="8"/>
      <c r="AJ20" s="8"/>
      <c r="AK20" s="8"/>
      <c r="AL20" s="8"/>
      <c r="AM20" s="8"/>
      <c r="AN20" s="8"/>
      <c r="AO20" s="8"/>
    </row>
    <row r="21">
      <c r="A21" s="7">
        <f t="shared" si="1"/>
        <v>20</v>
      </c>
      <c r="B21" s="8" t="str">
        <f>IFERROR(__xludf.DUMMYFUNCTION("""COMPUTED_VALUE"""),"14.4234889")</f>
        <v>14.4234889</v>
      </c>
      <c r="C21" s="8" t="str">
        <f>IFERROR(__xludf.DUMMYFUNCTION("""COMPUTED_VALUE"""),"50.0871106")</f>
        <v>50.0871106</v>
      </c>
      <c r="D21" s="8" t="str">
        <f>IFERROR(__xludf.DUMMYFUNCTION("""COMPUTED_VALUE"""),"Praha, poúnorová zdravice Univerzity Karlovy")</f>
        <v>Praha, poúnorová zdravice Univerzity Karlovy</v>
      </c>
      <c r="E21" s="8" t="str">
        <f>IFERROR(__xludf.DUMMYFUNCTION("""COMPUTED_VALUE"""),"Zdravice, poděkování KG za přízeň a přihlášení se k únorovému programu. Světle hnědé kožené desky, drobné ornamenty, rkp, podpisy vedoucích fakult, razítka, 4 ll, A4.")</f>
        <v>Zdravice, poděkování KG za přízeň a přihlášení se k únorovému programu. Světle hnědé kožené desky, drobné ornamenty, rkp, podpisy vedoucích fakult, razítka, 4 ll, A4.</v>
      </c>
      <c r="F21" s="8" t="str">
        <f>IFERROR(__xludf.DUMMYFUNCTION("""COMPUTED_VALUE"""),"dokumenty")</f>
        <v>dokumenty</v>
      </c>
      <c r="G21" s="8" t="str">
        <f>IFERROR(__xludf.DUMMYFUNCTION("""COMPUTED_VALUE"""),"Blahopřání")</f>
        <v>Blahopřání</v>
      </c>
      <c r="H21" s="8"/>
      <c r="I21" s="9" t="str">
        <f>IFERROR(__xludf.DUMMYFUNCTION("""COMPUTED_VALUE"""),"14. duben 1948")</f>
        <v>14. duben 1948</v>
      </c>
      <c r="J21" s="8"/>
      <c r="K21" s="8" t="str">
        <f>IFERROR(__xludf.DUMMYFUNCTION("""COMPUTED_VALUE"""),"Univerzita Karlova.")</f>
        <v>Univerzita Karlova.</v>
      </c>
      <c r="L21" s="8" t="str">
        <f>IFERROR(__xludf.DUMMYFUNCTION("""COMPUTED_VALUE"""),"Národní muzeum, Archiv NM, Sbírka Muzea dělnického hnutí, sbírka Klement Gottwald - kult osobnosti.")</f>
        <v>Národní muzeum, Archiv NM, Sbírka Muzea dělnického hnutí, sbírka Klement Gottwald - kult osobnosti.</v>
      </c>
      <c r="M21" s="8"/>
      <c r="N21" s="8" t="str">
        <f>IFERROR(__xludf.DUMMYFUNCTION("""COMPUTED_VALUE"""),"PrahaUK_zdr01.jpg")</f>
        <v>PrahaUK_zdr01.jpg</v>
      </c>
      <c r="O21" s="8"/>
      <c r="P21" s="8" t="str">
        <f>IFERROR(__xludf.DUMMYFUNCTION("""COMPUTED_VALUE"""),"Obrazová dokumentace archiválie.")</f>
        <v>Obrazová dokumentace archiválie.</v>
      </c>
      <c r="Q21" s="8" t="str">
        <f>IFERROR(__xludf.DUMMYFUNCTION("""COMPUTED_VALUE"""),"Národní muzeum, Archiv NM, Sbírka Muzea dělnického hnutí, sbírka Klement Gottwald - kult osobnosti.")</f>
        <v>Národní muzeum, Archiv NM, Sbírka Muzea dělnického hnutí, sbírka Klement Gottwald - kult osobnosti.</v>
      </c>
      <c r="R21" s="8" t="str">
        <f>IFERROR(__xludf.DUMMYFUNCTION("""COMPUTED_VALUE"""),"PrahaUK_zdr02.jpg")</f>
        <v>PrahaUK_zdr02.jpg</v>
      </c>
      <c r="S21" s="8"/>
      <c r="T21" s="8" t="str">
        <f>IFERROR(__xludf.DUMMYFUNCTION("""COMPUTED_VALUE"""),"Obrazová dokumentace archiválie.")</f>
        <v>Obrazová dokumentace archiválie.</v>
      </c>
      <c r="U21" s="8" t="str">
        <f>IFERROR(__xludf.DUMMYFUNCTION("""COMPUTED_VALUE"""),"Národní muzeum, Archiv NM, Sbírka Muzea dělnického hnutí, sbírka Klement Gottwald - kult osobnosti.")</f>
        <v>Národní muzeum, Archiv NM, Sbírka Muzea dělnického hnutí, sbírka Klement Gottwald - kult osobnosti.</v>
      </c>
      <c r="V21" s="8"/>
      <c r="W21" s="8"/>
      <c r="X21" s="8"/>
      <c r="Y21" s="8"/>
      <c r="Z21" s="8"/>
      <c r="AA21" s="8"/>
      <c r="AB21" s="8"/>
      <c r="AC21" s="8"/>
      <c r="AD21" s="8"/>
      <c r="AE21" s="8"/>
      <c r="AF21" s="8"/>
      <c r="AG21" s="8"/>
      <c r="AH21" s="8"/>
      <c r="AI21" s="8"/>
      <c r="AJ21" s="8"/>
      <c r="AK21" s="8"/>
      <c r="AL21" s="8"/>
      <c r="AM21" s="8"/>
      <c r="AN21" s="8"/>
      <c r="AO21" s="8"/>
    </row>
    <row r="22">
      <c r="A22" s="7">
        <f t="shared" si="1"/>
        <v>21</v>
      </c>
      <c r="B22" s="8" t="str">
        <f>IFERROR(__xludf.DUMMYFUNCTION("""COMPUTED_VALUE"""),"14.0835921")</f>
        <v>14.0835921</v>
      </c>
      <c r="C22" s="8" t="str">
        <f>IFERROR(__xludf.DUMMYFUNCTION("""COMPUTED_VALUE"""),"50.1418783")</f>
        <v>50.1418783</v>
      </c>
      <c r="D22" s="8" t="str">
        <f>IFERROR(__xludf.DUMMYFUNCTION("""COMPUTED_VALUE"""),"Kladno, čestné občanství ")</f>
        <v>Kladno, čestné občanství </v>
      </c>
      <c r="E22" s="8" t="str">
        <f>IFERROR(__xludf.DUMMYFUNCTION("""COMPUTED_VALUE"""),"Diplom čestného občanství. Světle hnědé kožené desky s ořízkou a zlaceným G, titulní ilustrace se znakem a hornickými symboly, rkp, podpisy, 4 ll, 31 x 40 cm.")</f>
        <v>Diplom čestného občanství. Světle hnědé kožené desky s ořízkou a zlaceným G, titulní ilustrace se znakem a hornickými symboly, rkp, podpisy, 4 ll, 31 x 40 cm.</v>
      </c>
      <c r="F22" s="8" t="str">
        <f>IFERROR(__xludf.DUMMYFUNCTION("""COMPUTED_VALUE"""),"dokumenty")</f>
        <v>dokumenty</v>
      </c>
      <c r="G22" s="8" t="str">
        <f>IFERROR(__xludf.DUMMYFUNCTION("""COMPUTED_VALUE"""),"Čestná občanství")</f>
        <v>Čestná občanství</v>
      </c>
      <c r="H22" s="8"/>
      <c r="I22" s="9" t="str">
        <f>IFERROR(__xludf.DUMMYFUNCTION("""COMPUTED_VALUE"""),"2. květen 1946")</f>
        <v>2. květen 1946</v>
      </c>
      <c r="J22" s="8"/>
      <c r="K22" s="8" t="str">
        <f>IFERROR(__xludf.DUMMYFUNCTION("""COMPUTED_VALUE"""),"Místní národní výbor.")</f>
        <v>Místní národní výbor.</v>
      </c>
      <c r="L22" s="8" t="str">
        <f>IFERROR(__xludf.DUMMYFUNCTION("""COMPUTED_VALUE"""),"Národní muzeum, Archiv NM, Sbírka Muzea dělnického hnutí, sbírka Klement Gottwald - kult osobnosti.")</f>
        <v>Národní muzeum, Archiv NM, Sbírka Muzea dělnického hnutí, sbírka Klement Gottwald - kult osobnosti.</v>
      </c>
      <c r="M22" s="8"/>
      <c r="N22" s="8" t="str">
        <f>IFERROR(__xludf.DUMMYFUNCTION("""COMPUTED_VALUE"""),"Kladno_obc01.jpg")</f>
        <v>Kladno_obc01.jpg</v>
      </c>
      <c r="O22" s="8"/>
      <c r="P22" s="8" t="str">
        <f>IFERROR(__xludf.DUMMYFUNCTION("""COMPUTED_VALUE"""),"Obrazová dokumentace archiválie.")</f>
        <v>Obrazová dokumentace archiválie.</v>
      </c>
      <c r="Q22" s="8" t="str">
        <f>IFERROR(__xludf.DUMMYFUNCTION("""COMPUTED_VALUE"""),"Národní muzeum, Archiv NM, Sbírka Muzea dělnického hnutí, sbírka Klement Gottwald - kult osobnosti.")</f>
        <v>Národní muzeum, Archiv NM, Sbírka Muzea dělnického hnutí, sbírka Klement Gottwald - kult osobnosti.</v>
      </c>
      <c r="R22" s="8" t="str">
        <f>IFERROR(__xludf.DUMMYFUNCTION("""COMPUTED_VALUE"""),"Kladno_obc02.jpg")</f>
        <v>Kladno_obc02.jpg</v>
      </c>
      <c r="S22" s="8"/>
      <c r="T22" s="8" t="str">
        <f>IFERROR(__xludf.DUMMYFUNCTION("""COMPUTED_VALUE"""),"Obrazová dokumentace archiválie.")</f>
        <v>Obrazová dokumentace archiválie.</v>
      </c>
      <c r="U22" s="8" t="str">
        <f>IFERROR(__xludf.DUMMYFUNCTION("""COMPUTED_VALUE"""),"Národní muzeum, Archiv NM, Sbírka Muzea dělnického hnutí, sbírka Klement Gottwald - kult osobnosti.")</f>
        <v>Národní muzeum, Archiv NM, Sbírka Muzea dělnického hnutí, sbírka Klement Gottwald - kult osobnosti.</v>
      </c>
      <c r="V22" s="8" t="str">
        <f>IFERROR(__xludf.DUMMYFUNCTION("""COMPUTED_VALUE"""),"Kladno_obc03.jpg")</f>
        <v>Kladno_obc03.jpg</v>
      </c>
      <c r="W22" s="8"/>
      <c r="X22" s="8" t="str">
        <f>IFERROR(__xludf.DUMMYFUNCTION("""COMPUTED_VALUE"""),"Obrazová dokumentace archiválie.")</f>
        <v>Obrazová dokumentace archiválie.</v>
      </c>
      <c r="Y22" s="8" t="str">
        <f>IFERROR(__xludf.DUMMYFUNCTION("""COMPUTED_VALUE"""),"Národní muzeum, Archiv NM, Sbírka Muzea dělnického hnutí, sbírka Klement Gottwald - kult osobnosti.")</f>
        <v>Národní muzeum, Archiv NM, Sbírka Muzea dělnického hnutí, sbírka Klement Gottwald - kult osobnosti.</v>
      </c>
      <c r="Z22" s="8"/>
      <c r="AA22" s="8"/>
      <c r="AB22" s="8"/>
      <c r="AC22" s="8"/>
      <c r="AD22" s="8"/>
      <c r="AE22" s="8"/>
      <c r="AF22" s="8"/>
      <c r="AG22" s="8"/>
      <c r="AH22" s="8"/>
      <c r="AI22" s="8"/>
      <c r="AJ22" s="8"/>
      <c r="AK22" s="8"/>
      <c r="AL22" s="8"/>
      <c r="AM22" s="8"/>
      <c r="AN22" s="8"/>
      <c r="AO22" s="8"/>
    </row>
    <row r="23">
      <c r="A23" s="7">
        <f t="shared" si="1"/>
        <v>22</v>
      </c>
      <c r="B23" s="8" t="str">
        <f>IFERROR(__xludf.DUMMYFUNCTION("""COMPUTED_VALUE"""),"13.7278687")</f>
        <v>13.7278687</v>
      </c>
      <c r="C23" s="8" t="str">
        <f>IFERROR(__xludf.DUMMYFUNCTION("""COMPUTED_VALUE"""),"50.1032033")</f>
        <v>50.1032033</v>
      </c>
      <c r="D23" s="8" t="str">
        <f>IFERROR(__xludf.DUMMYFUNCTION("""COMPUTED_VALUE"""),"Rakovník, čestné občanství ")</f>
        <v>Rakovník, čestné občanství </v>
      </c>
      <c r="E23" s="8" t="str">
        <f>IFERROR(__xludf.DUMMYFUNCTION("""COMPUTED_VALUE"""),"Diplom čestného občanství u příležitosti 52. narozenin. Světle hnědé kožené desky se zlacenou iniciálou KG, diplom s ilustrací ženy s květinami a městským znakem (pravděp. Václav Rabas), tisk, podpisy, 4 ll, 39 x 30 cm.")</f>
        <v>Diplom čestného občanství u příležitosti 52. narozenin. Světle hnědé kožené desky se zlacenou iniciálou KG, diplom s ilustrací ženy s květinami a městským znakem (pravděp. Václav Rabas), tisk, podpisy, 4 ll, 39 x 30 cm.</v>
      </c>
      <c r="F23" s="8" t="str">
        <f>IFERROR(__xludf.DUMMYFUNCTION("""COMPUTED_VALUE"""),"dokumenty")</f>
        <v>dokumenty</v>
      </c>
      <c r="G23" s="8" t="str">
        <f>IFERROR(__xludf.DUMMYFUNCTION("""COMPUTED_VALUE"""),"Čestná občanství")</f>
        <v>Čestná občanství</v>
      </c>
      <c r="H23" s="8"/>
      <c r="I23" s="9" t="str">
        <f>IFERROR(__xludf.DUMMYFUNCTION("""COMPUTED_VALUE"""),"22. listopad 1948")</f>
        <v>22. listopad 1948</v>
      </c>
      <c r="J23" s="8"/>
      <c r="K23" s="8" t="str">
        <f>IFERROR(__xludf.DUMMYFUNCTION("""COMPUTED_VALUE"""),"Místní národní výbor. V. Rabas (?).")</f>
        <v>Místní národní výbor. V. Rabas (?).</v>
      </c>
      <c r="L23" s="8" t="str">
        <f>IFERROR(__xludf.DUMMYFUNCTION("""COMPUTED_VALUE"""),"Národní muzeum, Archiv NM, Sbírka Muzea dělnického hnutí, sbírka Klement Gottwald - kult osobnosti.")</f>
        <v>Národní muzeum, Archiv NM, Sbírka Muzea dělnického hnutí, sbírka Klement Gottwald - kult osobnosti.</v>
      </c>
      <c r="M23" s="8"/>
      <c r="N23" s="8" t="str">
        <f>IFERROR(__xludf.DUMMYFUNCTION("""COMPUTED_VALUE"""),"Rakovník_obc01.jpg")</f>
        <v>Rakovník_obc01.jpg</v>
      </c>
      <c r="O23" s="8"/>
      <c r="P23" s="8" t="str">
        <f>IFERROR(__xludf.DUMMYFUNCTION("""COMPUTED_VALUE"""),"Obrazová dokumentace archiválie.")</f>
        <v>Obrazová dokumentace archiválie.</v>
      </c>
      <c r="Q23" s="8" t="str">
        <f>IFERROR(__xludf.DUMMYFUNCTION("""COMPUTED_VALUE"""),"Národní muzeum, Archiv NM, Sbírka Muzea dělnického hnutí, sbírka Klement Gottwald - kult osobnosti.")</f>
        <v>Národní muzeum, Archiv NM, Sbírka Muzea dělnického hnutí, sbírka Klement Gottwald - kult osobnosti.</v>
      </c>
      <c r="R23" s="8" t="str">
        <f>IFERROR(__xludf.DUMMYFUNCTION("""COMPUTED_VALUE"""),"Rakovník_obc02.jpg")</f>
        <v>Rakovník_obc02.jpg</v>
      </c>
      <c r="S23" s="8"/>
      <c r="T23" s="8" t="str">
        <f>IFERROR(__xludf.DUMMYFUNCTION("""COMPUTED_VALUE"""),"Obrazová dokumentace archiválie.")</f>
        <v>Obrazová dokumentace archiválie.</v>
      </c>
      <c r="U23" s="8" t="str">
        <f>IFERROR(__xludf.DUMMYFUNCTION("""COMPUTED_VALUE"""),"Národní muzeum, Archiv NM, Sbírka Muzea dělnického hnutí, sbírka Klement Gottwald - kult osobnosti.")</f>
        <v>Národní muzeum, Archiv NM, Sbírka Muzea dělnického hnutí, sbírka Klement Gottwald - kult osobnosti.</v>
      </c>
      <c r="V23" s="8"/>
      <c r="W23" s="8"/>
      <c r="X23" s="8"/>
      <c r="Y23" s="8"/>
      <c r="Z23" s="8"/>
      <c r="AA23" s="8"/>
      <c r="AB23" s="8"/>
      <c r="AC23" s="8"/>
      <c r="AD23" s="8"/>
      <c r="AE23" s="8"/>
      <c r="AF23" s="8"/>
      <c r="AG23" s="8"/>
      <c r="AH23" s="8"/>
      <c r="AI23" s="8"/>
      <c r="AJ23" s="8"/>
      <c r="AK23" s="8"/>
      <c r="AL23" s="8"/>
      <c r="AM23" s="8"/>
      <c r="AN23" s="8"/>
      <c r="AO23" s="8"/>
    </row>
    <row r="24">
      <c r="A24" s="7">
        <f t="shared" si="1"/>
        <v>23</v>
      </c>
      <c r="B24" s="8" t="str">
        <f>IFERROR(__xludf.DUMMYFUNCTION("""COMPUTED_VALUE"""),"14.4378005")</f>
        <v>14.4378005</v>
      </c>
      <c r="C24" s="8" t="str">
        <f>IFERROR(__xludf.DUMMYFUNCTION("""COMPUTED_VALUE"""),"50.0755381")</f>
        <v>50.0755381</v>
      </c>
      <c r="D24" s="8" t="str">
        <f>IFERROR(__xludf.DUMMYFUNCTION("""COMPUTED_VALUE"""),"Praha, čestné občanství ")</f>
        <v>Praha, čestné občanství </v>
      </c>
      <c r="E24" s="8" t="str">
        <f>IFERROR(__xludf.DUMMYFUNCTION("""COMPUTED_VALUE"""),"Diplom čestného občanství. Světle hnědé kožené desky se zlaceným znakem města a florálním dekorem, na žluto-červené šňůře přivěšena pečeť města v misce, ruční papír, rkp, podpis primátora Vacka, 6 ll, 33 x 22 cm.")</f>
        <v>Diplom čestného občanství. Světle hnědé kožené desky se zlaceným znakem města a florálním dekorem, na žluto-červené šňůře přivěšena pečeť města v misce, ruční papír, rkp, podpis primátora Vacka, 6 ll, 33 x 22 cm.</v>
      </c>
      <c r="F24" s="8" t="str">
        <f>IFERROR(__xludf.DUMMYFUNCTION("""COMPUTED_VALUE"""),"dokumenty")</f>
        <v>dokumenty</v>
      </c>
      <c r="G24" s="8" t="str">
        <f>IFERROR(__xludf.DUMMYFUNCTION("""COMPUTED_VALUE"""),"Čestná občanství")</f>
        <v>Čestná občanství</v>
      </c>
      <c r="H24" s="8"/>
      <c r="I24" s="9" t="str">
        <f>IFERROR(__xludf.DUMMYFUNCTION("""COMPUTED_VALUE"""),"25. říjen 1946")</f>
        <v>25. říjen 1946</v>
      </c>
      <c r="J24" s="8"/>
      <c r="K24" s="8" t="str">
        <f>IFERROR(__xludf.DUMMYFUNCTION("""COMPUTED_VALUE"""),"Magistrát hlavního města, primátor Václav Vacek. A. Šťastný.")</f>
        <v>Magistrát hlavního města, primátor Václav Vacek. A. Šťastný.</v>
      </c>
      <c r="L24" s="8" t="str">
        <f>IFERROR(__xludf.DUMMYFUNCTION("""COMPUTED_VALUE"""),"Národní muzeum, Archiv NM, Sbírka Muzea dělnického hnutí, sbírka Klement Gottwald - kult osobnosti.")</f>
        <v>Národní muzeum, Archiv NM, Sbírka Muzea dělnického hnutí, sbírka Klement Gottwald - kult osobnosti.</v>
      </c>
      <c r="M24" s="8"/>
      <c r="N24" s="8" t="str">
        <f>IFERROR(__xludf.DUMMYFUNCTION("""COMPUTED_VALUE"""),"Praha_obc01.jpg")</f>
        <v>Praha_obc01.jpg</v>
      </c>
      <c r="O24" s="8"/>
      <c r="P24" s="8" t="str">
        <f>IFERROR(__xludf.DUMMYFUNCTION("""COMPUTED_VALUE"""),"Obrazová dokumentace archiválie.")</f>
        <v>Obrazová dokumentace archiválie.</v>
      </c>
      <c r="Q24" s="8" t="str">
        <f>IFERROR(__xludf.DUMMYFUNCTION("""COMPUTED_VALUE"""),"Národní muzeum, Archiv NM, Sbírka Muzea dělnického hnutí, sbírka Klement Gottwald - kult osobnosti.")</f>
        <v>Národní muzeum, Archiv NM, Sbírka Muzea dělnického hnutí, sbírka Klement Gottwald - kult osobnosti.</v>
      </c>
      <c r="R24" s="8" t="str">
        <f>IFERROR(__xludf.DUMMYFUNCTION("""COMPUTED_VALUE"""),"Praha_obc02.jpg")</f>
        <v>Praha_obc02.jpg</v>
      </c>
      <c r="S24" s="8"/>
      <c r="T24" s="8" t="str">
        <f>IFERROR(__xludf.DUMMYFUNCTION("""COMPUTED_VALUE"""),"Obrazová dokumentace archiválie.")</f>
        <v>Obrazová dokumentace archiválie.</v>
      </c>
      <c r="U24" s="8" t="str">
        <f>IFERROR(__xludf.DUMMYFUNCTION("""COMPUTED_VALUE"""),"Národní muzeum, Archiv NM, Sbírka Muzea dělnického hnutí, sbírka Klement Gottwald - kult osobnosti.")</f>
        <v>Národní muzeum, Archiv NM, Sbírka Muzea dělnického hnutí, sbírka Klement Gottwald - kult osobnosti.</v>
      </c>
      <c r="V24" s="8" t="str">
        <f>IFERROR(__xludf.DUMMYFUNCTION("""COMPUTED_VALUE"""),"Praha_obc03.jpg")</f>
        <v>Praha_obc03.jpg</v>
      </c>
      <c r="W24" s="8"/>
      <c r="X24" s="8" t="str">
        <f>IFERROR(__xludf.DUMMYFUNCTION("""COMPUTED_VALUE"""),"Obrazová dokumentace archiválie.")</f>
        <v>Obrazová dokumentace archiválie.</v>
      </c>
      <c r="Y24" s="8" t="str">
        <f>IFERROR(__xludf.DUMMYFUNCTION("""COMPUTED_VALUE"""),"Národní muzeum, Archiv NM, Sbírka Muzea dělnického hnutí, sbírka Klement Gottwald - kult osobnosti.")</f>
        <v>Národní muzeum, Archiv NM, Sbírka Muzea dělnického hnutí, sbírka Klement Gottwald - kult osobnosti.</v>
      </c>
      <c r="Z24" s="8" t="str">
        <f>IFERROR(__xludf.DUMMYFUNCTION("""COMPUTED_VALUE"""),"Praha_obc04.jpg")</f>
        <v>Praha_obc04.jpg</v>
      </c>
      <c r="AA24" s="8"/>
      <c r="AB24" s="8" t="str">
        <f>IFERROR(__xludf.DUMMYFUNCTION("""COMPUTED_VALUE"""),"Obrazová dokumentace archiválie.")</f>
        <v>Obrazová dokumentace archiválie.</v>
      </c>
      <c r="AC24" s="8" t="str">
        <f>IFERROR(__xludf.DUMMYFUNCTION("""COMPUTED_VALUE"""),"Národní muzeum, Archiv NM, Sbírka Muzea dělnického hnutí, sbírka Klement Gottwald - kult osobnosti.")</f>
        <v>Národní muzeum, Archiv NM, Sbírka Muzea dělnického hnutí, sbírka Klement Gottwald - kult osobnosti.</v>
      </c>
      <c r="AD24" s="8"/>
      <c r="AE24" s="8"/>
      <c r="AF24" s="8"/>
      <c r="AG24" s="8"/>
      <c r="AH24" s="8"/>
      <c r="AI24" s="8"/>
      <c r="AJ24" s="8"/>
      <c r="AK24" s="8"/>
      <c r="AL24" s="8"/>
      <c r="AM24" s="8"/>
      <c r="AN24" s="8"/>
      <c r="AO24" s="8"/>
    </row>
    <row r="25">
      <c r="A25" s="7">
        <f t="shared" si="1"/>
        <v>24</v>
      </c>
      <c r="B25" s="8" t="str">
        <f>IFERROR(__xludf.DUMMYFUNCTION("""COMPUTED_VALUE"""),"12.7011977")</f>
        <v>12.7011977</v>
      </c>
      <c r="C25" s="8" t="str">
        <f>IFERROR(__xludf.DUMMYFUNCTION("""COMPUTED_VALUE"""),"49.9645986")</f>
        <v>49.9645986</v>
      </c>
      <c r="D25" s="8" t="str">
        <f>IFERROR(__xludf.DUMMYFUNCTION("""COMPUTED_VALUE"""),"Mariánské Lázně, čestná občanství ")</f>
        <v>Mariánské Lázně, čestná občanství </v>
      </c>
      <c r="E25" s="8" t="str">
        <f>IFERROR(__xludf.DUMMYFUNCTION("""COMPUTED_VALUE"""),"Diplom čestného občanství, zpráva o jeho udělení na plénu MNV (21. 11. 1948). Světle hnědé kožené desky s aplikací z rudé kůže se zlaceným znakem města, bohatě barevně ilustrováno tématikou budovatelství a lázeňství, ruční papír, rkp, 10 ll, 35 x 26 cm. M"&amp;"NV ovšem, zdá se, zapomněl, že čestné občanství K. Gottwaldovi udělil již v roce 1946, ještě když byl ve funkci předsedy vlády, viz poslední zobrazení.")</f>
        <v>Diplom čestného občanství, zpráva o jeho udělení na plénu MNV (21. 11. 1948). Světle hnědé kožené desky s aplikací z rudé kůže se zlaceným znakem města, bohatě barevně ilustrováno tématikou budovatelství a lázeňství, ruční papír, rkp, 10 ll, 35 x 26 cm. MNV ovšem, zdá se, zapomněl, že čestné občanství K. Gottwaldovi udělil již v roce 1946, ještě když byl ve funkci předsedy vlády, viz poslední zobrazení.</v>
      </c>
      <c r="F25" s="8" t="str">
        <f>IFERROR(__xludf.DUMMYFUNCTION("""COMPUTED_VALUE"""),"dokumenty")</f>
        <v>dokumenty</v>
      </c>
      <c r="G25" s="8" t="str">
        <f>IFERROR(__xludf.DUMMYFUNCTION("""COMPUTED_VALUE"""),"Čestná občanství")</f>
        <v>Čestná občanství</v>
      </c>
      <c r="H25" s="8"/>
      <c r="I25" s="9" t="str">
        <f>IFERROR(__xludf.DUMMYFUNCTION("""COMPUTED_VALUE"""),"21. listopad 1948 / 9. říjen 1946")</f>
        <v>21. listopad 1948 / 9. říjen 1946</v>
      </c>
      <c r="J25" s="8"/>
      <c r="K25" s="8" t="str">
        <f>IFERROR(__xludf.DUMMYFUNCTION("""COMPUTED_VALUE"""),"Místní národní výbor. R. Lander.")</f>
        <v>Místní národní výbor. R. Lander.</v>
      </c>
      <c r="L25" s="8" t="str">
        <f>IFERROR(__xludf.DUMMYFUNCTION("""COMPUTED_VALUE"""),"Národní muzeum, Archiv NM, Sbírka Muzea dělnického hnutí, sbírka Klement Gottwald - kult osobnosti.")</f>
        <v>Národní muzeum, Archiv NM, Sbírka Muzea dělnického hnutí, sbírka Klement Gottwald - kult osobnosti.</v>
      </c>
      <c r="M25" s="8"/>
      <c r="N25" s="8" t="str">
        <f>IFERROR(__xludf.DUMMYFUNCTION("""COMPUTED_VALUE"""),"Mariánské Lázně_obc01.jpg")</f>
        <v>Mariánské Lázně_obc01.jpg</v>
      </c>
      <c r="O25" s="8"/>
      <c r="P25" s="8" t="str">
        <f>IFERROR(__xludf.DUMMYFUNCTION("""COMPUTED_VALUE"""),"Obrazová dokumentace archiválie.")</f>
        <v>Obrazová dokumentace archiválie.</v>
      </c>
      <c r="Q25" s="8" t="str">
        <f>IFERROR(__xludf.DUMMYFUNCTION("""COMPUTED_VALUE"""),"Národní muzeum, Archiv NM, Sbírka Muzea dělnického hnutí, sbírka Klement Gottwald - kult osobnosti.")</f>
        <v>Národní muzeum, Archiv NM, Sbírka Muzea dělnického hnutí, sbírka Klement Gottwald - kult osobnosti.</v>
      </c>
      <c r="R25" s="8" t="str">
        <f>IFERROR(__xludf.DUMMYFUNCTION("""COMPUTED_VALUE"""),"Mariánské Lázně_obc02.jpg")</f>
        <v>Mariánské Lázně_obc02.jpg</v>
      </c>
      <c r="S25" s="8"/>
      <c r="T25" s="8" t="str">
        <f>IFERROR(__xludf.DUMMYFUNCTION("""COMPUTED_VALUE"""),"Obrazová dokumentace archiválie.")</f>
        <v>Obrazová dokumentace archiválie.</v>
      </c>
      <c r="U25" s="8" t="str">
        <f>IFERROR(__xludf.DUMMYFUNCTION("""COMPUTED_VALUE"""),"Národní muzeum, Archiv NM, Sbírka Muzea dělnického hnutí, sbírka Klement Gottwald - kult osobnosti.")</f>
        <v>Národní muzeum, Archiv NM, Sbírka Muzea dělnického hnutí, sbírka Klement Gottwald - kult osobnosti.</v>
      </c>
      <c r="V25" s="8" t="str">
        <f>IFERROR(__xludf.DUMMYFUNCTION("""COMPUTED_VALUE"""),"Mariánské Lázně_obc03.jpg")</f>
        <v>Mariánské Lázně_obc03.jpg</v>
      </c>
      <c r="W25" s="8"/>
      <c r="X25" s="8" t="str">
        <f>IFERROR(__xludf.DUMMYFUNCTION("""COMPUTED_VALUE"""),"Obrazová dokumentace archiválie.")</f>
        <v>Obrazová dokumentace archiválie.</v>
      </c>
      <c r="Y25" s="8" t="str">
        <f>IFERROR(__xludf.DUMMYFUNCTION("""COMPUTED_VALUE"""),"Národní muzeum, Archiv NM, Sbírka Muzea dělnického hnutí, sbírka Klement Gottwald - kult osobnosti.")</f>
        <v>Národní muzeum, Archiv NM, Sbírka Muzea dělnického hnutí, sbírka Klement Gottwald - kult osobnosti.</v>
      </c>
      <c r="Z25" s="8" t="str">
        <f>IFERROR(__xludf.DUMMYFUNCTION("""COMPUTED_VALUE"""),"Mariánské Lázně_obc04.jpg")</f>
        <v>Mariánské Lázně_obc04.jpg</v>
      </c>
      <c r="AA25" s="8"/>
      <c r="AB25" s="8" t="str">
        <f>IFERROR(__xludf.DUMMYFUNCTION("""COMPUTED_VALUE"""),"Obrazová dokumentace archiválie.")</f>
        <v>Obrazová dokumentace archiválie.</v>
      </c>
      <c r="AC25" s="8" t="str">
        <f>IFERROR(__xludf.DUMMYFUNCTION("""COMPUTED_VALUE"""),"Národní muzeum, Archiv NM, Sbírka Muzea dělnického hnutí, sbírka Klement Gottwald - kult osobnosti.")</f>
        <v>Národní muzeum, Archiv NM, Sbírka Muzea dělnického hnutí, sbírka Klement Gottwald - kult osobnosti.</v>
      </c>
      <c r="AD25" s="8" t="str">
        <f>IFERROR(__xludf.DUMMYFUNCTION("""COMPUTED_VALUE"""),"Mariánské Lázně_obc05.jpg")</f>
        <v>Mariánské Lázně_obc05.jpg</v>
      </c>
      <c r="AE25" s="8"/>
      <c r="AF25" s="8" t="str">
        <f>IFERROR(__xludf.DUMMYFUNCTION("""COMPUTED_VALUE"""),"Obrazová dokumentace archiválie.")</f>
        <v>Obrazová dokumentace archiválie.</v>
      </c>
      <c r="AG25" s="8" t="str">
        <f>IFERROR(__xludf.DUMMYFUNCTION("""COMPUTED_VALUE"""),"Národní muzeum, Archiv NM, Sbírka Muzea dělnického hnutí, sbírka Klement Gottwald - kult osobnosti.")</f>
        <v>Národní muzeum, Archiv NM, Sbírka Muzea dělnického hnutí, sbírka Klement Gottwald - kult osobnosti.</v>
      </c>
      <c r="AH25" s="8" t="str">
        <f>IFERROR(__xludf.DUMMYFUNCTION("""COMPUTED_VALUE"""),"Mariánské Lázně_obc07.jpg")</f>
        <v>Mariánské Lázně_obc07.jpg</v>
      </c>
      <c r="AI25" s="8"/>
      <c r="AJ25" s="8" t="str">
        <f>IFERROR(__xludf.DUMMYFUNCTION("""COMPUTED_VALUE"""),"Obrazová dokumentace archiválie.")</f>
        <v>Obrazová dokumentace archiválie.</v>
      </c>
      <c r="AK25" s="8" t="str">
        <f>IFERROR(__xludf.DUMMYFUNCTION("""COMPUTED_VALUE"""),"Národní muzeum, Archiv NM, Sbírka Muzea dělnického hnutí, sbírka Klement Gottwald - kult osobnosti.")</f>
        <v>Národní muzeum, Archiv NM, Sbírka Muzea dělnického hnutí, sbírka Klement Gottwald - kult osobnosti.</v>
      </c>
      <c r="AL25" s="8"/>
      <c r="AM25" s="8"/>
      <c r="AN25" s="8"/>
      <c r="AO25" s="8"/>
    </row>
    <row r="26">
      <c r="A26" s="7">
        <f t="shared" si="1"/>
        <v>25</v>
      </c>
      <c r="B26" s="8" t="str">
        <f>IFERROR(__xludf.DUMMYFUNCTION("""COMPUTED_VALUE"""),"16.3996617")</f>
        <v>16.3996617</v>
      </c>
      <c r="C26" s="8" t="str">
        <f>IFERROR(__xludf.DUMMYFUNCTION("""COMPUTED_VALUE"""),"49.9721801")</f>
        <v>49.9721801</v>
      </c>
      <c r="D26" s="8" t="str">
        <f>IFERROR(__xludf.DUMMYFUNCTION("""COMPUTED_VALUE"""),"Ústí nad Orlicí, čestné občanství ")</f>
        <v>Ústí nad Orlicí, čestné občanství </v>
      </c>
      <c r="E26" s="8" t="str">
        <f>IFERROR(__xludf.DUMMYFUNCTION("""COMPUTED_VALUE"""),"Rámovaný diplom čestného občanství. Zlatý rám A2, tisk ze zlato-rudou tištěnou ilustrací se symbolikou budovatelství a pětiletky.")</f>
        <v>Rámovaný diplom čestného občanství. Zlatý rám A2, tisk ze zlato-rudou tištěnou ilustrací se symbolikou budovatelství a pětiletky.</v>
      </c>
      <c r="F26" s="8" t="str">
        <f>IFERROR(__xludf.DUMMYFUNCTION("""COMPUTED_VALUE"""),"dokumenty")</f>
        <v>dokumenty</v>
      </c>
      <c r="G26" s="8" t="str">
        <f>IFERROR(__xludf.DUMMYFUNCTION("""COMPUTED_VALUE"""),"Čestná občanství")</f>
        <v>Čestná občanství</v>
      </c>
      <c r="H26" s="8"/>
      <c r="I26" s="9" t="str">
        <f>IFERROR(__xludf.DUMMYFUNCTION("""COMPUTED_VALUE"""),"8. listopad 1948")</f>
        <v>8. listopad 1948</v>
      </c>
      <c r="J26" s="8"/>
      <c r="K26" s="8" t="str">
        <f>IFERROR(__xludf.DUMMYFUNCTION("""COMPUTED_VALUE"""),"Místní národní výbor.")</f>
        <v>Místní národní výbor.</v>
      </c>
      <c r="L26" s="8" t="str">
        <f>IFERROR(__xludf.DUMMYFUNCTION("""COMPUTED_VALUE"""),"Národní muzeum, Archiv NM, Sbírka Muzea dělnického hnutí, sbírka Klement Gottwald - kult osobnosti.")</f>
        <v>Národní muzeum, Archiv NM, Sbírka Muzea dělnického hnutí, sbírka Klement Gottwald - kult osobnosti.</v>
      </c>
      <c r="M26" s="8"/>
      <c r="N26" s="8" t="str">
        <f>IFERROR(__xludf.DUMMYFUNCTION("""COMPUTED_VALUE"""),"Ústí nad Orlicí_obc.jpg")</f>
        <v>Ústí nad Orlicí_obc.jpg</v>
      </c>
      <c r="O26" s="8"/>
      <c r="P26" s="8" t="str">
        <f>IFERROR(__xludf.DUMMYFUNCTION("""COMPUTED_VALUE"""),"Obrazová dokumentace archiválie.")</f>
        <v>Obrazová dokumentace archiválie.</v>
      </c>
      <c r="Q26" s="8" t="str">
        <f>IFERROR(__xludf.DUMMYFUNCTION("""COMPUTED_VALUE"""),"Národní muzeum, Archiv NM, Sbírka Muzea dělnického hnutí, sbírka Klement Gottwald - kult osobnosti.")</f>
        <v>Národní muzeum, Archiv NM, Sbírka Muzea dělnického hnutí, sbírka Klement Gottwald - kult osobnosti.</v>
      </c>
      <c r="R26" s="8"/>
      <c r="S26" s="8"/>
      <c r="T26" s="8"/>
      <c r="U26" s="8"/>
      <c r="V26" s="8"/>
      <c r="W26" s="8"/>
      <c r="X26" s="8"/>
      <c r="Y26" s="8"/>
      <c r="Z26" s="8"/>
      <c r="AA26" s="8"/>
      <c r="AB26" s="8"/>
      <c r="AC26" s="8"/>
      <c r="AD26" s="8"/>
      <c r="AE26" s="8"/>
      <c r="AF26" s="8"/>
      <c r="AG26" s="8"/>
      <c r="AH26" s="8"/>
      <c r="AI26" s="8"/>
      <c r="AJ26" s="8"/>
      <c r="AK26" s="8"/>
      <c r="AL26" s="8"/>
      <c r="AM26" s="8"/>
      <c r="AN26" s="8"/>
      <c r="AO26" s="8"/>
    </row>
    <row r="27">
      <c r="A27" s="7">
        <f t="shared" si="1"/>
        <v>26</v>
      </c>
      <c r="B27" s="8" t="str">
        <f>IFERROR(__xludf.DUMMYFUNCTION("""COMPUTED_VALUE"""),"13.4088487")</f>
        <v>13.4088487</v>
      </c>
      <c r="C27" s="8" t="str">
        <f>IFERROR(__xludf.DUMMYFUNCTION("""COMPUTED_VALUE"""),"50.4630604")</f>
        <v>50.4630604</v>
      </c>
      <c r="D27" s="8" t="str">
        <f>IFERROR(__xludf.DUMMYFUNCTION("""COMPUTED_VALUE"""),"Chomutov, čestné občanství ")</f>
        <v>Chomutov, čestné občanství </v>
      </c>
      <c r="E27" s="8" t="str">
        <f>IFERROR(__xludf.DUMMYFUNCTION("""COMPUTED_VALUE"""),"Diplom čestného občanství udělený u příležitosti 50. narozenin. Světle hnědé kožené desky se zlaceným znakem města, ruční papír, bohatě figurálně ilustrováno, kolorované kresby s motivy symbolů práce, pohled na město, figura pokroku atp., rkp, podpisy, ra"&amp;"zítko, 8 ll, 43 x 37 cm. Tento dokument byl vystaven v expozici Výstavky darů prezidenta K. Gottwalda v Lobkovickém paláci na Pražském hradě (1952 až 1958).")</f>
        <v>Diplom čestného občanství udělený u příležitosti 50. narozenin. Světle hnědé kožené desky se zlaceným znakem města, ruční papír, bohatě figurálně ilustrováno, kolorované kresby s motivy symbolů práce, pohled na město, figura pokroku atp., rkp, podpisy, razítko, 8 ll, 43 x 37 cm. Tento dokument byl vystaven v expozici Výstavky darů prezidenta K. Gottwalda v Lobkovickém paláci na Pražském hradě (1952 až 1958).</v>
      </c>
      <c r="F27" s="8" t="str">
        <f>IFERROR(__xludf.DUMMYFUNCTION("""COMPUTED_VALUE"""),"dokumenty")</f>
        <v>dokumenty</v>
      </c>
      <c r="G27" s="8" t="str">
        <f>IFERROR(__xludf.DUMMYFUNCTION("""COMPUTED_VALUE"""),"Čestná občanství")</f>
        <v>Čestná občanství</v>
      </c>
      <c r="H27" s="8"/>
      <c r="I27" s="9" t="str">
        <f>IFERROR(__xludf.DUMMYFUNCTION("""COMPUTED_VALUE"""),"25. listopad 1946")</f>
        <v>25. listopad 1946</v>
      </c>
      <c r="J27" s="8"/>
      <c r="K27" s="8" t="str">
        <f>IFERROR(__xludf.DUMMYFUNCTION("""COMPUTED_VALUE"""),"Okresní národní výbor.")</f>
        <v>Okresní národní výbor.</v>
      </c>
      <c r="L27" s="8" t="str">
        <f>IFERROR(__xludf.DUMMYFUNCTION("""COMPUTED_VALUE"""),"Národní muzeum, Archiv NM, Sbírka Muzea dělnického hnutí, sbírka Klement Gottwald - kult osobnosti.")</f>
        <v>Národní muzeum, Archiv NM, Sbírka Muzea dělnického hnutí, sbírka Klement Gottwald - kult osobnosti.</v>
      </c>
      <c r="M27" s="8"/>
      <c r="N27" s="8" t="str">
        <f>IFERROR(__xludf.DUMMYFUNCTION("""COMPUTED_VALUE"""),"Chomutov_obc01.jpg")</f>
        <v>Chomutov_obc01.jpg</v>
      </c>
      <c r="O27" s="8"/>
      <c r="P27" s="8" t="str">
        <f>IFERROR(__xludf.DUMMYFUNCTION("""COMPUTED_VALUE"""),"Obrazová dokumentace archiválie.")</f>
        <v>Obrazová dokumentace archiválie.</v>
      </c>
      <c r="Q27" s="8" t="str">
        <f>IFERROR(__xludf.DUMMYFUNCTION("""COMPUTED_VALUE"""),"Národní muzeum, Archiv NM, Sbírka Muzea dělnického hnutí, sbírka Klement Gottwald - kult osobnosti.")</f>
        <v>Národní muzeum, Archiv NM, Sbírka Muzea dělnického hnutí, sbírka Klement Gottwald - kult osobnosti.</v>
      </c>
      <c r="R27" s="8" t="str">
        <f>IFERROR(__xludf.DUMMYFUNCTION("""COMPUTED_VALUE"""),"Chomutov_obc02.jpg")</f>
        <v>Chomutov_obc02.jpg</v>
      </c>
      <c r="S27" s="8"/>
      <c r="T27" s="8" t="str">
        <f>IFERROR(__xludf.DUMMYFUNCTION("""COMPUTED_VALUE"""),"Obrazová dokumentace archiválie.")</f>
        <v>Obrazová dokumentace archiválie.</v>
      </c>
      <c r="U27" s="8" t="str">
        <f>IFERROR(__xludf.DUMMYFUNCTION("""COMPUTED_VALUE"""),"Národní muzeum, Archiv NM, Sbírka Muzea dělnického hnutí, sbírka Klement Gottwald - kult osobnosti.")</f>
        <v>Národní muzeum, Archiv NM, Sbírka Muzea dělnického hnutí, sbírka Klement Gottwald - kult osobnosti.</v>
      </c>
      <c r="V27" s="8" t="str">
        <f>IFERROR(__xludf.DUMMYFUNCTION("""COMPUTED_VALUE"""),"Chomutov_obc03.jpg")</f>
        <v>Chomutov_obc03.jpg</v>
      </c>
      <c r="W27" s="8"/>
      <c r="X27" s="8" t="str">
        <f>IFERROR(__xludf.DUMMYFUNCTION("""COMPUTED_VALUE"""),"Obrazová dokumentace archiválie.")</f>
        <v>Obrazová dokumentace archiválie.</v>
      </c>
      <c r="Y27" s="8" t="str">
        <f>IFERROR(__xludf.DUMMYFUNCTION("""COMPUTED_VALUE"""),"Národní muzeum, Archiv NM, Sbírka Muzea dělnického hnutí, sbírka Klement Gottwald - kult osobnosti.")</f>
        <v>Národní muzeum, Archiv NM, Sbírka Muzea dělnického hnutí, sbírka Klement Gottwald - kult osobnosti.</v>
      </c>
      <c r="Z27" s="8" t="str">
        <f>IFERROR(__xludf.DUMMYFUNCTION("""COMPUTED_VALUE"""),"Chomutov_obc04.jpg")</f>
        <v>Chomutov_obc04.jpg</v>
      </c>
      <c r="AA27" s="8"/>
      <c r="AB27" s="8" t="str">
        <f>IFERROR(__xludf.DUMMYFUNCTION("""COMPUTED_VALUE"""),"Obrazová dokumentace archiválie.")</f>
        <v>Obrazová dokumentace archiválie.</v>
      </c>
      <c r="AC27" s="8" t="str">
        <f>IFERROR(__xludf.DUMMYFUNCTION("""COMPUTED_VALUE"""),"Národní muzeum, Archiv NM, Sbírka Muzea dělnického hnutí, sbírka Klement Gottwald - kult osobnosti.")</f>
        <v>Národní muzeum, Archiv NM, Sbírka Muzea dělnického hnutí, sbírka Klement Gottwald - kult osobnosti.</v>
      </c>
      <c r="AD27" s="8" t="str">
        <f>IFERROR(__xludf.DUMMYFUNCTION("""COMPUTED_VALUE"""),"Chomutov_obc05.jpg")</f>
        <v>Chomutov_obc05.jpg</v>
      </c>
      <c r="AE27" s="8"/>
      <c r="AF27" s="8" t="str">
        <f>IFERROR(__xludf.DUMMYFUNCTION("""COMPUTED_VALUE"""),"Obrazová dokumentace archiválie.")</f>
        <v>Obrazová dokumentace archiválie.</v>
      </c>
      <c r="AG27" s="8" t="str">
        <f>IFERROR(__xludf.DUMMYFUNCTION("""COMPUTED_VALUE"""),"Národní muzeum, Archiv NM, Sbírka Muzea dělnického hnutí, sbírka Klement Gottwald - kult osobnosti.")</f>
        <v>Národní muzeum, Archiv NM, Sbírka Muzea dělnického hnutí, sbírka Klement Gottwald - kult osobnosti.</v>
      </c>
      <c r="AH27" s="8"/>
      <c r="AI27" s="8"/>
      <c r="AJ27" s="8"/>
      <c r="AK27" s="8"/>
      <c r="AL27" s="8"/>
      <c r="AM27" s="8"/>
      <c r="AN27" s="8"/>
      <c r="AO27" s="8"/>
    </row>
    <row r="28">
      <c r="A28" s="7">
        <f t="shared" si="1"/>
        <v>27</v>
      </c>
      <c r="B28" s="8" t="str">
        <f>IFERROR(__xludf.DUMMYFUNCTION("""COMPUTED_VALUE"""),"15.1568091")</f>
        <v>15.1568091</v>
      </c>
      <c r="C28" s="8" t="str">
        <f>IFERROR(__xludf.DUMMYFUNCTION("""COMPUTED_VALUE"""),"50.587285")</f>
        <v>50.587285</v>
      </c>
      <c r="D28" s="8" t="str">
        <f>IFERROR(__xludf.DUMMYFUNCTION("""COMPUTED_VALUE"""),"Turnov, čestné občanství ")</f>
        <v>Turnov, čestné občanství </v>
      </c>
      <c r="E28" s="8" t="str">
        <f>IFERROR(__xludf.DUMMYFUNCTION("""COMPUTED_VALUE"""),"Diplom čestného občanství udělený u příležitosti 50. narozenin. Desky z mačkaného papíru, diplom s kolorovanou kresbou - florální dekor a znak města, rkp, 33 x 23 cm.")</f>
        <v>Diplom čestného občanství udělený u příležitosti 50. narozenin. Desky z mačkaného papíru, diplom s kolorovanou kresbou - florální dekor a znak města, rkp, 33 x 23 cm.</v>
      </c>
      <c r="F28" s="8" t="str">
        <f>IFERROR(__xludf.DUMMYFUNCTION("""COMPUTED_VALUE"""),"dokumenty")</f>
        <v>dokumenty</v>
      </c>
      <c r="G28" s="8" t="str">
        <f>IFERROR(__xludf.DUMMYFUNCTION("""COMPUTED_VALUE"""),"Čestná občanství")</f>
        <v>Čestná občanství</v>
      </c>
      <c r="H28" s="8"/>
      <c r="I28" s="9" t="str">
        <f>IFERROR(__xludf.DUMMYFUNCTION("""COMPUTED_VALUE"""),"20. listopad 1946")</f>
        <v>20. listopad 1946</v>
      </c>
      <c r="J28" s="8"/>
      <c r="K28" s="8" t="str">
        <f>IFERROR(__xludf.DUMMYFUNCTION("""COMPUTED_VALUE"""),"Místní národní výbor.")</f>
        <v>Místní národní výbor.</v>
      </c>
      <c r="L28" s="8" t="str">
        <f>IFERROR(__xludf.DUMMYFUNCTION("""COMPUTED_VALUE"""),"Národní muzeum, Archiv NM, Sbírka Muzea dělnického hnutí, sbírka Klement Gottwald - kult osobnosti.")</f>
        <v>Národní muzeum, Archiv NM, Sbírka Muzea dělnického hnutí, sbírka Klement Gottwald - kult osobnosti.</v>
      </c>
      <c r="M28" s="8"/>
      <c r="N28" s="8" t="str">
        <f>IFERROR(__xludf.DUMMYFUNCTION("""COMPUTED_VALUE"""),"Turnov_obc01.jpg")</f>
        <v>Turnov_obc01.jpg</v>
      </c>
      <c r="O28" s="8"/>
      <c r="P28" s="8" t="str">
        <f>IFERROR(__xludf.DUMMYFUNCTION("""COMPUTED_VALUE"""),"Obrazová dokumentace archiválie.")</f>
        <v>Obrazová dokumentace archiválie.</v>
      </c>
      <c r="Q28" s="8" t="str">
        <f>IFERROR(__xludf.DUMMYFUNCTION("""COMPUTED_VALUE"""),"Národní muzeum, Archiv NM, Sbírka Muzea dělnického hnutí, sbírka Klement Gottwald - kult osobnosti.")</f>
        <v>Národní muzeum, Archiv NM, Sbírka Muzea dělnického hnutí, sbírka Klement Gottwald - kult osobnosti.</v>
      </c>
      <c r="R28" s="8" t="str">
        <f>IFERROR(__xludf.DUMMYFUNCTION("""COMPUTED_VALUE"""),"Turnov_obc02.jpg")</f>
        <v>Turnov_obc02.jpg</v>
      </c>
      <c r="S28" s="8"/>
      <c r="T28" s="8" t="str">
        <f>IFERROR(__xludf.DUMMYFUNCTION("""COMPUTED_VALUE"""),"Obrazová dokumentace archiválie.")</f>
        <v>Obrazová dokumentace archiválie.</v>
      </c>
      <c r="U28" s="8" t="str">
        <f>IFERROR(__xludf.DUMMYFUNCTION("""COMPUTED_VALUE"""),"Národní muzeum, Archiv NM, Sbírka Muzea dělnického hnutí, sbírka Klement Gottwald - kult osobnosti.")</f>
        <v>Národní muzeum, Archiv NM, Sbírka Muzea dělnického hnutí, sbírka Klement Gottwald - kult osobnosti.</v>
      </c>
      <c r="V28" s="8"/>
      <c r="W28" s="8"/>
      <c r="X28" s="8"/>
      <c r="Y28" s="8"/>
      <c r="Z28" s="8"/>
      <c r="AA28" s="8"/>
      <c r="AB28" s="8"/>
      <c r="AC28" s="8"/>
      <c r="AD28" s="8"/>
      <c r="AE28" s="8"/>
      <c r="AF28" s="8"/>
      <c r="AG28" s="8"/>
      <c r="AH28" s="8"/>
      <c r="AI28" s="8"/>
      <c r="AJ28" s="8"/>
      <c r="AK28" s="8"/>
      <c r="AL28" s="8"/>
      <c r="AM28" s="8"/>
      <c r="AN28" s="8"/>
      <c r="AO28" s="8"/>
    </row>
    <row r="29">
      <c r="A29" s="7">
        <f t="shared" si="1"/>
        <v>28</v>
      </c>
      <c r="B29" s="8" t="str">
        <f>IFERROR(__xludf.DUMMYFUNCTION("""COMPUTED_VALUE"""),"13.7267734")</f>
        <v>13.7267734</v>
      </c>
      <c r="C29" s="8" t="str">
        <f>IFERROR(__xludf.DUMMYFUNCTION("""COMPUTED_VALUE"""),"50.6591994")</f>
        <v>50.6591994</v>
      </c>
      <c r="D29" s="8" t="str">
        <f>IFERROR(__xludf.DUMMYFUNCTION("""COMPUTED_VALUE"""),"Hrob, čestné občanství ")</f>
        <v>Hrob, čestné občanství </v>
      </c>
      <c r="E29" s="8" t="str">
        <f>IFERROR(__xludf.DUMMYFUNCTION("""COMPUTED_VALUE"""),"Diplom čestného občanství. Bílo-rudé papírové desky, diplom s kolorovanou ilustrací: znak města, lipová ratolest, rkp, podpisy, přeložená A3.")</f>
        <v>Diplom čestného občanství. Bílo-rudé papírové desky, diplom s kolorovanou ilustrací: znak města, lipová ratolest, rkp, podpisy, přeložená A3.</v>
      </c>
      <c r="F29" s="8" t="str">
        <f>IFERROR(__xludf.DUMMYFUNCTION("""COMPUTED_VALUE"""),"dokumenty")</f>
        <v>dokumenty</v>
      </c>
      <c r="G29" s="8" t="str">
        <f>IFERROR(__xludf.DUMMYFUNCTION("""COMPUTED_VALUE"""),"Čestná občanství")</f>
        <v>Čestná občanství</v>
      </c>
      <c r="H29" s="8"/>
      <c r="I29" s="9" t="str">
        <f>IFERROR(__xludf.DUMMYFUNCTION("""COMPUTED_VALUE"""),"23. listopad 1946")</f>
        <v>23. listopad 1946</v>
      </c>
      <c r="J29" s="8"/>
      <c r="K29" s="8" t="str">
        <f>IFERROR(__xludf.DUMMYFUNCTION("""COMPUTED_VALUE"""),"Místní národní výbor.")</f>
        <v>Místní národní výbor.</v>
      </c>
      <c r="L29" s="8" t="str">
        <f>IFERROR(__xludf.DUMMYFUNCTION("""COMPUTED_VALUE"""),"Národní muzeum, Archiv NM, Sbírka Muzea dělnického hnutí, sbírka Klement Gottwald - kult osobnosti.")</f>
        <v>Národní muzeum, Archiv NM, Sbírka Muzea dělnického hnutí, sbírka Klement Gottwald - kult osobnosti.</v>
      </c>
      <c r="M29" s="8"/>
      <c r="N29" s="8" t="str">
        <f>IFERROR(__xludf.DUMMYFUNCTION("""COMPUTED_VALUE"""),"Hrob_obc.jpg")</f>
        <v>Hrob_obc.jpg</v>
      </c>
      <c r="O29" s="8"/>
      <c r="P29" s="8" t="str">
        <f>IFERROR(__xludf.DUMMYFUNCTION("""COMPUTED_VALUE"""),"Obrazová dokumentace archiválie.")</f>
        <v>Obrazová dokumentace archiválie.</v>
      </c>
      <c r="Q29" s="8" t="str">
        <f>IFERROR(__xludf.DUMMYFUNCTION("""COMPUTED_VALUE"""),"Národní muzeum, Archiv NM, Sbírka Muzea dělnického hnutí, sbírka Klement Gottwald - kult osobnosti.")</f>
        <v>Národní muzeum, Archiv NM, Sbírka Muzea dělnického hnutí, sbírka Klement Gottwald - kult osobnosti.</v>
      </c>
      <c r="R29" s="8"/>
      <c r="S29" s="8"/>
      <c r="T29" s="8"/>
      <c r="U29" s="8"/>
      <c r="V29" s="8"/>
      <c r="W29" s="8"/>
      <c r="X29" s="8"/>
      <c r="Y29" s="8"/>
      <c r="Z29" s="8"/>
      <c r="AA29" s="8"/>
      <c r="AB29" s="8"/>
      <c r="AC29" s="8"/>
      <c r="AD29" s="8"/>
      <c r="AE29" s="8"/>
      <c r="AF29" s="8"/>
      <c r="AG29" s="8"/>
      <c r="AH29" s="8"/>
      <c r="AI29" s="8"/>
      <c r="AJ29" s="8"/>
      <c r="AK29" s="8"/>
      <c r="AL29" s="8"/>
      <c r="AM29" s="8"/>
      <c r="AN29" s="8"/>
      <c r="AO29" s="8"/>
    </row>
    <row r="30">
      <c r="A30" s="7">
        <f t="shared" si="1"/>
        <v>29</v>
      </c>
      <c r="B30" s="8" t="str">
        <f>IFERROR(__xludf.DUMMYFUNCTION("""COMPUTED_VALUE"""),"15.1943409")</f>
        <v>15.1943409</v>
      </c>
      <c r="C30" s="8" t="str">
        <f>IFERROR(__xludf.DUMMYFUNCTION("""COMPUTED_VALUE"""),"50.7333624")</f>
        <v>50.7333624</v>
      </c>
      <c r="D30" s="8" t="str">
        <f>IFERROR(__xludf.DUMMYFUNCTION("""COMPUTED_VALUE"""),"Jablonecké Paseky, čestné občanství ")</f>
        <v>Jablonecké Paseky, čestné občanství </v>
      </c>
      <c r="E30" s="8" t="str">
        <f>IFERROR(__xludf.DUMMYFUNCTION("""COMPUTED_VALUE"""),"Dvě shodné varianty diplomu čestného občanství, jedna za MNV a druhá, téměř totožná za ONV, rozdílné jen podpisy. Pergamen obšitý trikolorovou šňůrkou s ilustrací na pozadí: motiv obce a florální dekor, rkp, podpisy, 23 x 40 cm.")</f>
        <v>Dvě shodné varianty diplomu čestného občanství, jedna za MNV a druhá, téměř totožná za ONV, rozdílné jen podpisy. Pergamen obšitý trikolorovou šňůrkou s ilustrací na pozadí: motiv obce a florální dekor, rkp, podpisy, 23 x 40 cm.</v>
      </c>
      <c r="F30" s="8" t="str">
        <f>IFERROR(__xludf.DUMMYFUNCTION("""COMPUTED_VALUE"""),"dokumenty")</f>
        <v>dokumenty</v>
      </c>
      <c r="G30" s="8" t="str">
        <f>IFERROR(__xludf.DUMMYFUNCTION("""COMPUTED_VALUE"""),"Čestná občanství")</f>
        <v>Čestná občanství</v>
      </c>
      <c r="H30" s="8"/>
      <c r="I30" s="9" t="str">
        <f>IFERROR(__xludf.DUMMYFUNCTION("""COMPUTED_VALUE"""),"23. listopad 1946")</f>
        <v>23. listopad 1946</v>
      </c>
      <c r="J30" s="8"/>
      <c r="K30" s="8" t="str">
        <f>IFERROR(__xludf.DUMMYFUNCTION("""COMPUTED_VALUE"""),"Místní národní výbor / Okresní národní výbor.")</f>
        <v>Místní národní výbor / Okresní národní výbor.</v>
      </c>
      <c r="L30" s="8" t="str">
        <f>IFERROR(__xludf.DUMMYFUNCTION("""COMPUTED_VALUE"""),"Národní muzeum, Archiv NM, Sbírka Muzea dělnického hnutí, sbírka Klement Gottwald - kult osobnosti.")</f>
        <v>Národní muzeum, Archiv NM, Sbírka Muzea dělnického hnutí, sbírka Klement Gottwald - kult osobnosti.</v>
      </c>
      <c r="M30" s="8"/>
      <c r="N30" s="8" t="str">
        <f>IFERROR(__xludf.DUMMYFUNCTION("""COMPUTED_VALUE"""),"Jablonecké Paseky_obc.jpg")</f>
        <v>Jablonecké Paseky_obc.jpg</v>
      </c>
      <c r="O30" s="8"/>
      <c r="P30" s="8" t="str">
        <f>IFERROR(__xludf.DUMMYFUNCTION("""COMPUTED_VALUE"""),"Obrazová dokumentace archiválie.")</f>
        <v>Obrazová dokumentace archiválie.</v>
      </c>
      <c r="Q30" s="8" t="str">
        <f>IFERROR(__xludf.DUMMYFUNCTION("""COMPUTED_VALUE"""),"Národní muzeum, Archiv NM, Sbírka Muzea dělnického hnutí, sbírka Klement Gottwald - kult osobnosti.")</f>
        <v>Národní muzeum, Archiv NM, Sbírka Muzea dělnického hnutí, sbírka Klement Gottwald - kult osobnosti.</v>
      </c>
      <c r="R30" s="8"/>
      <c r="S30" s="8"/>
      <c r="T30" s="8"/>
      <c r="U30" s="8"/>
      <c r="V30" s="8"/>
      <c r="W30" s="8"/>
      <c r="X30" s="8"/>
      <c r="Y30" s="8"/>
      <c r="Z30" s="8"/>
      <c r="AA30" s="8"/>
      <c r="AB30" s="8"/>
      <c r="AC30" s="8"/>
      <c r="AD30" s="8"/>
      <c r="AE30" s="8"/>
      <c r="AF30" s="8"/>
      <c r="AG30" s="8"/>
      <c r="AH30" s="8"/>
      <c r="AI30" s="8"/>
      <c r="AJ30" s="8"/>
      <c r="AK30" s="8"/>
      <c r="AL30" s="8"/>
      <c r="AM30" s="8"/>
      <c r="AN30" s="8"/>
      <c r="AO30" s="8"/>
    </row>
    <row r="31">
      <c r="A31" s="7">
        <f t="shared" si="1"/>
        <v>30</v>
      </c>
      <c r="B31" s="8" t="str">
        <f>IFERROR(__xludf.DUMMYFUNCTION("""COMPUTED_VALUE"""),"13.5546524")</f>
        <v>13.5546524</v>
      </c>
      <c r="C31" s="8" t="str">
        <f>IFERROR(__xludf.DUMMYFUNCTION("""COMPUTED_VALUE"""),"49.1435211")</f>
        <v>49.1435211</v>
      </c>
      <c r="D31" s="8" t="str">
        <f>IFERROR(__xludf.DUMMYFUNCTION("""COMPUTED_VALUE"""),"Kašperské Hory, čestné občanství ")</f>
        <v>Kašperské Hory, čestné občanství </v>
      </c>
      <c r="E31" s="8" t="str">
        <f>IFERROR(__xludf.DUMMYFUNCTION("""COMPUTED_VALUE"""),"Diplom čestného občanství. Diplom s bohatě ilustrovaným rámem: imitace gotické kresby, motivy související s městem, přivěšena městská pečeť na světle modro-bílé stuze, rkp, podpisy, razítko, A3.")</f>
        <v>Diplom čestného občanství. Diplom s bohatě ilustrovaným rámem: imitace gotické kresby, motivy související s městem, přivěšena městská pečeť na světle modro-bílé stuze, rkp, podpisy, razítko, A3.</v>
      </c>
      <c r="F31" s="8" t="str">
        <f>IFERROR(__xludf.DUMMYFUNCTION("""COMPUTED_VALUE"""),"dokumenty")</f>
        <v>dokumenty</v>
      </c>
      <c r="G31" s="8" t="str">
        <f>IFERROR(__xludf.DUMMYFUNCTION("""COMPUTED_VALUE"""),"Čestná občanství")</f>
        <v>Čestná občanství</v>
      </c>
      <c r="H31" s="8"/>
      <c r="I31" s="9" t="str">
        <f>IFERROR(__xludf.DUMMYFUNCTION("""COMPUTED_VALUE"""),"22. listopad 1946")</f>
        <v>22. listopad 1946</v>
      </c>
      <c r="J31" s="8"/>
      <c r="K31" s="8" t="str">
        <f>IFERROR(__xludf.DUMMYFUNCTION("""COMPUTED_VALUE"""),"Místní národní výbor.")</f>
        <v>Místní národní výbor.</v>
      </c>
      <c r="L31" s="8" t="str">
        <f>IFERROR(__xludf.DUMMYFUNCTION("""COMPUTED_VALUE"""),"Národní muzeum, Archiv NM, Sbírka Muzea dělnického hnutí, sbírka Klement Gottwald - kult osobnosti.")</f>
        <v>Národní muzeum, Archiv NM, Sbírka Muzea dělnického hnutí, sbírka Klement Gottwald - kult osobnosti.</v>
      </c>
      <c r="M31" s="8"/>
      <c r="N31" s="8" t="str">
        <f>IFERROR(__xludf.DUMMYFUNCTION("""COMPUTED_VALUE"""),"Kašperské Hory_obc.jpg")</f>
        <v>Kašperské Hory_obc.jpg</v>
      </c>
      <c r="O31" s="8"/>
      <c r="P31" s="8" t="str">
        <f>IFERROR(__xludf.DUMMYFUNCTION("""COMPUTED_VALUE"""),"Obrazová dokumentace archiválie.")</f>
        <v>Obrazová dokumentace archiválie.</v>
      </c>
      <c r="Q31" s="8" t="str">
        <f>IFERROR(__xludf.DUMMYFUNCTION("""COMPUTED_VALUE"""),"Národní muzeum, Archiv NM, Sbírka Muzea dělnického hnutí, sbírka Klement Gottwald - kult osobnosti.")</f>
        <v>Národní muzeum, Archiv NM, Sbírka Muzea dělnického hnutí, sbírka Klement Gottwald - kult osobnosti.</v>
      </c>
      <c r="R31" s="8"/>
      <c r="S31" s="8"/>
      <c r="T31" s="8"/>
      <c r="U31" s="8"/>
      <c r="V31" s="8"/>
      <c r="W31" s="8"/>
      <c r="X31" s="8"/>
      <c r="Y31" s="8"/>
      <c r="Z31" s="8"/>
      <c r="AA31" s="8"/>
      <c r="AB31" s="8"/>
      <c r="AC31" s="8"/>
      <c r="AD31" s="8"/>
      <c r="AE31" s="8"/>
      <c r="AF31" s="8"/>
      <c r="AG31" s="8"/>
      <c r="AH31" s="8"/>
      <c r="AI31" s="8"/>
      <c r="AJ31" s="8"/>
      <c r="AK31" s="8"/>
      <c r="AL31" s="8"/>
      <c r="AM31" s="8"/>
      <c r="AN31" s="8"/>
      <c r="AO31" s="8"/>
    </row>
    <row r="32">
      <c r="A32" s="7">
        <f t="shared" si="1"/>
        <v>31</v>
      </c>
      <c r="B32" s="8" t="str">
        <f>IFERROR(__xludf.DUMMYFUNCTION("""COMPUTED_VALUE"""),"12.6361921")</f>
        <v>12.6361921</v>
      </c>
      <c r="C32" s="8" t="str">
        <f>IFERROR(__xludf.DUMMYFUNCTION("""COMPUTED_VALUE"""),"49.7987803")</f>
        <v>49.7987803</v>
      </c>
      <c r="D32" s="8" t="str">
        <f>IFERROR(__xludf.DUMMYFUNCTION("""COMPUTED_VALUE"""),"Tachov, čestné občanství ")</f>
        <v>Tachov, čestné občanství </v>
      </c>
      <c r="E32" s="8" t="str">
        <f>IFERROR(__xludf.DUMMYFUNCTION("""COMPUTED_VALUE"""),"Rámovaný diplom čestného občanství. Předtištěný diplom s bohatou ilustrací se slovansko-romantizujícím motivem múz, rkp, podpisy, razítko, 46 x 62 cm.")</f>
        <v>Rámovaný diplom čestného občanství. Předtištěný diplom s bohatou ilustrací se slovansko-romantizujícím motivem múz, rkp, podpisy, razítko, 46 x 62 cm.</v>
      </c>
      <c r="F32" s="8" t="str">
        <f>IFERROR(__xludf.DUMMYFUNCTION("""COMPUTED_VALUE"""),"dokumenty")</f>
        <v>dokumenty</v>
      </c>
      <c r="G32" s="8" t="str">
        <f>IFERROR(__xludf.DUMMYFUNCTION("""COMPUTED_VALUE"""),"Čestná občanství")</f>
        <v>Čestná občanství</v>
      </c>
      <c r="H32" s="8"/>
      <c r="I32" s="9" t="str">
        <f>IFERROR(__xludf.DUMMYFUNCTION("""COMPUTED_VALUE"""),"2. prosince 1946")</f>
        <v>2. prosince 1946</v>
      </c>
      <c r="J32" s="8"/>
      <c r="K32" s="8" t="str">
        <f>IFERROR(__xludf.DUMMYFUNCTION("""COMPUTED_VALUE"""),"Místní národní výbor.")</f>
        <v>Místní národní výbor.</v>
      </c>
      <c r="L32" s="8" t="str">
        <f>IFERROR(__xludf.DUMMYFUNCTION("""COMPUTED_VALUE"""),"Národní muzeum, Archiv NM, Sbírka Muzea dělnického hnutí, sbírka Klement Gottwald - kult osobnosti.")</f>
        <v>Národní muzeum, Archiv NM, Sbírka Muzea dělnického hnutí, sbírka Klement Gottwald - kult osobnosti.</v>
      </c>
      <c r="M32" s="8"/>
      <c r="N32" s="8" t="str">
        <f>IFERROR(__xludf.DUMMYFUNCTION("""COMPUTED_VALUE"""),"Tachov_obc.jpg")</f>
        <v>Tachov_obc.jpg</v>
      </c>
      <c r="O32" s="8"/>
      <c r="P32" s="8" t="str">
        <f>IFERROR(__xludf.DUMMYFUNCTION("""COMPUTED_VALUE"""),"Obrazová dokumentace archiválie.")</f>
        <v>Obrazová dokumentace archiválie.</v>
      </c>
      <c r="Q32" s="8" t="str">
        <f>IFERROR(__xludf.DUMMYFUNCTION("""COMPUTED_VALUE"""),"Národní muzeum, Archiv NM, Sbírka Muzea dělnického hnutí, sbírka Klement Gottwald - kult osobnosti.")</f>
        <v>Národní muzeum, Archiv NM, Sbírka Muzea dělnického hnutí, sbírka Klement Gottwald - kult osobnosti.</v>
      </c>
      <c r="R32" s="8"/>
      <c r="S32" s="8"/>
      <c r="T32" s="8"/>
      <c r="U32" s="8"/>
      <c r="V32" s="8"/>
      <c r="W32" s="8"/>
      <c r="X32" s="8"/>
      <c r="Y32" s="8"/>
      <c r="Z32" s="8"/>
      <c r="AA32" s="8"/>
      <c r="AB32" s="8"/>
      <c r="AC32" s="8"/>
      <c r="AD32" s="8"/>
      <c r="AE32" s="8"/>
      <c r="AF32" s="8"/>
      <c r="AG32" s="8"/>
      <c r="AH32" s="8"/>
      <c r="AI32" s="8"/>
      <c r="AJ32" s="8"/>
      <c r="AK32" s="8"/>
      <c r="AL32" s="8"/>
      <c r="AM32" s="8"/>
      <c r="AN32" s="8"/>
      <c r="AO32" s="8"/>
    </row>
    <row r="33">
      <c r="A33" s="7">
        <f t="shared" si="1"/>
        <v>32</v>
      </c>
      <c r="B33" s="8" t="str">
        <f>IFERROR(__xludf.DUMMYFUNCTION("""COMPUTED_VALUE"""),"13.8268726")</f>
        <v>13.8268726</v>
      </c>
      <c r="C33" s="8" t="str">
        <f>IFERROR(__xludf.DUMMYFUNCTION("""COMPUTED_VALUE"""),"50.641301")</f>
        <v>50.641301</v>
      </c>
      <c r="D33" s="8" t="str">
        <f>IFERROR(__xludf.DUMMYFUNCTION("""COMPUTED_VALUE"""),"Teplice Šanov, čestné občanství ")</f>
        <v>Teplice Šanov, čestné občanství </v>
      </c>
      <c r="E33" s="8" t="str">
        <f>IFERROR(__xludf.DUMMYFUNCTION("""COMPUTED_VALUE"""),"Diplom čestného občanství (rozhodnutí o udělení padlo na schůzi již 19. prosince 1946). Světlehnědé kožené desky se zlacenou iniciálou, ruční papír, bohatě ilustrováno: malby s městskou a přírodní krajinou krajinou (autorská signatura Evžen Trunečka Prost"&amp;"ějovský), tisk, podpis, 8 ll, 34 x 26 cm.")</f>
        <v>Diplom čestného občanství (rozhodnutí o udělení padlo na schůzi již 19. prosince 1946). Světlehnědé kožené desky se zlacenou iniciálou, ruční papír, bohatě ilustrováno: malby s městskou a přírodní krajinou krajinou (autorská signatura Evžen Trunečka Prostějovský), tisk, podpis, 8 ll, 34 x 26 cm.</v>
      </c>
      <c r="F33" s="8" t="str">
        <f>IFERROR(__xludf.DUMMYFUNCTION("""COMPUTED_VALUE"""),"dokumenty")</f>
        <v>dokumenty</v>
      </c>
      <c r="G33" s="8" t="str">
        <f>IFERROR(__xludf.DUMMYFUNCTION("""COMPUTED_VALUE"""),"Čestná občanství")</f>
        <v>Čestná občanství</v>
      </c>
      <c r="H33" s="8"/>
      <c r="I33" s="9" t="str">
        <f>IFERROR(__xludf.DUMMYFUNCTION("""COMPUTED_VALUE"""),"únor 1947")</f>
        <v>únor 1947</v>
      </c>
      <c r="J33" s="8"/>
      <c r="K33" s="8" t="str">
        <f>IFERROR(__xludf.DUMMYFUNCTION("""COMPUTED_VALUE"""),"Místní národní výbor. E. Trunečka Prostějovský.")</f>
        <v>Místní národní výbor. E. Trunečka Prostějovský.</v>
      </c>
      <c r="L33" s="8" t="str">
        <f>IFERROR(__xludf.DUMMYFUNCTION("""COMPUTED_VALUE"""),"Národní muzeum, Archiv NM, Sbírka Muzea dělnického hnutí, sbírka Klement Gottwald - kult osobnosti.")</f>
        <v>Národní muzeum, Archiv NM, Sbírka Muzea dělnického hnutí, sbírka Klement Gottwald - kult osobnosti.</v>
      </c>
      <c r="M33" s="8"/>
      <c r="N33" s="8" t="str">
        <f>IFERROR(__xludf.DUMMYFUNCTION("""COMPUTED_VALUE"""),"Teplice Šanov_obc01.jpg")</f>
        <v>Teplice Šanov_obc01.jpg</v>
      </c>
      <c r="O33" s="8"/>
      <c r="P33" s="8" t="str">
        <f>IFERROR(__xludf.DUMMYFUNCTION("""COMPUTED_VALUE"""),"Obrazová dokumentace archiválie.")</f>
        <v>Obrazová dokumentace archiválie.</v>
      </c>
      <c r="Q33" s="8" t="str">
        <f>IFERROR(__xludf.DUMMYFUNCTION("""COMPUTED_VALUE"""),"Národní muzeum, Archiv NM, Sbírka Muzea dělnického hnutí, sbírka Klement Gottwald - kult osobnosti.")</f>
        <v>Národní muzeum, Archiv NM, Sbírka Muzea dělnického hnutí, sbírka Klement Gottwald - kult osobnosti.</v>
      </c>
      <c r="R33" s="8" t="str">
        <f>IFERROR(__xludf.DUMMYFUNCTION("""COMPUTED_VALUE"""),"Teplice Šanov_obc03.jpg")</f>
        <v>Teplice Šanov_obc03.jpg</v>
      </c>
      <c r="S33" s="8"/>
      <c r="T33" s="8" t="str">
        <f>IFERROR(__xludf.DUMMYFUNCTION("""COMPUTED_VALUE"""),"Obrazová dokumentace archiválie.")</f>
        <v>Obrazová dokumentace archiválie.</v>
      </c>
      <c r="U33" s="8" t="str">
        <f>IFERROR(__xludf.DUMMYFUNCTION("""COMPUTED_VALUE"""),"Národní muzeum, Archiv NM, Sbírka Muzea dělnického hnutí, sbírka Klement Gottwald - kult osobnosti.")</f>
        <v>Národní muzeum, Archiv NM, Sbírka Muzea dělnického hnutí, sbírka Klement Gottwald - kult osobnosti.</v>
      </c>
      <c r="V33" s="8" t="str">
        <f>IFERROR(__xludf.DUMMYFUNCTION("""COMPUTED_VALUE"""),"Teplice Šanov_obc04.jpg")</f>
        <v>Teplice Šanov_obc04.jpg</v>
      </c>
      <c r="W33" s="8"/>
      <c r="X33" s="8" t="str">
        <f>IFERROR(__xludf.DUMMYFUNCTION("""COMPUTED_VALUE"""),"Obrazová dokumentace archiválie.")</f>
        <v>Obrazová dokumentace archiválie.</v>
      </c>
      <c r="Y33" s="8" t="str">
        <f>IFERROR(__xludf.DUMMYFUNCTION("""COMPUTED_VALUE"""),"Národní muzeum, Archiv NM, Sbírka Muzea dělnického hnutí, sbírka Klement Gottwald - kult osobnosti.")</f>
        <v>Národní muzeum, Archiv NM, Sbírka Muzea dělnického hnutí, sbírka Klement Gottwald - kult osobnosti.</v>
      </c>
      <c r="Z33" s="8"/>
      <c r="AA33" s="8"/>
      <c r="AB33" s="8"/>
      <c r="AC33" s="8"/>
      <c r="AD33" s="8"/>
      <c r="AE33" s="8"/>
      <c r="AF33" s="8"/>
      <c r="AG33" s="8"/>
      <c r="AH33" s="8"/>
      <c r="AI33" s="8"/>
      <c r="AJ33" s="8"/>
      <c r="AK33" s="8"/>
      <c r="AL33" s="8"/>
      <c r="AM33" s="8"/>
      <c r="AN33" s="8"/>
      <c r="AO33" s="8"/>
    </row>
    <row r="34">
      <c r="A34" s="7">
        <f t="shared" si="1"/>
        <v>33</v>
      </c>
      <c r="B34" s="8" t="str">
        <f>IFERROR(__xludf.DUMMYFUNCTION("""COMPUTED_VALUE"""),"18.0933139")</f>
        <v>18.0933139</v>
      </c>
      <c r="C34" s="8" t="str">
        <f>IFERROR(__xludf.DUMMYFUNCTION("""COMPUTED_VALUE"""),"49.8635922")</f>
        <v>49.8635922</v>
      </c>
      <c r="D34" s="8" t="str">
        <f>IFERROR(__xludf.DUMMYFUNCTION("""COMPUTED_VALUE"""),"Velká Polom, čestné občanství ")</f>
        <v>Velká Polom, čestné občanství </v>
      </c>
      <c r="E34" s="8" t="str">
        <f>IFERROR(__xludf.DUMMYFUNCTION("""COMPUTED_VALUE"""),"Rámovaný diplom čestného občanství. Zlacený rám, akvarelová ilustrace s motivem pohledu na obec a symbolickým dekorem, rkp, podpisy, 45 x 32 cm.")</f>
        <v>Rámovaný diplom čestného občanství. Zlacený rám, akvarelová ilustrace s motivem pohledu na obec a symbolickým dekorem, rkp, podpisy, 45 x 32 cm.</v>
      </c>
      <c r="F34" s="8" t="str">
        <f>IFERROR(__xludf.DUMMYFUNCTION("""COMPUTED_VALUE"""),"dokumenty")</f>
        <v>dokumenty</v>
      </c>
      <c r="G34" s="8" t="str">
        <f>IFERROR(__xludf.DUMMYFUNCTION("""COMPUTED_VALUE"""),"Čestná občanství")</f>
        <v>Čestná občanství</v>
      </c>
      <c r="H34" s="8"/>
      <c r="I34" s="9" t="str">
        <f>IFERROR(__xludf.DUMMYFUNCTION("""COMPUTED_VALUE"""),"22. listopad 1946")</f>
        <v>22. listopad 1946</v>
      </c>
      <c r="J34" s="8"/>
      <c r="K34" s="8" t="str">
        <f>IFERROR(__xludf.DUMMYFUNCTION("""COMPUTED_VALUE"""),"Místní národní výbor.")</f>
        <v>Místní národní výbor.</v>
      </c>
      <c r="L34" s="8" t="str">
        <f>IFERROR(__xludf.DUMMYFUNCTION("""COMPUTED_VALUE"""),"Národní muzeum, Archiv NM, Sbírka Muzea dělnického hnutí, sbírka Klement Gottwald - kult osobnosti.")</f>
        <v>Národní muzeum, Archiv NM, Sbírka Muzea dělnického hnutí, sbírka Klement Gottwald - kult osobnosti.</v>
      </c>
      <c r="M34" s="8"/>
      <c r="N34" s="8" t="str">
        <f>IFERROR(__xludf.DUMMYFUNCTION("""COMPUTED_VALUE"""),"Velká Polom_obc.jpg")</f>
        <v>Velká Polom_obc.jpg</v>
      </c>
      <c r="O34" s="8"/>
      <c r="P34" s="8" t="str">
        <f>IFERROR(__xludf.DUMMYFUNCTION("""COMPUTED_VALUE"""),"Obrazová dokumentace archiválie.")</f>
        <v>Obrazová dokumentace archiválie.</v>
      </c>
      <c r="Q34" s="8" t="str">
        <f>IFERROR(__xludf.DUMMYFUNCTION("""COMPUTED_VALUE"""),"Národní muzeum, Archiv NM, Sbírka Muzea dělnického hnutí, sbírka Klement Gottwald - kult osobnosti.")</f>
        <v>Národní muzeum, Archiv NM, Sbírka Muzea dělnického hnutí, sbírka Klement Gottwald - kult osobnosti.</v>
      </c>
      <c r="R34" s="8"/>
      <c r="S34" s="8"/>
      <c r="T34" s="8"/>
      <c r="U34" s="8"/>
      <c r="V34" s="8"/>
      <c r="W34" s="8"/>
      <c r="X34" s="8"/>
      <c r="Y34" s="8"/>
      <c r="Z34" s="8"/>
      <c r="AA34" s="8"/>
      <c r="AB34" s="8"/>
      <c r="AC34" s="8"/>
      <c r="AD34" s="8"/>
      <c r="AE34" s="8"/>
      <c r="AF34" s="8"/>
      <c r="AG34" s="8"/>
      <c r="AH34" s="8"/>
      <c r="AI34" s="8"/>
      <c r="AJ34" s="8"/>
      <c r="AK34" s="8"/>
      <c r="AL34" s="8"/>
      <c r="AM34" s="8"/>
      <c r="AN34" s="8"/>
      <c r="AO34" s="8"/>
    </row>
    <row r="35">
      <c r="A35" s="7">
        <f t="shared" si="1"/>
        <v>34</v>
      </c>
      <c r="B35" s="8" t="str">
        <f>IFERROR(__xludf.DUMMYFUNCTION("""COMPUTED_VALUE"""),"14.8988102")</f>
        <v>14.8988102</v>
      </c>
      <c r="C35" s="8" t="str">
        <f>IFERROR(__xludf.DUMMYFUNCTION("""COMPUTED_VALUE"""),"49.7063276")</f>
        <v>49.7063276</v>
      </c>
      <c r="D35" s="8" t="str">
        <f>IFERROR(__xludf.DUMMYFUNCTION("""COMPUTED_VALUE"""),"Vlašim, čestné občanství ")</f>
        <v>Vlašim, čestné občanství </v>
      </c>
      <c r="E35" s="8" t="str">
        <f>IFERROR(__xludf.DUMMYFUNCTION("""COMPUTED_VALUE"""),"Diplom čestného občanství, uděleno u příležitosti 52. narozenin na schůzi 19. listopadu 1948. Hnědé kožené desky s vytlačeným znakem města a nápisem, s přivěšenou pečetí města, akvarelová veduta města (signováno R. Dušek), rkp, podpisy, otevřené 52 x 35 c"&amp;"m. ")</f>
        <v>Diplom čestného občanství, uděleno u příležitosti 52. narozenin na schůzi 19. listopadu 1948. Hnědé kožené desky s vytlačeným znakem města a nápisem, s přivěšenou pečetí města, akvarelová veduta města (signováno R. Dušek), rkp, podpisy, otevřené 52 x 35 cm. </v>
      </c>
      <c r="F35" s="8" t="str">
        <f>IFERROR(__xludf.DUMMYFUNCTION("""COMPUTED_VALUE"""),"dokumenty")</f>
        <v>dokumenty</v>
      </c>
      <c r="G35" s="8" t="str">
        <f>IFERROR(__xludf.DUMMYFUNCTION("""COMPUTED_VALUE"""),"Čestná občanství")</f>
        <v>Čestná občanství</v>
      </c>
      <c r="H35" s="8"/>
      <c r="I35" s="9" t="str">
        <f>IFERROR(__xludf.DUMMYFUNCTION("""COMPUTED_VALUE"""),"1. červen 1949")</f>
        <v>1. červen 1949</v>
      </c>
      <c r="J35" s="8"/>
      <c r="K35" s="8" t="str">
        <f>IFERROR(__xludf.DUMMYFUNCTION("""COMPUTED_VALUE"""),"Místní národní výbor. R. Dušek.")</f>
        <v>Místní národní výbor. R. Dušek.</v>
      </c>
      <c r="L35" s="8" t="str">
        <f>IFERROR(__xludf.DUMMYFUNCTION("""COMPUTED_VALUE"""),"Národní muzeum, Archiv NM, Sbírka Muzea dělnického hnutí, sbírka Klement Gottwald - kult osobnosti.")</f>
        <v>Národní muzeum, Archiv NM, Sbírka Muzea dělnického hnutí, sbírka Klement Gottwald - kult osobnosti.</v>
      </c>
      <c r="M35" s="8"/>
      <c r="N35" s="8" t="str">
        <f>IFERROR(__xludf.DUMMYFUNCTION("""COMPUTED_VALUE"""),"Vlašim_obc01.jpg")</f>
        <v>Vlašim_obc01.jpg</v>
      </c>
      <c r="O35" s="8"/>
      <c r="P35" s="8" t="str">
        <f>IFERROR(__xludf.DUMMYFUNCTION("""COMPUTED_VALUE"""),"Obrazová dokumentace archiválie.")</f>
        <v>Obrazová dokumentace archiválie.</v>
      </c>
      <c r="Q35" s="8" t="str">
        <f>IFERROR(__xludf.DUMMYFUNCTION("""COMPUTED_VALUE"""),"Národní muzeum, Archiv NM, Sbírka Muzea dělnického hnutí, sbírka Klement Gottwald - kult osobnosti.")</f>
        <v>Národní muzeum, Archiv NM, Sbírka Muzea dělnického hnutí, sbírka Klement Gottwald - kult osobnosti.</v>
      </c>
      <c r="R35" s="8" t="str">
        <f>IFERROR(__xludf.DUMMYFUNCTION("""COMPUTED_VALUE"""),"Vlašim_obc02.jpg")</f>
        <v>Vlašim_obc02.jpg</v>
      </c>
      <c r="S35" s="8"/>
      <c r="T35" s="8" t="str">
        <f>IFERROR(__xludf.DUMMYFUNCTION("""COMPUTED_VALUE"""),"Obrazová dokumentace archiválie.")</f>
        <v>Obrazová dokumentace archiválie.</v>
      </c>
      <c r="U35" s="8" t="str">
        <f>IFERROR(__xludf.DUMMYFUNCTION("""COMPUTED_VALUE"""),"Národní muzeum, Archiv NM, Sbírka Muzea dělnického hnutí, sbírka Klement Gottwald - kult osobnosti.")</f>
        <v>Národní muzeum, Archiv NM, Sbírka Muzea dělnického hnutí, sbírka Klement Gottwald - kult osobnosti.</v>
      </c>
      <c r="V35" s="8"/>
      <c r="W35" s="8"/>
      <c r="X35" s="8"/>
      <c r="Y35" s="8"/>
      <c r="Z35" s="8"/>
      <c r="AA35" s="8"/>
      <c r="AB35" s="8"/>
      <c r="AC35" s="8"/>
      <c r="AD35" s="8"/>
      <c r="AE35" s="8"/>
      <c r="AF35" s="8"/>
      <c r="AG35" s="8"/>
      <c r="AH35" s="8"/>
      <c r="AI35" s="8"/>
      <c r="AJ35" s="8"/>
      <c r="AK35" s="8"/>
      <c r="AL35" s="8"/>
      <c r="AM35" s="8"/>
      <c r="AN35" s="8"/>
      <c r="AO35" s="8"/>
    </row>
    <row r="36">
      <c r="A36" s="7">
        <f t="shared" si="1"/>
        <v>35</v>
      </c>
      <c r="B36" s="8" t="str">
        <f>IFERROR(__xludf.DUMMYFUNCTION("""COMPUTED_VALUE"""),"15.4206424")</f>
        <v>15.4206424</v>
      </c>
      <c r="C36" s="8" t="str">
        <f>IFERROR(__xludf.DUMMYFUNCTION("""COMPUTED_VALUE"""),"50.7812659")</f>
        <v>50.7812659</v>
      </c>
      <c r="D36" s="8" t="str">
        <f>IFERROR(__xludf.DUMMYFUNCTION("""COMPUTED_VALUE"""),"Harrachov, čestné občanství ")</f>
        <v>Harrachov, čestné občanství </v>
      </c>
      <c r="E36" s="8" t="str">
        <f>IFERROR(__xludf.DUMMYFUNCTION("""COMPUTED_VALUE"""),"Rámovaný diplom čestného občanství. Zlacený rám, diplom bohatě ilustrovaný: pohled na město a budovatelská symbolika práce, klasicistní orámování, lipová ratolest, rkp, podpisy, razítko, 52 x 35 cm.")</f>
        <v>Rámovaný diplom čestného občanství. Zlacený rám, diplom bohatě ilustrovaný: pohled na město a budovatelská symbolika práce, klasicistní orámování, lipová ratolest, rkp, podpisy, razítko, 52 x 35 cm.</v>
      </c>
      <c r="F36" s="8" t="str">
        <f>IFERROR(__xludf.DUMMYFUNCTION("""COMPUTED_VALUE"""),"dokumenty")</f>
        <v>dokumenty</v>
      </c>
      <c r="G36" s="8" t="str">
        <f>IFERROR(__xludf.DUMMYFUNCTION("""COMPUTED_VALUE"""),"Čestná občanství")</f>
        <v>Čestná občanství</v>
      </c>
      <c r="H36" s="8"/>
      <c r="I36" s="9" t="str">
        <f>IFERROR(__xludf.DUMMYFUNCTION("""COMPUTED_VALUE"""),"30. září 1946")</f>
        <v>30. září 1946</v>
      </c>
      <c r="J36" s="8"/>
      <c r="K36" s="8" t="str">
        <f>IFERROR(__xludf.DUMMYFUNCTION("""COMPUTED_VALUE"""),"Místní národní výbor.")</f>
        <v>Místní národní výbor.</v>
      </c>
      <c r="L36" s="8" t="str">
        <f>IFERROR(__xludf.DUMMYFUNCTION("""COMPUTED_VALUE"""),"Národní muzeum, Archiv NM, Sbírka Muzea dělnického hnutí, sbírka Klement Gottwald - kult osobnosti.")</f>
        <v>Národní muzeum, Archiv NM, Sbírka Muzea dělnického hnutí, sbírka Klement Gottwald - kult osobnosti.</v>
      </c>
      <c r="M36" s="8"/>
      <c r="N36" s="8" t="str">
        <f>IFERROR(__xludf.DUMMYFUNCTION("""COMPUTED_VALUE"""),"Harrachov_obc.jpg")</f>
        <v>Harrachov_obc.jpg</v>
      </c>
      <c r="O36" s="8"/>
      <c r="P36" s="8" t="str">
        <f>IFERROR(__xludf.DUMMYFUNCTION("""COMPUTED_VALUE"""),"Obrazová dokumentace archiválie.")</f>
        <v>Obrazová dokumentace archiválie.</v>
      </c>
      <c r="Q36" s="8" t="str">
        <f>IFERROR(__xludf.DUMMYFUNCTION("""COMPUTED_VALUE"""),"Národní muzeum, Archiv NM, Sbírka Muzea dělnického hnutí, sbírka Klement Gottwald - kult osobnosti.")</f>
        <v>Národní muzeum, Archiv NM, Sbírka Muzea dělnického hnutí, sbírka Klement Gottwald - kult osobnosti.</v>
      </c>
      <c r="R36" s="8"/>
      <c r="S36" s="8"/>
      <c r="T36" s="8"/>
      <c r="U36" s="8"/>
      <c r="V36" s="8"/>
      <c r="W36" s="8"/>
      <c r="X36" s="8"/>
      <c r="Y36" s="8"/>
      <c r="Z36" s="8"/>
      <c r="AA36" s="8"/>
      <c r="AB36" s="8"/>
      <c r="AC36" s="8"/>
      <c r="AD36" s="8"/>
      <c r="AE36" s="8"/>
      <c r="AF36" s="8"/>
      <c r="AG36" s="8"/>
      <c r="AH36" s="8"/>
      <c r="AI36" s="8"/>
      <c r="AJ36" s="8"/>
      <c r="AK36" s="8"/>
      <c r="AL36" s="8"/>
      <c r="AM36" s="8"/>
      <c r="AN36" s="8"/>
      <c r="AO36" s="8"/>
    </row>
    <row r="37">
      <c r="A37" s="7">
        <f t="shared" si="1"/>
        <v>36</v>
      </c>
      <c r="B37" s="8" t="str">
        <f>IFERROR(__xludf.DUMMYFUNCTION("""COMPUTED_VALUE"""),"14.117827")</f>
        <v>14.117827</v>
      </c>
      <c r="C37" s="8" t="str">
        <f>IFERROR(__xludf.DUMMYFUNCTION("""COMPUTED_VALUE"""),"50.1937817")</f>
        <v>50.1937817</v>
      </c>
      <c r="D37" s="8" t="str">
        <f>IFERROR(__xludf.DUMMYFUNCTION("""COMPUTED_VALUE"""),"Pchery, čestné občanství ")</f>
        <v>Pchery, čestné občanství </v>
      </c>
      <c r="E37" s="8" t="str">
        <f>IFERROR(__xludf.DUMMYFUNCTION("""COMPUTED_VALUE"""),"Diplom čestného občanství, uděleného již na schůzi 21. listopadu 1946. Rudé textilní desky se zlaceným orámováním, kolorovaná ilustrace s motivem hornictví a názvem města, rkp, podpisy, razítko, 6 ll, 34 x 25 cm.")</f>
        <v>Diplom čestného občanství, uděleného již na schůzi 21. listopadu 1946. Rudé textilní desky se zlaceným orámováním, kolorovaná ilustrace s motivem hornictví a názvem města, rkp, podpisy, razítko, 6 ll, 34 x 25 cm.</v>
      </c>
      <c r="F37" s="8" t="str">
        <f>IFERROR(__xludf.DUMMYFUNCTION("""COMPUTED_VALUE"""),"dokumenty")</f>
        <v>dokumenty</v>
      </c>
      <c r="G37" s="8" t="str">
        <f>IFERROR(__xludf.DUMMYFUNCTION("""COMPUTED_VALUE"""),"Čestná občanství")</f>
        <v>Čestná občanství</v>
      </c>
      <c r="H37" s="8"/>
      <c r="I37" s="9" t="str">
        <f>IFERROR(__xludf.DUMMYFUNCTION("""COMPUTED_VALUE"""),"21. prosince 1947")</f>
        <v>21. prosince 1947</v>
      </c>
      <c r="J37" s="8"/>
      <c r="K37" s="8" t="str">
        <f>IFERROR(__xludf.DUMMYFUNCTION("""COMPUTED_VALUE"""),"Místní národní výbor. sign. S. K.")</f>
        <v>Místní národní výbor. sign. S. K.</v>
      </c>
      <c r="L37" s="8" t="str">
        <f>IFERROR(__xludf.DUMMYFUNCTION("""COMPUTED_VALUE"""),"Národní muzeum, Archiv NM, Sbírka Muzea dělnického hnutí, sbírka Klement Gottwald - kult osobnosti.")</f>
        <v>Národní muzeum, Archiv NM, Sbírka Muzea dělnického hnutí, sbírka Klement Gottwald - kult osobnosti.</v>
      </c>
      <c r="M37" s="8"/>
      <c r="N37" s="8" t="str">
        <f>IFERROR(__xludf.DUMMYFUNCTION("""COMPUTED_VALUE"""),"Pchery_obc01.jpg")</f>
        <v>Pchery_obc01.jpg</v>
      </c>
      <c r="O37" s="8"/>
      <c r="P37" s="8" t="str">
        <f>IFERROR(__xludf.DUMMYFUNCTION("""COMPUTED_VALUE"""),"Obrazová dokumentace archiválie.")</f>
        <v>Obrazová dokumentace archiválie.</v>
      </c>
      <c r="Q37" s="8" t="str">
        <f>IFERROR(__xludf.DUMMYFUNCTION("""COMPUTED_VALUE"""),"Národní muzeum, Archiv NM, Sbírka Muzea dělnického hnutí, sbírka Klement Gottwald - kult osobnosti.")</f>
        <v>Národní muzeum, Archiv NM, Sbírka Muzea dělnického hnutí, sbírka Klement Gottwald - kult osobnosti.</v>
      </c>
      <c r="R37" s="8" t="str">
        <f>IFERROR(__xludf.DUMMYFUNCTION("""COMPUTED_VALUE"""),"Pchery_obc02.jpg")</f>
        <v>Pchery_obc02.jpg</v>
      </c>
      <c r="S37" s="8"/>
      <c r="T37" s="8" t="str">
        <f>IFERROR(__xludf.DUMMYFUNCTION("""COMPUTED_VALUE"""),"Obrazová dokumentace archiválie.")</f>
        <v>Obrazová dokumentace archiválie.</v>
      </c>
      <c r="U37" s="8" t="str">
        <f>IFERROR(__xludf.DUMMYFUNCTION("""COMPUTED_VALUE"""),"Národní muzeum, Archiv NM, Sbírka Muzea dělnického hnutí, sbírka Klement Gottwald - kult osobnosti.")</f>
        <v>Národní muzeum, Archiv NM, Sbírka Muzea dělnického hnutí, sbírka Klement Gottwald - kult osobnosti.</v>
      </c>
      <c r="V37" s="8" t="str">
        <f>IFERROR(__xludf.DUMMYFUNCTION("""COMPUTED_VALUE"""),"Pchery_obc03.jpg")</f>
        <v>Pchery_obc03.jpg</v>
      </c>
      <c r="W37" s="8"/>
      <c r="X37" s="8" t="str">
        <f>IFERROR(__xludf.DUMMYFUNCTION("""COMPUTED_VALUE"""),"Obrazová dokumentace archiválie.")</f>
        <v>Obrazová dokumentace archiválie.</v>
      </c>
      <c r="Y37" s="8" t="str">
        <f>IFERROR(__xludf.DUMMYFUNCTION("""COMPUTED_VALUE"""),"Národní muzeum, Archiv NM, Sbírka Muzea dělnického hnutí, sbírka Klement Gottwald - kult osobnosti.")</f>
        <v>Národní muzeum, Archiv NM, Sbírka Muzea dělnického hnutí, sbírka Klement Gottwald - kult osobnosti.</v>
      </c>
      <c r="Z37" s="8" t="str">
        <f>IFERROR(__xludf.DUMMYFUNCTION("""COMPUTED_VALUE"""),"Pchery_obc04.jpg")</f>
        <v>Pchery_obc04.jpg</v>
      </c>
      <c r="AA37" s="8"/>
      <c r="AB37" s="8" t="str">
        <f>IFERROR(__xludf.DUMMYFUNCTION("""COMPUTED_VALUE"""),"Obrazová dokumentace archiválie.")</f>
        <v>Obrazová dokumentace archiválie.</v>
      </c>
      <c r="AC37" s="8" t="str">
        <f>IFERROR(__xludf.DUMMYFUNCTION("""COMPUTED_VALUE"""),"Národní muzeum, Archiv NM, Sbírka Muzea dělnického hnutí, sbírka Klement Gottwald - kult osobnosti.")</f>
        <v>Národní muzeum, Archiv NM, Sbírka Muzea dělnického hnutí, sbírka Klement Gottwald - kult osobnosti.</v>
      </c>
      <c r="AD37" s="8"/>
      <c r="AE37" s="8"/>
      <c r="AF37" s="8"/>
      <c r="AG37" s="8"/>
      <c r="AH37" s="8"/>
      <c r="AI37" s="8"/>
      <c r="AJ37" s="8"/>
      <c r="AK37" s="8"/>
      <c r="AL37" s="8"/>
      <c r="AM37" s="8"/>
      <c r="AN37" s="8"/>
      <c r="AO37" s="8"/>
    </row>
    <row r="38">
      <c r="A38" s="7">
        <f t="shared" si="1"/>
        <v>37</v>
      </c>
      <c r="B38" s="8" t="str">
        <f>IFERROR(__xludf.DUMMYFUNCTION("""COMPUTED_VALUE"""),"16.2230307")</f>
        <v>16.2230307</v>
      </c>
      <c r="C38" s="8" t="str">
        <f>IFERROR(__xludf.DUMMYFUNCTION("""COMPUTED_VALUE"""),"50.0016037")</f>
        <v>50.0016037</v>
      </c>
      <c r="D38" s="8" t="str">
        <f>IFERROR(__xludf.DUMMYFUNCTION("""COMPUTED_VALUE"""),"Choceň, čestné občanství ")</f>
        <v>Choceň, čestné občanství </v>
      </c>
      <c r="E38" s="8" t="str">
        <f>IFERROR(__xludf.DUMMYFUNCTION("""COMPUTED_VALUE"""),"Diplom čestného občanství. Bílé textilní desky s barevným a vytlačovaným nápisem, trojdílný složený diplom z ručního papíru s červenou figurální ilustrací na motivy oslavy práce, tisk, 33 x 23 cm.")</f>
        <v>Diplom čestného občanství. Bílé textilní desky s barevným a vytlačovaným nápisem, trojdílný složený diplom z ručního papíru s červenou figurální ilustrací na motivy oslavy práce, tisk, 33 x 23 cm.</v>
      </c>
      <c r="F38" s="8" t="str">
        <f>IFERROR(__xludf.DUMMYFUNCTION("""COMPUTED_VALUE"""),"dokumenty")</f>
        <v>dokumenty</v>
      </c>
      <c r="G38" s="8" t="str">
        <f>IFERROR(__xludf.DUMMYFUNCTION("""COMPUTED_VALUE"""),"Čestná občanství")</f>
        <v>Čestná občanství</v>
      </c>
      <c r="H38" s="8"/>
      <c r="I38" s="9" t="str">
        <f>IFERROR(__xludf.DUMMYFUNCTION("""COMPUTED_VALUE"""),"12. listopadu 1948")</f>
        <v>12. listopadu 1948</v>
      </c>
      <c r="J38" s="8"/>
      <c r="K38" s="8" t="str">
        <f>IFERROR(__xludf.DUMMYFUNCTION("""COMPUTED_VALUE"""),"Obyvatelé Chocně.")</f>
        <v>Obyvatelé Chocně.</v>
      </c>
      <c r="L38" s="8" t="str">
        <f>IFERROR(__xludf.DUMMYFUNCTION("""COMPUTED_VALUE"""),"Národní muzeum, Archiv NM, Sbírka Muzea dělnického hnutí, sbírka Klement Gottwald - kult osobnosti.")</f>
        <v>Národní muzeum, Archiv NM, Sbírka Muzea dělnického hnutí, sbírka Klement Gottwald - kult osobnosti.</v>
      </c>
      <c r="M38" s="8"/>
      <c r="N38" s="8" t="str">
        <f>IFERROR(__xludf.DUMMYFUNCTION("""COMPUTED_VALUE"""),"Choceň_obc01.jpg")</f>
        <v>Choceň_obc01.jpg</v>
      </c>
      <c r="O38" s="8"/>
      <c r="P38" s="8" t="str">
        <f>IFERROR(__xludf.DUMMYFUNCTION("""COMPUTED_VALUE"""),"Obrazová dokumentace archiválie.")</f>
        <v>Obrazová dokumentace archiválie.</v>
      </c>
      <c r="Q38" s="8" t="str">
        <f>IFERROR(__xludf.DUMMYFUNCTION("""COMPUTED_VALUE"""),"Národní muzeum, Archiv NM, Sbírka Muzea dělnického hnutí, sbírka Klement Gottwald - kult osobnosti.")</f>
        <v>Národní muzeum, Archiv NM, Sbírka Muzea dělnického hnutí, sbírka Klement Gottwald - kult osobnosti.</v>
      </c>
      <c r="R38" s="8" t="str">
        <f>IFERROR(__xludf.DUMMYFUNCTION("""COMPUTED_VALUE"""),"Choceň_obc02.jpg")</f>
        <v>Choceň_obc02.jpg</v>
      </c>
      <c r="S38" s="8"/>
      <c r="T38" s="8" t="str">
        <f>IFERROR(__xludf.DUMMYFUNCTION("""COMPUTED_VALUE"""),"Obrazová dokumentace archiválie.")</f>
        <v>Obrazová dokumentace archiválie.</v>
      </c>
      <c r="U38" s="8" t="str">
        <f>IFERROR(__xludf.DUMMYFUNCTION("""COMPUTED_VALUE"""),"Národní muzeum, Archiv NM, Sbírka Muzea dělnického hnutí, sbírka Klement Gottwald - kult osobnosti.")</f>
        <v>Národní muzeum, Archiv NM, Sbírka Muzea dělnického hnutí, sbírka Klement Gottwald - kult osobnosti.</v>
      </c>
      <c r="V38" s="8"/>
      <c r="W38" s="8"/>
      <c r="X38" s="8"/>
      <c r="Y38" s="8"/>
      <c r="Z38" s="8"/>
      <c r="AA38" s="8"/>
      <c r="AB38" s="8"/>
      <c r="AC38" s="8"/>
      <c r="AD38" s="8"/>
      <c r="AE38" s="8"/>
      <c r="AF38" s="8"/>
      <c r="AG38" s="8"/>
      <c r="AH38" s="8"/>
      <c r="AI38" s="8"/>
      <c r="AJ38" s="8"/>
      <c r="AK38" s="8"/>
      <c r="AL38" s="8"/>
      <c r="AM38" s="8"/>
      <c r="AN38" s="8"/>
      <c r="AO38" s="8"/>
    </row>
    <row r="39">
      <c r="A39" s="7">
        <f t="shared" si="1"/>
        <v>38</v>
      </c>
      <c r="B39" s="8" t="str">
        <f>IFERROR(__xludf.DUMMYFUNCTION("""COMPUTED_VALUE"""),"18.6707901")</f>
        <v>18.6707901</v>
      </c>
      <c r="C39" s="8" t="str">
        <f>IFERROR(__xludf.DUMMYFUNCTION("""COMPUTED_VALUE"""),"49.677631")</f>
        <v>49.677631</v>
      </c>
      <c r="D39" s="8" t="str">
        <f>IFERROR(__xludf.DUMMYFUNCTION("""COMPUTED_VALUE"""),"Třinec, čestné občanství ")</f>
        <v>Třinec, čestné občanství </v>
      </c>
      <c r="E39" s="8" t="str">
        <f>IFERROR(__xludf.DUMMYFUNCTION("""COMPUTED_VALUE"""),"Diplom čestného občanství. Textilní desky s kovovým plátem s rytou, kolorovanou ilustrací s motivem dolu, ruční papír, bohatě ilustrováno: figurální zobrazení na motivy oslavy práce, pohledy na město a doly, symbol kladiva a srpu s pracovními výjevy, rkp,"&amp;" podpisy, razítko, 32 x 28 cm. ")</f>
        <v>Diplom čestného občanství. Textilní desky s kovovým plátem s rytou, kolorovanou ilustrací s motivem dolu, ruční papír, bohatě ilustrováno: figurální zobrazení na motivy oslavy práce, pohledy na město a doly, symbol kladiva a srpu s pracovními výjevy, rkp, podpisy, razítko, 32 x 28 cm. </v>
      </c>
      <c r="F39" s="8" t="str">
        <f>IFERROR(__xludf.DUMMYFUNCTION("""COMPUTED_VALUE"""),"dokumenty")</f>
        <v>dokumenty</v>
      </c>
      <c r="G39" s="8" t="str">
        <f>IFERROR(__xludf.DUMMYFUNCTION("""COMPUTED_VALUE"""),"Čestná občanství")</f>
        <v>Čestná občanství</v>
      </c>
      <c r="H39" s="8"/>
      <c r="I39" s="9" t="str">
        <f>IFERROR(__xludf.DUMMYFUNCTION("""COMPUTED_VALUE"""),"14. července 1948")</f>
        <v>14. července 1948</v>
      </c>
      <c r="J39" s="8"/>
      <c r="K39" s="8" t="str">
        <f>IFERROR(__xludf.DUMMYFUNCTION("""COMPUTED_VALUE"""),"Místní národní výbor. Biron (?).")</f>
        <v>Místní národní výbor. Biron (?).</v>
      </c>
      <c r="L39" s="8" t="str">
        <f>IFERROR(__xludf.DUMMYFUNCTION("""COMPUTED_VALUE"""),"Národní muzeum, Archiv NM, Sbírka Muzea dělnického hnutí, sbírka Klement Gottwald - kult osobnosti.")</f>
        <v>Národní muzeum, Archiv NM, Sbírka Muzea dělnického hnutí, sbírka Klement Gottwald - kult osobnosti.</v>
      </c>
      <c r="M39" s="8"/>
      <c r="N39" s="8" t="str">
        <f>IFERROR(__xludf.DUMMYFUNCTION("""COMPUTED_VALUE"""),"Třinec_obc01.jpg")</f>
        <v>Třinec_obc01.jpg</v>
      </c>
      <c r="O39" s="8"/>
      <c r="P39" s="8" t="str">
        <f>IFERROR(__xludf.DUMMYFUNCTION("""COMPUTED_VALUE"""),"Obrazová dokumentace archiválie.")</f>
        <v>Obrazová dokumentace archiválie.</v>
      </c>
      <c r="Q39" s="8" t="str">
        <f>IFERROR(__xludf.DUMMYFUNCTION("""COMPUTED_VALUE"""),"Národní muzeum, Archiv NM, Sbírka Muzea dělnického hnutí, sbírka Klement Gottwald - kult osobnosti.")</f>
        <v>Národní muzeum, Archiv NM, Sbírka Muzea dělnického hnutí, sbírka Klement Gottwald - kult osobnosti.</v>
      </c>
      <c r="R39" s="8" t="str">
        <f>IFERROR(__xludf.DUMMYFUNCTION("""COMPUTED_VALUE"""),"Třinec_obc02.jpg")</f>
        <v>Třinec_obc02.jpg</v>
      </c>
      <c r="S39" s="8"/>
      <c r="T39" s="8" t="str">
        <f>IFERROR(__xludf.DUMMYFUNCTION("""COMPUTED_VALUE"""),"Obrazová dokumentace archiválie.")</f>
        <v>Obrazová dokumentace archiválie.</v>
      </c>
      <c r="U39" s="8" t="str">
        <f>IFERROR(__xludf.DUMMYFUNCTION("""COMPUTED_VALUE"""),"Národní muzeum, Archiv NM, Sbírka Muzea dělnického hnutí, sbírka Klement Gottwald - kult osobnosti.")</f>
        <v>Národní muzeum, Archiv NM, Sbírka Muzea dělnického hnutí, sbírka Klement Gottwald - kult osobnosti.</v>
      </c>
      <c r="V39" s="8" t="str">
        <f>IFERROR(__xludf.DUMMYFUNCTION("""COMPUTED_VALUE"""),"Třinec_obc03.jpg")</f>
        <v>Třinec_obc03.jpg</v>
      </c>
      <c r="W39" s="8"/>
      <c r="X39" s="8" t="str">
        <f>IFERROR(__xludf.DUMMYFUNCTION("""COMPUTED_VALUE"""),"Obrazová dokumentace archiválie.")</f>
        <v>Obrazová dokumentace archiválie.</v>
      </c>
      <c r="Y39" s="8" t="str">
        <f>IFERROR(__xludf.DUMMYFUNCTION("""COMPUTED_VALUE"""),"Národní muzeum, Archiv NM, Sbírka Muzea dělnického hnutí, sbírka Klement Gottwald - kult osobnosti.")</f>
        <v>Národní muzeum, Archiv NM, Sbírka Muzea dělnického hnutí, sbírka Klement Gottwald - kult osobnosti.</v>
      </c>
      <c r="Z39" s="8" t="str">
        <f>IFERROR(__xludf.DUMMYFUNCTION("""COMPUTED_VALUE"""),"Třinec_obc04.jpg")</f>
        <v>Třinec_obc04.jpg</v>
      </c>
      <c r="AA39" s="8"/>
      <c r="AB39" s="8" t="str">
        <f>IFERROR(__xludf.DUMMYFUNCTION("""COMPUTED_VALUE"""),"Obrazová dokumentace archiválie.")</f>
        <v>Obrazová dokumentace archiválie.</v>
      </c>
      <c r="AC39" s="8" t="str">
        <f>IFERROR(__xludf.DUMMYFUNCTION("""COMPUTED_VALUE"""),"Národní muzeum, Archiv NM, Sbírka Muzea dělnického hnutí, sbírka Klement Gottwald - kult osobnosti.")</f>
        <v>Národní muzeum, Archiv NM, Sbírka Muzea dělnického hnutí, sbírka Klement Gottwald - kult osobnosti.</v>
      </c>
      <c r="AD39" s="8" t="str">
        <f>IFERROR(__xludf.DUMMYFUNCTION("""COMPUTED_VALUE"""),"Třinec_obc05.jpg")</f>
        <v>Třinec_obc05.jpg</v>
      </c>
      <c r="AE39" s="8"/>
      <c r="AF39" s="8" t="str">
        <f>IFERROR(__xludf.DUMMYFUNCTION("""COMPUTED_VALUE"""),"Obrazová dokumentace archiválie.")</f>
        <v>Obrazová dokumentace archiválie.</v>
      </c>
      <c r="AG39" s="8" t="str">
        <f>IFERROR(__xludf.DUMMYFUNCTION("""COMPUTED_VALUE"""),"Národní muzeum, Archiv NM, Sbírka Muzea dělnického hnutí, sbírka Klement Gottwald - kult osobnosti.")</f>
        <v>Národní muzeum, Archiv NM, Sbírka Muzea dělnického hnutí, sbírka Klement Gottwald - kult osobnosti.</v>
      </c>
      <c r="AH39" s="8"/>
      <c r="AI39" s="8"/>
      <c r="AJ39" s="8"/>
      <c r="AK39" s="8"/>
      <c r="AL39" s="8"/>
      <c r="AM39" s="8"/>
      <c r="AN39" s="8"/>
      <c r="AO39" s="8"/>
    </row>
    <row r="40">
      <c r="A40" s="7">
        <f t="shared" si="1"/>
        <v>39</v>
      </c>
      <c r="B40" s="8" t="str">
        <f>IFERROR(__xludf.DUMMYFUNCTION("""COMPUTED_VALUE"""),"13.6573027")</f>
        <v>13.6573027</v>
      </c>
      <c r="C40" s="8" t="str">
        <f>IFERROR(__xludf.DUMMYFUNCTION("""COMPUTED_VALUE"""),"50.5932836")</f>
        <v>50.5932836</v>
      </c>
      <c r="D40" s="8" t="str">
        <f>IFERROR(__xludf.DUMMYFUNCTION("""COMPUTED_VALUE"""),"Lom, čestné občanství ")</f>
        <v>Lom, čestné občanství </v>
      </c>
      <c r="E40" s="8" t="str">
        <f>IFERROR(__xludf.DUMMYFUNCTION("""COMPUTED_VALUE"""),"Diplom čestného občanství. Hnědo-bílé papírové desky, akvarelové ilustrace (signované Karel Kupka): pohled na továrnu, lipové ratolesti, znak obce, rkp, podpisy, 4 ll, 36 x 34 cm.")</f>
        <v>Diplom čestného občanství. Hnědo-bílé papírové desky, akvarelové ilustrace (signované Karel Kupka): pohled na továrnu, lipové ratolesti, znak obce, rkp, podpisy, 4 ll, 36 x 34 cm.</v>
      </c>
      <c r="F40" s="8" t="str">
        <f>IFERROR(__xludf.DUMMYFUNCTION("""COMPUTED_VALUE"""),"dokumenty")</f>
        <v>dokumenty</v>
      </c>
      <c r="G40" s="8" t="str">
        <f>IFERROR(__xludf.DUMMYFUNCTION("""COMPUTED_VALUE"""),"Čestná občanství")</f>
        <v>Čestná občanství</v>
      </c>
      <c r="H40" s="8"/>
      <c r="I40" s="9" t="str">
        <f>IFERROR(__xludf.DUMMYFUNCTION("""COMPUTED_VALUE"""),"21. listopadu 1947.")</f>
        <v>21. listopadu 1947.</v>
      </c>
      <c r="J40" s="8"/>
      <c r="K40" s="8" t="str">
        <f>IFERROR(__xludf.DUMMYFUNCTION("""COMPUTED_VALUE"""),"Místní národní výbor. K. Kupka.")</f>
        <v>Místní národní výbor. K. Kupka.</v>
      </c>
      <c r="L40" s="8" t="str">
        <f>IFERROR(__xludf.DUMMYFUNCTION("""COMPUTED_VALUE"""),"Národní muzeum, Archiv NM, Sbírka Muzea dělnického hnutí, sbírka Klement Gottwald - kult osobnosti.")</f>
        <v>Národní muzeum, Archiv NM, Sbírka Muzea dělnického hnutí, sbírka Klement Gottwald - kult osobnosti.</v>
      </c>
      <c r="M40" s="8"/>
      <c r="N40" s="8" t="str">
        <f>IFERROR(__xludf.DUMMYFUNCTION("""COMPUTED_VALUE"""),"Lom_obc01.jpg")</f>
        <v>Lom_obc01.jpg</v>
      </c>
      <c r="O40" s="8"/>
      <c r="P40" s="8" t="str">
        <f>IFERROR(__xludf.DUMMYFUNCTION("""COMPUTED_VALUE"""),"Obrazová dokumentace archiválie.")</f>
        <v>Obrazová dokumentace archiválie.</v>
      </c>
      <c r="Q40" s="8" t="str">
        <f>IFERROR(__xludf.DUMMYFUNCTION("""COMPUTED_VALUE"""),"Národní muzeum, Archiv NM, Sbírka Muzea dělnického hnutí, sbírka Klement Gottwald - kult osobnosti.")</f>
        <v>Národní muzeum, Archiv NM, Sbírka Muzea dělnického hnutí, sbírka Klement Gottwald - kult osobnosti.</v>
      </c>
      <c r="R40" s="8" t="str">
        <f>IFERROR(__xludf.DUMMYFUNCTION("""COMPUTED_VALUE"""),"Lom_obc02.jpg")</f>
        <v>Lom_obc02.jpg</v>
      </c>
      <c r="S40" s="8"/>
      <c r="T40" s="8" t="str">
        <f>IFERROR(__xludf.DUMMYFUNCTION("""COMPUTED_VALUE"""),"Obrazová dokumentace archiválie.")</f>
        <v>Obrazová dokumentace archiválie.</v>
      </c>
      <c r="U40" s="8" t="str">
        <f>IFERROR(__xludf.DUMMYFUNCTION("""COMPUTED_VALUE"""),"Národní muzeum, Archiv NM, Sbírka Muzea dělnického hnutí, sbírka Klement Gottwald - kult osobnosti.")</f>
        <v>Národní muzeum, Archiv NM, Sbírka Muzea dělnického hnutí, sbírka Klement Gottwald - kult osobnosti.</v>
      </c>
      <c r="V40" s="8" t="str">
        <f>IFERROR(__xludf.DUMMYFUNCTION("""COMPUTED_VALUE"""),"Lom_obc03.jpg")</f>
        <v>Lom_obc03.jpg</v>
      </c>
      <c r="W40" s="8"/>
      <c r="X40" s="8" t="str">
        <f>IFERROR(__xludf.DUMMYFUNCTION("""COMPUTED_VALUE"""),"Obrazová dokumentace archiválie.")</f>
        <v>Obrazová dokumentace archiválie.</v>
      </c>
      <c r="Y40" s="8" t="str">
        <f>IFERROR(__xludf.DUMMYFUNCTION("""COMPUTED_VALUE"""),"Národní muzeum, Archiv NM, Sbírka Muzea dělnického hnutí, sbírka Klement Gottwald - kult osobnosti.")</f>
        <v>Národní muzeum, Archiv NM, Sbírka Muzea dělnického hnutí, sbírka Klement Gottwald - kult osobnosti.</v>
      </c>
      <c r="Z40" s="8" t="str">
        <f>IFERROR(__xludf.DUMMYFUNCTION("""COMPUTED_VALUE"""),"Lom_obc04.jpg")</f>
        <v>Lom_obc04.jpg</v>
      </c>
      <c r="AA40" s="8"/>
      <c r="AB40" s="8" t="str">
        <f>IFERROR(__xludf.DUMMYFUNCTION("""COMPUTED_VALUE"""),"Obrazová dokumentace archiválie.")</f>
        <v>Obrazová dokumentace archiválie.</v>
      </c>
      <c r="AC40" s="8" t="str">
        <f>IFERROR(__xludf.DUMMYFUNCTION("""COMPUTED_VALUE"""),"Národní muzeum, Archiv NM, Sbírka Muzea dělnického hnutí, sbírka Klement Gottwald - kult osobnosti.")</f>
        <v>Národní muzeum, Archiv NM, Sbírka Muzea dělnického hnutí, sbírka Klement Gottwald - kult osobnosti.</v>
      </c>
      <c r="AD40" s="8"/>
      <c r="AE40" s="8"/>
      <c r="AF40" s="8"/>
      <c r="AG40" s="8"/>
      <c r="AH40" s="8"/>
      <c r="AI40" s="8"/>
      <c r="AJ40" s="8"/>
      <c r="AK40" s="8"/>
      <c r="AL40" s="8"/>
      <c r="AM40" s="8"/>
      <c r="AN40" s="8"/>
      <c r="AO40" s="8"/>
    </row>
    <row r="41">
      <c r="A41" s="7">
        <f t="shared" si="1"/>
        <v>40</v>
      </c>
      <c r="B41" s="8" t="str">
        <f>IFERROR(__xludf.DUMMYFUNCTION("""COMPUTED_VALUE"""),"14.1149223")</f>
        <v>14.1149223</v>
      </c>
      <c r="C41" s="8" t="str">
        <f>IFERROR(__xludf.DUMMYFUNCTION("""COMPUTED_VALUE"""),"50.1709674")</f>
        <v>50.1709674</v>
      </c>
      <c r="D41" s="8" t="str">
        <f>IFERROR(__xludf.DUMMYFUNCTION("""COMPUTED_VALUE"""),"Hnidousy, slavnostní pojmenování")</f>
        <v>Hnidousy, slavnostní pojmenování</v>
      </c>
      <c r="E41" s="8" t="str">
        <f>IFERROR(__xludf.DUMMYFUNCTION("""COMPUTED_VALUE"""),"Pamětní spis u příležitosti přejmenování na Důl Gottwald. Celokožené hnědé desky s koženým reliéfem s motivem dolu, drobné i celostránkové kolorované ilustrace s hornickými motivy (autor: Stanislav Holeček), rkp, 10 ll, 45 cm x 33 cm. Důl v Hnidousích pře"&amp;"dstavuje značně plodného původce, samotné přejmenování dolu je zastoupeno minimálně dvěmi kusy dedikací KG, mezi dochovanými archiváliemi se nachází nejméně jedna další zdravice a závazek. Dá se předpokládat, že to nepředstavuje celou produkci tohoto typu"&amp;" materiálů tamějšího vedení.")</f>
        <v>Pamětní spis u příležitosti přejmenování na Důl Gottwald. Celokožené hnědé desky s koženým reliéfem s motivem dolu, drobné i celostránkové kolorované ilustrace s hornickými motivy (autor: Stanislav Holeček), rkp, 10 ll, 45 cm x 33 cm. Důl v Hnidousích představuje značně plodného původce, samotné přejmenování dolu je zastoupeno minimálně dvěmi kusy dedikací KG, mezi dochovanými archiváliemi se nachází nejméně jedna další zdravice a závazek. Dá se předpokládat, že to nepředstavuje celou produkci tohoto typu materiálů tamějšího vedení.</v>
      </c>
      <c r="F41" s="8" t="str">
        <f>IFERROR(__xludf.DUMMYFUNCTION("""COMPUTED_VALUE"""),"dokumenty")</f>
        <v>dokumenty</v>
      </c>
      <c r="G41" s="8" t="str">
        <f>IFERROR(__xludf.DUMMYFUNCTION("""COMPUTED_VALUE"""),"Čestné jméno")</f>
        <v>Čestné jméno</v>
      </c>
      <c r="H41" s="8"/>
      <c r="I41" s="9" t="str">
        <f>IFERROR(__xludf.DUMMYFUNCTION("""COMPUTED_VALUE"""),"23. březen 1946")</f>
        <v>23. březen 1946</v>
      </c>
      <c r="J41" s="8"/>
      <c r="K41" s="8" t="str">
        <f>IFERROR(__xludf.DUMMYFUNCTION("""COMPUTED_VALUE"""),"Závodní rada dolu Ronna. S. Holeček.")</f>
        <v>Závodní rada dolu Ronna. S. Holeček.</v>
      </c>
      <c r="L41" s="8" t="str">
        <f>IFERROR(__xludf.DUMMYFUNCTION("""COMPUTED_VALUE"""),"Národní muzeum, Archiv NM, Sbírka Muzea dělnického hnutí, sbírka Klement Gottwald - kult osobnosti.")</f>
        <v>Národní muzeum, Archiv NM, Sbírka Muzea dělnického hnutí, sbírka Klement Gottwald - kult osobnosti.</v>
      </c>
      <c r="M41" s="8"/>
      <c r="N41" s="8" t="str">
        <f>IFERROR(__xludf.DUMMYFUNCTION("""COMPUTED_VALUE"""),"Hnidousy_jme01.jpg")</f>
        <v>Hnidousy_jme01.jpg</v>
      </c>
      <c r="O41" s="8"/>
      <c r="P41" s="8" t="str">
        <f>IFERROR(__xludf.DUMMYFUNCTION("""COMPUTED_VALUE"""),"Obrazová dokumentace archiválie.")</f>
        <v>Obrazová dokumentace archiválie.</v>
      </c>
      <c r="Q41" s="8" t="str">
        <f>IFERROR(__xludf.DUMMYFUNCTION("""COMPUTED_VALUE"""),"Národní muzeum, Archiv NM, Sbírka Muzea dělnického hnutí, sbírka Klement Gottwald - kult osobnosti.")</f>
        <v>Národní muzeum, Archiv NM, Sbírka Muzea dělnického hnutí, sbírka Klement Gottwald - kult osobnosti.</v>
      </c>
      <c r="R41" s="8" t="str">
        <f>IFERROR(__xludf.DUMMYFUNCTION("""COMPUTED_VALUE"""),"Hnidousy_jme02.jpg")</f>
        <v>Hnidousy_jme02.jpg</v>
      </c>
      <c r="S41" s="8"/>
      <c r="T41" s="8" t="str">
        <f>IFERROR(__xludf.DUMMYFUNCTION("""COMPUTED_VALUE"""),"Obrazová dokumentace archiválie.")</f>
        <v>Obrazová dokumentace archiválie.</v>
      </c>
      <c r="U41" s="8" t="str">
        <f>IFERROR(__xludf.DUMMYFUNCTION("""COMPUTED_VALUE"""),"Národní muzeum, Archiv NM, Sbírka Muzea dělnického hnutí, sbírka Klement Gottwald - kult osobnosti.")</f>
        <v>Národní muzeum, Archiv NM, Sbírka Muzea dělnického hnutí, sbírka Klement Gottwald - kult osobnosti.</v>
      </c>
      <c r="V41" s="8" t="str">
        <f>IFERROR(__xludf.DUMMYFUNCTION("""COMPUTED_VALUE"""),"Hnidousy_jme03.jpg")</f>
        <v>Hnidousy_jme03.jpg</v>
      </c>
      <c r="W41" s="8"/>
      <c r="X41" s="8" t="str">
        <f>IFERROR(__xludf.DUMMYFUNCTION("""COMPUTED_VALUE"""),"Obrazová dokumentace archiválie.")</f>
        <v>Obrazová dokumentace archiválie.</v>
      </c>
      <c r="Y41" s="8" t="str">
        <f>IFERROR(__xludf.DUMMYFUNCTION("""COMPUTED_VALUE"""),"Národní muzeum, Archiv NM, Sbírka Muzea dělnického hnutí, sbírka Klement Gottwald - kult osobnosti.")</f>
        <v>Národní muzeum, Archiv NM, Sbírka Muzea dělnického hnutí, sbírka Klement Gottwald - kult osobnosti.</v>
      </c>
      <c r="Z41" s="8" t="str">
        <f>IFERROR(__xludf.DUMMYFUNCTION("""COMPUTED_VALUE"""),"Hnidousy_jme04.jpg")</f>
        <v>Hnidousy_jme04.jpg</v>
      </c>
      <c r="AA41" s="8"/>
      <c r="AB41" s="8" t="str">
        <f>IFERROR(__xludf.DUMMYFUNCTION("""COMPUTED_VALUE"""),"Obrazová dokumentace archiválie.")</f>
        <v>Obrazová dokumentace archiválie.</v>
      </c>
      <c r="AC41" s="8" t="str">
        <f>IFERROR(__xludf.DUMMYFUNCTION("""COMPUTED_VALUE"""),"Národní muzeum, Archiv NM, Sbírka Muzea dělnického hnutí, sbírka Klement Gottwald - kult osobnosti.")</f>
        <v>Národní muzeum, Archiv NM, Sbírka Muzea dělnického hnutí, sbírka Klement Gottwald - kult osobnosti.</v>
      </c>
      <c r="AD41" s="8" t="str">
        <f>IFERROR(__xludf.DUMMYFUNCTION("""COMPUTED_VALUE"""),"Hnidousy_jme05.jpg")</f>
        <v>Hnidousy_jme05.jpg</v>
      </c>
      <c r="AE41" s="8"/>
      <c r="AF41" s="8" t="str">
        <f>IFERROR(__xludf.DUMMYFUNCTION("""COMPUTED_VALUE"""),"Obrazová dokumentace archiválie. Národní muzeum, Archiv NM, Sbírka Muzea dělnického hnutí, sbírka Klement Gottwald - kult osobnosti.")</f>
        <v>Obrazová dokumentace archiválie. Národní muzeum, Archiv NM, Sbírka Muzea dělnického hnutí, sbírka Klement Gottwald - kult osobnosti.</v>
      </c>
      <c r="AG41" s="8"/>
      <c r="AH41" s="8" t="str">
        <f>IFERROR(__xludf.DUMMYFUNCTION("""COMPUTED_VALUE"""),"Hnidousy_jme06.jpg")</f>
        <v>Hnidousy_jme06.jpg</v>
      </c>
      <c r="AI41" s="8"/>
      <c r="AJ41" s="8" t="str">
        <f>IFERROR(__xludf.DUMMYFUNCTION("""COMPUTED_VALUE"""),"Obrazová dokumentace archiválie.")</f>
        <v>Obrazová dokumentace archiválie.</v>
      </c>
      <c r="AK41" s="8" t="str">
        <f>IFERROR(__xludf.DUMMYFUNCTION("""COMPUTED_VALUE"""),"Národní muzeum, Archiv NM, Sbírka Muzea dělnického hnutí, sbírka Klement Gottwald - kult osobnosti.")</f>
        <v>Národní muzeum, Archiv NM, Sbírka Muzea dělnického hnutí, sbírka Klement Gottwald - kult osobnosti.</v>
      </c>
      <c r="AL41" s="8" t="str">
        <f>IFERROR(__xludf.DUMMYFUNCTION("""COMPUTED_VALUE"""),"Hnidousy_jme07.jpg")</f>
        <v>Hnidousy_jme07.jpg</v>
      </c>
      <c r="AM41" s="8"/>
      <c r="AN41" s="8" t="str">
        <f>IFERROR(__xludf.DUMMYFUNCTION("""COMPUTED_VALUE"""),"Obrazová dokumentace archiválie.")</f>
        <v>Obrazová dokumentace archiválie.</v>
      </c>
      <c r="AO41" s="8" t="str">
        <f>IFERROR(__xludf.DUMMYFUNCTION("""COMPUTED_VALUE"""),"Národní muzeum, Archiv NM, Sbírka Muzea dělnického hnutí, sbírka Klement Gottwald - kult osobnosti.")</f>
        <v>Národní muzeum, Archiv NM, Sbírka Muzea dělnického hnutí, sbírka Klement Gottwald - kult osobnosti.</v>
      </c>
    </row>
    <row r="42">
      <c r="A42" s="7">
        <f t="shared" si="1"/>
        <v>41</v>
      </c>
      <c r="B42" s="8" t="str">
        <f>IFERROR(__xludf.DUMMYFUNCTION("""COMPUTED_VALUE"""),"17.6627635")</f>
        <v>17.6627635</v>
      </c>
      <c r="C42" s="8" t="str">
        <f>IFERROR(__xludf.DUMMYFUNCTION("""COMPUTED_VALUE"""),"49.2244365")</f>
        <v>49.2244365</v>
      </c>
      <c r="D42" s="8" t="str">
        <f>IFERROR(__xludf.DUMMYFUNCTION("""COMPUTED_VALUE"""),"Zlín, přejmenování na Gottwaldov")</f>
        <v>Zlín, přejmenování na Gottwaldov</v>
      </c>
      <c r="E42" s="8" t="str">
        <f>IFERROR(__xludf.DUMMYFUNCTION("""COMPUTED_VALUE"""),"Oznámení o sdružení obcí na Zlínsku a přejmenování celého konglomerátu na Gottwaldow. Pravděpodobně pouze část adresy, neboť zmiňované podpisy na tomto listu nejsou. Diplom s kaligrafickým rkp, 41 x 27 cm. ")</f>
        <v>Oznámení o sdružení obcí na Zlínsku a přejmenování celého konglomerátu na Gottwaldow. Pravděpodobně pouze část adresy, neboť zmiňované podpisy na tomto listu nejsou. Diplom s kaligrafickým rkp, 41 x 27 cm. </v>
      </c>
      <c r="F42" s="8" t="str">
        <f>IFERROR(__xludf.DUMMYFUNCTION("""COMPUTED_VALUE"""),"dokumenty")</f>
        <v>dokumenty</v>
      </c>
      <c r="G42" s="8" t="str">
        <f>IFERROR(__xludf.DUMMYFUNCTION("""COMPUTED_VALUE"""),"Čestné jméno")</f>
        <v>Čestné jméno</v>
      </c>
      <c r="H42" s="8"/>
      <c r="I42" s="9" t="str">
        <f>IFERROR(__xludf.DUMMYFUNCTION("""COMPUTED_VALUE"""),"listopad 1948")</f>
        <v>listopad 1948</v>
      </c>
      <c r="J42" s="8"/>
      <c r="K42" s="8" t="str">
        <f>IFERROR(__xludf.DUMMYFUNCTION("""COMPUTED_VALUE"""),"Obce na Zlínsku (""níže podepsaní"").")</f>
        <v>Obce na Zlínsku ("níže podepsaní").</v>
      </c>
      <c r="L42" s="8" t="str">
        <f>IFERROR(__xludf.DUMMYFUNCTION("""COMPUTED_VALUE"""),"Národní muzeum, Archiv NM, Sbírka Muzea dělnického hnutí, sbírka Klement Gottwald - kult osobnosti.Národní muzeum, Archiv NM, Sbírka Muzea dělnického hnutí, sbírka Klement Gottwald - kult osobnosti.")</f>
        <v>Národní muzeum, Archiv NM, Sbírka Muzea dělnického hnutí, sbírka Klement Gottwald - kult osobnosti.Národní muzeum, Archiv NM, Sbírka Muzea dělnického hnutí, sbírka Klement Gottwald - kult osobnosti.</v>
      </c>
      <c r="M42" s="8"/>
      <c r="N42" s="8" t="str">
        <f>IFERROR(__xludf.DUMMYFUNCTION("""COMPUTED_VALUE"""),"Zlín_jme.jpg")</f>
        <v>Zlín_jme.jpg</v>
      </c>
      <c r="O42" s="8"/>
      <c r="P42" s="8" t="str">
        <f>IFERROR(__xludf.DUMMYFUNCTION("""COMPUTED_VALUE"""),"Obrazová dokumentace archiválie.")</f>
        <v>Obrazová dokumentace archiválie.</v>
      </c>
      <c r="Q42" s="8" t="str">
        <f>IFERROR(__xludf.DUMMYFUNCTION("""COMPUTED_VALUE"""),"Národní muzeum, Archiv NM, Sbírka Muzea dělnického hnutí, sbírka Klement Gottwald - kult osobnosti.")</f>
        <v>Národní muzeum, Archiv NM, Sbírka Muzea dělnického hnutí, sbírka Klement Gottwald - kult osobnosti.</v>
      </c>
      <c r="R42" s="8"/>
      <c r="S42" s="8"/>
      <c r="T42" s="8"/>
      <c r="U42" s="8"/>
      <c r="V42" s="8"/>
      <c r="W42" s="8"/>
      <c r="X42" s="8"/>
      <c r="Y42" s="8"/>
      <c r="Z42" s="8"/>
      <c r="AA42" s="8"/>
      <c r="AB42" s="8"/>
      <c r="AC42" s="8"/>
      <c r="AD42" s="8"/>
      <c r="AE42" s="8"/>
      <c r="AF42" s="8"/>
      <c r="AG42" s="8"/>
      <c r="AH42" s="8"/>
      <c r="AI42" s="8"/>
      <c r="AJ42" s="8"/>
      <c r="AK42" s="8"/>
      <c r="AL42" s="8"/>
      <c r="AM42" s="8"/>
      <c r="AN42" s="8"/>
      <c r="AO42" s="8"/>
    </row>
    <row r="43">
      <c r="A43" s="7">
        <f t="shared" si="1"/>
        <v>42</v>
      </c>
      <c r="B43" s="8" t="str">
        <f>IFERROR(__xludf.DUMMYFUNCTION("""COMPUTED_VALUE"""),"14.3151897")</f>
        <v>14.3151897</v>
      </c>
      <c r="C43" s="8" t="str">
        <f>IFERROR(__xludf.DUMMYFUNCTION("""COMPUTED_VALUE"""),"48.8104674")</f>
        <v>48.8104674</v>
      </c>
      <c r="D43" s="8" t="str">
        <f>IFERROR(__xludf.DUMMYFUNCTION("""COMPUTED_VALUE"""),"Český Krumlov, pojmenování náměstí")</f>
        <v>Český Krumlov, pojmenování náměstí</v>
      </c>
      <c r="E43" s="8" t="str">
        <f>IFERROR(__xludf.DUMMYFUNCTION("""COMPUTED_VALUE"""),"Oznámení o přejmenování centrálního náměstí na nám. Klementa Gottwalda (nyní nám. Svornosti). Tmavě hnědá papírová krabice, červené koženkové desky, úvodní akvarelová ilustrace s motivem náměstí, motiv českého lva, rkp, podpisy, razítko, 4 ll, 32 x 22 cm.")</f>
        <v>Oznámení o přejmenování centrálního náměstí na nám. Klementa Gottwalda (nyní nám. Svornosti). Tmavě hnědá papírová krabice, červené koženkové desky, úvodní akvarelová ilustrace s motivem náměstí, motiv českého lva, rkp, podpisy, razítko, 4 ll, 32 x 22 cm.</v>
      </c>
      <c r="F43" s="8" t="str">
        <f>IFERROR(__xludf.DUMMYFUNCTION("""COMPUTED_VALUE"""),"dokumenty")</f>
        <v>dokumenty</v>
      </c>
      <c r="G43" s="8" t="str">
        <f>IFERROR(__xludf.DUMMYFUNCTION("""COMPUTED_VALUE"""),"Čestné jméno")</f>
        <v>Čestné jméno</v>
      </c>
      <c r="H43" s="8"/>
      <c r="I43" s="9" t="str">
        <f>IFERROR(__xludf.DUMMYFUNCTION("""COMPUTED_VALUE"""),"23. listopad 1948")</f>
        <v>23. listopad 1948</v>
      </c>
      <c r="J43" s="8"/>
      <c r="K43" s="8" t="str">
        <f>IFERROR(__xludf.DUMMYFUNCTION("""COMPUTED_VALUE"""),"Místní národní výbor.")</f>
        <v>Místní národní výbor.</v>
      </c>
      <c r="L43" s="8" t="str">
        <f>IFERROR(__xludf.DUMMYFUNCTION("""COMPUTED_VALUE"""),"Národní muzeum, Archiv NM, Sbírka Muzea dělnického hnutí, sbírka Klement Gottwald - kult osobnosti.")</f>
        <v>Národní muzeum, Archiv NM, Sbírka Muzea dělnického hnutí, sbírka Klement Gottwald - kult osobnosti.</v>
      </c>
      <c r="M43" s="8"/>
      <c r="N43" s="8" t="str">
        <f>IFERROR(__xludf.DUMMYFUNCTION("""COMPUTED_VALUE"""),"Český Krumlov_jme01.jpg")</f>
        <v>Český Krumlov_jme01.jpg</v>
      </c>
      <c r="O43" s="8"/>
      <c r="P43" s="8" t="str">
        <f>IFERROR(__xludf.DUMMYFUNCTION("""COMPUTED_VALUE"""),"Obrazová dokumentace archiválie.")</f>
        <v>Obrazová dokumentace archiválie.</v>
      </c>
      <c r="Q43" s="8" t="str">
        <f>IFERROR(__xludf.DUMMYFUNCTION("""COMPUTED_VALUE"""),"Národní muzeum, Archiv NM, Sbírka Muzea dělnického hnutí, sbírka Klement Gottwald - kult osobnosti.")</f>
        <v>Národní muzeum, Archiv NM, Sbírka Muzea dělnického hnutí, sbírka Klement Gottwald - kult osobnosti.</v>
      </c>
      <c r="R43" s="8" t="str">
        <f>IFERROR(__xludf.DUMMYFUNCTION("""COMPUTED_VALUE"""),"Český Krumlov_jme02.jpg")</f>
        <v>Český Krumlov_jme02.jpg</v>
      </c>
      <c r="S43" s="8"/>
      <c r="T43" s="8" t="str">
        <f>IFERROR(__xludf.DUMMYFUNCTION("""COMPUTED_VALUE"""),"Obrazová dokumentace archiválie.")</f>
        <v>Obrazová dokumentace archiválie.</v>
      </c>
      <c r="U43" s="8" t="str">
        <f>IFERROR(__xludf.DUMMYFUNCTION("""COMPUTED_VALUE"""),"Národní muzeum, Archiv NM, Sbírka Muzea dělnického hnutí, sbírka Klement Gottwald - kult osobnosti.")</f>
        <v>Národní muzeum, Archiv NM, Sbírka Muzea dělnického hnutí, sbírka Klement Gottwald - kult osobnosti.</v>
      </c>
      <c r="V43" s="8"/>
      <c r="W43" s="8"/>
      <c r="X43" s="8"/>
      <c r="Y43" s="8"/>
      <c r="Z43" s="8"/>
      <c r="AA43" s="8"/>
      <c r="AB43" s="8"/>
      <c r="AC43" s="8"/>
      <c r="AD43" s="8"/>
      <c r="AE43" s="8"/>
      <c r="AF43" s="8"/>
      <c r="AG43" s="8"/>
      <c r="AH43" s="8"/>
      <c r="AI43" s="8"/>
      <c r="AJ43" s="8"/>
      <c r="AK43" s="8"/>
      <c r="AL43" s="8"/>
      <c r="AM43" s="8"/>
      <c r="AN43" s="8"/>
      <c r="AO43" s="8"/>
    </row>
    <row r="44">
      <c r="A44" s="7">
        <f t="shared" si="1"/>
        <v>43</v>
      </c>
      <c r="B44" s="8" t="str">
        <f>IFERROR(__xludf.DUMMYFUNCTION("""COMPUTED_VALUE"""),"13.6898576")</f>
        <v>13.6898576</v>
      </c>
      <c r="C44" s="8" t="str">
        <f>IFERROR(__xludf.DUMMYFUNCTION("""COMPUTED_VALUE"""),"50.6040435")</f>
        <v>50.6040435</v>
      </c>
      <c r="D44" s="8" t="str">
        <f>IFERROR(__xludf.DUMMYFUNCTION("""COMPUTED_VALUE"""),"Hrdlovka, ""křestní list"" dolu")</f>
        <v>Hrdlovka, "křestní list" dolu</v>
      </c>
      <c r="E44" s="8" t="str">
        <f>IFERROR(__xludf.DUMMYFUNCTION("""COMPUTED_VALUE"""),"""Křestní list"" dolu, oznámení o přejmenování dolu v Hrdlovce, okres Duchcov. Červené kožené desky se zlaceným symbolem hornických kladiv a zeleno-černým nápisem, ruční papír, tisk, podpisy, poškozeno, 34 x 25 cm. Vydáno u příležitosti dne horníků 11. zá"&amp;"ří 1949. ")</f>
        <v>"Křestní list" dolu, oznámení o přejmenování dolu v Hrdlovce, okres Duchcov. Červené kožené desky se zlaceným symbolem hornických kladiv a zeleno-černým nápisem, ruční papír, tisk, podpisy, poškozeno, 34 x 25 cm. Vydáno u příležitosti dne horníků 11. září 1949. </v>
      </c>
      <c r="F44" s="8" t="str">
        <f>IFERROR(__xludf.DUMMYFUNCTION("""COMPUTED_VALUE"""),"dokumenty")</f>
        <v>dokumenty</v>
      </c>
      <c r="G44" s="8" t="str">
        <f>IFERROR(__xludf.DUMMYFUNCTION("""COMPUTED_VALUE"""),"Čestné jméno")</f>
        <v>Čestné jméno</v>
      </c>
      <c r="H44" s="8"/>
      <c r="I44" s="9" t="str">
        <f>IFERROR(__xludf.DUMMYFUNCTION("""COMPUTED_VALUE"""),"11. září 1948")</f>
        <v>11. září 1948</v>
      </c>
      <c r="J44" s="8"/>
      <c r="K44" s="8" t="str">
        <f>IFERROR(__xludf.DUMMYFUNCTION("""COMPUTED_VALUE"""),"Osazenstvo dolu Alexandr.")</f>
        <v>Osazenstvo dolu Alexandr.</v>
      </c>
      <c r="L44" s="8" t="str">
        <f>IFERROR(__xludf.DUMMYFUNCTION("""COMPUTED_VALUE"""),"Národní muzeum, Archiv NM, Sbírka Muzea dělnického hnutí, sbírka Klement Gottwald - kult osobnosti.")</f>
        <v>Národní muzeum, Archiv NM, Sbírka Muzea dělnického hnutí, sbírka Klement Gottwald - kult osobnosti.</v>
      </c>
      <c r="M44" s="8"/>
      <c r="N44" s="8" t="str">
        <f>IFERROR(__xludf.DUMMYFUNCTION("""COMPUTED_VALUE"""),"Hrdlovka_jme01.jpg")</f>
        <v>Hrdlovka_jme01.jpg</v>
      </c>
      <c r="O44" s="8"/>
      <c r="P44" s="8" t="str">
        <f>IFERROR(__xludf.DUMMYFUNCTION("""COMPUTED_VALUE"""),"Obrazová dokumentace archiválie.")</f>
        <v>Obrazová dokumentace archiválie.</v>
      </c>
      <c r="Q44" s="8" t="str">
        <f>IFERROR(__xludf.DUMMYFUNCTION("""COMPUTED_VALUE"""),"Národní muzeum, Archiv NM, Sbírka Muzea dělnického hnutí, sbírka Klement Gottwald - kult osobnosti.")</f>
        <v>Národní muzeum, Archiv NM, Sbírka Muzea dělnického hnutí, sbírka Klement Gottwald - kult osobnosti.</v>
      </c>
      <c r="R44" s="8" t="str">
        <f>IFERROR(__xludf.DUMMYFUNCTION("""COMPUTED_VALUE"""),"Hrdlovka_jme02.jpg")</f>
        <v>Hrdlovka_jme02.jpg</v>
      </c>
      <c r="S44" s="8"/>
      <c r="T44" s="8" t="str">
        <f>IFERROR(__xludf.DUMMYFUNCTION("""COMPUTED_VALUE"""),"Obrazová dokumentace archiválie.")</f>
        <v>Obrazová dokumentace archiválie.</v>
      </c>
      <c r="U44" s="8" t="str">
        <f>IFERROR(__xludf.DUMMYFUNCTION("""COMPUTED_VALUE"""),"Národní muzeum, Archiv NM, Sbírka Muzea dělnického hnutí, sbírka Klement Gottwald - kult osobnosti.")</f>
        <v>Národní muzeum, Archiv NM, Sbírka Muzea dělnického hnutí, sbírka Klement Gottwald - kult osobnosti.</v>
      </c>
      <c r="V44" s="8"/>
      <c r="W44" s="8"/>
      <c r="X44" s="8"/>
      <c r="Y44" s="8"/>
      <c r="Z44" s="8"/>
      <c r="AA44" s="8"/>
      <c r="AB44" s="8"/>
      <c r="AC44" s="8"/>
      <c r="AD44" s="8"/>
      <c r="AE44" s="8"/>
      <c r="AF44" s="8"/>
      <c r="AG44" s="8"/>
      <c r="AH44" s="8"/>
      <c r="AI44" s="8"/>
      <c r="AJ44" s="8"/>
      <c r="AK44" s="8"/>
      <c r="AL44" s="8"/>
      <c r="AM44" s="8"/>
      <c r="AN44" s="8"/>
      <c r="AO44" s="8"/>
    </row>
    <row r="45">
      <c r="A45" s="7">
        <f t="shared" si="1"/>
        <v>44</v>
      </c>
      <c r="B45" s="8" t="str">
        <f>IFERROR(__xludf.DUMMYFUNCTION("""COMPUTED_VALUE"""),"14.1067465")</f>
        <v>14.1067465</v>
      </c>
      <c r="C45" s="8" t="str">
        <f>IFERROR(__xludf.DUMMYFUNCTION("""COMPUTED_VALUE"""),"50.1416986")</f>
        <v>50.1416986</v>
      </c>
      <c r="D45" s="8" t="str">
        <f>IFERROR(__xludf.DUMMYFUNCTION("""COMPUTED_VALUE"""),"Kladno, žádost o propůjčení čestného jména")</f>
        <v>Kladno, žádost o propůjčení čestného jména</v>
      </c>
      <c r="E45" s="8" t="str">
        <f>IFERROR(__xludf.DUMMYFUNCTION("""COMPUTED_VALUE"""),"Žádost o povolení pojmenovat kulturního dům čestným jménem K. Gottwalda, přiloženo pozvání na slavnostní shromáždění za účelem pojmenování (24. listopadu 1946). Bílé papírové desky, tisk, podpisy a razítka, 8 ll, 32 x 23 cm.")</f>
        <v>Žádost o povolení pojmenovat kulturního dům čestným jménem K. Gottwalda, přiloženo pozvání na slavnostní shromáždění za účelem pojmenování (24. listopadu 1946). Bílé papírové desky, tisk, podpisy a razítka, 8 ll, 32 x 23 cm.</v>
      </c>
      <c r="F45" s="8" t="str">
        <f>IFERROR(__xludf.DUMMYFUNCTION("""COMPUTED_VALUE"""),"dokumenty")</f>
        <v>dokumenty</v>
      </c>
      <c r="G45" s="8" t="str">
        <f>IFERROR(__xludf.DUMMYFUNCTION("""COMPUTED_VALUE"""),"Čestné jméno")</f>
        <v>Čestné jméno</v>
      </c>
      <c r="H45" s="8"/>
      <c r="I45" s="9" t="str">
        <f>IFERROR(__xludf.DUMMYFUNCTION("""COMPUTED_VALUE"""),"listopad 1946")</f>
        <v>listopad 1946</v>
      </c>
      <c r="J45" s="8"/>
      <c r="K45" s="8" t="str">
        <f>IFERROR(__xludf.DUMMYFUNCTION("""COMPUTED_VALUE"""),"Místní národní výbor.")</f>
        <v>Místní národní výbor.</v>
      </c>
      <c r="L45" s="8" t="str">
        <f>IFERROR(__xludf.DUMMYFUNCTION("""COMPUTED_VALUE"""),"Národní muzeum, Archiv NM, Sbírka Muzea dělnického hnutí, sbírka Klement Gottwald - kult osobnosti.")</f>
        <v>Národní muzeum, Archiv NM, Sbírka Muzea dělnického hnutí, sbírka Klement Gottwald - kult osobnosti.</v>
      </c>
      <c r="M45" s="8"/>
      <c r="N45" s="8" t="str">
        <f>IFERROR(__xludf.DUMMYFUNCTION("""COMPUTED_VALUE"""),"Kladno_jme01.jpg")</f>
        <v>Kladno_jme01.jpg</v>
      </c>
      <c r="O45" s="8"/>
      <c r="P45" s="8" t="str">
        <f>IFERROR(__xludf.DUMMYFUNCTION("""COMPUTED_VALUE"""),"Obrazová dokumentace archiválie.")</f>
        <v>Obrazová dokumentace archiválie.</v>
      </c>
      <c r="Q45" s="8" t="str">
        <f>IFERROR(__xludf.DUMMYFUNCTION("""COMPUTED_VALUE"""),"Národní muzeum, Archiv NM, Sbírka Muzea dělnického hnutí, sbírka Klement Gottwald - kult osobnosti.")</f>
        <v>Národní muzeum, Archiv NM, Sbírka Muzea dělnického hnutí, sbírka Klement Gottwald - kult osobnosti.</v>
      </c>
      <c r="R45" s="8" t="str">
        <f>IFERROR(__xludf.DUMMYFUNCTION("""COMPUTED_VALUE"""),"Kladno_jme02.jpg")</f>
        <v>Kladno_jme02.jpg</v>
      </c>
      <c r="S45" s="8"/>
      <c r="T45" s="8" t="str">
        <f>IFERROR(__xludf.DUMMYFUNCTION("""COMPUTED_VALUE"""),"Obrazová dokumentace archiválie.")</f>
        <v>Obrazová dokumentace archiválie.</v>
      </c>
      <c r="U45" s="8" t="str">
        <f>IFERROR(__xludf.DUMMYFUNCTION("""COMPUTED_VALUE"""),"Národní muzeum, Archiv NM, Sbírka Muzea dělnického hnutí, sbírka Klement Gottwald - kult osobnosti.")</f>
        <v>Národní muzeum, Archiv NM, Sbírka Muzea dělnického hnutí, sbírka Klement Gottwald - kult osobnosti.</v>
      </c>
      <c r="V45" s="8" t="str">
        <f>IFERROR(__xludf.DUMMYFUNCTION("""COMPUTED_VALUE"""),"Kladno_jme03.jpg")</f>
        <v>Kladno_jme03.jpg</v>
      </c>
      <c r="W45" s="8"/>
      <c r="X45" s="8" t="str">
        <f>IFERROR(__xludf.DUMMYFUNCTION("""COMPUTED_VALUE"""),"Obrazová dokumentace archiválie.")</f>
        <v>Obrazová dokumentace archiválie.</v>
      </c>
      <c r="Y45" s="8" t="str">
        <f>IFERROR(__xludf.DUMMYFUNCTION("""COMPUTED_VALUE"""),"Národní muzeum, Archiv NM, Sbírka Muzea dělnického hnutí, sbírka Klement Gottwald - kult osobnosti.")</f>
        <v>Národní muzeum, Archiv NM, Sbírka Muzea dělnického hnutí, sbírka Klement Gottwald - kult osobnosti.</v>
      </c>
      <c r="Z45" s="8" t="str">
        <f>IFERROR(__xludf.DUMMYFUNCTION("""COMPUTED_VALUE"""),"Kladno_jme04.jpg")</f>
        <v>Kladno_jme04.jpg</v>
      </c>
      <c r="AA45" s="8"/>
      <c r="AB45" s="8" t="str">
        <f>IFERROR(__xludf.DUMMYFUNCTION("""COMPUTED_VALUE"""),"Obrazová dokumentace archiválie.")</f>
        <v>Obrazová dokumentace archiválie.</v>
      </c>
      <c r="AC45" s="8" t="str">
        <f>IFERROR(__xludf.DUMMYFUNCTION("""COMPUTED_VALUE"""),"Národní muzeum, Archiv NM, Sbírka Muzea dělnického hnutí, sbírka Klement Gottwald - kult osobnosti.")</f>
        <v>Národní muzeum, Archiv NM, Sbírka Muzea dělnického hnutí, sbírka Klement Gottwald - kult osobnosti.</v>
      </c>
      <c r="AD45" s="8" t="str">
        <f>IFERROR(__xludf.DUMMYFUNCTION("""COMPUTED_VALUE"""),"Kladno_jme05.jpg")</f>
        <v>Kladno_jme05.jpg</v>
      </c>
      <c r="AE45" s="8"/>
      <c r="AF45" s="8" t="str">
        <f>IFERROR(__xludf.DUMMYFUNCTION("""COMPUTED_VALUE"""),"Obrazová dokumentace archiválie. Národní muzeum, Archiv NM, Sbírka Muzea dělnického hnutí, sbírka Klement Gottwald - kult osobnosti.")</f>
        <v>Obrazová dokumentace archiválie. Národní muzeum, Archiv NM, Sbírka Muzea dělnického hnutí, sbírka Klement Gottwald - kult osobnosti.</v>
      </c>
      <c r="AG45" s="8"/>
      <c r="AH45" s="8" t="str">
        <f>IFERROR(__xludf.DUMMYFUNCTION("""COMPUTED_VALUE"""),"Kladno_jme06.jpg")</f>
        <v>Kladno_jme06.jpg</v>
      </c>
      <c r="AI45" s="8"/>
      <c r="AJ45" s="8" t="str">
        <f>IFERROR(__xludf.DUMMYFUNCTION("""COMPUTED_VALUE"""),"Obrazová dokumentace archiválie.")</f>
        <v>Obrazová dokumentace archiválie.</v>
      </c>
      <c r="AK45" s="8" t="str">
        <f>IFERROR(__xludf.DUMMYFUNCTION("""COMPUTED_VALUE"""),"Národní muzeum, Archiv NM, Sbírka Muzea dělnického hnutí, sbírka Klement Gottwald - kult osobnosti.")</f>
        <v>Národní muzeum, Archiv NM, Sbírka Muzea dělnického hnutí, sbírka Klement Gottwald - kult osobnosti.</v>
      </c>
      <c r="AL45" s="8"/>
      <c r="AM45" s="8"/>
      <c r="AN45" s="8"/>
      <c r="AO45" s="8"/>
    </row>
    <row r="46">
      <c r="A46" s="7">
        <f t="shared" si="1"/>
        <v>45</v>
      </c>
      <c r="B46" s="8" t="str">
        <f>IFERROR(__xludf.DUMMYFUNCTION("""COMPUTED_VALUE"""),"13.4518893")</f>
        <v>13.4518893</v>
      </c>
      <c r="C46" s="8" t="str">
        <f>IFERROR(__xludf.DUMMYFUNCTION("""COMPUTED_VALUE"""),"50.5117596")</f>
        <v>50.5117596</v>
      </c>
      <c r="D46" s="8" t="str">
        <f>IFERROR(__xludf.DUMMYFUNCTION("""COMPUTED_VALUE"""),"Červený Hrádek, zdravice z národní manifestace")</f>
        <v>Červený Hrádek, zdravice z národní manifestace</v>
      </c>
      <c r="E46" s="8" t="str">
        <f>IFERROR(__xludf.DUMMYFUNCTION("""COMPUTED_VALUE"""),"Zdravice náměstkovi předsedy vlády a ministrovi u příležitosti národní manifestace konané na zámku Červený Hrádek u Jirkova, připojen slavnostní slib práce ve prospěch republiky. Červená krabice z tvrzeného papíru, uvnitř diplom v tvrdých bílých papírovýc"&amp;"h deskách se zlaceným vytlačovaným znakem města Chomutova, rudá stuha, rkp, podpisy členů slavnostní komise, akvarelová ilustrace s motivem zámku, signovaná A. Klouda, v obalu 31 x 23 cm. Příklad rané adresy zaslané KG ještě ve funkci ministra, původce př"&amp;"edstavoval správní orgán, který býval ustanovován v místech s většinově nespolehlivým obyvatelstvem (zde se jedná o oblast sudet s dosud převládajícím německým obyvatelstvem) místo obvyklého Národního výboru, viz vládní nařízení 5/1945 Sb. par. 6. ")</f>
        <v>Zdravice náměstkovi předsedy vlády a ministrovi u příležitosti národní manifestace konané na zámku Červený Hrádek u Jirkova, připojen slavnostní slib práce ve prospěch republiky. Červená krabice z tvrzeného papíru, uvnitř diplom v tvrdých bílých papírových deskách se zlaceným vytlačovaným znakem města Chomutova, rudá stuha, rkp, podpisy členů slavnostní komise, akvarelová ilustrace s motivem zámku, signovaná A. Klouda, v obalu 31 x 23 cm. Příklad rané adresy zaslané KG ještě ve funkci ministra, původce představoval správní orgán, který býval ustanovován v místech s většinově nespolehlivým obyvatelstvem (zde se jedná o oblast sudet s dosud převládajícím německým obyvatelstvem) místo obvyklého Národního výboru, viz vládní nařízení 5/1945 Sb. par. 6. </v>
      </c>
      <c r="F46" s="8" t="str">
        <f>IFERROR(__xludf.DUMMYFUNCTION("""COMPUTED_VALUE"""),"dokumenty")</f>
        <v>dokumenty</v>
      </c>
      <c r="G46" s="8" t="str">
        <f>IFERROR(__xludf.DUMMYFUNCTION("""COMPUTED_VALUE"""),"Varia")</f>
        <v>Varia</v>
      </c>
      <c r="H46" s="8"/>
      <c r="I46" s="9" t="str">
        <f>IFERROR(__xludf.DUMMYFUNCTION("""COMPUTED_VALUE"""),"9. září 1945")</f>
        <v>9. září 1945</v>
      </c>
      <c r="J46" s="8"/>
      <c r="K46" s="8" t="str">
        <f>IFERROR(__xludf.DUMMYFUNCTION("""COMPUTED_VALUE"""),"Okresní správní komise / Slavnostní výbor národní manifestace.")</f>
        <v>Okresní správní komise / Slavnostní výbor národní manifestace.</v>
      </c>
      <c r="L46" s="8" t="str">
        <f>IFERROR(__xludf.DUMMYFUNCTION("""COMPUTED_VALUE"""),"Národní muzeum, Archiv NM, Sbírka Muzea dělnického hnutí, sbírka Klement Gottwald - kult osobnosti.")</f>
        <v>Národní muzeum, Archiv NM, Sbírka Muzea dělnického hnutí, sbírka Klement Gottwald - kult osobnosti.</v>
      </c>
      <c r="M46" s="8"/>
      <c r="N46" s="8" t="str">
        <f>IFERROR(__xludf.DUMMYFUNCTION("""COMPUTED_VALUE"""),"Červený Hrádek_var01.jpg")</f>
        <v>Červený Hrádek_var01.jpg</v>
      </c>
      <c r="O46" s="8"/>
      <c r="P46" s="8" t="str">
        <f>IFERROR(__xludf.DUMMYFUNCTION("""COMPUTED_VALUE"""),"Obrazová dokumentace archiválie.")</f>
        <v>Obrazová dokumentace archiválie.</v>
      </c>
      <c r="Q46" s="8" t="str">
        <f>IFERROR(__xludf.DUMMYFUNCTION("""COMPUTED_VALUE"""),"Národní muzeum, Archiv NM, Sbírka Muzea dělnického hnutí, sbírka Klement Gottwald - kult osobnosti.")</f>
        <v>Národní muzeum, Archiv NM, Sbírka Muzea dělnického hnutí, sbírka Klement Gottwald - kult osobnosti.</v>
      </c>
      <c r="R46" s="8" t="str">
        <f>IFERROR(__xludf.DUMMYFUNCTION("""COMPUTED_VALUE"""),"Červený Hrádek_var02.jpg")</f>
        <v>Červený Hrádek_var02.jpg</v>
      </c>
      <c r="S46" s="8"/>
      <c r="T46" s="8" t="str">
        <f>IFERROR(__xludf.DUMMYFUNCTION("""COMPUTED_VALUE"""),"Obrazová dokumentace archiválie.")</f>
        <v>Obrazová dokumentace archiválie.</v>
      </c>
      <c r="U46" s="8" t="str">
        <f>IFERROR(__xludf.DUMMYFUNCTION("""COMPUTED_VALUE"""),"Národní muzeum, Archiv NM, Sbírka Muzea dělnického hnutí, sbírka Klement Gottwald - kult osobnosti.")</f>
        <v>Národní muzeum, Archiv NM, Sbírka Muzea dělnického hnutí, sbírka Klement Gottwald - kult osobnosti.</v>
      </c>
      <c r="V46" s="8" t="str">
        <f>IFERROR(__xludf.DUMMYFUNCTION("""COMPUTED_VALUE"""),"Červený Hrádek_var03.jpg")</f>
        <v>Červený Hrádek_var03.jpg</v>
      </c>
      <c r="W46" s="8"/>
      <c r="X46" s="8" t="str">
        <f>IFERROR(__xludf.DUMMYFUNCTION("""COMPUTED_VALUE"""),"Obrazová dokumentace archiválie.")</f>
        <v>Obrazová dokumentace archiválie.</v>
      </c>
      <c r="Y46" s="8" t="str">
        <f>IFERROR(__xludf.DUMMYFUNCTION("""COMPUTED_VALUE"""),"Národní muzeum, Archiv NM, Sbírka Muzea dělnického hnutí, sbírka Klement Gottwald - kult osobnosti.")</f>
        <v>Národní muzeum, Archiv NM, Sbírka Muzea dělnického hnutí, sbírka Klement Gottwald - kult osobnosti.</v>
      </c>
      <c r="Z46" s="8" t="str">
        <f>IFERROR(__xludf.DUMMYFUNCTION("""COMPUTED_VALUE"""),"Červený Hrádek_var04.jpg")</f>
        <v>Červený Hrádek_var04.jpg</v>
      </c>
      <c r="AA46" s="8"/>
      <c r="AB46" s="8" t="str">
        <f>IFERROR(__xludf.DUMMYFUNCTION("""COMPUTED_VALUE"""),"Obrazová dokumentace archiválie.")</f>
        <v>Obrazová dokumentace archiválie.</v>
      </c>
      <c r="AC46" s="8" t="str">
        <f>IFERROR(__xludf.DUMMYFUNCTION("""COMPUTED_VALUE"""),"Národní muzeum, Archiv NM, Sbírka Muzea dělnického hnutí, sbírka Klement Gottwald - kult osobnosti.")</f>
        <v>Národní muzeum, Archiv NM, Sbírka Muzea dělnického hnutí, sbírka Klement Gottwald - kult osobnosti.</v>
      </c>
      <c r="AD46" s="8"/>
      <c r="AE46" s="8"/>
      <c r="AF46" s="8"/>
      <c r="AG46" s="8"/>
      <c r="AH46" s="8"/>
      <c r="AI46" s="8"/>
      <c r="AJ46" s="8"/>
      <c r="AK46" s="8"/>
      <c r="AL46" s="8"/>
      <c r="AM46" s="8"/>
      <c r="AN46" s="8"/>
      <c r="AO46" s="8"/>
    </row>
    <row r="47">
      <c r="A47" s="7">
        <f t="shared" si="1"/>
        <v>46</v>
      </c>
      <c r="B47" s="8" t="str">
        <f>IFERROR(__xludf.DUMMYFUNCTION("""COMPUTED_VALUE"""),"14.3767908")</f>
        <v>14.3767908</v>
      </c>
      <c r="C47" s="8" t="str">
        <f>IFERROR(__xludf.DUMMYFUNCTION("""COMPUTED_VALUE"""),"50.0913562")</f>
        <v>50.0913562</v>
      </c>
      <c r="D47" s="8" t="str">
        <f>IFERROR(__xludf.DUMMYFUNCTION("""COMPUTED_VALUE"""),"Praha – Střešovice, únorová zdravice")</f>
        <v>Praha – Střešovice, únorová zdravice</v>
      </c>
      <c r="E47" s="8" t="str">
        <f>IFERROR(__xludf.DUMMYFUNCTION("""COMPUTED_VALUE"""),"Zdravice střešovické místní organizace KSČ v předvečer komunistického puče v únoru 1948. Únorový převrat byl podnětem pro vznik značného množství tohoto typu dedikací, datace před 28. únorem je méně obvyklá a objevuje se spíše jen u organizací interně svá"&amp;"zaných s vedením KSČ. První polovina března je však svědkem velkého množství adres od nejrůznějších původců, kteří se chtěli, ať již formálně či z vnitřního přesvědčení, přihlásit k novému režimu a slíbit věrnost vládě jedné strany v osobě jejího vůdce KG"&amp;". ")</f>
        <v>Zdravice střešovické místní organizace KSČ v předvečer komunistického puče v únoru 1948. Únorový převrat byl podnětem pro vznik značného množství tohoto typu dedikací, datace před 28. únorem je méně obvyklá a objevuje se spíše jen u organizací interně svázaných s vedením KSČ. První polovina března je však svědkem velkého množství adres od nejrůznějších původců, kteří se chtěli, ať již formálně či z vnitřního přesvědčení, přihlásit k novému režimu a slíbit věrnost vládě jedné strany v osobě jejího vůdce KG. </v>
      </c>
      <c r="F47" s="8" t="str">
        <f>IFERROR(__xludf.DUMMYFUNCTION("""COMPUTED_VALUE"""),"dokumenty")</f>
        <v>dokumenty</v>
      </c>
      <c r="G47" s="8" t="str">
        <f>IFERROR(__xludf.DUMMYFUNCTION("""COMPUTED_VALUE"""),"Varia")</f>
        <v>Varia</v>
      </c>
      <c r="H47" s="8"/>
      <c r="I47" s="9" t="str">
        <f>IFERROR(__xludf.DUMMYFUNCTION("""COMPUTED_VALUE"""),"27. únor 1948")</f>
        <v>27. únor 1948</v>
      </c>
      <c r="J47" s="8"/>
      <c r="K47" s="8" t="str">
        <f>IFERROR(__xludf.DUMMYFUNCTION("""COMPUTED_VALUE"""),"Místní organizace KSČ.")</f>
        <v>Místní organizace KSČ.</v>
      </c>
      <c r="L47" s="8" t="str">
        <f>IFERROR(__xludf.DUMMYFUNCTION("""COMPUTED_VALUE"""),"Národní muzeum, Archiv NM, Sbírka Muzea dělnického hnutí, sbírka Klement Gottwald - kult osobnosti.")</f>
        <v>Národní muzeum, Archiv NM, Sbírka Muzea dělnického hnutí, sbírka Klement Gottwald - kult osobnosti.</v>
      </c>
      <c r="M47" s="8"/>
      <c r="N47" s="8" t="str">
        <f>IFERROR(__xludf.DUMMYFUNCTION("""COMPUTED_VALUE"""),"Praha Střešovice_var01.jpg")</f>
        <v>Praha Střešovice_var01.jpg</v>
      </c>
      <c r="O47" s="8"/>
      <c r="P47" s="8" t="str">
        <f>IFERROR(__xludf.DUMMYFUNCTION("""COMPUTED_VALUE"""),"Obrazová dokumentace archiválie.")</f>
        <v>Obrazová dokumentace archiválie.</v>
      </c>
      <c r="Q47" s="8" t="str">
        <f>IFERROR(__xludf.DUMMYFUNCTION("""COMPUTED_VALUE"""),"Národní muzeum, Archiv NM, Sbírka Muzea dělnického hnutí, sbírka Klement Gottwald - kult osobnosti.")</f>
        <v>Národní muzeum, Archiv NM, Sbírka Muzea dělnického hnutí, sbírka Klement Gottwald - kult osobnosti.</v>
      </c>
      <c r="R47" s="8" t="str">
        <f>IFERROR(__xludf.DUMMYFUNCTION("""COMPUTED_VALUE"""),"Praha Střešovice_var02.jpg")</f>
        <v>Praha Střešovice_var02.jpg</v>
      </c>
      <c r="S47" s="8"/>
      <c r="T47" s="8" t="str">
        <f>IFERROR(__xludf.DUMMYFUNCTION("""COMPUTED_VALUE"""),"Obrazová dokumentace archiválie.")</f>
        <v>Obrazová dokumentace archiválie.</v>
      </c>
      <c r="U47" s="8" t="str">
        <f>IFERROR(__xludf.DUMMYFUNCTION("""COMPUTED_VALUE"""),"Národní muzeum, Archiv NM, Sbírka Muzea dělnického hnutí, sbírka Klement Gottwald - kult osobnosti.")</f>
        <v>Národní muzeum, Archiv NM, Sbírka Muzea dělnického hnutí, sbírka Klement Gottwald - kult osobnosti.</v>
      </c>
      <c r="V47" s="8" t="str">
        <f>IFERROR(__xludf.DUMMYFUNCTION("""COMPUTED_VALUE"""),"Praha Střešovice_var03.jpg")</f>
        <v>Praha Střešovice_var03.jpg</v>
      </c>
      <c r="W47" s="8"/>
      <c r="X47" s="8" t="str">
        <f>IFERROR(__xludf.DUMMYFUNCTION("""COMPUTED_VALUE"""),"Obrazová dokumentace archiválie.")</f>
        <v>Obrazová dokumentace archiválie.</v>
      </c>
      <c r="Y47" s="8" t="str">
        <f>IFERROR(__xludf.DUMMYFUNCTION("""COMPUTED_VALUE"""),"Národní muzeum, Archiv NM, Sbírka Muzea dělnického hnutí, sbírka Klement Gottwald - kult osobnosti.")</f>
        <v>Národní muzeum, Archiv NM, Sbírka Muzea dělnického hnutí, sbírka Klement Gottwald - kult osobnosti.</v>
      </c>
      <c r="Z47" s="8"/>
      <c r="AA47" s="8"/>
      <c r="AB47" s="8"/>
      <c r="AC47" s="8"/>
      <c r="AD47" s="8"/>
      <c r="AE47" s="8"/>
      <c r="AF47" s="8"/>
      <c r="AG47" s="8"/>
      <c r="AH47" s="8"/>
      <c r="AI47" s="8"/>
      <c r="AJ47" s="8"/>
      <c r="AK47" s="8"/>
      <c r="AL47" s="8"/>
      <c r="AM47" s="8"/>
      <c r="AN47" s="8"/>
      <c r="AO47" s="8"/>
    </row>
    <row r="48">
      <c r="A48" s="7">
        <f t="shared" si="1"/>
        <v>47</v>
      </c>
      <c r="B48" s="8" t="str">
        <f>IFERROR(__xludf.DUMMYFUNCTION("""COMPUTED_VALUE"""),"14.4766795")</f>
        <v>14.4766795</v>
      </c>
      <c r="C48" s="8" t="str">
        <f>IFERROR(__xludf.DUMMYFUNCTION("""COMPUTED_VALUE"""),"50.1060903")</f>
        <v>50.1060903</v>
      </c>
      <c r="D48" s="8" t="str">
        <f>IFERROR(__xludf.DUMMYFUNCTION("""COMPUTED_VALUE"""),"Praha – Libeň, plán obnovy závodu")</f>
        <v>Praha – Libeň, plán obnovy závodu</v>
      </c>
      <c r="E48" s="8" t="str">
        <f>IFERROR(__xludf.DUMMYFUNCTION("""COMPUTED_VALUE"""),"Plán obnovy podniku zaslaný u příležitosti I. krajské konference KSČ. Hnědé papírové album s názvem na deskách, na titulní straně uhlová kolorovaná kresba s motivem závodu a dělníků, na dalších čtvrtkách nákresy, grafy, tabulky a dokumentační čb fotografi"&amp;"e, rkp, strojopis, barevné ilustrace, 14 ll, 36 x 47 cm. Pečlivě vypracované srovnání stavu závodu v době těsně po osvobození a plánované obnovy, která má být realizována během roku 1946. Odráží atmosféru poválečného společného budování, již sdílela větši"&amp;"na obyvatel. ")</f>
        <v>Plán obnovy podniku zaslaný u příležitosti I. krajské konference KSČ. Hnědé papírové album s názvem na deskách, na titulní straně uhlová kolorovaná kresba s motivem závodu a dělníků, na dalších čtvrtkách nákresy, grafy, tabulky a dokumentační čb fotografie, rkp, strojopis, barevné ilustrace, 14 ll, 36 x 47 cm. Pečlivě vypracované srovnání stavu závodu v době těsně po osvobození a plánované obnovy, která má být realizována během roku 1946. Odráží atmosféru poválečného společného budování, již sdílela většina obyvatel. </v>
      </c>
      <c r="F48" s="8" t="str">
        <f>IFERROR(__xludf.DUMMYFUNCTION("""COMPUTED_VALUE"""),"dokumenty")</f>
        <v>dokumenty</v>
      </c>
      <c r="G48" s="8" t="str">
        <f>IFERROR(__xludf.DUMMYFUNCTION("""COMPUTED_VALUE"""),"Varia")</f>
        <v>Varia</v>
      </c>
      <c r="H48" s="8"/>
      <c r="I48" s="9"/>
      <c r="J48" s="8"/>
      <c r="K48" s="8" t="str">
        <f>IFERROR(__xludf.DUMMYFUNCTION("""COMPUTED_VALUE"""),"Závodní organizace KSČ v Českomoravských strojírnách v Libni.")</f>
        <v>Závodní organizace KSČ v Českomoravských strojírnách v Libni.</v>
      </c>
      <c r="L48" s="8" t="str">
        <f>IFERROR(__xludf.DUMMYFUNCTION("""COMPUTED_VALUE"""),"Národní muzeum, Archiv NM, Sbírka Muzea dělnického hnutí, sbírka Klement Gottwald - kult osobnosti.")</f>
        <v>Národní muzeum, Archiv NM, Sbírka Muzea dělnického hnutí, sbírka Klement Gottwald - kult osobnosti.</v>
      </c>
      <c r="M48" s="8"/>
      <c r="N48" s="8" t="str">
        <f>IFERROR(__xludf.DUMMYFUNCTION("""COMPUTED_VALUE"""),"Praha Libeň_var01.jpg")</f>
        <v>Praha Libeň_var01.jpg</v>
      </c>
      <c r="O48" s="8"/>
      <c r="P48" s="8" t="str">
        <f>IFERROR(__xludf.DUMMYFUNCTION("""COMPUTED_VALUE"""),"Obrazová dokumentace archiválie.")</f>
        <v>Obrazová dokumentace archiválie.</v>
      </c>
      <c r="Q48" s="8" t="str">
        <f>IFERROR(__xludf.DUMMYFUNCTION("""COMPUTED_VALUE"""),"Národní muzeum, Archiv NM, Sbírka Muzea dělnického hnutí, sbírka Klement Gottwald - kult osobnosti.")</f>
        <v>Národní muzeum, Archiv NM, Sbírka Muzea dělnického hnutí, sbírka Klement Gottwald - kult osobnosti.</v>
      </c>
      <c r="R48" s="8" t="str">
        <f>IFERROR(__xludf.DUMMYFUNCTION("""COMPUTED_VALUE"""),"Praha Libeň_var02.jpg")</f>
        <v>Praha Libeň_var02.jpg</v>
      </c>
      <c r="S48" s="8"/>
      <c r="T48" s="8" t="str">
        <f>IFERROR(__xludf.DUMMYFUNCTION("""COMPUTED_VALUE"""),"Obrazová dokumentace archiválie.")</f>
        <v>Obrazová dokumentace archiválie.</v>
      </c>
      <c r="U48" s="8" t="str">
        <f>IFERROR(__xludf.DUMMYFUNCTION("""COMPUTED_VALUE"""),"Národní muzeum, Archiv NM, Sbírka Muzea dělnického hnutí, sbírka Klement Gottwald - kult osobnosti.")</f>
        <v>Národní muzeum, Archiv NM, Sbírka Muzea dělnického hnutí, sbírka Klement Gottwald - kult osobnosti.</v>
      </c>
      <c r="V48" s="8" t="str">
        <f>IFERROR(__xludf.DUMMYFUNCTION("""COMPUTED_VALUE"""),"Praha Libeň_var03.jpg")</f>
        <v>Praha Libeň_var03.jpg</v>
      </c>
      <c r="W48" s="8"/>
      <c r="X48" s="8" t="str">
        <f>IFERROR(__xludf.DUMMYFUNCTION("""COMPUTED_VALUE"""),"Obrazová dokumentace archiválie.")</f>
        <v>Obrazová dokumentace archiválie.</v>
      </c>
      <c r="Y48" s="8" t="str">
        <f>IFERROR(__xludf.DUMMYFUNCTION("""COMPUTED_VALUE"""),"Národní muzeum, Archiv NM, Sbírka Muzea dělnického hnutí, sbírka Klement Gottwald - kult osobnosti.")</f>
        <v>Národní muzeum, Archiv NM, Sbírka Muzea dělnického hnutí, sbírka Klement Gottwald - kult osobnosti.</v>
      </c>
      <c r="Z48" s="8" t="str">
        <f>IFERROR(__xludf.DUMMYFUNCTION("""COMPUTED_VALUE"""),"Praha Libeň_var04.jpg")</f>
        <v>Praha Libeň_var04.jpg</v>
      </c>
      <c r="AA48" s="8"/>
      <c r="AB48" s="8" t="str">
        <f>IFERROR(__xludf.DUMMYFUNCTION("""COMPUTED_VALUE"""),"Obrazová dokumentace archiválie.")</f>
        <v>Obrazová dokumentace archiválie.</v>
      </c>
      <c r="AC48" s="8" t="str">
        <f>IFERROR(__xludf.DUMMYFUNCTION("""COMPUTED_VALUE"""),"Národní muzeum, Archiv NM, Sbírka Muzea dělnického hnutí, sbírka Klement Gottwald - kult osobnosti.")</f>
        <v>Národní muzeum, Archiv NM, Sbírka Muzea dělnického hnutí, sbírka Klement Gottwald - kult osobnosti.</v>
      </c>
      <c r="AD48" s="8"/>
      <c r="AE48" s="8"/>
      <c r="AF48" s="8"/>
      <c r="AG48" s="8"/>
      <c r="AH48" s="8"/>
      <c r="AI48" s="8"/>
      <c r="AJ48" s="8"/>
      <c r="AK48" s="8"/>
      <c r="AL48" s="8"/>
      <c r="AM48" s="8"/>
      <c r="AN48" s="8"/>
      <c r="AO48" s="8"/>
    </row>
    <row r="49">
      <c r="A49" s="7">
        <f t="shared" si="1"/>
        <v>48</v>
      </c>
      <c r="B49" s="8" t="str">
        <f>IFERROR(__xludf.DUMMYFUNCTION("""COMPUTED_VALUE"""),"15.5870415")</f>
        <v>15.5870415</v>
      </c>
      <c r="C49" s="8" t="str">
        <f>IFERROR(__xludf.DUMMYFUNCTION("""COMPUTED_VALUE"""),"49.3983782")</f>
        <v>49.3983782</v>
      </c>
      <c r="D49" s="8" t="str">
        <f>IFERROR(__xludf.DUMMYFUNCTION("""COMPUTED_VALUE"""),"Jihlava, jmenování čestným členem")</f>
        <v>Jihlava, jmenování čestným členem</v>
      </c>
      <c r="E49" s="8" t="str">
        <f>IFERROR(__xludf.DUMMYFUNCTION("""COMPUTED_VALUE"""),"Jmenování KG čestným členem družstva.")</f>
        <v>Jmenování KG čestným členem družstva.</v>
      </c>
      <c r="F49" s="8" t="str">
        <f>IFERROR(__xludf.DUMMYFUNCTION("""COMPUTED_VALUE"""),"dokumenty")</f>
        <v>dokumenty</v>
      </c>
      <c r="G49" s="8" t="str">
        <f>IFERROR(__xludf.DUMMYFUNCTION("""COMPUTED_VALUE"""),"Varia")</f>
        <v>Varia</v>
      </c>
      <c r="H49" s="8"/>
      <c r="I49" s="9" t="str">
        <f>IFERROR(__xludf.DUMMYFUNCTION("""COMPUTED_VALUE"""),"14. srpen 1947")</f>
        <v>14. srpen 1947</v>
      </c>
      <c r="J49" s="8"/>
      <c r="K49" s="8" t="str">
        <f>IFERROR(__xludf.DUMMYFUNCTION("""COMPUTED_VALUE"""),"Pleta - Pletařské družstvo v Jihlavě.")</f>
        <v>Pleta - Pletařské družstvo v Jihlavě.</v>
      </c>
      <c r="L49" s="8" t="str">
        <f>IFERROR(__xludf.DUMMYFUNCTION("""COMPUTED_VALUE"""),"Národní muzeum, Archiv NM, Sbírka Muzea dělnického hnutí, sbírka Klement Gottwald - kult osobnosti.")</f>
        <v>Národní muzeum, Archiv NM, Sbírka Muzea dělnického hnutí, sbírka Klement Gottwald - kult osobnosti.</v>
      </c>
      <c r="M49" s="8"/>
      <c r="N49" s="8" t="str">
        <f>IFERROR(__xludf.DUMMYFUNCTION("""COMPUTED_VALUE"""),"Jihlava_var01.jpg")</f>
        <v>Jihlava_var01.jpg</v>
      </c>
      <c r="O49" s="8"/>
      <c r="P49" s="8" t="str">
        <f>IFERROR(__xludf.DUMMYFUNCTION("""COMPUTED_VALUE"""),"Obrazová dokumentace archiválie.")</f>
        <v>Obrazová dokumentace archiválie.</v>
      </c>
      <c r="Q49" s="8" t="str">
        <f>IFERROR(__xludf.DUMMYFUNCTION("""COMPUTED_VALUE"""),"Národní muzeum, Archiv NM, Sbírka Muzea dělnického hnutí, sbírka Klement Gottwald - kult osobnosti.")</f>
        <v>Národní muzeum, Archiv NM, Sbírka Muzea dělnického hnutí, sbírka Klement Gottwald - kult osobnosti.</v>
      </c>
      <c r="R49" s="8" t="str">
        <f>IFERROR(__xludf.DUMMYFUNCTION("""COMPUTED_VALUE"""),"Jihlava_var02.jpg")</f>
        <v>Jihlava_var02.jpg</v>
      </c>
      <c r="S49" s="8"/>
      <c r="T49" s="8" t="str">
        <f>IFERROR(__xludf.DUMMYFUNCTION("""COMPUTED_VALUE"""),"Obrazová dokumentace archiválie.")</f>
        <v>Obrazová dokumentace archiválie.</v>
      </c>
      <c r="U49" s="8" t="str">
        <f>IFERROR(__xludf.DUMMYFUNCTION("""COMPUTED_VALUE"""),"Národní muzeum, Archiv NM, Sbírka Muzea dělnického hnutí, sbírka Klement Gottwald - kult osobnosti.")</f>
        <v>Národní muzeum, Archiv NM, Sbírka Muzea dělnického hnutí, sbírka Klement Gottwald - kult osobnosti.</v>
      </c>
      <c r="V49" s="8" t="str">
        <f>IFERROR(__xludf.DUMMYFUNCTION("""COMPUTED_VALUE"""),"Jihlava_var03.jpg")</f>
        <v>Jihlava_var03.jpg</v>
      </c>
      <c r="W49" s="8"/>
      <c r="X49" s="8" t="str">
        <f>IFERROR(__xludf.DUMMYFUNCTION("""COMPUTED_VALUE"""),"Obrazová dokumentace archiválie.")</f>
        <v>Obrazová dokumentace archiválie.</v>
      </c>
      <c r="Y49" s="8" t="str">
        <f>IFERROR(__xludf.DUMMYFUNCTION("""COMPUTED_VALUE"""),"Národní muzeum, Archiv NM, Sbírka Muzea dělnického hnutí, sbírka Klement Gottwald - kult osobnosti.")</f>
        <v>Národní muzeum, Archiv NM, Sbírka Muzea dělnického hnutí, sbírka Klement Gottwald - kult osobnosti.</v>
      </c>
      <c r="Z49" s="8"/>
      <c r="AA49" s="8"/>
      <c r="AB49" s="8"/>
      <c r="AC49" s="8"/>
      <c r="AD49" s="8"/>
      <c r="AE49" s="8"/>
      <c r="AF49" s="8"/>
      <c r="AG49" s="8"/>
      <c r="AH49" s="8"/>
      <c r="AI49" s="8"/>
      <c r="AJ49" s="8"/>
      <c r="AK49" s="8"/>
      <c r="AL49" s="8"/>
      <c r="AM49" s="8"/>
      <c r="AN49" s="8"/>
      <c r="AO49" s="8"/>
    </row>
    <row r="50">
      <c r="A50" s="7">
        <f t="shared" si="1"/>
        <v>49</v>
      </c>
      <c r="B50" s="8" t="str">
        <f>IFERROR(__xludf.DUMMYFUNCTION("""COMPUTED_VALUE"""),"17.9032009")</f>
        <v>17.9032009</v>
      </c>
      <c r="C50" s="8" t="str">
        <f>IFERROR(__xludf.DUMMYFUNCTION("""COMPUTED_VALUE"""),"49.7123742")</f>
        <v>49.7123742</v>
      </c>
      <c r="D50" s="8" t="str">
        <f>IFERROR(__xludf.DUMMYFUNCTION("""COMPUTED_VALUE"""),"Fulnek, báseň")</f>
        <v>Fulnek, báseň</v>
      </c>
      <c r="E50" s="8" t="str">
        <f>IFERROR(__xludf.DUMMYFUNCTION("""COMPUTED_VALUE"""),"Básnické pásmo, psáno 25.5.1949 - 29.5.1949, několik delších básní reflektujících soudobé události a glorifikujících KG. Černý zápisník s obálkou s motivem západu slunce v palmové zátoce, rkp, popsáno 32/70 ll, A5. Individuální dar, který je příkladem aut"&amp;"entických motivací projevů vůdcovského kultu, text obsahuje antisemitských proklamací.")</f>
        <v>Básnické pásmo, psáno 25.5.1949 - 29.5.1949, několik delších básní reflektujících soudobé události a glorifikujících KG. Černý zápisník s obálkou s motivem západu slunce v palmové zátoce, rkp, popsáno 32/70 ll, A5. Individuální dar, který je příkladem autentických motivací projevů vůdcovského kultu, text obsahuje antisemitských proklamací.</v>
      </c>
      <c r="F50" s="8" t="str">
        <f>IFERROR(__xludf.DUMMYFUNCTION("""COMPUTED_VALUE"""),"umělecká díla")</f>
        <v>umělecká díla</v>
      </c>
      <c r="G50" s="8" t="str">
        <f>IFERROR(__xludf.DUMMYFUNCTION("""COMPUTED_VALUE"""),"Varia")</f>
        <v>Varia</v>
      </c>
      <c r="H50" s="8"/>
      <c r="I50" s="9" t="str">
        <f>IFERROR(__xludf.DUMMYFUNCTION("""COMPUTED_VALUE"""),"květen 1949")</f>
        <v>květen 1949</v>
      </c>
      <c r="J50" s="8"/>
      <c r="K50" s="8" t="str">
        <f>IFERROR(__xludf.DUMMYFUNCTION("""COMPUTED_VALUE"""),"Beseermann, Karel (dělník a soudruh).")</f>
        <v>Beseermann, Karel (dělník a soudruh).</v>
      </c>
      <c r="L50" s="8" t="str">
        <f>IFERROR(__xludf.DUMMYFUNCTION("""COMPUTED_VALUE"""),"Národní muzeum, Archiv NM, Sbírka Muzea dělnického hnutí, sbírka Klement Gottwald - kult osobnosti.")</f>
        <v>Národní muzeum, Archiv NM, Sbírka Muzea dělnického hnutí, sbírka Klement Gottwald - kult osobnosti.</v>
      </c>
      <c r="M50" s="8"/>
      <c r="N50" s="8" t="str">
        <f>IFERROR(__xludf.DUMMYFUNCTION("""COMPUTED_VALUE"""),"Fulnek_var01.jpg")</f>
        <v>Fulnek_var01.jpg</v>
      </c>
      <c r="O50" s="8"/>
      <c r="P50" s="8" t="str">
        <f>IFERROR(__xludf.DUMMYFUNCTION("""COMPUTED_VALUE"""),"Obrazová dokumentace archiválie.")</f>
        <v>Obrazová dokumentace archiválie.</v>
      </c>
      <c r="Q50" s="8" t="str">
        <f>IFERROR(__xludf.DUMMYFUNCTION("""COMPUTED_VALUE"""),"Národní muzeum, Archiv NM, Sbírka Muzea dělnického hnutí, sbírka Klement Gottwald - kult osobnosti.")</f>
        <v>Národní muzeum, Archiv NM, Sbírka Muzea dělnického hnutí, sbírka Klement Gottwald - kult osobnosti.</v>
      </c>
      <c r="R50" s="8" t="str">
        <f>IFERROR(__xludf.DUMMYFUNCTION("""COMPUTED_VALUE"""),"Fulnek_var03.jpg")</f>
        <v>Fulnek_var03.jpg</v>
      </c>
      <c r="S50" s="8"/>
      <c r="T50" s="8" t="str">
        <f>IFERROR(__xludf.DUMMYFUNCTION("""COMPUTED_VALUE"""),"Obrazová dokumentace archiválie.")</f>
        <v>Obrazová dokumentace archiválie.</v>
      </c>
      <c r="U50" s="8" t="str">
        <f>IFERROR(__xludf.DUMMYFUNCTION("""COMPUTED_VALUE"""),"Národní muzeum, Archiv NM, Sbírka Muzea dělnického hnutí, sbírka Klement Gottwald - kult osobnosti.")</f>
        <v>Národní muzeum, Archiv NM, Sbírka Muzea dělnického hnutí, sbírka Klement Gottwald - kult osobnosti.</v>
      </c>
      <c r="V50" s="8" t="str">
        <f>IFERROR(__xludf.DUMMYFUNCTION("""COMPUTED_VALUE"""),"Fulnek_var04.jpg")</f>
        <v>Fulnek_var04.jpg</v>
      </c>
      <c r="W50" s="8"/>
      <c r="X50" s="8" t="str">
        <f>IFERROR(__xludf.DUMMYFUNCTION("""COMPUTED_VALUE"""),"Obrazová dokumentace archiválie.")</f>
        <v>Obrazová dokumentace archiválie.</v>
      </c>
      <c r="Y50" s="8" t="str">
        <f>IFERROR(__xludf.DUMMYFUNCTION("""COMPUTED_VALUE"""),"Národní muzeum, Archiv NM, Sbírka Muzea dělnického hnutí, sbírka Klement Gottwald - kult osobnosti.")</f>
        <v>Národní muzeum, Archiv NM, Sbírka Muzea dělnického hnutí, sbírka Klement Gottwald - kult osobnosti.</v>
      </c>
      <c r="Z50" s="8" t="str">
        <f>IFERROR(__xludf.DUMMYFUNCTION("""COMPUTED_VALUE"""),"Fulnek_var05.jpg")</f>
        <v>Fulnek_var05.jpg</v>
      </c>
      <c r="AA50" s="8"/>
      <c r="AB50" s="8" t="str">
        <f>IFERROR(__xludf.DUMMYFUNCTION("""COMPUTED_VALUE"""),"Obrazová dokumentace archiválie.")</f>
        <v>Obrazová dokumentace archiválie.</v>
      </c>
      <c r="AC50" s="8" t="str">
        <f>IFERROR(__xludf.DUMMYFUNCTION("""COMPUTED_VALUE"""),"Národní muzeum, Archiv NM, Sbírka Muzea dělnického hnutí, sbírka Klement Gottwald - kult osobnosti.")</f>
        <v>Národní muzeum, Archiv NM, Sbírka Muzea dělnického hnutí, sbírka Klement Gottwald - kult osobnosti.</v>
      </c>
      <c r="AD50" s="8" t="str">
        <f>IFERROR(__xludf.DUMMYFUNCTION("""COMPUTED_VALUE"""),"Fulnek_var06.jpg")</f>
        <v>Fulnek_var06.jpg</v>
      </c>
      <c r="AE50" s="8"/>
      <c r="AF50" s="8" t="str">
        <f>IFERROR(__xludf.DUMMYFUNCTION("""COMPUTED_VALUE"""),"Obrazová dokumentace archiválie.")</f>
        <v>Obrazová dokumentace archiválie.</v>
      </c>
      <c r="AG50" s="8" t="str">
        <f>IFERROR(__xludf.DUMMYFUNCTION("""COMPUTED_VALUE"""),"Národní muzeum, Archiv NM, Sbírka Muzea dělnického hnutí, sbírka Klement Gottwald - kult osobnosti.")</f>
        <v>Národní muzeum, Archiv NM, Sbírka Muzea dělnického hnutí, sbírka Klement Gottwald - kult osobnosti.</v>
      </c>
      <c r="AH50" s="8"/>
      <c r="AI50" s="8"/>
      <c r="AJ50" s="8"/>
      <c r="AK50" s="8"/>
      <c r="AL50" s="8"/>
      <c r="AM50" s="8"/>
      <c r="AN50" s="8"/>
      <c r="AO50" s="8"/>
    </row>
    <row r="51">
      <c r="A51" s="7">
        <f t="shared" si="1"/>
        <v>50</v>
      </c>
      <c r="B51" s="8" t="str">
        <f>IFERROR(__xludf.DUMMYFUNCTION("""COMPUTED_VALUE"""),"15.0061389")</f>
        <v>15.0061389</v>
      </c>
      <c r="C51" s="8" t="str">
        <f>IFERROR(__xludf.DUMMYFUNCTION("""COMPUTED_VALUE"""),"49.1444823")</f>
        <v>49.1444823</v>
      </c>
      <c r="D51" s="8" t="str">
        <f>IFERROR(__xludf.DUMMYFUNCTION("""COMPUTED_VALUE"""),"Jindřichův Hradec, zpráva o činnosti strany")</f>
        <v>Jindřichův Hradec, zpráva o činnosti strany</v>
      </c>
      <c r="E51" s="8" t="str">
        <f>IFERROR(__xludf.DUMMYFUNCTION("""COMPUTED_VALUE"""),"Hlášení o činnosti strany v regionu během transformace v letech 1945 až 1946, na konci slib pokračujících aktivit, včetně ""důsledného provádění konfiskací."" Červené textilní desky s trikolorou v dolním rohu, ilustrace s motivem vlajky ČSR, rudé hvězdy a"&amp;" srpu a kladiva, drobný znak pětiletky v závěru, podpisy, razítko,  6 ll, A3.")</f>
        <v>Hlášení o činnosti strany v regionu během transformace v letech 1945 až 1946, na konci slib pokračujících aktivit, včetně "důsledného provádění konfiskací." Červené textilní desky s trikolorou v dolním rohu, ilustrace s motivem vlajky ČSR, rudé hvězdy a srpu a kladiva, drobný znak pětiletky v závěru, podpisy, razítko,  6 ll, A3.</v>
      </c>
      <c r="F51" s="8" t="str">
        <f>IFERROR(__xludf.DUMMYFUNCTION("""COMPUTED_VALUE"""),"dokumenty")</f>
        <v>dokumenty</v>
      </c>
      <c r="G51" s="8" t="str">
        <f>IFERROR(__xludf.DUMMYFUNCTION("""COMPUTED_VALUE"""),"Varia")</f>
        <v>Varia</v>
      </c>
      <c r="H51" s="8"/>
      <c r="I51" s="9" t="str">
        <f>IFERROR(__xludf.DUMMYFUNCTION("""COMPUTED_VALUE"""),"18. květen 1946")</f>
        <v>18. květen 1946</v>
      </c>
      <c r="J51" s="8"/>
      <c r="K51" s="8" t="str">
        <f>IFERROR(__xludf.DUMMYFUNCTION("""COMPUTED_VALUE"""),"Okresní organizace KSČ Jindřichův Hradec.")</f>
        <v>Okresní organizace KSČ Jindřichův Hradec.</v>
      </c>
      <c r="L51" s="8" t="str">
        <f>IFERROR(__xludf.DUMMYFUNCTION("""COMPUTED_VALUE"""),"Národní muzeum, Archiv NM, Sbírka Muzea dělnického hnutí, sbírka Klement Gottwald - kult osobnosti.")</f>
        <v>Národní muzeum, Archiv NM, Sbírka Muzea dělnického hnutí, sbírka Klement Gottwald - kult osobnosti.</v>
      </c>
      <c r="M51" s="8"/>
      <c r="N51" s="8" t="str">
        <f>IFERROR(__xludf.DUMMYFUNCTION("""COMPUTED_VALUE"""),"Jindřichův Hradec_var01.jpg")</f>
        <v>Jindřichův Hradec_var01.jpg</v>
      </c>
      <c r="O51" s="8"/>
      <c r="P51" s="8" t="str">
        <f>IFERROR(__xludf.DUMMYFUNCTION("""COMPUTED_VALUE"""),"Obrazová dokumentace archiválie.")</f>
        <v>Obrazová dokumentace archiválie.</v>
      </c>
      <c r="Q51" s="8" t="str">
        <f>IFERROR(__xludf.DUMMYFUNCTION("""COMPUTED_VALUE"""),"Národní muzeum, Archiv NM, Sbírka Muzea dělnického hnutí, sbírka Klement Gottwald - kult osobnosti.")</f>
        <v>Národní muzeum, Archiv NM, Sbírka Muzea dělnického hnutí, sbírka Klement Gottwald - kult osobnosti.</v>
      </c>
      <c r="R51" s="8" t="str">
        <f>IFERROR(__xludf.DUMMYFUNCTION("""COMPUTED_VALUE"""),"Jindřichův Hradec_var02.jpg")</f>
        <v>Jindřichův Hradec_var02.jpg</v>
      </c>
      <c r="S51" s="8"/>
      <c r="T51" s="8" t="str">
        <f>IFERROR(__xludf.DUMMYFUNCTION("""COMPUTED_VALUE"""),"Obrazová dokumentace archiválie.")</f>
        <v>Obrazová dokumentace archiválie.</v>
      </c>
      <c r="U51" s="8" t="str">
        <f>IFERROR(__xludf.DUMMYFUNCTION("""COMPUTED_VALUE"""),"Národní muzeum, Archiv NM, Sbírka Muzea dělnického hnutí, sbírka Klement Gottwald - kult osobnosti.")</f>
        <v>Národní muzeum, Archiv NM, Sbírka Muzea dělnického hnutí, sbírka Klement Gottwald - kult osobnosti.</v>
      </c>
      <c r="V51" s="8" t="str">
        <f>IFERROR(__xludf.DUMMYFUNCTION("""COMPUTED_VALUE"""),"Jindřichův Hradec_var03.jpg")</f>
        <v>Jindřichův Hradec_var03.jpg</v>
      </c>
      <c r="W51" s="8"/>
      <c r="X51" s="8" t="str">
        <f>IFERROR(__xludf.DUMMYFUNCTION("""COMPUTED_VALUE"""),"Obrazová dokumentace archiválie.")</f>
        <v>Obrazová dokumentace archiválie.</v>
      </c>
      <c r="Y51" s="8" t="str">
        <f>IFERROR(__xludf.DUMMYFUNCTION("""COMPUTED_VALUE"""),"Národní muzeum, Archiv NM, Sbírka Muzea dělnického hnutí, sbírka Klement Gottwald - kult osobnosti.")</f>
        <v>Národní muzeum, Archiv NM, Sbírka Muzea dělnického hnutí, sbírka Klement Gottwald - kult osobnosti.</v>
      </c>
      <c r="Z51" s="8" t="str">
        <f>IFERROR(__xludf.DUMMYFUNCTION("""COMPUTED_VALUE"""),"Jindřichův Hradec_var04.jpg")</f>
        <v>Jindřichův Hradec_var04.jpg</v>
      </c>
      <c r="AA51" s="8"/>
      <c r="AB51" s="8" t="str">
        <f>IFERROR(__xludf.DUMMYFUNCTION("""COMPUTED_VALUE"""),"Obrazová dokumentace archiválie.")</f>
        <v>Obrazová dokumentace archiválie.</v>
      </c>
      <c r="AC51" s="8" t="str">
        <f>IFERROR(__xludf.DUMMYFUNCTION("""COMPUTED_VALUE"""),"Národní muzeum, Archiv NM, Sbírka Muzea dělnického hnutí, sbírka Klement Gottwald - kult osobnosti.")</f>
        <v>Národní muzeum, Archiv NM, Sbírka Muzea dělnického hnutí, sbírka Klement Gottwald - kult osobnosti.</v>
      </c>
      <c r="AD51" s="8" t="str">
        <f>IFERROR(__xludf.DUMMYFUNCTION("""COMPUTED_VALUE"""),"Jindřichův Hradec_var05.jpg")</f>
        <v>Jindřichův Hradec_var05.jpg</v>
      </c>
      <c r="AE51" s="8"/>
      <c r="AF51" s="8" t="str">
        <f>IFERROR(__xludf.DUMMYFUNCTION("""COMPUTED_VALUE"""),"Obrazová dokumentace archiválie.")</f>
        <v>Obrazová dokumentace archiválie.</v>
      </c>
      <c r="AG51" s="8" t="str">
        <f>IFERROR(__xludf.DUMMYFUNCTION("""COMPUTED_VALUE"""),"Národní muzeum, Archiv NM, Sbírka Muzea dělnického hnutí, sbírka Klement Gottwald - kult osobnosti.")</f>
        <v>Národní muzeum, Archiv NM, Sbírka Muzea dělnického hnutí, sbírka Klement Gottwald - kult osobnosti.</v>
      </c>
      <c r="AH51" s="8"/>
      <c r="AI51" s="8"/>
      <c r="AJ51" s="8"/>
      <c r="AK51" s="8"/>
      <c r="AL51" s="8"/>
      <c r="AM51" s="8"/>
      <c r="AN51" s="8"/>
      <c r="AO51" s="8"/>
    </row>
    <row r="52">
      <c r="A52" s="7">
        <f t="shared" si="1"/>
        <v>51</v>
      </c>
      <c r="B52" s="8" t="str">
        <f>IFERROR(__xludf.DUMMYFUNCTION("""COMPUTED_VALUE"""),"17.45023")</f>
        <v>17.45023</v>
      </c>
      <c r="C52" s="8" t="str">
        <f>IFERROR(__xludf.DUMMYFUNCTION("""COMPUTED_VALUE"""),"49.4564788")</f>
        <v>49.4564788</v>
      </c>
      <c r="D52" s="8" t="str">
        <f>IFERROR(__xludf.DUMMYFUNCTION("""COMPUTED_VALUE"""),"Přerov, zpěvník Lidových milicí")</f>
        <v>Přerov, zpěvník Lidových milicí</v>
      </c>
      <c r="E52" s="8" t="str">
        <f>IFERROR(__xludf.DUMMYFUNCTION("""COMPUTED_VALUE"""),"Zpěvník Lidových milicí dedikovaný prezidentovi republiky u příležitosti 30. výročí založení KSČ. Sbírka 17 písní různých autorů, svázána v červených koženkových deskách se zlacenými nápisy, rkp, 35 ll, 37 x 26 cm.")</f>
        <v>Zpěvník Lidových milicí dedikovaný prezidentovi republiky u příležitosti 30. výročí založení KSČ. Sbírka 17 písní různých autorů, svázána v červených koženkových deskách se zlacenými nápisy, rkp, 35 ll, 37 x 26 cm.</v>
      </c>
      <c r="F52" s="8" t="str">
        <f>IFERROR(__xludf.DUMMYFUNCTION("""COMPUTED_VALUE"""),"umělecká díla")</f>
        <v>umělecká díla</v>
      </c>
      <c r="G52" s="8" t="str">
        <f>IFERROR(__xludf.DUMMYFUNCTION("""COMPUTED_VALUE"""),"Varia")</f>
        <v>Varia</v>
      </c>
      <c r="H52" s="8"/>
      <c r="I52" s="9" t="str">
        <f>IFERROR(__xludf.DUMMYFUNCTION("""COMPUTED_VALUE"""),"květen 1951")</f>
        <v>květen 1951</v>
      </c>
      <c r="J52" s="8"/>
      <c r="K52" s="8" t="str">
        <f>IFERROR(__xludf.DUMMYFUNCTION("""COMPUTED_VALUE"""),"Lidové milice Přerovska.")</f>
        <v>Lidové milice Přerovska.</v>
      </c>
      <c r="L52" s="8" t="str">
        <f>IFERROR(__xludf.DUMMYFUNCTION("""COMPUTED_VALUE"""),"Národní muzeum, Archiv NM, Sbírka Muzea dělnického hnutí, sbírka Klement Gottwald - kult osobnosti.")</f>
        <v>Národní muzeum, Archiv NM, Sbírka Muzea dělnického hnutí, sbírka Klement Gottwald - kult osobnosti.</v>
      </c>
      <c r="M52" s="8"/>
      <c r="N52" s="8" t="str">
        <f>IFERROR(__xludf.DUMMYFUNCTION("""COMPUTED_VALUE"""),"Přerov_var01.jpg")</f>
        <v>Přerov_var01.jpg</v>
      </c>
      <c r="O52" s="8"/>
      <c r="P52" s="8" t="str">
        <f>IFERROR(__xludf.DUMMYFUNCTION("""COMPUTED_VALUE"""),"Obrazová dokumentace archiválie.")</f>
        <v>Obrazová dokumentace archiválie.</v>
      </c>
      <c r="Q52" s="8" t="str">
        <f>IFERROR(__xludf.DUMMYFUNCTION("""COMPUTED_VALUE"""),"Národní muzeum, Archiv NM, Sbírka Muzea dělnického hnutí, sbírka Klement Gottwald - kult osobnosti.")</f>
        <v>Národní muzeum, Archiv NM, Sbírka Muzea dělnického hnutí, sbírka Klement Gottwald - kult osobnosti.</v>
      </c>
      <c r="R52" s="8" t="str">
        <f>IFERROR(__xludf.DUMMYFUNCTION("""COMPUTED_VALUE"""),"Přerov_var02.jpg")</f>
        <v>Přerov_var02.jpg</v>
      </c>
      <c r="S52" s="8"/>
      <c r="T52" s="8" t="str">
        <f>IFERROR(__xludf.DUMMYFUNCTION("""COMPUTED_VALUE"""),"Obrazová dokumentace archiválie.")</f>
        <v>Obrazová dokumentace archiválie.</v>
      </c>
      <c r="U52" s="8" t="str">
        <f>IFERROR(__xludf.DUMMYFUNCTION("""COMPUTED_VALUE"""),"Národní muzeum, Archiv NM, Sbírka Muzea dělnického hnutí, sbírka Klement Gottwald - kult osobnosti.")</f>
        <v>Národní muzeum, Archiv NM, Sbírka Muzea dělnického hnutí, sbírka Klement Gottwald - kult osobnosti.</v>
      </c>
      <c r="V52" s="8" t="str">
        <f>IFERROR(__xludf.DUMMYFUNCTION("""COMPUTED_VALUE"""),"Přerov_var04.jpg")</f>
        <v>Přerov_var04.jpg</v>
      </c>
      <c r="W52" s="8"/>
      <c r="X52" s="8" t="str">
        <f>IFERROR(__xludf.DUMMYFUNCTION("""COMPUTED_VALUE"""),"Obrazová dokumentace archiválie.")</f>
        <v>Obrazová dokumentace archiválie.</v>
      </c>
      <c r="Y52" s="8" t="str">
        <f>IFERROR(__xludf.DUMMYFUNCTION("""COMPUTED_VALUE"""),"Národní muzeum, Archiv NM, Sbírka Muzea dělnického hnutí, sbírka Klement Gottwald - kult osobnosti.")</f>
        <v>Národní muzeum, Archiv NM, Sbírka Muzea dělnického hnutí, sbírka Klement Gottwald - kult osobnosti.</v>
      </c>
      <c r="Z52" s="8" t="str">
        <f>IFERROR(__xludf.DUMMYFUNCTION("""COMPUTED_VALUE"""),"Přerov_var05.jpg")</f>
        <v>Přerov_var05.jpg</v>
      </c>
      <c r="AA52" s="8"/>
      <c r="AB52" s="8" t="str">
        <f>IFERROR(__xludf.DUMMYFUNCTION("""COMPUTED_VALUE"""),"Obrazová dokumentace archiválie.")</f>
        <v>Obrazová dokumentace archiválie.</v>
      </c>
      <c r="AC52" s="8" t="str">
        <f>IFERROR(__xludf.DUMMYFUNCTION("""COMPUTED_VALUE"""),"Národní muzeum, Archiv NM, Sbírka Muzea dělnického hnutí, sbírka Klement Gottwald - kult osobnosti.")</f>
        <v>Národní muzeum, Archiv NM, Sbírka Muzea dělnického hnutí, sbírka Klement Gottwald - kult osobnosti.</v>
      </c>
      <c r="AD52" s="8" t="str">
        <f>IFERROR(__xludf.DUMMYFUNCTION("""COMPUTED_VALUE"""),"Přerov_var06.jpg")</f>
        <v>Přerov_var06.jpg</v>
      </c>
      <c r="AE52" s="8"/>
      <c r="AF52" s="8" t="str">
        <f>IFERROR(__xludf.DUMMYFUNCTION("""COMPUTED_VALUE"""),"Obrazová dokumentace archiválie.")</f>
        <v>Obrazová dokumentace archiválie.</v>
      </c>
      <c r="AG52" s="8" t="str">
        <f>IFERROR(__xludf.DUMMYFUNCTION("""COMPUTED_VALUE"""),"Národní muzeum, Archiv NM, Sbírka Muzea dělnického hnutí, sbírka Klement Gottwald - kult osobnosti.")</f>
        <v>Národní muzeum, Archiv NM, Sbírka Muzea dělnického hnutí, sbírka Klement Gottwald - kult osobnosti.</v>
      </c>
      <c r="AH52" s="8"/>
      <c r="AI52" s="8"/>
      <c r="AJ52" s="8"/>
      <c r="AK52" s="8"/>
      <c r="AL52" s="8"/>
      <c r="AM52" s="8"/>
      <c r="AN52" s="8"/>
      <c r="AO52" s="8"/>
    </row>
    <row r="53">
      <c r="A53" s="7">
        <f t="shared" si="1"/>
        <v>52</v>
      </c>
      <c r="B53" s="8" t="str">
        <f>IFERROR(__xludf.DUMMYFUNCTION("""COMPUTED_VALUE"""),"14.480255")</f>
        <v>14.480255</v>
      </c>
      <c r="C53" s="8" t="str">
        <f>IFERROR(__xludf.DUMMYFUNCTION("""COMPUTED_VALUE"""),"48.9756578")</f>
        <v>48.9756578</v>
      </c>
      <c r="D53" s="8" t="str">
        <f>IFERROR(__xludf.DUMMYFUNCTION("""COMPUTED_VALUE"""),"České Budějovice, grafické album ")</f>
        <v>České Budějovice, grafické album </v>
      </c>
      <c r="E53" s="8" t="str">
        <f>IFERROR(__xludf.DUMMYFUNCTION("""COMPUTED_VALUE"""),"Dar s věnováním u příležitosti návštěvy. Album grafických prací, autor Karel Štech (regionálně významný umělec). Béžové textilní desky se zlaceným znakem města, svázané grafické listy (16 ks) - sociální témata, přírodní a městská krajina, různé techniky, "&amp;"rkp, tisk, podpisy, 22 ll, 42 x 30 cm.")</f>
        <v>Dar s věnováním u příležitosti návštěvy. Album grafických prací, autor Karel Štech (regionálně významný umělec). Béžové textilní desky se zlaceným znakem města, svázané grafické listy (16 ks) - sociální témata, přírodní a městská krajina, různé techniky, rkp, tisk, podpisy, 22 ll, 42 x 30 cm.</v>
      </c>
      <c r="F53" s="8" t="str">
        <f>IFERROR(__xludf.DUMMYFUNCTION("""COMPUTED_VALUE"""),"umělecká díla")</f>
        <v>umělecká díla</v>
      </c>
      <c r="G53" s="8" t="str">
        <f>IFERROR(__xludf.DUMMYFUNCTION("""COMPUTED_VALUE"""),"Varia")</f>
        <v>Varia</v>
      </c>
      <c r="H53" s="8"/>
      <c r="I53" s="9" t="str">
        <f>IFERROR(__xludf.DUMMYFUNCTION("""COMPUTED_VALUE"""),"18. května 1946")</f>
        <v>18. května 1946</v>
      </c>
      <c r="J53" s="8"/>
      <c r="K53" s="8" t="str">
        <f>IFERROR(__xludf.DUMMYFUNCTION("""COMPUTED_VALUE"""),"Okresní komise žen. K. Štech.")</f>
        <v>Okresní komise žen. K. Štech.</v>
      </c>
      <c r="L53" s="8" t="str">
        <f>IFERROR(__xludf.DUMMYFUNCTION("""COMPUTED_VALUE"""),"Národní muzeum, Archiv NM, Sbírka Muzea dělnického hnutí, sbírka Klement Gottwald - kult osobnosti.")</f>
        <v>Národní muzeum, Archiv NM, Sbírka Muzea dělnického hnutí, sbírka Klement Gottwald - kult osobnosti.</v>
      </c>
      <c r="M53" s="8"/>
      <c r="N53" s="8" t="str">
        <f>IFERROR(__xludf.DUMMYFUNCTION("""COMPUTED_VALUE"""),"České Budějovice_zav01.jpg")</f>
        <v>České Budějovice_zav01.jpg</v>
      </c>
      <c r="O53" s="8"/>
      <c r="P53" s="8" t="str">
        <f>IFERROR(__xludf.DUMMYFUNCTION("""COMPUTED_VALUE"""),"Obrazová dokumentace archiválie.")</f>
        <v>Obrazová dokumentace archiválie.</v>
      </c>
      <c r="Q53" s="8" t="str">
        <f>IFERROR(__xludf.DUMMYFUNCTION("""COMPUTED_VALUE"""),"Národní muzeum, Archiv NM, Sbírka Muzea dělnického hnutí, sbírka Klement Gottwald - kult osobnosti.")</f>
        <v>Národní muzeum, Archiv NM, Sbírka Muzea dělnického hnutí, sbírka Klement Gottwald - kult osobnosti.</v>
      </c>
      <c r="R53" s="8" t="str">
        <f>IFERROR(__xludf.DUMMYFUNCTION("""COMPUTED_VALUE"""),"České Budějovice_zav02.jpg")</f>
        <v>České Budějovice_zav02.jpg</v>
      </c>
      <c r="S53" s="8"/>
      <c r="T53" s="8" t="str">
        <f>IFERROR(__xludf.DUMMYFUNCTION("""COMPUTED_VALUE"""),"Obrazová dokumentace archiválie.")</f>
        <v>Obrazová dokumentace archiválie.</v>
      </c>
      <c r="U53" s="8" t="str">
        <f>IFERROR(__xludf.DUMMYFUNCTION("""COMPUTED_VALUE"""),"Národní muzeum, Archiv NM, Sbírka Muzea dělnického hnutí, sbírka Klement Gottwald - kult osobnosti.")</f>
        <v>Národní muzeum, Archiv NM, Sbírka Muzea dělnického hnutí, sbírka Klement Gottwald - kult osobnosti.</v>
      </c>
      <c r="V53" s="8" t="str">
        <f>IFERROR(__xludf.DUMMYFUNCTION("""COMPUTED_VALUE"""),"České Budějovice_zav04.jpg")</f>
        <v>České Budějovice_zav04.jpg</v>
      </c>
      <c r="W53" s="8"/>
      <c r="X53" s="8" t="str">
        <f>IFERROR(__xludf.DUMMYFUNCTION("""COMPUTED_VALUE"""),"Obrazová dokumentace archiválie.")</f>
        <v>Obrazová dokumentace archiválie.</v>
      </c>
      <c r="Y53" s="8" t="str">
        <f>IFERROR(__xludf.DUMMYFUNCTION("""COMPUTED_VALUE"""),"Národní muzeum, Archiv NM, Sbírka Muzea dělnického hnutí, sbírka Klement Gottwald - kult osobnosti.")</f>
        <v>Národní muzeum, Archiv NM, Sbírka Muzea dělnického hnutí, sbírka Klement Gottwald - kult osobnosti.</v>
      </c>
      <c r="Z53" s="8" t="str">
        <f>IFERROR(__xludf.DUMMYFUNCTION("""COMPUTED_VALUE"""),"České Budějovice_zav05.jpg")</f>
        <v>České Budějovice_zav05.jpg</v>
      </c>
      <c r="AA53" s="8"/>
      <c r="AB53" s="8" t="str">
        <f>IFERROR(__xludf.DUMMYFUNCTION("""COMPUTED_VALUE"""),"Obrazová dokumentace archiválie.")</f>
        <v>Obrazová dokumentace archiválie.</v>
      </c>
      <c r="AC53" s="8" t="str">
        <f>IFERROR(__xludf.DUMMYFUNCTION("""COMPUTED_VALUE"""),"Národní muzeum, Archiv NM, Sbírka Muzea dělnického hnutí, sbírka Klement Gottwald - kult osobnosti.")</f>
        <v>Národní muzeum, Archiv NM, Sbírka Muzea dělnického hnutí, sbírka Klement Gottwald - kult osobnosti.</v>
      </c>
      <c r="AD53" s="8" t="str">
        <f>IFERROR(__xludf.DUMMYFUNCTION("""COMPUTED_VALUE"""),"České Budějovice_zav06.jpg")</f>
        <v>České Budějovice_zav06.jpg</v>
      </c>
      <c r="AE53" s="8"/>
      <c r="AF53" s="8" t="str">
        <f>IFERROR(__xludf.DUMMYFUNCTION("""COMPUTED_VALUE"""),"Obrazová dokumentace archiválie.")</f>
        <v>Obrazová dokumentace archiválie.</v>
      </c>
      <c r="AG53" s="8" t="str">
        <f>IFERROR(__xludf.DUMMYFUNCTION("""COMPUTED_VALUE"""),"Národní muzeum, Archiv NM, Sbírka Muzea dělnického hnutí, sbírka Klement Gottwald - kult osobnosti.")</f>
        <v>Národní muzeum, Archiv NM, Sbírka Muzea dělnického hnutí, sbírka Klement Gottwald - kult osobnosti.</v>
      </c>
      <c r="AH53" s="8"/>
      <c r="AI53" s="8"/>
      <c r="AJ53" s="8"/>
      <c r="AK53" s="8"/>
      <c r="AL53" s="8"/>
      <c r="AM53" s="8"/>
      <c r="AN53" s="8"/>
      <c r="AO53" s="8"/>
    </row>
    <row r="54">
      <c r="A54" s="7">
        <f t="shared" si="1"/>
        <v>53</v>
      </c>
      <c r="B54" s="8" t="str">
        <f>IFERROR(__xludf.DUMMYFUNCTION("""COMPUTED_VALUE"""),"19.9693394")</f>
        <v>19.9693394</v>
      </c>
      <c r="C54" s="8" t="str">
        <f>IFERROR(__xludf.DUMMYFUNCTION("""COMPUTED_VALUE"""),"48.8606744")</f>
        <v>48.8606744</v>
      </c>
      <c r="D54" s="8" t="str">
        <f>IFERROR(__xludf.DUMMYFUNCTION("""COMPUTED_VALUE"""),"Helpa, plastika Sokol")</f>
        <v>Helpa, plastika Sokol</v>
      </c>
      <c r="E54" s="8" t="str">
        <f>IFERROR(__xludf.DUMMYFUNCTION("""COMPUTED_VALUE"""),"Dar K. Gottwaldovi; Polychromovaná dřevěná plastika znázorňuje sokola na skále, hledícího na sele ukryté u stromu pod ním. U skály je na pravé straně reliéf zřejmě ještěrky, na levé straně je ztvárněn vlk. Plastiku dovezl do Prahy osobně autor, lidový řez"&amp;"bář Josef Kemko z obce Helpa (okres Brezno nad Hronom), jako dar k narozeninám prezidentu Klementu Gottwaldovi v listopadu 1952. Společně s ní přivezl i píšťalu z lískového dřeva a vyřezávaný džbánek ze švestkového dřeva. 
O předání daru byl v Kanceláři p"&amp;"rezidenta republiky udělán zápis: ""Je důchodce Čsl. drah, pobírá 2.000.- Kčs pense, má 3 syny, čtvrtý byl zabit loňského roku při svozu dřeva. Nejmladší syn studuje na lesnické škole. ... Přednosta kanceláře Josefu Kemkovi poděkoval a věnoval mu stříbrno"&amp;"u pamětní stokorunu s portrétem pana presidenta republiky, 2 stříbrné padesátikoruny s portrétem J. V. Stalina a 300.- Kčs na výlohy. ...""")</f>
        <v>Dar K. Gottwaldovi; Polychromovaná dřevěná plastika znázorňuje sokola na skále, hledícího na sele ukryté u stromu pod ním. U skály je na pravé straně reliéf zřejmě ještěrky, na levé straně je ztvárněn vlk. Plastiku dovezl do Prahy osobně autor, lidový řezbář Josef Kemko z obce Helpa (okres Brezno nad Hronom), jako dar k narozeninám prezidentu Klementu Gottwaldovi v listopadu 1952. Společně s ní přivezl i píšťalu z lískového dřeva a vyřezávaný džbánek ze švestkového dřeva. 
O předání daru byl v Kanceláři prezidenta republiky udělán zápis: "Je důchodce Čsl. drah, pobírá 2.000.- Kčs pense, má 3 syny, čtvrtý byl zabit loňského roku při svozu dřeva. Nejmladší syn studuje na lesnické škole. ... Přednosta kanceláře Josefu Kemkovi poděkoval a věnoval mu stříbrnou pamětní stokorunu s portrétem pana presidenta republiky, 2 stříbrné padesátikoruny s portrétem J. V. Stalina a 300.- Kčs na výlohy. ..."</v>
      </c>
      <c r="F54" s="8" t="str">
        <f>IFERROR(__xludf.DUMMYFUNCTION("""COMPUTED_VALUE"""),"umělecká díla")</f>
        <v>umělecká díla</v>
      </c>
      <c r="G54" s="8" t="str">
        <f>IFERROR(__xludf.DUMMYFUNCTION("""COMPUTED_VALUE"""),"Hmotné dary")</f>
        <v>Hmotné dary</v>
      </c>
      <c r="H54" s="8"/>
      <c r="I54" s="9" t="str">
        <f>IFERROR(__xludf.DUMMYFUNCTION("""COMPUTED_VALUE"""),"1952")</f>
        <v>1952</v>
      </c>
      <c r="J54" s="8"/>
      <c r="K54" s="8" t="str">
        <f>IFERROR(__xludf.DUMMYFUNCTION("""COMPUTED_VALUE"""),"Jozef Kemko, obec Helpa (okres Brezno nad Hronom)")</f>
        <v>Jozef Kemko, obec Helpa (okres Brezno nad Hronom)</v>
      </c>
      <c r="L54" s="8" t="str">
        <f>IFERROR(__xludf.DUMMYFUNCTION("""COMPUTED_VALUE"""),"Národní muzeum, Sbírka Muzea dělnického hnutí, fond Výtvarné umění;
Archiv Kanceláře prezidenta  republiky, inv. č. 24316, k 608.
POHRIBNÝ, Arsén a TKÁČ, Štefan. Naivní umění v Československu. 1. vyd. Praha: NČSVU, 1967, s. 76 - 81.
")</f>
        <v>Národní muzeum, Sbírka Muzea dělnického hnutí, fond Výtvarné umění;
Archiv Kanceláře prezidenta  republiky, inv. č. 24316, k 608.
POHRIBNÝ, Arsén a TKÁČ, Štefan. Naivní umění v Československu. 1. vyd. Praha: NČSVU, 1967, s. 76 - 81.
</v>
      </c>
      <c r="M54" s="8"/>
      <c r="N54" s="8" t="str">
        <f>IFERROR(__xludf.DUMMYFUNCTION("""COMPUTED_VALUE"""),"H11U-475.JPG")</f>
        <v>H11U-475.JPG</v>
      </c>
      <c r="O54" s="8"/>
      <c r="P54" s="8" t="str">
        <f>IFERROR(__xludf.DUMMYFUNCTION("""COMPUTED_VALUE"""),"Dar K. Gottwaldovi; Jozef Kemko; Sokol; 1952; dřevo; 280 x 350 x 520 mm; Národní muzeum, H11U-475 ; foto: O. Tlapáková, 2018.")</f>
        <v>Dar K. Gottwaldovi; Jozef Kemko; Sokol; 1952; dřevo; 280 x 350 x 520 mm; Národní muzeum, H11U-475 ; foto: O. Tlapáková, 2018.</v>
      </c>
      <c r="Q54" s="8" t="str">
        <f>IFERROR(__xludf.DUMMYFUNCTION("""COMPUTED_VALUE"""),"Národní muzeum, Sbírka Muzea dělnického hnutí, fond Výtvarné umění.")</f>
        <v>Národní muzeum, Sbírka Muzea dělnického hnutí, fond Výtvarné umění.</v>
      </c>
      <c r="R54" s="8" t="str">
        <f>IFERROR(__xludf.DUMMYFUNCTION("""COMPUTED_VALUE"""),"H11U-475_Kniha darů KG_položka 1036.jpg")</f>
        <v>H11U-475_Kniha darů KG_položka 1036.jpg</v>
      </c>
      <c r="S54" s="8"/>
      <c r="T54" s="8" t="str">
        <f>IFERROR(__xludf.DUMMYFUNCTION("""COMPUTED_VALUE"""),"Evidenční zápis daru č. 1036 od Jozefa Kemka v Knize darů vedené v Kanceláři prezidenta republiky.")</f>
        <v>Evidenční zápis daru č. 1036 od Jozefa Kemka v Knize darů vedené v Kanceláři prezidenta republiky.</v>
      </c>
      <c r="U54" s="8" t="str">
        <f>IFERROR(__xludf.DUMMYFUNCTION("""COMPUTED_VALUE"""),"Národní muzeum, Sbírka Muzea dělnického hnutí, dokumentace Kolekce darů KG.")</f>
        <v>Národní muzeum, Sbírka Muzea dělnického hnutí, dokumentace Kolekce darů KG.</v>
      </c>
      <c r="V54" s="8"/>
      <c r="W54" s="8"/>
      <c r="X54" s="8"/>
      <c r="Y54" s="8"/>
      <c r="Z54" s="8"/>
      <c r="AA54" s="8"/>
      <c r="AB54" s="8"/>
      <c r="AC54" s="8"/>
      <c r="AD54" s="8"/>
      <c r="AE54" s="8"/>
      <c r="AF54" s="8"/>
      <c r="AG54" s="8"/>
      <c r="AH54" s="8"/>
      <c r="AI54" s="8"/>
      <c r="AJ54" s="8"/>
      <c r="AK54" s="8"/>
      <c r="AL54" s="8"/>
      <c r="AM54" s="8"/>
      <c r="AN54" s="8"/>
      <c r="AO54" s="8"/>
    </row>
    <row r="55">
      <c r="A55" s="7">
        <f t="shared" si="1"/>
        <v>54</v>
      </c>
      <c r="B55" s="8" t="str">
        <f>IFERROR(__xludf.DUMMYFUNCTION("""COMPUTED_VALUE"""),"18.1571098")</f>
        <v>18.1571098</v>
      </c>
      <c r="C55" s="8" t="str">
        <f>IFERROR(__xludf.DUMMYFUNCTION("""COMPUTED_VALUE"""),"47.9881643")</f>
        <v>47.9881643</v>
      </c>
      <c r="D55" s="8" t="str">
        <f>IFERROR(__xludf.DUMMYFUNCTION("""COMPUTED_VALUE"""),"Nové Zámky, malba Dělníci na trati")</f>
        <v>Nové Zámky, malba Dělníci na trati</v>
      </c>
      <c r="E55" s="8" t="str">
        <f>IFERROR(__xludf.DUMMYFUNCTION("""COMPUTED_VALUE"""),"Dar K. Gottwaldovi; V. Ostrožlík; Dělníci na trati; malba na plátně v dřevěném rámu; 59 x 73 cm; Národní muzeum, H11U-198: Olejomalba na plátně s římsovitě profilovaným dřevěným rámem zachycuje dvojici dělníků na vlakové trati při práci s krumpáči. Obě po"&amp;"stavy mají identický oděv (modré montérky, bílou košily a hnědou čepici s kšiltem). .")</f>
        <v>Dar K. Gottwaldovi; V. Ostrožlík; Dělníci na trati; malba na plátně v dřevěném rámu; 59 x 73 cm; Národní muzeum, H11U-198: Olejomalba na plátně s římsovitě profilovaným dřevěným rámem zachycuje dvojici dělníků na vlakové trati při práci s krumpáči. Obě postavy mají identický oděv (modré montérky, bílou košily a hnědou čepici s kšiltem). .</v>
      </c>
      <c r="F55" s="8" t="str">
        <f>IFERROR(__xludf.DUMMYFUNCTION("""COMPUTED_VALUE"""),"umělecká díla")</f>
        <v>umělecká díla</v>
      </c>
      <c r="G55" s="8" t="str">
        <f>IFERROR(__xludf.DUMMYFUNCTION("""COMPUTED_VALUE"""),"Hmotné dary")</f>
        <v>Hmotné dary</v>
      </c>
      <c r="H55" s="8"/>
      <c r="I55" s="9" t="str">
        <f>IFERROR(__xludf.DUMMYFUNCTION("""COMPUTED_VALUE"""),"1950")</f>
        <v>1950</v>
      </c>
      <c r="J55" s="8"/>
      <c r="K55" s="8" t="str">
        <f>IFERROR(__xludf.DUMMYFUNCTION("""COMPUTED_VALUE"""),"II. traťová stavební správa Nové Zámky")</f>
        <v>II. traťová stavební správa Nové Zámky</v>
      </c>
      <c r="L55" s="8" t="str">
        <f>IFERROR(__xludf.DUMMYFUNCTION("""COMPUTED_VALUE"""),"Národní muzeum, Sbírka Muzea dělnického hnutí, fond Výtvarné umění.")</f>
        <v>Národní muzeum, Sbírka Muzea dělnického hnutí, fond Výtvarné umění.</v>
      </c>
      <c r="M55" s="8"/>
      <c r="N55" s="8" t="str">
        <f>IFERROR(__xludf.DUMMYFUNCTION("""COMPUTED_VALUE"""),"H11U-198.jpg")</f>
        <v>H11U-198.jpg</v>
      </c>
      <c r="O55" s="8"/>
      <c r="P55" s="8" t="str">
        <f>IFERROR(__xludf.DUMMYFUNCTION("""COMPUTED_VALUE"""),"Dar K. Gottwaldovi; V. Ostrožlík; Dělníci na trati; malba na plátně v dřevěném rámu; 59 x 73 cm; Národní muzeum, H11U-198; foto: O. Tlapáková, 2021.")</f>
        <v>Dar K. Gottwaldovi; V. Ostrožlík; Dělníci na trati; malba na plátně v dřevěném rámu; 59 x 73 cm; Národní muzeum, H11U-198; foto: O. Tlapáková, 2021.</v>
      </c>
      <c r="Q55" s="8" t="str">
        <f>IFERROR(__xludf.DUMMYFUNCTION("""COMPUTED_VALUE"""),"Národní muzeum, Sbírka Muzea dělnického hnutí, fond Výtvarné umění.")</f>
        <v>Národní muzeum, Sbírka Muzea dělnického hnutí, fond Výtvarné umění.</v>
      </c>
      <c r="R55" s="8"/>
      <c r="S55" s="8"/>
      <c r="T55" s="8"/>
      <c r="U55" s="8"/>
      <c r="V55" s="8"/>
      <c r="W55" s="8"/>
      <c r="X55" s="8"/>
      <c r="Y55" s="8"/>
      <c r="Z55" s="8"/>
      <c r="AA55" s="8"/>
      <c r="AB55" s="8"/>
      <c r="AC55" s="8"/>
      <c r="AD55" s="8"/>
      <c r="AE55" s="8"/>
      <c r="AF55" s="8"/>
      <c r="AG55" s="8"/>
      <c r="AH55" s="8"/>
      <c r="AI55" s="8"/>
      <c r="AJ55" s="8"/>
      <c r="AK55" s="8"/>
      <c r="AL55" s="8"/>
      <c r="AM55" s="8"/>
      <c r="AN55" s="8"/>
      <c r="AO55" s="8"/>
    </row>
    <row r="56">
      <c r="A56" s="7">
        <f t="shared" si="1"/>
        <v>55</v>
      </c>
      <c r="B56" s="8" t="str">
        <f>IFERROR(__xludf.DUMMYFUNCTION("""COMPUTED_VALUE"""),"15.1703135")</f>
        <v>15.1703135</v>
      </c>
      <c r="C56" s="8" t="str">
        <f>IFERROR(__xludf.DUMMYFUNCTION("""COMPUTED_VALUE"""),"50.7220528")</f>
        <v>50.7220528</v>
      </c>
      <c r="D56" s="8" t="str">
        <f>IFERROR(__xludf.DUMMYFUNCTION("""COMPUTED_VALUE"""),"Jablonec nad Nisou, dárková kazeta se státním znakem ČSR")</f>
        <v>Jablonec nad Nisou, dárková kazeta se státním znakem ČSR</v>
      </c>
      <c r="E56" s="8" t="str">
        <f>IFERROR(__xludf.DUMMYFUNCTION("""COMPUTED_VALUE"""),"Dar K. Gottwaldovi; Státní znak ČSR v dárkové kazetě; venování: „Jablonecké vývozní domy, 23. 11. 1948""; 1948; sklo, kov, papír, samet; 28,5 x 33 x 32,5 cm (otevřená), Národní muzeum, H11S-16. ")</f>
        <v>Dar K. Gottwaldovi; Státní znak ČSR v dárkové kazetě; venování: „Jablonecké vývozní domy, 23. 11. 1948"; 1948; sklo, kov, papír, samet; 28,5 x 33 x 32,5 cm (otevřená), Národní muzeum, H11S-16. </v>
      </c>
      <c r="F56" s="8" t="str">
        <f>IFERROR(__xludf.DUMMYFUNCTION("""COMPUTED_VALUE"""),"umělecká díla")</f>
        <v>umělecká díla</v>
      </c>
      <c r="G56" s="8" t="str">
        <f>IFERROR(__xludf.DUMMYFUNCTION("""COMPUTED_VALUE"""),"Hmotné dary")</f>
        <v>Hmotné dary</v>
      </c>
      <c r="H56" s="8"/>
      <c r="I56" s="9" t="str">
        <f>IFERROR(__xludf.DUMMYFUNCTION("""COMPUTED_VALUE"""),"1948")</f>
        <v>1948</v>
      </c>
      <c r="J56" s="8"/>
      <c r="K56" s="8" t="str">
        <f>IFERROR(__xludf.DUMMYFUNCTION("""COMPUTED_VALUE"""),"Jablonecké vývozní domy")</f>
        <v>Jablonecké vývozní domy</v>
      </c>
      <c r="L56" s="8" t="str">
        <f>IFERROR(__xludf.DUMMYFUNCTION("""COMPUTED_VALUE"""),"Národní muzeum, Sbírka muzea dělnického hnutí, fond Společnost a spolkový život, Kolekce darů KG.")</f>
        <v>Národní muzeum, Sbírka muzea dělnického hnutí, fond Společnost a spolkový život, Kolekce darů KG.</v>
      </c>
      <c r="M56" s="8"/>
      <c r="N56" s="8" t="str">
        <f>IFERROR(__xludf.DUMMYFUNCTION("""COMPUTED_VALUE"""),"H11S-16.JPG")</f>
        <v>H11S-16.JPG</v>
      </c>
      <c r="O56" s="8"/>
      <c r="P56" s="8" t="str">
        <f>IFERROR(__xludf.DUMMYFUNCTION("""COMPUTED_VALUE"""),"Dar K. Gottwaldovi; Státní znak ČSR v dárkové kazetě; venování: „Jablonecké vývozní domy, 23. 11. 1948""; 1948; sklo, kov, papír, samet; 28,5 x 33 x 32,5 cm (otevřená), Národní muzeum, H11S-16.")</f>
        <v>Dar K. Gottwaldovi; Státní znak ČSR v dárkové kazetě; venování: „Jablonecké vývozní domy, 23. 11. 1948"; 1948; sklo, kov, papír, samet; 28,5 x 33 x 32,5 cm (otevřená), Národní muzeum, H11S-16.</v>
      </c>
      <c r="Q56" s="8" t="str">
        <f>IFERROR(__xludf.DUMMYFUNCTION("""COMPUTED_VALUE"""),"Národní muzeum, Sbírka Muzea dělnického hnutí, fond Společnost a spolkový život, Kolekce darů KG.")</f>
        <v>Národní muzeum, Sbírka Muzea dělnického hnutí, fond Společnost a spolkový život, Kolekce darů KG.</v>
      </c>
      <c r="R56" s="8"/>
      <c r="S56" s="8"/>
      <c r="T56" s="8"/>
      <c r="U56" s="8"/>
      <c r="V56" s="8"/>
      <c r="W56" s="8"/>
      <c r="X56" s="8"/>
      <c r="Y56" s="8"/>
      <c r="Z56" s="8"/>
      <c r="AA56" s="8"/>
      <c r="AB56" s="8"/>
      <c r="AC56" s="8"/>
      <c r="AD56" s="8"/>
      <c r="AE56" s="8"/>
      <c r="AF56" s="8"/>
      <c r="AG56" s="8"/>
      <c r="AH56" s="8"/>
      <c r="AI56" s="8"/>
      <c r="AJ56" s="8"/>
      <c r="AK56" s="8"/>
      <c r="AL56" s="8"/>
      <c r="AM56" s="8"/>
      <c r="AN56" s="8"/>
      <c r="AO56" s="8"/>
    </row>
    <row r="57">
      <c r="A57" s="7">
        <f t="shared" si="1"/>
        <v>56</v>
      </c>
      <c r="B57" s="8" t="str">
        <f>IFERROR(__xludf.DUMMYFUNCTION("""COMPUTED_VALUE"""),"13.410737")</f>
        <v>13.410737</v>
      </c>
      <c r="C57" s="8" t="str">
        <f>IFERROR(__xludf.DUMMYFUNCTION("""COMPUTED_VALUE"""),"50.4634975")</f>
        <v>50.4634975</v>
      </c>
      <c r="D57" s="8" t="str">
        <f>IFERROR(__xludf.DUMMYFUNCTION("""COMPUTED_VALUE"""),"Chomutov, krabička tvaru pěticípé hvězdy")</f>
        <v>Chomutov, krabička tvaru pěticípé hvězdy</v>
      </c>
      <c r="E57" s="8" t="str">
        <f>IFERROR(__xludf.DUMMYFUNCTION("""COMPUTED_VALUE"""),"Dar K. Gottwaldovi; Jakub Soukup, Krabička tvaru pěticípé hvězdy s fotografií K. Gottwalda, věnování: ""56 Našemu presidentu s. Klementu Gottwaldovi k 56. narozeninám věnuje Soukup Jakub Chomutov.""; 1952; papír, celofán, folie, silon; výška 9 a průměr 35"&amp;" cm; Národní muzeum, H11S-84.")</f>
        <v>Dar K. Gottwaldovi; Jakub Soukup, Krabička tvaru pěticípé hvězdy s fotografií K. Gottwalda, věnování: "56 Našemu presidentu s. Klementu Gottwaldovi k 56. narozeninám věnuje Soukup Jakub Chomutov."; 1952; papír, celofán, folie, silon; výška 9 a průměr 35 cm; Národní muzeum, H11S-84.</v>
      </c>
      <c r="F57" s="8" t="str">
        <f>IFERROR(__xludf.DUMMYFUNCTION("""COMPUTED_VALUE"""),"umělecká díla")</f>
        <v>umělecká díla</v>
      </c>
      <c r="G57" s="8" t="str">
        <f>IFERROR(__xludf.DUMMYFUNCTION("""COMPUTED_VALUE"""),"Hmotné dary")</f>
        <v>Hmotné dary</v>
      </c>
      <c r="H57" s="8"/>
      <c r="I57" s="9" t="str">
        <f>IFERROR(__xludf.DUMMYFUNCTION("""COMPUTED_VALUE"""),"1952")</f>
        <v>1952</v>
      </c>
      <c r="J57" s="8"/>
      <c r="K57" s="8" t="str">
        <f>IFERROR(__xludf.DUMMYFUNCTION("""COMPUTED_VALUE"""),"Jakub Soukup")</f>
        <v>Jakub Soukup</v>
      </c>
      <c r="L57" s="8" t="str">
        <f>IFERROR(__xludf.DUMMYFUNCTION("""COMPUTED_VALUE"""),"Národní muzeum, Sbírka Muzea dělnického hnutí, fond Společnost a spolkový život, Kolekce darů KG.")</f>
        <v>Národní muzeum, Sbírka Muzea dělnického hnutí, fond Společnost a spolkový život, Kolekce darů KG.</v>
      </c>
      <c r="M57" s="8"/>
      <c r="N57" s="8" t="str">
        <f>IFERROR(__xludf.DUMMYFUNCTION("""COMPUTED_VALUE"""),"H11S-84.jpg")</f>
        <v>H11S-84.jpg</v>
      </c>
      <c r="O57" s="8"/>
      <c r="P57" s="8" t="str">
        <f>IFERROR(__xludf.DUMMYFUNCTION("""COMPUTED_VALUE"""),"Dar K. Gottwaldovi; Jakub Soukup, Krabička tvaru pěticípé hvězdy s fotografií K. Gottwalda, věnování: ""56 Našemu presidentu s. Klementu Gottwaldovi k 56. narozeninám věnuje Soukup Jakub Chomutov.""; 1952; papír, celofán, folie, silon; Národní muzeum, H11"&amp;"S-84 (foto: G. Hrzánová, 2020).")</f>
        <v>Dar K. Gottwaldovi; Jakub Soukup, Krabička tvaru pěticípé hvězdy s fotografií K. Gottwalda, věnování: "56 Našemu presidentu s. Klementu Gottwaldovi k 56. narozeninám věnuje Soukup Jakub Chomutov."; 1952; papír, celofán, folie, silon; Národní muzeum, H11S-84 (foto: G. Hrzánová, 2020).</v>
      </c>
      <c r="Q57" s="8" t="str">
        <f>IFERROR(__xludf.DUMMYFUNCTION("""COMPUTED_VALUE"""),"Národní muzeum, Sbírka Muzea dělnického hnutí, fond Společnost a spolkový život, Kolekce darů KG.")</f>
        <v>Národní muzeum, Sbírka Muzea dělnického hnutí, fond Společnost a spolkový život, Kolekce darů KG.</v>
      </c>
      <c r="R57" s="8" t="str">
        <f>IFERROR(__xludf.DUMMYFUNCTION("""COMPUTED_VALUE"""),"H11S-84_věnování.JPG")</f>
        <v>H11S-84_věnování.JPG</v>
      </c>
      <c r="S57" s="8"/>
      <c r="T57" s="8" t="str">
        <f>IFERROR(__xludf.DUMMYFUNCTION("""COMPUTED_VALUE"""),"Dar K. Gottwaldovi; Jakub Soukup, Krabička tvaru pěticípé hvězdy s fotografií K. Gottwalda, věnování: ""56 Našemu presidentu s. Klementu Gottwaldovi k 56. narozeninám věnuje Soukup Jakub Chomutov.""; 1952; papír, celofán, folie, silon; Národní muzeum, H11"&amp;"S-84 (foto: G. Hrzánová, 2020).")</f>
        <v>Dar K. Gottwaldovi; Jakub Soukup, Krabička tvaru pěticípé hvězdy s fotografií K. Gottwalda, věnování: "56 Našemu presidentu s. Klementu Gottwaldovi k 56. narozeninám věnuje Soukup Jakub Chomutov."; 1952; papír, celofán, folie, silon; Národní muzeum, H11S-84 (foto: G. Hrzánová, 2020).</v>
      </c>
      <c r="U57" s="8" t="str">
        <f>IFERROR(__xludf.DUMMYFUNCTION("""COMPUTED_VALUE"""),"Národní muzeum, Sbírka Muzea dělnického hnutí, fond Společnost a spolkový život, Kolekce darů KG.")</f>
        <v>Národní muzeum, Sbírka Muzea dělnického hnutí, fond Společnost a spolkový život, Kolekce darů KG.</v>
      </c>
      <c r="V57" s="8"/>
      <c r="W57" s="8"/>
      <c r="X57" s="8"/>
      <c r="Y57" s="8"/>
      <c r="Z57" s="8"/>
      <c r="AA57" s="8"/>
      <c r="AB57" s="8"/>
      <c r="AC57" s="8"/>
      <c r="AD57" s="8"/>
      <c r="AE57" s="8"/>
      <c r="AF57" s="8"/>
      <c r="AG57" s="8"/>
      <c r="AH57" s="8"/>
      <c r="AI57" s="8"/>
      <c r="AJ57" s="8"/>
      <c r="AK57" s="8"/>
      <c r="AL57" s="8"/>
      <c r="AM57" s="8"/>
      <c r="AN57" s="8"/>
      <c r="AO57" s="8"/>
    </row>
    <row r="58">
      <c r="A58" s="7">
        <f t="shared" si="1"/>
        <v>57</v>
      </c>
      <c r="B58" s="8" t="str">
        <f>IFERROR(__xludf.DUMMYFUNCTION("""COMPUTED_VALUE"""),"12.5183942")</f>
        <v>12.5183942</v>
      </c>
      <c r="C58" s="8" t="str">
        <f>IFERROR(__xludf.DUMMYFUNCTION("""COMPUTED_VALUE"""),"50.3231088")</f>
        <v>50.3231088</v>
      </c>
      <c r="D58" s="8" t="str">
        <f>IFERROR(__xludf.DUMMYFUNCTION("""COMPUTED_VALUE"""),"Kraslice, výšivka s blahopřáním k narozeninám")</f>
        <v>Kraslice, výšivka s blahopřáním k narozeninám</v>
      </c>
      <c r="E58" s="8" t="str">
        <f>IFERROR(__xludf.DUMMYFUNCTION("""COMPUTED_VALUE"""),"Dar K. Gottwaldovi; podnik LEKO (pracoviště Kraslice), Výšivka s blahopřáním k narozeninám K. Gottwalda; 1948; textil, dřevo; 64 x 50 x 1 cm; Národní muzeum, H11S-98: Blahopřání k 52. narozeninám K. Gottwalda vysité na bílým saténem potažené desce. Text d"&amp;"oplněn státním znakem s ratolestí a československou vlajkou nad pěticípou hvězdou se srpem a kladivem, která je doplněna ratolestí s nápisem KSČ. 
Do pražského národního podniku Leko byly včleněny zbylé kraslické textilní provozovny vyrábějící prádlo a le"&amp;"hkou konfekci a místem jeho působnosti se staly budovy bývalé továrny na hudební nástroje V. Kohlert's Söhne.
")</f>
        <v>Dar K. Gottwaldovi; podnik LEKO (pracoviště Kraslice), Výšivka s blahopřáním k narozeninám K. Gottwalda; 1948; textil, dřevo; 64 x 50 x 1 cm; Národní muzeum, H11S-98: Blahopřání k 52. narozeninám K. Gottwalda vysité na bílým saténem potažené desce. Text doplněn státním znakem s ratolestí a československou vlajkou nad pěticípou hvězdou se srpem a kladivem, která je doplněna ratolestí s nápisem KSČ. 
Do pražského národního podniku Leko byly včleněny zbylé kraslické textilní provozovny vyrábějící prádlo a lehkou konfekci a místem jeho působnosti se staly budovy bývalé továrny na hudební nástroje V. Kohlert's Söhne.
</v>
      </c>
      <c r="F58" s="8" t="str">
        <f>IFERROR(__xludf.DUMMYFUNCTION("""COMPUTED_VALUE"""),"umělecká díla")</f>
        <v>umělecká díla</v>
      </c>
      <c r="G58" s="8" t="str">
        <f>IFERROR(__xludf.DUMMYFUNCTION("""COMPUTED_VALUE"""),"Hmotné dary")</f>
        <v>Hmotné dary</v>
      </c>
      <c r="H58" s="8"/>
      <c r="I58" s="9" t="str">
        <f>IFERROR(__xludf.DUMMYFUNCTION("""COMPUTED_VALUE"""),"1948")</f>
        <v>1948</v>
      </c>
      <c r="J58" s="8"/>
      <c r="K58" s="8" t="str">
        <f>IFERROR(__xludf.DUMMYFUNCTION("""COMPUTED_VALUE"""),"LEKO Kraslice")</f>
        <v>LEKO Kraslice</v>
      </c>
      <c r="L58" s="8" t="str">
        <f>IFERROR(__xludf.DUMMYFUNCTION("""COMPUTED_VALUE"""),"Národní muzeum, Sbírka Muzea dělnického hnutí, fond Společnost  a spolkový život, Kolekce darů KG.
Státní oblastní archiv v Plzni - Státní okresní archiv Sokolov se sídlem v Jindřichovicích: Inventář fondu Městský národní výbor Kraslice (1922) 1945 – 1990"&amp;" (1991) EL NAD č. 866 AP č. 98; online: https://adoc.pub/1922-1991-el-nad-ap-98.html (21.7.2021).
")</f>
        <v>Národní muzeum, Sbírka Muzea dělnického hnutí, fond Společnost  a spolkový život, Kolekce darů KG.
Státní oblastní archiv v Plzni - Státní okresní archiv Sokolov se sídlem v Jindřichovicích: Inventář fondu Městský národní výbor Kraslice (1922) 1945 – 1990 (1991) EL NAD č. 866 AP č. 98; online: https://adoc.pub/1922-1991-el-nad-ap-98.html (21.7.2021).
</v>
      </c>
      <c r="M58" s="8"/>
      <c r="N58" s="8" t="str">
        <f>IFERROR(__xludf.DUMMYFUNCTION("""COMPUTED_VALUE"""),"H11S-98.jpg")</f>
        <v>H11S-98.jpg</v>
      </c>
      <c r="O58" s="8"/>
      <c r="P58" s="8" t="str">
        <f>IFERROR(__xludf.DUMMYFUNCTION("""COMPUTED_VALUE"""),"podnik LEKO (pracoviště Kraslice), Výšivka s blahopřáním k narozeninám K. Gottwalda; 1948; textil, dřevo; 64 x 50 x 1 cm.")</f>
        <v>podnik LEKO (pracoviště Kraslice), Výšivka s blahopřáním k narozeninám K. Gottwalda; 1948; textil, dřevo; 64 x 50 x 1 cm.</v>
      </c>
      <c r="Q58" s="8" t="str">
        <f>IFERROR(__xludf.DUMMYFUNCTION("""COMPUTED_VALUE"""),"Národní muzeum, Sbírka Muzea dělnického hnutí, fond Společnost  a spolkový život, Kolekce darů KG.")</f>
        <v>Národní muzeum, Sbírka Muzea dělnického hnutí, fond Společnost  a spolkový život, Kolekce darů KG.</v>
      </c>
      <c r="R58" s="8"/>
      <c r="S58" s="8"/>
      <c r="T58" s="8"/>
      <c r="U58" s="8"/>
      <c r="V58" s="8"/>
      <c r="W58" s="8"/>
      <c r="X58" s="8"/>
      <c r="Y58" s="8"/>
      <c r="Z58" s="8"/>
      <c r="AA58" s="8"/>
      <c r="AB58" s="8"/>
      <c r="AC58" s="8"/>
      <c r="AD58" s="8"/>
      <c r="AE58" s="8"/>
      <c r="AF58" s="8"/>
      <c r="AG58" s="8"/>
      <c r="AH58" s="8"/>
      <c r="AI58" s="8"/>
      <c r="AJ58" s="8"/>
      <c r="AK58" s="8"/>
      <c r="AL58" s="8"/>
      <c r="AM58" s="8"/>
      <c r="AN58" s="8"/>
      <c r="AO58" s="8"/>
    </row>
    <row r="59">
      <c r="A59" s="7">
        <f t="shared" si="1"/>
        <v>58</v>
      </c>
      <c r="B59" s="8" t="str">
        <f>IFERROR(__xludf.DUMMYFUNCTION("""COMPUTED_VALUE"""),"14.4258116")</f>
        <v>14.4258116</v>
      </c>
      <c r="C59" s="8" t="str">
        <f>IFERROR(__xludf.DUMMYFUNCTION("""COMPUTED_VALUE"""),"50.0929264")</f>
        <v>50.0929264</v>
      </c>
      <c r="D59" s="8" t="str">
        <f>IFERROR(__xludf.DUMMYFUNCTION("""COMPUTED_VALUE"""),"Praha, model univerzálního rýpadla ŠKODA E7")</f>
        <v>Praha, model univerzálního rýpadla ŠKODA E7</v>
      </c>
      <c r="E59" s="8" t="str">
        <f>IFERROR(__xludf.DUMMYFUNCTION("""COMPUTED_VALUE"""),"Dar K. Gottwaldovi; Model, univerzální rýpadlo ŠKODA E7, 1951, kov, dřevo, Národní muzeum, H11E-41.
 Učni s modelem univerzálního rýpadla ŠKODA E7, 1951, fotografie, Národní muzeum, H11E-41.
Model včetně fotografie jeho autorů byl darován k narozeninám pr"&amp;"ezidentu Gottwaldovi v roce 1951 Ministerstvem těžkého strojírenství za ministra Augustina Klimenta (1889-1953). Modelu chybí zavěšená lžíce rypadla.
")</f>
        <v>Dar K. Gottwaldovi; Model, univerzální rýpadlo ŠKODA E7, 1951, kov, dřevo, Národní muzeum, H11E-41.
 Učni s modelem univerzálního rýpadla ŠKODA E7, 1951, fotografie, Národní muzeum, H11E-41.
Model včetně fotografie jeho autorů byl darován k narozeninám prezidentu Gottwaldovi v roce 1951 Ministerstvem těžkého strojírenství za ministra Augustina Klimenta (1889-1953). Modelu chybí zavěšená lžíce rypadla.
</v>
      </c>
      <c r="F59" s="8" t="str">
        <f>IFERROR(__xludf.DUMMYFUNCTION("""COMPUTED_VALUE"""),"umělecká díla")</f>
        <v>umělecká díla</v>
      </c>
      <c r="G59" s="8" t="str">
        <f>IFERROR(__xludf.DUMMYFUNCTION("""COMPUTED_VALUE"""),"Hmotné dary")</f>
        <v>Hmotné dary</v>
      </c>
      <c r="H59" s="8"/>
      <c r="I59" s="9" t="str">
        <f>IFERROR(__xludf.DUMMYFUNCTION("""COMPUTED_VALUE"""),"1951")</f>
        <v>1951</v>
      </c>
      <c r="J59" s="8"/>
      <c r="K59" s="8" t="str">
        <f>IFERROR(__xludf.DUMMYFUNCTION("""COMPUTED_VALUE"""),"Ministerstvo těžkého strojírenství")</f>
        <v>Ministerstvo těžkého strojírenství</v>
      </c>
      <c r="L59" s="8" t="str">
        <f>IFERROR(__xludf.DUMMYFUNCTION("""COMPUTED_VALUE"""),"Národní muzeum, Sbírka Muzea dělnického hnutí, fond Modely.
https://www.mpo.cz/cz/rozcestnik/ministerstvo/o-ministerstvu/historie/historie-ministerstva-prumyslu-a-obchodu--6438/ (online: 21.7.2021)
")</f>
        <v>Národní muzeum, Sbírka Muzea dělnického hnutí, fond Modely.
https://www.mpo.cz/cz/rozcestnik/ministerstvo/o-ministerstvu/historie/historie-ministerstva-prumyslu-a-obchodu--6438/ (online: 21.7.2021)
</v>
      </c>
      <c r="M59" s="8"/>
      <c r="N59" s="8" t="str">
        <f>IFERROR(__xludf.DUMMYFUNCTION("""COMPUTED_VALUE"""),"H11E-41.JPG")</f>
        <v>H11E-41.JPG</v>
      </c>
      <c r="O59" s="8"/>
      <c r="P59" s="8" t="str">
        <f>IFERROR(__xludf.DUMMYFUNCTION("""COMPUTED_VALUE"""),"Model, univerzální rýpadlo ŠKODA E7, 1951, kov, dřevo, Národní muzeum, H11E-41, stav před restaurováním, foto: G. Hrzánová, 2020.")</f>
        <v>Model, univerzální rýpadlo ŠKODA E7, 1951, kov, dřevo, Národní muzeum, H11E-41, stav před restaurováním, foto: G. Hrzánová, 2020.</v>
      </c>
      <c r="Q59" s="8" t="str">
        <f>IFERROR(__xludf.DUMMYFUNCTION("""COMPUTED_VALUE"""),"Národní muzeum, Sbírka Muzea dělnického hnutí, fond Modely.")</f>
        <v>Národní muzeum, Sbírka Muzea dělnického hnutí, fond Modely.</v>
      </c>
      <c r="R59" s="8" t="str">
        <f>IFERROR(__xludf.DUMMYFUNCTION("""COMPUTED_VALUE"""),"H11E-41-b.JPG")</f>
        <v>H11E-41-b.JPG</v>
      </c>
      <c r="S59" s="8"/>
      <c r="T59" s="8" t="str">
        <f>IFERROR(__xludf.DUMMYFUNCTION("""COMPUTED_VALUE"""),"Učni s modelem univerzálního rýpadla ŠKODA E7, 1951, fotografie, Národní muzeum, H11E-41.")</f>
        <v>Učni s modelem univerzálního rýpadla ŠKODA E7, 1951, fotografie, Národní muzeum, H11E-41.</v>
      </c>
      <c r="U59" s="8" t="str">
        <f>IFERROR(__xludf.DUMMYFUNCTION("""COMPUTED_VALUE"""),"Národní muzeum, Sbírka Muzea dělnického hnutí, fond Modely.")</f>
        <v>Národní muzeum, Sbírka Muzea dělnického hnutí, fond Modely.</v>
      </c>
      <c r="V59" s="8"/>
      <c r="W59" s="8"/>
      <c r="X59" s="8"/>
      <c r="Y59" s="8"/>
      <c r="Z59" s="8"/>
      <c r="AA59" s="8"/>
      <c r="AB59" s="8"/>
      <c r="AC59" s="8"/>
      <c r="AD59" s="8"/>
      <c r="AE59" s="8"/>
      <c r="AF59" s="8"/>
      <c r="AG59" s="8"/>
      <c r="AH59" s="8"/>
      <c r="AI59" s="8"/>
      <c r="AJ59" s="8"/>
      <c r="AK59" s="8"/>
      <c r="AL59" s="8"/>
      <c r="AM59" s="8"/>
      <c r="AN59" s="8"/>
      <c r="AO59" s="8"/>
    </row>
    <row r="60">
      <c r="A60" s="7">
        <f t="shared" si="1"/>
        <v>59</v>
      </c>
      <c r="B60" s="8" t="str">
        <f>IFERROR(__xludf.DUMMYFUNCTION("""COMPUTED_VALUE"""),"15.3035418")</f>
        <v>15.3035418</v>
      </c>
      <c r="C60" s="8" t="str">
        <f>IFERROR(__xludf.DUMMYFUNCTION("""COMPUTED_VALUE"""),"50.7377984")</f>
        <v>50.7377984</v>
      </c>
      <c r="D60" s="8" t="str">
        <f>IFERROR(__xludf.DUMMYFUNCTION("""COMPUTED_VALUE"""),"Tanvald, hodiny se znakem")</f>
        <v>Tanvald, hodiny se znakem</v>
      </c>
      <c r="E60" s="8" t="str">
        <f>IFERROR(__xludf.DUMMYFUNCTION("""COMPUTED_VALUE"""),"Dar K. Gottwaldovi; Hodiny se znakem města Tanvald, na kulatém podstavci zakryté skleněným poklopem s hvězdami; přelom 40.-50. let 20. století; kov, dřevo, sklo; výška 48 a průměr 35 cm; Národní muzeum, H11S-53.")</f>
        <v>Dar K. Gottwaldovi; Hodiny se znakem města Tanvald, na kulatém podstavci zakryté skleněným poklopem s hvězdami; přelom 40.-50. let 20. století; kov, dřevo, sklo; výška 48 a průměr 35 cm; Národní muzeum, H11S-53.</v>
      </c>
      <c r="F60" s="8" t="str">
        <f>IFERROR(__xludf.DUMMYFUNCTION("""COMPUTED_VALUE"""),"umělecká díla")</f>
        <v>umělecká díla</v>
      </c>
      <c r="G60" s="8" t="str">
        <f>IFERROR(__xludf.DUMMYFUNCTION("""COMPUTED_VALUE"""),"Hmotné dary")</f>
        <v>Hmotné dary</v>
      </c>
      <c r="H60" s="8"/>
      <c r="I60" s="9" t="str">
        <f>IFERROR(__xludf.DUMMYFUNCTION("""COMPUTED_VALUE"""),"přelom 40.-50. let 20. století")</f>
        <v>přelom 40.-50. let 20. století</v>
      </c>
      <c r="J60" s="8"/>
      <c r="K60" s="8" t="str">
        <f>IFERROR(__xludf.DUMMYFUNCTION("""COMPUTED_VALUE"""),"město Tanvald (?)")</f>
        <v>město Tanvald (?)</v>
      </c>
      <c r="L60" s="8" t="str">
        <f>IFERROR(__xludf.DUMMYFUNCTION("""COMPUTED_VALUE"""),"Národní muzeum, Sbírka Muzea dělnického hnutí, fond Společnost a spolkový život, Kolekce darů KG.")</f>
        <v>Národní muzeum, Sbírka Muzea dělnického hnutí, fond Společnost a spolkový život, Kolekce darů KG.</v>
      </c>
      <c r="M60" s="8"/>
      <c r="N60" s="8" t="str">
        <f>IFERROR(__xludf.DUMMYFUNCTION("""COMPUTED_VALUE"""),"H11S-53.jpg")</f>
        <v>H11S-53.jpg</v>
      </c>
      <c r="O60" s="8"/>
      <c r="P60" s="8" t="str">
        <f>IFERROR(__xludf.DUMMYFUNCTION("""COMPUTED_VALUE"""),"Hodiny se znakem města Tanvald, na kulatém podstavci zakryté skleněným poklopem s hvězdami; přelom 40.-50. let 20. století; kov, dřevo, sklo; výška 48 a průměr 35 cm; Národní muzeum, H11S-53; foto: O. Tlapáková, 2020.")</f>
        <v>Hodiny se znakem města Tanvald, na kulatém podstavci zakryté skleněným poklopem s hvězdami; přelom 40.-50. let 20. století; kov, dřevo, sklo; výška 48 a průměr 35 cm; Národní muzeum, H11S-53; foto: O. Tlapáková, 2020.</v>
      </c>
      <c r="Q60" s="8" t="str">
        <f>IFERROR(__xludf.DUMMYFUNCTION("""COMPUTED_VALUE"""),"Národní muzeum, Sbírka Muzea dělnického hnutí, fond Společnost a spolkový život, Kolekce darů KG.")</f>
        <v>Národní muzeum, Sbírka Muzea dělnického hnutí, fond Společnost a spolkový život, Kolekce darů KG.</v>
      </c>
      <c r="R60" s="8"/>
      <c r="S60" s="8"/>
      <c r="T60" s="8"/>
      <c r="U60" s="8"/>
      <c r="V60" s="8"/>
      <c r="W60" s="8"/>
      <c r="X60" s="8"/>
      <c r="Y60" s="8"/>
      <c r="Z60" s="8"/>
      <c r="AA60" s="8"/>
      <c r="AB60" s="8"/>
      <c r="AC60" s="8"/>
      <c r="AD60" s="8"/>
      <c r="AE60" s="8"/>
      <c r="AF60" s="8"/>
      <c r="AG60" s="8"/>
      <c r="AH60" s="8"/>
      <c r="AI60" s="8"/>
      <c r="AJ60" s="8"/>
      <c r="AK60" s="8"/>
      <c r="AL60" s="8"/>
      <c r="AM60" s="8"/>
      <c r="AN60" s="8"/>
      <c r="AO60" s="8"/>
    </row>
    <row r="61">
      <c r="A61" s="7">
        <f t="shared" si="1"/>
        <v>60</v>
      </c>
      <c r="B61" s="8" t="str">
        <f>IFERROR(__xludf.DUMMYFUNCTION("""COMPUTED_VALUE"""),"15.0726048")</f>
        <v>15.0726048</v>
      </c>
      <c r="C61" s="8" t="str">
        <f>IFERROR(__xludf.DUMMYFUNCTION("""COMPUTED_VALUE"""),"49.2393527")</f>
        <v>49.2393527</v>
      </c>
      <c r="D61" s="8" t="str">
        <f>IFERROR(__xludf.DUMMYFUNCTION("""COMPUTED_VALUE"""),"Nová Včelnice, lastura se státním znakem ČSR")</f>
        <v>Nová Včelnice, lastura se státním znakem ČSR</v>
      </c>
      <c r="E61" s="8" t="str">
        <f>IFERROR(__xludf.DUMMYFUNCTION("""COMPUTED_VALUE"""),"Dar K. Gottwaldovi; Lastura s velkým státním znakem ČSR; lastura, dřevo, darováno 1950 (vznik 30. léta 20. století); 22 x 23 x 15 cm; Národní muzeum, H11S-14 (foto: O. Tlapáková, 2018). ")</f>
        <v>Dar K. Gottwaldovi; Lastura s velkým státním znakem ČSR; lastura, dřevo, darováno 1950 (vznik 30. léta 20. století); 22 x 23 x 15 cm; Národní muzeum, H11S-14 (foto: O. Tlapáková, 2018). </v>
      </c>
      <c r="F61" s="8" t="str">
        <f>IFERROR(__xludf.DUMMYFUNCTION("""COMPUTED_VALUE"""),"umělecká díla")</f>
        <v>umělecká díla</v>
      </c>
      <c r="G61" s="8" t="str">
        <f>IFERROR(__xludf.DUMMYFUNCTION("""COMPUTED_VALUE"""),"Hmotné dary")</f>
        <v>Hmotné dary</v>
      </c>
      <c r="H61" s="8"/>
      <c r="I61" s="9" t="str">
        <f>IFERROR(__xludf.DUMMYFUNCTION("""COMPUTED_VALUE"""),"1950")</f>
        <v>1950</v>
      </c>
      <c r="J61" s="8"/>
      <c r="K61" s="8" t="str">
        <f>IFERROR(__xludf.DUMMYFUNCTION("""COMPUTED_VALUE"""),"Marie Brabcová, tkadlena vlnařských závodů ")</f>
        <v>Marie Brabcová, tkadlena vlnařských závodů </v>
      </c>
      <c r="L61" s="8" t="str">
        <f>IFERROR(__xludf.DUMMYFUNCTION("""COMPUTED_VALUE"""),"Národní muzeum, Sbírka Muzea dělnického hnutí, fond Společnost a spolkový život, Kolekce darů KG.")</f>
        <v>Národní muzeum, Sbírka Muzea dělnického hnutí, fond Společnost a spolkový život, Kolekce darů KG.</v>
      </c>
      <c r="M61" s="8"/>
      <c r="N61" s="8" t="str">
        <f>IFERROR(__xludf.DUMMYFUNCTION("""COMPUTED_VALUE"""),"H11S-14.JPG")</f>
        <v>H11S-14.JPG</v>
      </c>
      <c r="O61" s="8"/>
      <c r="P61" s="8" t="str">
        <f>IFERROR(__xludf.DUMMYFUNCTION("""COMPUTED_VALUE"""),"Lastura s velkým státním znakem ČSR; lastura, dřevo, darováno 1950 (vznik 30. léta 20. století?); 22 x 23 x 15 cm; Národní muzeum, H11S-14; foto: J. Tothová, 2018.")</f>
        <v>Lastura s velkým státním znakem ČSR; lastura, dřevo, darováno 1950 (vznik 30. léta 20. století?); 22 x 23 x 15 cm; Národní muzeum, H11S-14; foto: J. Tothová, 2018.</v>
      </c>
      <c r="Q61" s="8" t="str">
        <f>IFERROR(__xludf.DUMMYFUNCTION("""COMPUTED_VALUE"""),"Národní muzeum, Sbírka Muzea dělnického hnutí, fond Společnost a spolkový život, Kolekce darů KG.")</f>
        <v>Národní muzeum, Sbírka Muzea dělnického hnutí, fond Společnost a spolkový život, Kolekce darů KG.</v>
      </c>
      <c r="R61" s="8"/>
      <c r="S61" s="8"/>
      <c r="T61" s="8"/>
      <c r="U61" s="8"/>
      <c r="V61" s="8"/>
      <c r="W61" s="8"/>
      <c r="X61" s="8"/>
      <c r="Y61" s="8"/>
      <c r="Z61" s="8"/>
      <c r="AA61" s="8"/>
      <c r="AB61" s="8"/>
      <c r="AC61" s="8"/>
      <c r="AD61" s="8"/>
      <c r="AE61" s="8"/>
      <c r="AF61" s="8"/>
      <c r="AG61" s="8"/>
      <c r="AH61" s="8"/>
      <c r="AI61" s="8"/>
      <c r="AJ61" s="8"/>
      <c r="AK61" s="8"/>
      <c r="AL61" s="8"/>
      <c r="AM61" s="8"/>
      <c r="AN61" s="8"/>
      <c r="AO61" s="8"/>
    </row>
    <row r="62">
      <c r="A62" s="7">
        <f t="shared" si="1"/>
        <v>61</v>
      </c>
      <c r="B62" s="8" t="str">
        <f>IFERROR(__xludf.DUMMYFUNCTION("""COMPUTED_VALUE"""),"18.1095383")</f>
        <v>18.1095383</v>
      </c>
      <c r="C62" s="8" t="str">
        <f>IFERROR(__xludf.DUMMYFUNCTION("""COMPUTED_VALUE"""),"48.8020944")</f>
        <v>48.8020944</v>
      </c>
      <c r="D62" s="8" t="str">
        <f>IFERROR(__xludf.DUMMYFUNCTION("""COMPUTED_VALUE"""),"Trenčijanské Jastrabie, blok ve tvaru srdce")</f>
        <v>Trenčijanské Jastrabie, blok ve tvaru srdce</v>
      </c>
      <c r="E62" s="8" t="str">
        <f>IFERROR(__xludf.DUMMYFUNCTION("""COMPUTED_VALUE"""),"Dar K. Gottwaldovi; papírový blok ve tvaru srdce, nelinkovaný, na vnějších stranách foto K. Gottwalda a foto zasněžené horské krajiny s věnováním: „Slovenské Tatry 23. 12. 1949 Ručne práce venuje panu Prezidentovy našej Republiky Sudr. Valach“, okraje lem"&amp;"ovány výšivkou v národních barvách, potaženo pevným celofánem, šňůrky se střapci;  v 3,5 x š 19,5 x h 18,5 cm; Národní muzeum, H11S-81.")</f>
        <v>Dar K. Gottwaldovi; papírový blok ve tvaru srdce, nelinkovaný, na vnějších stranách foto K. Gottwalda a foto zasněžené horské krajiny s věnováním: „Slovenské Tatry 23. 12. 1949 Ručne práce venuje panu Prezidentovy našej Republiky Sudr. Valach“, okraje lemovány výšivkou v národních barvách, potaženo pevným celofánem, šňůrky se střapci;  v 3,5 x š 19,5 x h 18,5 cm; Národní muzeum, H11S-81.</v>
      </c>
      <c r="F62" s="8" t="str">
        <f>IFERROR(__xludf.DUMMYFUNCTION("""COMPUTED_VALUE"""),"umělecká díla")</f>
        <v>umělecká díla</v>
      </c>
      <c r="G62" s="8" t="str">
        <f>IFERROR(__xludf.DUMMYFUNCTION("""COMPUTED_VALUE"""),"Hmotné dary")</f>
        <v>Hmotné dary</v>
      </c>
      <c r="H62" s="8"/>
      <c r="I62" s="9" t="str">
        <f>IFERROR(__xludf.DUMMYFUNCTION("""COMPUTED_VALUE"""),"1950")</f>
        <v>1950</v>
      </c>
      <c r="J62" s="8"/>
      <c r="K62" s="8" t="str">
        <f>IFERROR(__xludf.DUMMYFUNCTION("""COMPUTED_VALUE"""),"Anton Valacha")</f>
        <v>Anton Valacha</v>
      </c>
      <c r="L62" s="8" t="str">
        <f>IFERROR(__xludf.DUMMYFUNCTION("""COMPUTED_VALUE"""),"Národní muzeum, Sbírka Muzea dělnického hnutí, fond Společnost a spolkový život, Kolekce darů KG.")</f>
        <v>Národní muzeum, Sbírka Muzea dělnického hnutí, fond Společnost a spolkový život, Kolekce darů KG.</v>
      </c>
      <c r="M62" s="8"/>
      <c r="N62" s="8" t="str">
        <f>IFERROR(__xludf.DUMMYFUNCTION("""COMPUTED_VALUE"""),"H11S-81_01.JPG")</f>
        <v>H11S-81_01.JPG</v>
      </c>
      <c r="O62" s="8"/>
      <c r="P62" s="8" t="str">
        <f>IFERROR(__xludf.DUMMYFUNCTION("""COMPUTED_VALUE"""),"Dar K. Gottwaldovi; papírový blok ve tvaru srdce, nelinkovaný, na vnějších stranách foto K. Gottwalda a foto zasněžené horské krajiny s věnováním: „Slovenské Tatry 23. 12. 1949 Ručne práce venuje panu Prezidentovy našej Republiky Sudr. Valach“, okraje lem"&amp;"ovány výšivkou v národních barvách, potaženo pevným celofánem, šňůrky se střapci;  v 3,5 x š 19,5 x h 18,5 cm; Národní muzeum, H11S-81; foto: G. Hrzánová, 2020.")</f>
        <v>Dar K. Gottwaldovi; papírový blok ve tvaru srdce, nelinkovaný, na vnějších stranách foto K. Gottwalda a foto zasněžené horské krajiny s věnováním: „Slovenské Tatry 23. 12. 1949 Ručne práce venuje panu Prezidentovy našej Republiky Sudr. Valach“, okraje lemovány výšivkou v národních barvách, potaženo pevným celofánem, šňůrky se střapci;  v 3,5 x š 19,5 x h 18,5 cm; Národní muzeum, H11S-81; foto: G. Hrzánová, 2020.</v>
      </c>
      <c r="Q62" s="8" t="str">
        <f>IFERROR(__xludf.DUMMYFUNCTION("""COMPUTED_VALUE"""),"Národní muzeum, Sbírka Muzea dělnického hnutí, fond Společnost a spolkový život, Kolekce darů KG.")</f>
        <v>Národní muzeum, Sbírka Muzea dělnického hnutí, fond Společnost a spolkový život, Kolekce darů KG.</v>
      </c>
      <c r="R62" s="8" t="str">
        <f>IFERROR(__xludf.DUMMYFUNCTION("""COMPUTED_VALUE"""),"H11S-81_02.JPG")</f>
        <v>H11S-81_02.JPG</v>
      </c>
      <c r="S62" s="8"/>
      <c r="T62" s="8" t="str">
        <f>IFERROR(__xludf.DUMMYFUNCTION("""COMPUTED_VALUE"""),"Dar K. Gottwaldovi; papírový blok ve tvaru srdce, nelinkovaný, na vnějších stranách foto K. Gottwalda a foto zasněžené horské krajiny s věnováním: „Slovenské Tatry 23. 12. 1949 Ručne práce venuje panu Prezidentovy našej Republiky Sudr. Valach“, okraje lem"&amp;"ovány výšivkou v národních barvách, potaženo pevným celofánem, šňůrky se střapci;  v 3,5 x š 19,5 x h 18,5 cm; Národní muzeum, H11S-81; foto: G. Hrzánová, 2020.")</f>
        <v>Dar K. Gottwaldovi; papírový blok ve tvaru srdce, nelinkovaný, na vnějších stranách foto K. Gottwalda a foto zasněžené horské krajiny s věnováním: „Slovenské Tatry 23. 12. 1949 Ručne práce venuje panu Prezidentovy našej Republiky Sudr. Valach“, okraje lemovány výšivkou v národních barvách, potaženo pevným celofánem, šňůrky se střapci;  v 3,5 x š 19,5 x h 18,5 cm; Národní muzeum, H11S-81; foto: G. Hrzánová, 2020.</v>
      </c>
      <c r="U62" s="8" t="str">
        <f>IFERROR(__xludf.DUMMYFUNCTION("""COMPUTED_VALUE"""),"Národní muzeum, Sbírka Muzea dělnického hnutí, fond Společnost a spolkový život, Kolekce darů KG.")</f>
        <v>Národní muzeum, Sbírka Muzea dělnického hnutí, fond Společnost a spolkový život, Kolekce darů KG.</v>
      </c>
      <c r="V62" s="8"/>
      <c r="W62" s="8"/>
      <c r="X62" s="8"/>
      <c r="Y62" s="8"/>
      <c r="Z62" s="8"/>
      <c r="AA62" s="8"/>
      <c r="AB62" s="8"/>
      <c r="AC62" s="8"/>
      <c r="AD62" s="8"/>
      <c r="AE62" s="8"/>
      <c r="AF62" s="8"/>
      <c r="AG62" s="8"/>
      <c r="AH62" s="8"/>
      <c r="AI62" s="8"/>
      <c r="AJ62" s="8"/>
      <c r="AK62" s="8"/>
      <c r="AL62" s="8"/>
      <c r="AM62" s="8"/>
      <c r="AN62" s="8"/>
      <c r="AO62" s="8"/>
    </row>
    <row r="63">
      <c r="A63" s="7">
        <f t="shared" si="1"/>
        <v>62</v>
      </c>
      <c r="B63" s="8" t="str">
        <f>IFERROR(__xludf.DUMMYFUNCTION("""COMPUTED_VALUE"""),"14.387747")</f>
        <v>14.387747</v>
      </c>
      <c r="C63" s="8" t="str">
        <f>IFERROR(__xludf.DUMMYFUNCTION("""COMPUTED_VALUE"""),"50.0804993")</f>
        <v>50.0804993</v>
      </c>
      <c r="D63" s="8" t="str">
        <f>IFERROR(__xludf.DUMMYFUNCTION("""COMPUTED_VALUE"""),"Praha, plaketa s prezidentem Benešem")</f>
        <v>Praha, plaketa s prezidentem Benešem</v>
      </c>
      <c r="E63" s="8" t="str">
        <f>IFERROR(__xludf.DUMMYFUNCTION("""COMPUTED_VALUE"""),"Dar K. Gottwaldovi; Plaketa s E. Benešem na mramorovém podstavci, na plaketě levý profil a nápis: PRESIDENT REPUBLIKY ČESKOSLOVENSKÉ - DR. EDVARD BENEŠ 1935; signováno JB; na spodní části odznáček: Sportovní klub v Praze + logo; Národní muzeum; H11S-68; v"&amp;" 22 x š 29 x h 8 cm.")</f>
        <v>Dar K. Gottwaldovi; Plaketa s E. Benešem na mramorovém podstavci, na plaketě levý profil a nápis: PRESIDENT REPUBLIKY ČESKOSLOVENSKÉ - DR. EDVARD BENEŠ 1935; signováno JB; na spodní části odznáček: Sportovní klub v Praze + logo; Národní muzeum; H11S-68; v 22 x š 29 x h 8 cm.</v>
      </c>
      <c r="F63" s="8" t="str">
        <f>IFERROR(__xludf.DUMMYFUNCTION("""COMPUTED_VALUE"""),"umělecká díla")</f>
        <v>umělecká díla</v>
      </c>
      <c r="G63" s="8" t="str">
        <f>IFERROR(__xludf.DUMMYFUNCTION("""COMPUTED_VALUE"""),"Hmotné dary")</f>
        <v>Hmotné dary</v>
      </c>
      <c r="H63" s="8"/>
      <c r="I63" s="9" t="str">
        <f>IFERROR(__xludf.DUMMYFUNCTION("""COMPUTED_VALUE"""),"1949")</f>
        <v>1949</v>
      </c>
      <c r="J63" s="8"/>
      <c r="K63" s="8" t="str">
        <f>IFERROR(__xludf.DUMMYFUNCTION("""COMPUTED_VALUE"""),"Sportovní klub Praha")</f>
        <v>Sportovní klub Praha</v>
      </c>
      <c r="L63" s="8" t="str">
        <f>IFERROR(__xludf.DUMMYFUNCTION("""COMPUTED_VALUE"""),"Národní muzeum, Sbírka Muzea dělnického hnutí, fond Společnost a spolkový život, Kolekce darů KG.")</f>
        <v>Národní muzeum, Sbírka Muzea dělnického hnutí, fond Společnost a spolkový život, Kolekce darů KG.</v>
      </c>
      <c r="M63" s="8"/>
      <c r="N63" s="8" t="str">
        <f>IFERROR(__xludf.DUMMYFUNCTION("""COMPUTED_VALUE"""),"H11S-68_01.JPG")</f>
        <v>H11S-68_01.JPG</v>
      </c>
      <c r="O63" s="8"/>
      <c r="P63" s="8" t="str">
        <f>IFERROR(__xludf.DUMMYFUNCTION("""COMPUTED_VALUE"""),"Dar K. Gottwaldovi; Plaketa s E. Benešem na mramorovém podstavci, na plaketě levý profil a nápis: PRESIDENT REPUBLIKY ČESKOSLOVENSKÉ - DR. EDVARD BENEŠ 1935; signováno JB; na spodní části odznáček: Sportovní klub v Praze + logo; Národní muzeum; H11S-68; v"&amp;" 22 x š 29 x h 8 cm; foto: G. Hrzánová, 2020.")</f>
        <v>Dar K. Gottwaldovi; Plaketa s E. Benešem na mramorovém podstavci, na plaketě levý profil a nápis: PRESIDENT REPUBLIKY ČESKOSLOVENSKÉ - DR. EDVARD BENEŠ 1935; signováno JB; na spodní části odznáček: Sportovní klub v Praze + logo; Národní muzeum; H11S-68; v 22 x š 29 x h 8 cm; foto: G. Hrzánová, 2020.</v>
      </c>
      <c r="Q63" s="8" t="str">
        <f>IFERROR(__xludf.DUMMYFUNCTION("""COMPUTED_VALUE"""),"Národní muzeum, Sbírka Muzea dělnického hnutí, fond Společnost a spolkový život, Kolekce darů KG.")</f>
        <v>Národní muzeum, Sbírka Muzea dělnického hnutí, fond Společnost a spolkový život, Kolekce darů KG.</v>
      </c>
      <c r="R63" s="8" t="str">
        <f>IFERROR(__xludf.DUMMYFUNCTION("""COMPUTED_VALUE"""),"H11S-68_02.jpg")</f>
        <v>H11S-68_02.jpg</v>
      </c>
      <c r="S63" s="8"/>
      <c r="T63" s="8" t="str">
        <f>IFERROR(__xludf.DUMMYFUNCTION("""COMPUTED_VALUE"""),"Dar K. Gottwaldovi; Plaketa s E. Benešem na mramorovém podstavci, na plaketě levý profil a nápis: PRESIDENT REPUBLIKY ČESKOSLOVENSKÉ - DR. EDVARD BENEŠ 1935; signováno JB; na spodní části odznáček: Sportovní klub v Praze + logo; Národní muzeum; H11S-68; v"&amp;" 22 x š 29 x h 8 cm; foto: G. Hrzánová, 2020.")</f>
        <v>Dar K. Gottwaldovi; Plaketa s E. Benešem na mramorovém podstavci, na plaketě levý profil a nápis: PRESIDENT REPUBLIKY ČESKOSLOVENSKÉ - DR. EDVARD BENEŠ 1935; signováno JB; na spodní části odznáček: Sportovní klub v Praze + logo; Národní muzeum; H11S-68; v 22 x š 29 x h 8 cm; foto: G. Hrzánová, 2020.</v>
      </c>
      <c r="U63" s="8" t="str">
        <f>IFERROR(__xludf.DUMMYFUNCTION("""COMPUTED_VALUE"""),"Národní muzeum, Sbírka Muzea dělnického hnutí, fond Společnost a spolkový život, Kolekce darů KG.")</f>
        <v>Národní muzeum, Sbírka Muzea dělnického hnutí, fond Společnost a spolkový život, Kolekce darů KG.</v>
      </c>
      <c r="V63" s="8"/>
      <c r="W63" s="8"/>
      <c r="X63" s="8"/>
      <c r="Y63" s="8"/>
      <c r="Z63" s="8"/>
      <c r="AA63" s="8"/>
      <c r="AB63" s="8"/>
      <c r="AC63" s="8"/>
      <c r="AD63" s="8"/>
      <c r="AE63" s="8"/>
      <c r="AF63" s="8"/>
      <c r="AG63" s="8"/>
      <c r="AH63" s="8"/>
      <c r="AI63" s="8"/>
      <c r="AJ63" s="8"/>
      <c r="AK63" s="8"/>
      <c r="AL63" s="8"/>
      <c r="AM63" s="8"/>
      <c r="AN63" s="8"/>
      <c r="AO63" s="8"/>
    </row>
    <row r="64">
      <c r="A64" s="7">
        <f t="shared" si="1"/>
        <v>63</v>
      </c>
      <c r="B64" s="8" t="str">
        <f>IFERROR(__xludf.DUMMYFUNCTION("""COMPUTED_VALUE"""),"12.8952936")</f>
        <v>12.8952936</v>
      </c>
      <c r="C64" s="8" t="str">
        <f>IFERROR(__xludf.DUMMYFUNCTION("""COMPUTED_VALUE"""),"50.2443961")</f>
        <v>50.2443961</v>
      </c>
      <c r="D64" s="8" t="str">
        <f>IFERROR(__xludf.DUMMYFUNCTION("""COMPUTED_VALUE"""),"Dalovice u Karlových Varů, kovaná růže")</f>
        <v>Dalovice u Karlových Varů, kovaná růže</v>
      </c>
      <c r="E64" s="8" t="str">
        <f>IFERROR(__xludf.DUMMYFUNCTION("""COMPUTED_VALUE"""),"Dar K. Gottwaldovi; Těžítko, růže ručně kovaná; dárce: František Šimeček, kovář; darováno 25.11.1952; kov; Národní muzeum; H11S-73; v 5 x d 21 x š 13 cm.")</f>
        <v>Dar K. Gottwaldovi; Těžítko, růže ručně kovaná; dárce: František Šimeček, kovář; darováno 25.11.1952; kov; Národní muzeum; H11S-73; v 5 x d 21 x š 13 cm.</v>
      </c>
      <c r="F64" s="8" t="str">
        <f>IFERROR(__xludf.DUMMYFUNCTION("""COMPUTED_VALUE"""),"umělecká díla")</f>
        <v>umělecká díla</v>
      </c>
      <c r="G64" s="8" t="str">
        <f>IFERROR(__xludf.DUMMYFUNCTION("""COMPUTED_VALUE"""),"Hmotné dary")</f>
        <v>Hmotné dary</v>
      </c>
      <c r="H64" s="8"/>
      <c r="I64" s="9" t="str">
        <f>IFERROR(__xludf.DUMMYFUNCTION("""COMPUTED_VALUE"""),"1952")</f>
        <v>1952</v>
      </c>
      <c r="J64" s="8"/>
      <c r="K64" s="8" t="str">
        <f>IFERROR(__xludf.DUMMYFUNCTION("""COMPUTED_VALUE"""),"František Šimeček")</f>
        <v>František Šimeček</v>
      </c>
      <c r="L64" s="8" t="str">
        <f>IFERROR(__xludf.DUMMYFUNCTION("""COMPUTED_VALUE"""),"Národní muzeum, Sbírka Muzea dělnického hnutí, fond Společnost a spolkový život, Kolekce darů KG.")</f>
        <v>Národní muzeum, Sbírka Muzea dělnického hnutí, fond Společnost a spolkový život, Kolekce darů KG.</v>
      </c>
      <c r="M64" s="8"/>
      <c r="N64" s="8" t="str">
        <f>IFERROR(__xludf.DUMMYFUNCTION("""COMPUTED_VALUE"""),"H11S-73.JPG")</f>
        <v>H11S-73.JPG</v>
      </c>
      <c r="O64" s="8"/>
      <c r="P64" s="8" t="str">
        <f>IFERROR(__xludf.DUMMYFUNCTION("""COMPUTED_VALUE"""),"Dar K. Gottwaldovi; Těžítko, růže ručně kovaná; dárce: František Šimeček, kovář; darováno 25.11.1952; kov; Národní muzeum; H11S-73; v 5 x d 21 x š 13 cm; foto: G. Hrzánocá, 2020.")</f>
        <v>Dar K. Gottwaldovi; Těžítko, růže ručně kovaná; dárce: František Šimeček, kovář; darováno 25.11.1952; kov; Národní muzeum; H11S-73; v 5 x d 21 x š 13 cm; foto: G. Hrzánocá, 2020.</v>
      </c>
      <c r="Q64" s="8" t="str">
        <f>IFERROR(__xludf.DUMMYFUNCTION("""COMPUTED_VALUE"""),"Národní muzeum, Sbírka Muzea dělnického hnutí, fond Společnost a spolkový život, Kolekce darů KG.")</f>
        <v>Národní muzeum, Sbírka Muzea dělnického hnutí, fond Společnost a spolkový život, Kolekce darů KG.</v>
      </c>
      <c r="R64" s="8"/>
      <c r="S64" s="8"/>
      <c r="T64" s="8"/>
      <c r="U64" s="8"/>
      <c r="V64" s="8"/>
      <c r="W64" s="8"/>
      <c r="X64" s="8"/>
      <c r="Y64" s="8"/>
      <c r="Z64" s="8"/>
      <c r="AA64" s="8"/>
      <c r="AB64" s="8"/>
      <c r="AC64" s="8"/>
      <c r="AD64" s="8"/>
      <c r="AE64" s="8"/>
      <c r="AF64" s="8"/>
      <c r="AG64" s="8"/>
      <c r="AH64" s="8"/>
      <c r="AI64" s="8"/>
      <c r="AJ64" s="8"/>
      <c r="AK64" s="8"/>
      <c r="AL64" s="8"/>
      <c r="AM64" s="8"/>
      <c r="AN64" s="8"/>
      <c r="AO64" s="8"/>
    </row>
    <row r="65">
      <c r="A65" s="7">
        <f t="shared" si="1"/>
        <v>64</v>
      </c>
      <c r="B65" s="8" t="str">
        <f>IFERROR(__xludf.DUMMYFUNCTION("""COMPUTED_VALUE"""),"14.4557227")</f>
        <v>14.4557227</v>
      </c>
      <c r="C65" s="8" t="str">
        <f>IFERROR(__xludf.DUMMYFUNCTION("""COMPUTED_VALUE"""),"48.9213921")</f>
        <v>48.9213921</v>
      </c>
      <c r="D65" s="8" t="str">
        <f>IFERROR(__xludf.DUMMYFUNCTION("""COMPUTED_VALUE"""),"Včelná, dřevěný reliéf ")</f>
        <v>Včelná, dřevěný reliéf </v>
      </c>
      <c r="E65" s="8" t="str">
        <f>IFERROR(__xludf.DUMMYFUNCTION("""COMPUTED_VALUE"""),"Dar K. Gottwaldovi; reliéf s portrétem muže a ženy doplněným zaťatou pěstí, dřevěný na dřevěné desce, na spodní části plechový štítek s nápisem: KSČ VČELNÁ 18.V.46, sign. na zadní straně desky: Pepík, zádlab s plíškem pro zavěšení; Národní muzeum; H11S-94"&amp;"; v 40 x š 19 x h 4 cm. V roce 1977 byl z Muzea Klementa Gottwalda zapůjčen do Muzea dělnického revolučního hnutí jižních Čech v Českých Budějovicích.")</f>
        <v>Dar K. Gottwaldovi; reliéf s portrétem muže a ženy doplněným zaťatou pěstí, dřevěný na dřevěné desce, na spodní části plechový štítek s nápisem: KSČ VČELNÁ 18.V.46, sign. na zadní straně desky: Pepík, zádlab s plíškem pro zavěšení; Národní muzeum; H11S-94; v 40 x š 19 x h 4 cm. V roce 1977 byl z Muzea Klementa Gottwalda zapůjčen do Muzea dělnického revolučního hnutí jižních Čech v Českých Budějovicích.</v>
      </c>
      <c r="F65" s="8" t="str">
        <f>IFERROR(__xludf.DUMMYFUNCTION("""COMPUTED_VALUE"""),"umělecká díla")</f>
        <v>umělecká díla</v>
      </c>
      <c r="G65" s="8" t="str">
        <f>IFERROR(__xludf.DUMMYFUNCTION("""COMPUTED_VALUE"""),"Hmotné dary")</f>
        <v>Hmotné dary</v>
      </c>
      <c r="H65" s="8"/>
      <c r="I65" s="9" t="str">
        <f>IFERROR(__xludf.DUMMYFUNCTION("""COMPUTED_VALUE"""),"1946")</f>
        <v>1946</v>
      </c>
      <c r="J65" s="8"/>
      <c r="K65" s="8" t="str">
        <f>IFERROR(__xludf.DUMMYFUNCTION("""COMPUTED_VALUE"""),"KSČ")</f>
        <v>KSČ</v>
      </c>
      <c r="L65" s="8" t="str">
        <f>IFERROR(__xludf.DUMMYFUNCTION("""COMPUTED_VALUE"""),"Národní muzeum, Sbírka Muzea dělnického hnutí, fond Společnost a spolkový život, Kolekce darů KG.")</f>
        <v>Národní muzeum, Sbírka Muzea dělnického hnutí, fond Společnost a spolkový život, Kolekce darů KG.</v>
      </c>
      <c r="M65" s="8"/>
      <c r="N65" s="8" t="str">
        <f>IFERROR(__xludf.DUMMYFUNCTION("""COMPUTED_VALUE"""),"H11S-94.jpg")</f>
        <v>H11S-94.jpg</v>
      </c>
      <c r="O65" s="8"/>
      <c r="P65" s="8" t="str">
        <f>IFERROR(__xludf.DUMMYFUNCTION("""COMPUTED_VALUE"""),"Dar K. Gottwaldovi; reliéf s portrétem muže a ženy doplněným zaťatou pěstí, dřevěný na dřevěné desce, na spodní části plechový štítek s nápisem: KSČ VČELNÁ 18.V.46, sign. na zadní straně desky: Pepík, zádlab s plíškem pro zavěšení; Národní muzeum; H11S-94"&amp;"; v 40 x š 19 x h 4 cm; foto: G. Hrzánová, 2020.")</f>
        <v>Dar K. Gottwaldovi; reliéf s portrétem muže a ženy doplněným zaťatou pěstí, dřevěný na dřevěné desce, na spodní části plechový štítek s nápisem: KSČ VČELNÁ 18.V.46, sign. na zadní straně desky: Pepík, zádlab s plíškem pro zavěšení; Národní muzeum; H11S-94; v 40 x š 19 x h 4 cm; foto: G. Hrzánová, 2020.</v>
      </c>
      <c r="Q65" s="8" t="str">
        <f>IFERROR(__xludf.DUMMYFUNCTION("""COMPUTED_VALUE"""),"Národní muzeum, Sbírka Muzea dělnického hnutí, fond Společnost a spolkový život, Kolekce darů KG.")</f>
        <v>Národní muzeum, Sbírka Muzea dělnického hnutí, fond Společnost a spolkový život, Kolekce darů KG.</v>
      </c>
      <c r="R65" s="8"/>
      <c r="S65" s="8"/>
      <c r="T65" s="8"/>
      <c r="U65" s="8"/>
      <c r="V65" s="8"/>
      <c r="W65" s="8"/>
      <c r="X65" s="8"/>
      <c r="Y65" s="8"/>
      <c r="Z65" s="8"/>
      <c r="AA65" s="8"/>
      <c r="AB65" s="8"/>
      <c r="AC65" s="8"/>
      <c r="AD65" s="8"/>
      <c r="AE65" s="8"/>
      <c r="AF65" s="8"/>
      <c r="AG65" s="8"/>
      <c r="AH65" s="8"/>
      <c r="AI65" s="8"/>
      <c r="AJ65" s="8"/>
      <c r="AK65" s="8"/>
      <c r="AL65" s="8"/>
      <c r="AM65" s="8"/>
      <c r="AN65" s="8"/>
      <c r="AO65" s="8"/>
    </row>
    <row r="66">
      <c r="A66" s="7">
        <f t="shared" si="1"/>
        <v>65</v>
      </c>
      <c r="B66" s="8" t="str">
        <f>IFERROR(__xludf.DUMMYFUNCTION("""COMPUTED_VALUE"""),"15.2540856")</f>
        <v>15.2540856</v>
      </c>
      <c r="C66" s="8" t="str">
        <f>IFERROR(__xludf.DUMMYFUNCTION("""COMPUTED_VALUE"""),"50.64274")</f>
        <v>50.64274</v>
      </c>
      <c r="D66" s="8" t="str">
        <f>IFERROR(__xludf.DUMMYFUNCTION("""COMPUTED_VALUE"""),"Železný Brod, skleněný věnec na rakev K. Gottwalda")</f>
        <v>Železný Brod, skleněný věnec na rakev K. Gottwalda</v>
      </c>
      <c r="E66" s="8" t="str">
        <f>IFERROR(__xludf.DUMMYFUNCTION("""COMPUTED_VALUE"""),"Dar K. Gottwaldovi; z jednotlivých skleněných lístků na drátcích složený věnec o průměru 100 cm. Okvětní lístky jsou červené barvy a lístky jsou zelené barvy. Každý z lístků je originálně tvarován. K věnci náleží i skleněná plochá hvězda červené barvy s n"&amp;"ápisem: „SOUDRUHOVI KLEMENTU GOTTWALDOVI ZAMĚSTNANCÍ N. P. ŽELEZNO BRODSKÉHO SKLA“.
V současnosti je součástí expozice pražského Národního památníku na Vítkově.
")</f>
        <v>Dar K. Gottwaldovi; z jednotlivých skleněných lístků na drátcích složený věnec o průměru 100 cm. Okvětní lístky jsou červené barvy a lístky jsou zelené barvy. Každý z lístků je originálně tvarován. K věnci náleží i skleněná plochá hvězda červené barvy s nápisem: „SOUDRUHOVI KLEMENTU GOTTWALDOVI ZAMĚSTNANCÍ N. P. ŽELEZNO BRODSKÉHO SKLA“.
V současnosti je součástí expozice pražského Národního památníku na Vítkově.
</v>
      </c>
      <c r="F66" s="8" t="str">
        <f>IFERROR(__xludf.DUMMYFUNCTION("""COMPUTED_VALUE"""),"umělecká díla")</f>
        <v>umělecká díla</v>
      </c>
      <c r="G66" s="8" t="str">
        <f>IFERROR(__xludf.DUMMYFUNCTION("""COMPUTED_VALUE"""),"Hmotné dary")</f>
        <v>Hmotné dary</v>
      </c>
      <c r="H66" s="8"/>
      <c r="I66" s="9" t="str">
        <f>IFERROR(__xludf.DUMMYFUNCTION("""COMPUTED_VALUE"""),"1953")</f>
        <v>1953</v>
      </c>
      <c r="J66" s="8"/>
      <c r="K66" s="8" t="str">
        <f>IFERROR(__xludf.DUMMYFUNCTION("""COMPUTED_VALUE"""),"zaměstnanci národního podniku železnobrodského skla")</f>
        <v>zaměstnanci národního podniku železnobrodského skla</v>
      </c>
      <c r="L66" s="8" t="str">
        <f>IFERROR(__xludf.DUMMYFUNCTION("""COMPUTED_VALUE"""),"Národní muzeum, Sbírka Muzea dělnického hnutí, fond Společnost a spolkový život, Kolekce darů KG.")</f>
        <v>Národní muzeum, Sbírka Muzea dělnického hnutí, fond Společnost a spolkový život, Kolekce darů KG.</v>
      </c>
      <c r="M66" s="8"/>
      <c r="N66" s="8" t="str">
        <f>IFERROR(__xludf.DUMMYFUNCTION("""COMPUTED_VALUE"""),"H11S-1.jpg")</f>
        <v>H11S-1.jpg</v>
      </c>
      <c r="O66" s="8"/>
      <c r="P66" s="8" t="str">
        <f>IFERROR(__xludf.DUMMYFUNCTION("""COMPUTED_VALUE"""),"Dar K. Gottwaldovi; z jednotlivých skleněných lístků na drátcích složený věnec, výrobce: Želoznobrodské sklárny, 1953, sklo a kov, průměr 100 cm, Národní muzeum, H11S-1; foto: O. Tlapáková, 2017.")</f>
        <v>Dar K. Gottwaldovi; z jednotlivých skleněných lístků na drátcích složený věnec, výrobce: Želoznobrodské sklárny, 1953, sklo a kov, průměr 100 cm, Národní muzeum, H11S-1; foto: O. Tlapáková, 2017.</v>
      </c>
      <c r="Q66" s="8" t="str">
        <f>IFERROR(__xludf.DUMMYFUNCTION("""COMPUTED_VALUE"""),"Národní muzeum, Sbírka Muzea dělnického hnutí, fond Společnost a spolkový život, Kolekce darů KG.")</f>
        <v>Národní muzeum, Sbírka Muzea dělnického hnutí, fond Společnost a spolkový život, Kolekce darů KG.</v>
      </c>
      <c r="R66" s="8"/>
      <c r="S66" s="8"/>
      <c r="T66" s="8"/>
      <c r="U66" s="8"/>
      <c r="V66" s="8"/>
      <c r="W66" s="8"/>
      <c r="X66" s="8"/>
      <c r="Y66" s="8"/>
      <c r="Z66" s="8"/>
      <c r="AA66" s="8"/>
      <c r="AB66" s="8"/>
      <c r="AC66" s="8"/>
      <c r="AD66" s="8"/>
      <c r="AE66" s="8"/>
      <c r="AF66" s="8"/>
      <c r="AG66" s="8"/>
      <c r="AH66" s="8"/>
      <c r="AI66" s="8"/>
      <c r="AJ66" s="8"/>
      <c r="AK66" s="8"/>
      <c r="AL66" s="8"/>
      <c r="AM66" s="8"/>
      <c r="AN66" s="8"/>
      <c r="AO66" s="8"/>
    </row>
    <row r="67">
      <c r="A67" s="7">
        <f t="shared" si="1"/>
        <v>66</v>
      </c>
      <c r="B67" s="8" t="str">
        <f>IFERROR(__xludf.DUMMYFUNCTION("""COMPUTED_VALUE"""),"18.3760739")</f>
        <v>18.3760739</v>
      </c>
      <c r="C67" s="8" t="str">
        <f>IFERROR(__xludf.DUMMYFUNCTION("""COMPUTED_VALUE"""),"49.7931487")</f>
        <v>49.7931487</v>
      </c>
      <c r="D67" s="8" t="str">
        <f>IFERROR(__xludf.DUMMYFUNCTION("""COMPUTED_VALUE"""),"Šenov ve Slezsku, malba Nástup do práce")</f>
        <v>Šenov ve Slezsku, malba Nástup do práce</v>
      </c>
      <c r="E67" s="8" t="str">
        <f>IFERROR(__xludf.DUMMYFUNCTION("""COMPUTED_VALUE"""),"Dar K. Gottwaldovi; Vilém Wünsche, Nástup do práce, olejomalba na kartonu, 1945, Národní muzeum; H11U-64. ")</f>
        <v>Dar K. Gottwaldovi; Vilém Wünsche, Nástup do práce, olejomalba na kartonu, 1945, Národní muzeum; H11U-64. </v>
      </c>
      <c r="F67" s="8" t="str">
        <f>IFERROR(__xludf.DUMMYFUNCTION("""COMPUTED_VALUE"""),"umělecká díla")</f>
        <v>umělecká díla</v>
      </c>
      <c r="G67" s="8" t="str">
        <f>IFERROR(__xludf.DUMMYFUNCTION("""COMPUTED_VALUE"""),"Hmotné dary")</f>
        <v>Hmotné dary</v>
      </c>
      <c r="H67" s="8"/>
      <c r="I67" s="9" t="str">
        <f>IFERROR(__xludf.DUMMYFUNCTION("""COMPUTED_VALUE"""),"1950")</f>
        <v>1950</v>
      </c>
      <c r="J67" s="8"/>
      <c r="K67" s="8" t="str">
        <f>IFERROR(__xludf.DUMMYFUNCTION("""COMPUTED_VALUE"""),"místní skupina KSČ")</f>
        <v>místní skupina KSČ</v>
      </c>
      <c r="L67" s="8" t="str">
        <f>IFERROR(__xludf.DUMMYFUNCTION("""COMPUTED_VALUE"""),"Národní muzeum, Sbírka Muzea dělnického hnutí, fond Výtvarné umění.")</f>
        <v>Národní muzeum, Sbírka Muzea dělnického hnutí, fond Výtvarné umění.</v>
      </c>
      <c r="M67" s="8"/>
      <c r="N67" s="8" t="str">
        <f>IFERROR(__xludf.DUMMYFUNCTION("""COMPUTED_VALUE"""),"H11U-64.jpg")</f>
        <v>H11U-64.jpg</v>
      </c>
      <c r="O67" s="8"/>
      <c r="P67" s="8" t="str">
        <f>IFERROR(__xludf.DUMMYFUNCTION("""COMPUTED_VALUE"""),"Dar K. Gottwaldovi; Vilém Wünsche, Nástup do práce, olejomalba na kartonu, 1945, Národní muzeum; H11U-64; foto: O. Tlapáková, 2019.")</f>
        <v>Dar K. Gottwaldovi; Vilém Wünsche, Nástup do práce, olejomalba na kartonu, 1945, Národní muzeum; H11U-64; foto: O. Tlapáková, 2019.</v>
      </c>
      <c r="Q67" s="8" t="str">
        <f>IFERROR(__xludf.DUMMYFUNCTION("""COMPUTED_VALUE"""),"Národní muzeum, Sbírka Muzea dělnického hnutí, fond Výtvarné umění.")</f>
        <v>Národní muzeum, Sbírka Muzea dělnického hnutí, fond Výtvarné umění.</v>
      </c>
      <c r="R67" s="8" t="str">
        <f>IFERROR(__xludf.DUMMYFUNCTION("""COMPUTED_VALUE"""),"H11U-64_věnování.jpg")</f>
        <v>H11U-64_věnování.jpg</v>
      </c>
      <c r="S67" s="8"/>
      <c r="T67" s="8" t="str">
        <f>IFERROR(__xludf.DUMMYFUNCTION("""COMPUTED_VALUE"""),"Dar K. Gottwaldovi; Vilém Wünsche, Nástup do práce, olejomalba na kartonu, 1945, Národní muzeum; H11U-64; foto: O. Tlapáková, 2019 - detail věnování.")</f>
        <v>Dar K. Gottwaldovi; Vilém Wünsche, Nástup do práce, olejomalba na kartonu, 1945, Národní muzeum; H11U-64; foto: O. Tlapáková, 2019 - detail věnování.</v>
      </c>
      <c r="U67" s="8" t="str">
        <f>IFERROR(__xludf.DUMMYFUNCTION("""COMPUTED_VALUE"""),"Národní muzeum, Sbírka Muzea dělnického hnutí, fond Výtvarné umění.")</f>
        <v>Národní muzeum, Sbírka Muzea dělnického hnutí, fond Výtvarné umění.</v>
      </c>
      <c r="V67" s="8"/>
      <c r="W67" s="8"/>
      <c r="X67" s="8"/>
      <c r="Y67" s="8"/>
      <c r="Z67" s="8"/>
      <c r="AA67" s="8"/>
      <c r="AB67" s="8"/>
      <c r="AC67" s="8"/>
      <c r="AD67" s="8"/>
      <c r="AE67" s="8"/>
      <c r="AF67" s="8"/>
      <c r="AG67" s="8"/>
      <c r="AH67" s="8"/>
      <c r="AI67" s="8"/>
      <c r="AJ67" s="8"/>
      <c r="AK67" s="8"/>
      <c r="AL67" s="8"/>
      <c r="AM67" s="8"/>
      <c r="AN67" s="8"/>
      <c r="AO67" s="8"/>
    </row>
    <row r="68">
      <c r="A68" s="7">
        <f t="shared" si="1"/>
        <v>67</v>
      </c>
      <c r="B68" s="8" t="str">
        <f>IFERROR(__xludf.DUMMYFUNCTION("""COMPUTED_VALUE"""),"15.7811994")</f>
        <v>15.7811994</v>
      </c>
      <c r="C68" s="8" t="str">
        <f>IFERROR(__xludf.DUMMYFUNCTION("""COMPUTED_VALUE"""),"50.0343092")</f>
        <v>50.0343092</v>
      </c>
      <c r="D68" s="8" t="str">
        <f>IFERROR(__xludf.DUMMYFUNCTION("""COMPUTED_VALUE"""),"Pardubice, malba Příchod Rudé armády do Pardubic")</f>
        <v>Pardubice, malba Příchod Rudé armády do Pardubic</v>
      </c>
      <c r="E68" s="8" t="str">
        <f>IFERROR(__xludf.DUMMYFUNCTION("""COMPUTED_VALUE"""),"Dar K. Gottwaldovi; Svatopluk Havrlík, Příchod Rudé armády do Pardubic, olejomalba na plátně, 1945, Národní muzeum, H11U-258; foto: J. Tothová.
Obraz byl pravděpodobně již  v kanceláři prezidenta použit pro výzdobu kanceláří. ")</f>
        <v>Dar K. Gottwaldovi; Svatopluk Havrlík, Příchod Rudé armády do Pardubic, olejomalba na plátně, 1945, Národní muzeum, H11U-258; foto: J. Tothová.
Obraz byl pravděpodobně již  v kanceláři prezidenta použit pro výzdobu kanceláří. </v>
      </c>
      <c r="F68" s="8" t="str">
        <f>IFERROR(__xludf.DUMMYFUNCTION("""COMPUTED_VALUE"""),"umělecká díla")</f>
        <v>umělecká díla</v>
      </c>
      <c r="G68" s="8" t="str">
        <f>IFERROR(__xludf.DUMMYFUNCTION("""COMPUTED_VALUE"""),"Hmotné dary")</f>
        <v>Hmotné dary</v>
      </c>
      <c r="H68" s="8"/>
      <c r="I68" s="9" t="str">
        <f>IFERROR(__xludf.DUMMYFUNCTION("""COMPUTED_VALUE"""),"1948")</f>
        <v>1948</v>
      </c>
      <c r="J68" s="8"/>
      <c r="K68" s="8" t="str">
        <f>IFERROR(__xludf.DUMMYFUNCTION("""COMPUTED_VALUE"""),"neznámý")</f>
        <v>neznámý</v>
      </c>
      <c r="L68" s="8" t="str">
        <f>IFERROR(__xludf.DUMMYFUNCTION("""COMPUTED_VALUE"""),"Národní muzeum, Sbírka Muzea dělnického hnutí, fond Výtvarné umění.")</f>
        <v>Národní muzeum, Sbírka Muzea dělnického hnutí, fond Výtvarné umění.</v>
      </c>
      <c r="M68" s="8"/>
      <c r="N68" s="8" t="str">
        <f>IFERROR(__xludf.DUMMYFUNCTION("""COMPUTED_VALUE"""),"H11U-258.jpg")</f>
        <v>H11U-258.jpg</v>
      </c>
      <c r="O68" s="8"/>
      <c r="P68" s="8" t="str">
        <f>IFERROR(__xludf.DUMMYFUNCTION("""COMPUTED_VALUE"""),"Dar K. Gottwaldovi; Svatopluk Havrlík, Příchod Rudé armády do Pardubic, olejomalba na plátně, 1945, Národní muzeum, H11U-258; foto: J. Tothová, 2020.")</f>
        <v>Dar K. Gottwaldovi; Svatopluk Havrlík, Příchod Rudé armády do Pardubic, olejomalba na plátně, 1945, Národní muzeum, H11U-258; foto: J. Tothová, 2020.</v>
      </c>
      <c r="Q68" s="8" t="str">
        <f>IFERROR(__xludf.DUMMYFUNCTION("""COMPUTED_VALUE"""),"Národní muzeum, Sbírka Muzea dělnického hnutí, fond Výtvarné umění.")</f>
        <v>Národní muzeum, Sbírka Muzea dělnického hnutí, fond Výtvarné umění.</v>
      </c>
      <c r="R68" s="8"/>
      <c r="S68" s="8"/>
      <c r="T68" s="8"/>
      <c r="U68" s="8"/>
      <c r="V68" s="8"/>
      <c r="W68" s="8"/>
      <c r="X68" s="8"/>
      <c r="Y68" s="8"/>
      <c r="Z68" s="8"/>
      <c r="AA68" s="8"/>
      <c r="AB68" s="8"/>
      <c r="AC68" s="8"/>
      <c r="AD68" s="8"/>
      <c r="AE68" s="8"/>
      <c r="AF68" s="8"/>
      <c r="AG68" s="8"/>
      <c r="AH68" s="8"/>
      <c r="AI68" s="8"/>
      <c r="AJ68" s="8"/>
      <c r="AK68" s="8"/>
      <c r="AL68" s="8"/>
      <c r="AM68" s="8"/>
      <c r="AN68" s="8"/>
      <c r="AO68" s="8"/>
    </row>
    <row r="69">
      <c r="A69" s="7">
        <f t="shared" si="1"/>
        <v>68</v>
      </c>
      <c r="B69" s="8" t="str">
        <f>IFERROR(__xludf.DUMMYFUNCTION("""COMPUTED_VALUE"""),"17.8580895")</f>
        <v>17.8580895</v>
      </c>
      <c r="C69" s="8" t="str">
        <f>IFERROR(__xludf.DUMMYFUNCTION("""COMPUTED_VALUE"""),"48.8025995")</f>
        <v>48.8025995</v>
      </c>
      <c r="D69" s="8" t="str">
        <f>IFERROR(__xludf.DUMMYFUNCTION("""COMPUTED_VALUE"""),"Trenčianske Bohuslavice, kresby a koláže")</f>
        <v>Trenčianske Bohuslavice, kresby a koláže</v>
      </c>
      <c r="E69" s="8" t="str">
        <f>IFERROR(__xludf.DUMMYFUNCTION("""COMPUTED_VALUE"""),"Dar K. Gottwaldovi; Alois Rosecký a kol., Kresby a koláže vzniklé při doškolovacím kurzu, kombinovaná technika, v originálních amatérských rámech, 9 ks; 1950, Národní muzeum, H11U-337 až H11U-345.
Kolekce byla K. Gottwaldovi darována v dřevěné bedně. ")</f>
        <v>Dar K. Gottwaldovi; Alois Rosecký a kol., Kresby a koláže vzniklé při doškolovacím kurzu, kombinovaná technika, v originálních amatérských rámech, 9 ks; 1950, Národní muzeum, H11U-337 až H11U-345.
Kolekce byla K. Gottwaldovi darována v dřevěné bedně. </v>
      </c>
      <c r="F69" s="8" t="str">
        <f>IFERROR(__xludf.DUMMYFUNCTION("""COMPUTED_VALUE"""),"umělecká díla")</f>
        <v>umělecká díla</v>
      </c>
      <c r="G69" s="8" t="str">
        <f>IFERROR(__xludf.DUMMYFUNCTION("""COMPUTED_VALUE"""),"Hmotné dary")</f>
        <v>Hmotné dary</v>
      </c>
      <c r="H69" s="8"/>
      <c r="I69" s="9" t="str">
        <f>IFERROR(__xludf.DUMMYFUNCTION("""COMPUTED_VALUE"""),"1950")</f>
        <v>1950</v>
      </c>
      <c r="J69" s="8"/>
      <c r="K69" s="8" t="str">
        <f>IFERROR(__xludf.DUMMYFUNCTION("""COMPUTED_VALUE"""),"Československé stavby silnic a železnic n.p., závod pre vodné stavby ")</f>
        <v>Československé stavby silnic a železnic n.p., závod pre vodné stavby </v>
      </c>
      <c r="L69" s="8" t="str">
        <f>IFERROR(__xludf.DUMMYFUNCTION("""COMPUTED_VALUE"""),"Národní muzeum, Sbírka Muzea dělnického hnutí, fond Výtvarné umění.
PETIŠKOVÁ, Tereza. Československý socialistický realismus 1948-1958. Praha: Gallery, 2002. 101 s. ISBN 80-86010-61-9.
")</f>
        <v>Národní muzeum, Sbírka Muzea dělnického hnutí, fond Výtvarné umění.
PETIŠKOVÁ, Tereza. Československý socialistický realismus 1948-1958. Praha: Gallery, 2002. 101 s. ISBN 80-86010-61-9.
</v>
      </c>
      <c r="M69" s="8"/>
      <c r="N69" s="8" t="str">
        <f>IFERROR(__xludf.DUMMYFUNCTION("""COMPUTED_VALUE"""),"H11U-337.jpg")</f>
        <v>H11U-337.jpg</v>
      </c>
      <c r="O69" s="8"/>
      <c r="P69" s="8" t="str">
        <f>IFERROR(__xludf.DUMMYFUNCTION("""COMPUTED_VALUE"""),"Dar K. Gottwaldovi; Alois Rosecký a kol., Kresby a koláže vzniklé při doškolovacím kurzu, kombinovaná technika, úvodní tablo ze série 9 ks; 1950, Národní muzeum, H11U-337; sken: G. Hrzánová, 2021.")</f>
        <v>Dar K. Gottwaldovi; Alois Rosecký a kol., Kresby a koláže vzniklé při doškolovacím kurzu, kombinovaná technika, úvodní tablo ze série 9 ks; 1950, Národní muzeum, H11U-337; sken: G. Hrzánová, 2021.</v>
      </c>
      <c r="Q69" s="8" t="str">
        <f>IFERROR(__xludf.DUMMYFUNCTION("""COMPUTED_VALUE"""),"Národní muzeum, Sbírka Muzea dělnického hnutí, fond Výtvarné umění.")</f>
        <v>Národní muzeum, Sbírka Muzea dělnického hnutí, fond Výtvarné umění.</v>
      </c>
      <c r="R69" s="8" t="str">
        <f>IFERROR(__xludf.DUMMYFUNCTION("""COMPUTED_VALUE"""),"H11U-338.jpg")</f>
        <v>H11U-338.jpg</v>
      </c>
      <c r="S69" s="8"/>
      <c r="T69" s="8" t="str">
        <f>IFERROR(__xludf.DUMMYFUNCTION("""COMPUTED_VALUE"""),"Dar K. Gottwaldovi; Alois Rosecký a kol., Kresby a koláže vzniklé při doškolovacím kurzu, kombinovaná technika, jeden ze série 9 ks; 1950, Národní muzeum, H11U-337; sken: G. Hrzánová, 2021.")</f>
        <v>Dar K. Gottwaldovi; Alois Rosecký a kol., Kresby a koláže vzniklé při doškolovacím kurzu, kombinovaná technika, jeden ze série 9 ks; 1950, Národní muzeum, H11U-337; sken: G. Hrzánová, 2021.</v>
      </c>
      <c r="U69" s="8" t="str">
        <f>IFERROR(__xludf.DUMMYFUNCTION("""COMPUTED_VALUE"""),"Národní muzeum, Sbírka Muzea dělnického hnutí, fond Výtvarné umění.")</f>
        <v>Národní muzeum, Sbírka Muzea dělnického hnutí, fond Výtvarné umění.</v>
      </c>
      <c r="V69" s="8" t="str">
        <f>IFERROR(__xludf.DUMMYFUNCTION("""COMPUTED_VALUE"""),"H11U-339.jpg")</f>
        <v>H11U-339.jpg</v>
      </c>
      <c r="W69" s="8"/>
      <c r="X69" s="8" t="str">
        <f>IFERROR(__xludf.DUMMYFUNCTION("""COMPUTED_VALUE"""),"Dar K. Gottwaldovi; Alois Rosecký a kol., Kresby a koláže vzniklé při doškolovacím kurzu, kombinovaná technika, jeden ze série 9 ks; 1950, Národní muzeum, H11U-337; sken: G. Hrzánová, 2021.")</f>
        <v>Dar K. Gottwaldovi; Alois Rosecký a kol., Kresby a koláže vzniklé při doškolovacím kurzu, kombinovaná technika, jeden ze série 9 ks; 1950, Národní muzeum, H11U-337; sken: G. Hrzánová, 2021.</v>
      </c>
      <c r="Y69" s="8" t="str">
        <f>IFERROR(__xludf.DUMMYFUNCTION("""COMPUTED_VALUE"""),"Národní muzeum, Sbírka Muzea dělnického hnutí, fond Výtvarné umění.")</f>
        <v>Národní muzeum, Sbírka Muzea dělnického hnutí, fond Výtvarné umění.</v>
      </c>
      <c r="Z69" s="8" t="str">
        <f>IFERROR(__xludf.DUMMYFUNCTION("""COMPUTED_VALUE"""),"H11U-340.jpg")</f>
        <v>H11U-340.jpg</v>
      </c>
      <c r="AA69" s="8"/>
      <c r="AB69" s="8" t="str">
        <f>IFERROR(__xludf.DUMMYFUNCTION("""COMPUTED_VALUE"""),"Dar K. Gottwaldovi; Alois Rosecký a kol., Kresby a koláže vzniklé při doškolovacím kurzu, kombinovaná technika, jeden ze série 9 ks; 1950, Národní muzeum, H11U-337; sken: G. Hrzánová, 2021.")</f>
        <v>Dar K. Gottwaldovi; Alois Rosecký a kol., Kresby a koláže vzniklé při doškolovacím kurzu, kombinovaná technika, jeden ze série 9 ks; 1950, Národní muzeum, H11U-337; sken: G. Hrzánová, 2021.</v>
      </c>
      <c r="AC69" s="8" t="str">
        <f>IFERROR(__xludf.DUMMYFUNCTION("""COMPUTED_VALUE"""),"Národní muzeum, Sbírka Muzea dělnického hnutí, fond Výtvarné umění.")</f>
        <v>Národní muzeum, Sbírka Muzea dělnického hnutí, fond Výtvarné umění.</v>
      </c>
      <c r="AD69" s="8" t="str">
        <f>IFERROR(__xludf.DUMMYFUNCTION("""COMPUTED_VALUE"""),"H11U-341.jpg")</f>
        <v>H11U-341.jpg</v>
      </c>
      <c r="AE69" s="8"/>
      <c r="AF69" s="8" t="str">
        <f>IFERROR(__xludf.DUMMYFUNCTION("""COMPUTED_VALUE"""),"Dar K. Gottwaldovi; Alois Rosecký a kol., Kresby a koláže vzniklé při doškolovacím kurzu, kombinovaná technika, jeden ze série 9 ks; 1950, Národní muzeum, H11U-337; sken: G. Hrzánová, 2021.")</f>
        <v>Dar K. Gottwaldovi; Alois Rosecký a kol., Kresby a koláže vzniklé při doškolovacím kurzu, kombinovaná technika, jeden ze série 9 ks; 1950, Národní muzeum, H11U-337; sken: G. Hrzánová, 2021.</v>
      </c>
      <c r="AG69" s="8" t="str">
        <f>IFERROR(__xludf.DUMMYFUNCTION("""COMPUTED_VALUE"""),"Národní muzeum, Sbírka Muzea dělnického hnutí, fond Výtvarné umění.")</f>
        <v>Národní muzeum, Sbírka Muzea dělnického hnutí, fond Výtvarné umění.</v>
      </c>
      <c r="AH69" s="8" t="str">
        <f>IFERROR(__xludf.DUMMYFUNCTION("""COMPUTED_VALUE"""),"H11U-342.jpg")</f>
        <v>H11U-342.jpg</v>
      </c>
      <c r="AI69" s="8"/>
      <c r="AJ69" s="8" t="str">
        <f>IFERROR(__xludf.DUMMYFUNCTION("""COMPUTED_VALUE"""),"Dar K. Gottwaldovi; Alois Rosecký a kol., Kresby a koláže vzniklé při doškolovacím kurzu, kombinovaná technika, jeden ze série 9 ks; 1950, Národní muzeum, H11U-337; sken: G. Hrzánová, 2021.")</f>
        <v>Dar K. Gottwaldovi; Alois Rosecký a kol., Kresby a koláže vzniklé při doškolovacím kurzu, kombinovaná technika, jeden ze série 9 ks; 1950, Národní muzeum, H11U-337; sken: G. Hrzánová, 2021.</v>
      </c>
      <c r="AK69" s="8" t="str">
        <f>IFERROR(__xludf.DUMMYFUNCTION("""COMPUTED_VALUE"""),"Národní muzeum, Sbírka Muzea dělnického hnutí, fond Výtvarné umění.")</f>
        <v>Národní muzeum, Sbírka Muzea dělnického hnutí, fond Výtvarné umění.</v>
      </c>
      <c r="AL69" s="8" t="str">
        <f>IFERROR(__xludf.DUMMYFUNCTION("""COMPUTED_VALUE"""),"H11U-343.jpg")</f>
        <v>H11U-343.jpg</v>
      </c>
      <c r="AM69" s="8"/>
      <c r="AN69" s="8" t="str">
        <f>IFERROR(__xludf.DUMMYFUNCTION("""COMPUTED_VALUE"""),"Dar K. Gottwaldovi; Alois Rosecký a kol., Kresby a koláže vzniklé při doškolovacím kurzu, kombinovaná technika, jeden ze série 9 ks; 1950, Národní muzeum, H11U-337; sken: G. Hrzánová, 2021.")</f>
        <v>Dar K. Gottwaldovi; Alois Rosecký a kol., Kresby a koláže vzniklé při doškolovacím kurzu, kombinovaná technika, jeden ze série 9 ks; 1950, Národní muzeum, H11U-337; sken: G. Hrzánová, 2021.</v>
      </c>
      <c r="AO69" s="8" t="str">
        <f>IFERROR(__xludf.DUMMYFUNCTION("""COMPUTED_VALUE"""),"Národní muzeum, Sbírka Muzea dělnického hnutí, fond Výtvarné umění.")</f>
        <v>Národní muzeum, Sbírka Muzea dělnického hnutí, fond Výtvarné umění.</v>
      </c>
    </row>
    <row r="70">
      <c r="A70" s="7">
        <f t="shared" si="1"/>
        <v>69</v>
      </c>
      <c r="B70" s="8" t="str">
        <f>IFERROR(__xludf.DUMMYFUNCTION("""COMPUTED_VALUE"""),"14.4362352")</f>
        <v>14.4362352</v>
      </c>
      <c r="C70" s="8" t="str">
        <f>IFERROR(__xludf.DUMMYFUNCTION("""COMPUTED_VALUE"""),"50.0927792")</f>
        <v>50.0927792</v>
      </c>
      <c r="D70" s="8" t="str">
        <f>IFERROR(__xludf.DUMMYFUNCTION("""COMPUTED_VALUE"""),"Praha, plastika Rozsévač")</f>
        <v>Praha, plastika Rozsévač</v>
      </c>
      <c r="E70" s="8" t="str">
        <f>IFERROR(__xludf.DUMMYFUNCTION("""COMPUTED_VALUE"""),"Dar K. Gottwaldovi; Cyril Zatloukal, Rozsévač, nedatováno, bronz a kamenný sokl, Národní muzeum, H11U-467; foto O. Tlapáková, 2018.
Na soklu kovový štítek s věnováním: Panu min. předsedovi Klementu Gottwaldovi k padesátinám, Zemědělská banka - národní pod"&amp;"nik. ")</f>
        <v>Dar K. Gottwaldovi; Cyril Zatloukal, Rozsévač, nedatováno, bronz a kamenný sokl, Národní muzeum, H11U-467; foto O. Tlapáková, 2018.
Na soklu kovový štítek s věnováním: Panu min. předsedovi Klementu Gottwaldovi k padesátinám, Zemědělská banka - národní podnik. </v>
      </c>
      <c r="F70" s="8" t="str">
        <f>IFERROR(__xludf.DUMMYFUNCTION("""COMPUTED_VALUE"""),"umělecká díla")</f>
        <v>umělecká díla</v>
      </c>
      <c r="G70" s="8" t="str">
        <f>IFERROR(__xludf.DUMMYFUNCTION("""COMPUTED_VALUE"""),"Hmotné dary")</f>
        <v>Hmotné dary</v>
      </c>
      <c r="H70" s="8"/>
      <c r="I70" s="9" t="str">
        <f>IFERROR(__xludf.DUMMYFUNCTION("""COMPUTED_VALUE"""),"1946")</f>
        <v>1946</v>
      </c>
      <c r="J70" s="8"/>
      <c r="K70" s="8" t="str">
        <f>IFERROR(__xludf.DUMMYFUNCTION("""COMPUTED_VALUE"""),"Zemědělská banka, n.p.")</f>
        <v>Zemědělská banka, n.p.</v>
      </c>
      <c r="L70" s="8" t="str">
        <f>IFERROR(__xludf.DUMMYFUNCTION("""COMPUTED_VALUE"""),"Národní muzeum, Sbírka Muzea dělnického hnutí, fond Výtvarné umění.")</f>
        <v>Národní muzeum, Sbírka Muzea dělnického hnutí, fond Výtvarné umění.</v>
      </c>
      <c r="M70" s="8"/>
      <c r="N70" s="8" t="str">
        <f>IFERROR(__xludf.DUMMYFUNCTION("""COMPUTED_VALUE"""),"H11U-467.jpg")</f>
        <v>H11U-467.jpg</v>
      </c>
      <c r="O70" s="8"/>
      <c r="P70" s="8" t="str">
        <f>IFERROR(__xludf.DUMMYFUNCTION("""COMPUTED_VALUE"""),"Dar K. Gottwaldovi; Cyril Zatloukal, Rozsévač, nedatováno, bronz a kamenný sokl, Národní muzeum, H11U-467; foto O. Tlapáková, 2018.")</f>
        <v>Dar K. Gottwaldovi; Cyril Zatloukal, Rozsévač, nedatováno, bronz a kamenný sokl, Národní muzeum, H11U-467; foto O. Tlapáková, 2018.</v>
      </c>
      <c r="Q70" s="8" t="str">
        <f>IFERROR(__xludf.DUMMYFUNCTION("""COMPUTED_VALUE"""),"Národní muzeum, Sbírka Muzea dělnického hnutí, fond Výtvarné umění.")</f>
        <v>Národní muzeum, Sbírka Muzea dělnického hnutí, fond Výtvarné umění.</v>
      </c>
      <c r="R70" s="8" t="str">
        <f>IFERROR(__xludf.DUMMYFUNCTION("""COMPUTED_VALUE"""),"H11U-467 věnování.jpg")</f>
        <v>H11U-467 věnování.jpg</v>
      </c>
      <c r="S70" s="8"/>
      <c r="T70" s="8" t="str">
        <f>IFERROR(__xludf.DUMMYFUNCTION("""COMPUTED_VALUE"""),"Dar K. Gottwaldovi; Cyril Zatloukal, Rozsévač, nedatováno, bronz a kamenný sokl, Národní muzeum, H11U-467; foto O. Tlapáková, 2018 - detail věnování.")</f>
        <v>Dar K. Gottwaldovi; Cyril Zatloukal, Rozsévač, nedatováno, bronz a kamenný sokl, Národní muzeum, H11U-467; foto O. Tlapáková, 2018 - detail věnování.</v>
      </c>
      <c r="U70" s="8" t="str">
        <f>IFERROR(__xludf.DUMMYFUNCTION("""COMPUTED_VALUE"""),"Národní muzeum, Sbírka Muzea dělnického hnutí, fond Výtvarné umění.")</f>
        <v>Národní muzeum, Sbírka Muzea dělnického hnutí, fond Výtvarné umění.</v>
      </c>
      <c r="V70" s="8"/>
      <c r="W70" s="8"/>
      <c r="X70" s="8"/>
      <c r="Y70" s="8"/>
      <c r="Z70" s="8"/>
      <c r="AA70" s="8"/>
      <c r="AB70" s="8"/>
      <c r="AC70" s="8"/>
      <c r="AD70" s="8"/>
      <c r="AE70" s="8"/>
      <c r="AF70" s="8"/>
      <c r="AG70" s="8"/>
      <c r="AH70" s="8"/>
      <c r="AI70" s="8"/>
      <c r="AJ70" s="8"/>
      <c r="AK70" s="8"/>
      <c r="AL70" s="8"/>
      <c r="AM70" s="8"/>
      <c r="AN70" s="8"/>
      <c r="AO70" s="8"/>
    </row>
    <row r="71">
      <c r="A71" s="7">
        <f t="shared" si="1"/>
        <v>70</v>
      </c>
      <c r="B71" s="8" t="str">
        <f>IFERROR(__xludf.DUMMYFUNCTION("""COMPUTED_VALUE"""),"14.4342708")</f>
        <v>14.4342708</v>
      </c>
      <c r="C71" s="8" t="str">
        <f>IFERROR(__xludf.DUMMYFUNCTION("""COMPUTED_VALUE"""),"49.0522544")</f>
        <v>49.0522544</v>
      </c>
      <c r="D71" s="8" t="str">
        <f>IFERROR(__xludf.DUMMYFUNCTION("""COMPUTED_VALUE"""),"Hluboká nad Vltavou, dřevěný korbel")</f>
        <v>Hluboká nad Vltavou, dřevěný korbel</v>
      </c>
      <c r="E71" s="8" t="str">
        <f>IFERROR(__xludf.DUMMYFUNCTION("""COMPUTED_VALUE"""),"Dar K. Gottwaldovi; korbel, dřevěný, na víčku nápis: „K. G. 1946.“ a ratolest, na vnější straně dna sign: R. Suchý, Hluboká n./Vl., uvnitř papírová popiska (vizitka) s logem červené pěticípé hvězdy s ratolestmi a popisek: „Dřevěný korbel. Dar závod. org. "&amp;"KSČ. továrny na sudy Hluboká n/ Vltavou.“(popisek z výstavky darů); Národní muzeum; H11S-88; v 18 x š 19 x průměr 13 cm; foto: G. Hrzánová, 2020.
V roce 1977 byl korbel z Muzea Klementa Gottwalda zapůjčen do Muzea dělnického revolučního hnutí jižních Čech"&amp;" v Českých Budějovicích.
")</f>
        <v>Dar K. Gottwaldovi; korbel, dřevěný, na víčku nápis: „K. G. 1946.“ a ratolest, na vnější straně dna sign: R. Suchý, Hluboká n./Vl., uvnitř papírová popiska (vizitka) s logem červené pěticípé hvězdy s ratolestmi a popisek: „Dřevěný korbel. Dar závod. org. KSČ. továrny na sudy Hluboká n/ Vltavou.“(popisek z výstavky darů); Národní muzeum; H11S-88; v 18 x š 19 x průměr 13 cm; foto: G. Hrzánová, 2020.
V roce 1977 byl korbel z Muzea Klementa Gottwalda zapůjčen do Muzea dělnického revolučního hnutí jižních Čech v Českých Budějovicích.
</v>
      </c>
      <c r="F71" s="8" t="str">
        <f>IFERROR(__xludf.DUMMYFUNCTION("""COMPUTED_VALUE"""),"umělecká díla")</f>
        <v>umělecká díla</v>
      </c>
      <c r="G71" s="8" t="str">
        <f>IFERROR(__xludf.DUMMYFUNCTION("""COMPUTED_VALUE"""),"Hmotné dary")</f>
        <v>Hmotné dary</v>
      </c>
      <c r="H71" s="8"/>
      <c r="I71" s="9" t="str">
        <f>IFERROR(__xludf.DUMMYFUNCTION("""COMPUTED_VALUE"""),"1946")</f>
        <v>1946</v>
      </c>
      <c r="J71" s="8"/>
      <c r="K71" s="8" t="str">
        <f>IFERROR(__xludf.DUMMYFUNCTION("""COMPUTED_VALUE"""),"Závodní organizace KSČ, továrna na sudy")</f>
        <v>Závodní organizace KSČ, továrna na sudy</v>
      </c>
      <c r="L71" s="8" t="str">
        <f>IFERROR(__xludf.DUMMYFUNCTION("""COMPUTED_VALUE"""),"Národní muzeum, Sbírka Muzea dělnického hnutí, fond Společnost a spolkový život, Kolekce darů KG.")</f>
        <v>Národní muzeum, Sbírka Muzea dělnického hnutí, fond Společnost a spolkový život, Kolekce darů KG.</v>
      </c>
      <c r="M71" s="8"/>
      <c r="N71" s="8" t="str">
        <f>IFERROR(__xludf.DUMMYFUNCTION("""COMPUTED_VALUE"""),"H11S-88.jpg")</f>
        <v>H11S-88.jpg</v>
      </c>
      <c r="O71" s="8"/>
      <c r="P71" s="8" t="str">
        <f>IFERROR(__xludf.DUMMYFUNCTION("""COMPUTED_VALUE"""),"Dar K. Gottwaldovi; korbel, dřevěný, na víčku nápis: „K. G. 1946.“ a ratolest, na vnější straně dna sign: R. Suchý, Hluboká n./Vl., dar závod. org. KSČ. továrny na sudy Hluboká n/ Vltavou.“(popisek z výstavky darů); Národní muzeum; H11S-88; v 18 x š 19 x "&amp;"průměr 13 cm; foto: G. Hrzánová, 2020.")</f>
        <v>Dar K. Gottwaldovi; korbel, dřevěný, na víčku nápis: „K. G. 1946.“ a ratolest, na vnější straně dna sign: R. Suchý, Hluboká n./Vl., dar závod. org. KSČ. továrny na sudy Hluboká n/ Vltavou.“(popisek z výstavky darů); Národní muzeum; H11S-88; v 18 x š 19 x průměr 13 cm; foto: G. Hrzánová, 2020.</v>
      </c>
      <c r="Q71" s="8" t="str">
        <f>IFERROR(__xludf.DUMMYFUNCTION("""COMPUTED_VALUE"""),"Národní muzeum, Sbírka Muzea dělnického hnutí, fond Společnost a spolkový život, Kolekce darů KG.")</f>
        <v>Národní muzeum, Sbírka Muzea dělnického hnutí, fond Společnost a spolkový život, Kolekce darů KG.</v>
      </c>
      <c r="R71" s="8" t="str">
        <f>IFERROR(__xludf.DUMMYFUNCTION("""COMPUTED_VALUE"""),"H11S-88_popiska z Výstavky darů.jpg")</f>
        <v>H11S-88_popiska z Výstavky darů.jpg</v>
      </c>
      <c r="S71" s="8"/>
      <c r="T71" s="8" t="str">
        <f>IFERROR(__xludf.DUMMYFUNCTION("""COMPUTED_VALUE"""),"Papírová popiska (vizitka) s logem červené pěticípé hvězdy s ratolestmi a popisek: „Dřevěný korbel. Dar závod. org. KSČ. továrny na sudy Hluboká n/ Vltavou.“; popisek z výstavky darů k předmětu: korbel, dřevěný, na víčku nápis: „K. G. 1946.“ a ratolest, n"&amp;"a vnější straně dna sign: R. Suchý, Hluboká n./Vl., uvnitř ; Národní muzeum; H11S-88; foto: G. Hrzánová, 2020.
")</f>
        <v>Papírová popiska (vizitka) s logem červené pěticípé hvězdy s ratolestmi a popisek: „Dřevěný korbel. Dar závod. org. KSČ. továrny na sudy Hluboká n/ Vltavou.“; popisek z výstavky darů k předmětu: korbel, dřevěný, na víčku nápis: „K. G. 1946.“ a ratolest, na vnější straně dna sign: R. Suchý, Hluboká n./Vl., uvnitř ; Národní muzeum; H11S-88; foto: G. Hrzánová, 2020.
</v>
      </c>
      <c r="U71" s="8" t="str">
        <f>IFERROR(__xludf.DUMMYFUNCTION("""COMPUTED_VALUE"""),"Národní muzeum, Sbírka Muzea dělnického hnutí, fond Společnost a spolkový život, Kolekce darů KG.")</f>
        <v>Národní muzeum, Sbírka Muzea dělnického hnutí, fond Společnost a spolkový život, Kolekce darů KG.</v>
      </c>
      <c r="V71" s="8"/>
      <c r="W71" s="8"/>
      <c r="X71" s="8"/>
      <c r="Y71" s="8"/>
      <c r="Z71" s="8"/>
      <c r="AA71" s="8"/>
      <c r="AB71" s="8"/>
      <c r="AC71" s="8"/>
      <c r="AD71" s="8"/>
      <c r="AE71" s="8"/>
      <c r="AF71" s="8"/>
      <c r="AG71" s="8"/>
      <c r="AH71" s="8"/>
      <c r="AI71" s="8"/>
      <c r="AJ71" s="8"/>
      <c r="AK71" s="8"/>
      <c r="AL71" s="8"/>
      <c r="AM71" s="8"/>
      <c r="AN71" s="8"/>
      <c r="AO71" s="8"/>
    </row>
    <row r="72">
      <c r="A72" s="7">
        <f t="shared" si="1"/>
        <v>71</v>
      </c>
      <c r="B72" s="8" t="str">
        <f>IFERROR(__xludf.DUMMYFUNCTION("""COMPUTED_VALUE"""),"18.5400995")</f>
        <v>18.5400995</v>
      </c>
      <c r="C72" s="8" t="str">
        <f>IFERROR(__xludf.DUMMYFUNCTION("""COMPUTED_VALUE"""),"49.8548493")</f>
        <v>49.8548493</v>
      </c>
      <c r="D72" s="8" t="str">
        <f>IFERROR(__xludf.DUMMYFUNCTION("""COMPUTED_VALUE"""),"Fryštát, malba Horník")</f>
        <v>Fryštát, malba Horník</v>
      </c>
      <c r="E72" s="8" t="str">
        <f>IFERROR(__xludf.DUMMYFUNCTION("""COMPUTED_VALUE"""),"Dar K. Gottwaldovi; J. Baran, Horník, olej na plátně, 1948, Národní muzeum, H11U-293.")</f>
        <v>Dar K. Gottwaldovi; J. Baran, Horník, olej na plátně, 1948, Národní muzeum, H11U-293.</v>
      </c>
      <c r="F72" s="8" t="str">
        <f>IFERROR(__xludf.DUMMYFUNCTION("""COMPUTED_VALUE"""),"umělecká díla")</f>
        <v>umělecká díla</v>
      </c>
      <c r="G72" s="8" t="str">
        <f>IFERROR(__xludf.DUMMYFUNCTION("""COMPUTED_VALUE"""),"Hmotné dary")</f>
        <v>Hmotné dary</v>
      </c>
      <c r="H72" s="8"/>
      <c r="I72" s="9" t="str">
        <f>IFERROR(__xludf.DUMMYFUNCTION("""COMPUTED_VALUE"""),"1948")</f>
        <v>1948</v>
      </c>
      <c r="J72" s="8"/>
      <c r="K72" s="8" t="str">
        <f>IFERROR(__xludf.DUMMYFUNCTION("""COMPUTED_VALUE"""),"Okresní národní výbor Fryštát")</f>
        <v>Okresní národní výbor Fryštát</v>
      </c>
      <c r="L72" s="8" t="str">
        <f>IFERROR(__xludf.DUMMYFUNCTION("""COMPUTED_VALUE"""),"Národní muzeum, Sbírka Muzea dělnického hnutí, fond Výtvarné umění.")</f>
        <v>Národní muzeum, Sbírka Muzea dělnického hnutí, fond Výtvarné umění.</v>
      </c>
      <c r="M72" s="8"/>
      <c r="N72" s="8" t="str">
        <f>IFERROR(__xludf.DUMMYFUNCTION("""COMPUTED_VALUE"""),"H11U-293.jpg")</f>
        <v>H11U-293.jpg</v>
      </c>
      <c r="O72" s="8"/>
      <c r="P72" s="8" t="str">
        <f>IFERROR(__xludf.DUMMYFUNCTION("""COMPUTED_VALUE"""),"Dar K. Gottwaldovi; J. Baran, Horník, olej na plátně, 1948, Národní muzeum, H11U-293.")</f>
        <v>Dar K. Gottwaldovi; J. Baran, Horník, olej na plátně, 1948, Národní muzeum, H11U-293.</v>
      </c>
      <c r="Q72" s="8" t="str">
        <f>IFERROR(__xludf.DUMMYFUNCTION("""COMPUTED_VALUE"""),"Národní muzeum, Sbírka Muzea dělnického hnutí, fond Výtvarné umění.")</f>
        <v>Národní muzeum, Sbírka Muzea dělnického hnutí, fond Výtvarné umění.</v>
      </c>
      <c r="R72" s="8"/>
      <c r="S72" s="8"/>
      <c r="T72" s="8"/>
      <c r="U72" s="8"/>
      <c r="V72" s="8"/>
      <c r="W72" s="8"/>
      <c r="X72" s="8"/>
      <c r="Y72" s="8"/>
      <c r="Z72" s="8"/>
      <c r="AA72" s="8"/>
      <c r="AB72" s="8"/>
      <c r="AC72" s="8"/>
      <c r="AD72" s="8"/>
      <c r="AE72" s="8"/>
      <c r="AF72" s="8"/>
      <c r="AG72" s="8"/>
      <c r="AH72" s="8"/>
      <c r="AI72" s="8"/>
      <c r="AJ72" s="8"/>
      <c r="AK72" s="8"/>
      <c r="AL72" s="8"/>
      <c r="AM72" s="8"/>
      <c r="AN72" s="8"/>
      <c r="AO72" s="8"/>
    </row>
    <row r="73">
      <c r="A73" s="7">
        <f t="shared" si="1"/>
        <v>72</v>
      </c>
      <c r="B73" s="8" t="str">
        <f>IFERROR(__xludf.DUMMYFUNCTION("""COMPUTED_VALUE"""),"17.667229")</f>
        <v>17.667229</v>
      </c>
      <c r="C73" s="8" t="str">
        <f>IFERROR(__xludf.DUMMYFUNCTION("""COMPUTED_VALUE"""),"49.7935069")</f>
        <v>49.7935069</v>
      </c>
      <c r="D73" s="8" t="str">
        <f>IFERROR(__xludf.DUMMYFUNCTION("""COMPUTED_VALUE"""),"Svatoňovice, grafika závod VUD")</f>
        <v>Svatoňovice, grafika závod VUD</v>
      </c>
      <c r="E73" s="8" t="str">
        <f>IFERROR(__xludf.DUMMYFUNCTION("""COMPUTED_VALUE"""),"Dar K. Gottwaldovi; Ivan Strnad, bez názvu (pohled na závod Svatoňovice), grafika, 1949, věnování na paspartě: Horničtí učňové VUD Svatoňovice presidentu republiky, 10. července 1949; Národní muzeum, H11U-411.
V knize darů jsou uvedeny 3 ks obrazů k tomut"&amp;"o daru.")</f>
        <v>Dar K. Gottwaldovi; Ivan Strnad, bez názvu (pohled na závod Svatoňovice), grafika, 1949, věnování na paspartě: Horničtí učňové VUD Svatoňovice presidentu republiky, 10. července 1949; Národní muzeum, H11U-411.
V knize darů jsou uvedeny 3 ks obrazů k tomuto daru.</v>
      </c>
      <c r="F73" s="8" t="str">
        <f>IFERROR(__xludf.DUMMYFUNCTION("""COMPUTED_VALUE"""),"umělecká díla")</f>
        <v>umělecká díla</v>
      </c>
      <c r="G73" s="8" t="str">
        <f>IFERROR(__xludf.DUMMYFUNCTION("""COMPUTED_VALUE"""),"Hmotné dary")</f>
        <v>Hmotné dary</v>
      </c>
      <c r="H73" s="8"/>
      <c r="I73" s="9" t="str">
        <f>IFERROR(__xludf.DUMMYFUNCTION("""COMPUTED_VALUE"""),"1949")</f>
        <v>1949</v>
      </c>
      <c r="J73" s="8"/>
      <c r="K73" s="8" t="str">
        <f>IFERROR(__xludf.DUMMYFUNCTION("""COMPUTED_VALUE"""),"horničtí učňové Východočeských uhelných dolů, Svatoňovice")</f>
        <v>horničtí učňové Východočeských uhelných dolů, Svatoňovice</v>
      </c>
      <c r="L73" s="8" t="str">
        <f>IFERROR(__xludf.DUMMYFUNCTION("""COMPUTED_VALUE"""),"Národní muzeum, Sbírka Muzea dělnického hnutí, fond Výtvarné umění.")</f>
        <v>Národní muzeum, Sbírka Muzea dělnického hnutí, fond Výtvarné umění.</v>
      </c>
      <c r="M73" s="8"/>
      <c r="N73" s="8" t="str">
        <f>IFERROR(__xludf.DUMMYFUNCTION("""COMPUTED_VALUE"""),"H11U-411.jpg")</f>
        <v>H11U-411.jpg</v>
      </c>
      <c r="O73" s="8"/>
      <c r="P73" s="8" t="str">
        <f>IFERROR(__xludf.DUMMYFUNCTION("""COMPUTED_VALUE"""),"Dar K. Gottwaldovi; Ivan Strnad, bez názvu (pohled na závod Svatoňovice), grafika, 1949, věnování na paspartě: Horničtí učňové VUD Svatoňovice presidentu republiky, 10. července 1949; Národní muzeum, H11U-411; sken: G. Hrzánová, 2021.")</f>
        <v>Dar K. Gottwaldovi; Ivan Strnad, bez názvu (pohled na závod Svatoňovice), grafika, 1949, věnování na paspartě: Horničtí učňové VUD Svatoňovice presidentu republiky, 10. července 1949; Národní muzeum, H11U-411; sken: G. Hrzánová, 2021.</v>
      </c>
      <c r="Q73" s="8" t="str">
        <f>IFERROR(__xludf.DUMMYFUNCTION("""COMPUTED_VALUE"""),"Národní muzeum, Sbírka Muzea dělnického hnutí, fond Výtvarné umění.")</f>
        <v>Národní muzeum, Sbírka Muzea dělnického hnutí, fond Výtvarné umění.</v>
      </c>
      <c r="R73" s="8"/>
      <c r="S73" s="8"/>
      <c r="T73" s="8"/>
      <c r="U73" s="8"/>
      <c r="V73" s="8"/>
      <c r="W73" s="8"/>
      <c r="X73" s="8"/>
      <c r="Y73" s="8"/>
      <c r="Z73" s="8"/>
      <c r="AA73" s="8"/>
      <c r="AB73" s="8"/>
      <c r="AC73" s="8"/>
      <c r="AD73" s="8"/>
      <c r="AE73" s="8"/>
      <c r="AF73" s="8"/>
      <c r="AG73" s="8"/>
      <c r="AH73" s="8"/>
      <c r="AI73" s="8"/>
      <c r="AJ73" s="8"/>
      <c r="AK73" s="8"/>
      <c r="AL73" s="8"/>
      <c r="AM73" s="8"/>
      <c r="AN73" s="8"/>
      <c r="AO73" s="8"/>
    </row>
    <row r="74">
      <c r="A74" s="7">
        <f t="shared" si="1"/>
        <v>73</v>
      </c>
      <c r="B74" s="8" t="str">
        <f>IFERROR(__xludf.DUMMYFUNCTION("""COMPUTED_VALUE"""),"15.6321904")</f>
        <v>15.6321904</v>
      </c>
      <c r="C74" s="8" t="str">
        <f>IFERROR(__xludf.DUMMYFUNCTION("""COMPUTED_VALUE"""),"50.3676014")</f>
        <v>50.3676014</v>
      </c>
      <c r="D74" s="8" t="str">
        <f>IFERROR(__xludf.DUMMYFUNCTION("""COMPUTED_VALUE"""),"Hořice, plaketa K. Gottwald - k čestnému občanství")</f>
        <v>Hořice, plaketa K. Gottwald - k čestnému občanství</v>
      </c>
      <c r="E74" s="8" t="str">
        <f>IFERROR(__xludf.DUMMYFUNCTION("""COMPUTED_VALUE"""),"Dar K. Gottwaldovi; Karel Samohrd, plaketa s portrétem K. Gottwalda, 1947, bronz na dřevěné desce, 63 x 56 x 5 cm, Národní muzeum, H11U-1205.
Plaketa byla na objednávku města Hořice zadána již k 50. narozeninám K. Gottwalda, který ale přijetí delegace něk"&amp;"olikráte odmítl. Dne 14.11.1947 neohlášenou delegaci osobně K. Gottwald přijal.   ")</f>
        <v>Dar K. Gottwaldovi; Karel Samohrd, plaketa s portrétem K. Gottwalda, 1947, bronz na dřevěné desce, 63 x 56 x 5 cm, Národní muzeum, H11U-1205.
Plaketa byla na objednávku města Hořice zadána již k 50. narozeninám K. Gottwalda, který ale přijetí delegace několikráte odmítl. Dne 14.11.1947 neohlášenou delegaci osobně K. Gottwald přijal.   </v>
      </c>
      <c r="F74" s="8" t="str">
        <f>IFERROR(__xludf.DUMMYFUNCTION("""COMPUTED_VALUE"""),"umělecká díla")</f>
        <v>umělecká díla</v>
      </c>
      <c r="G74" s="8" t="str">
        <f>IFERROR(__xludf.DUMMYFUNCTION("""COMPUTED_VALUE"""),"Hmotné dary")</f>
        <v>Hmotné dary</v>
      </c>
      <c r="H74" s="8"/>
      <c r="I74" s="9" t="str">
        <f>IFERROR(__xludf.DUMMYFUNCTION("""COMPUTED_VALUE"""),"1947")</f>
        <v>1947</v>
      </c>
      <c r="J74" s="8"/>
      <c r="K74" s="8" t="str">
        <f>IFERROR(__xludf.DUMMYFUNCTION("""COMPUTED_VALUE"""),"Město Hořice")</f>
        <v>Město Hořice</v>
      </c>
      <c r="L74" s="8" t="str">
        <f>IFERROR(__xludf.DUMMYFUNCTION("""COMPUTED_VALUE"""),"Národní muzeum, Sbírka Muzea dělnického hnutí, fond Výtvarné umění.
https://www.horice.org/cestni-obcane/ms-4193 (online, 26.8.2021
")</f>
        <v>Národní muzeum, Sbírka Muzea dělnického hnutí, fond Výtvarné umění.
https://www.horice.org/cestni-obcane/ms-4193 (online, 26.8.2021
</v>
      </c>
      <c r="M74" s="8"/>
      <c r="N74" s="8" t="str">
        <f>IFERROR(__xludf.DUMMYFUNCTION("""COMPUTED_VALUE"""),"H11U-1205.jpg")</f>
        <v>H11U-1205.jpg</v>
      </c>
      <c r="O74" s="8"/>
      <c r="P74" s="8" t="str">
        <f>IFERROR(__xludf.DUMMYFUNCTION("""COMPUTED_VALUE"""),"Dar K. Gottwaldovi; Karel Samohrd, plaketa s portrétem K. Gottwalda, 1947, bronz na dřevěné desce, 63 x 56 x 5 cm, Národní muzeum, H11U-1205; sken: G. Hrzánová, 2021.  ")</f>
        <v>Dar K. Gottwaldovi; Karel Samohrd, plaketa s portrétem K. Gottwalda, 1947, bronz na dřevěné desce, 63 x 56 x 5 cm, Národní muzeum, H11U-1205; sken: G. Hrzánová, 2021.  </v>
      </c>
      <c r="Q74" s="8" t="str">
        <f>IFERROR(__xludf.DUMMYFUNCTION("""COMPUTED_VALUE"""),"Národní muzeum, Sbírka Muzea dělnického hnutí, fond Výtvarné umění.")</f>
        <v>Národní muzeum, Sbírka Muzea dělnického hnutí, fond Výtvarné umění.</v>
      </c>
      <c r="R74" s="8"/>
      <c r="S74" s="8"/>
      <c r="T74" s="8"/>
      <c r="U74" s="8"/>
      <c r="V74" s="8"/>
      <c r="W74" s="8"/>
      <c r="X74" s="8"/>
      <c r="Y74" s="8"/>
      <c r="Z74" s="8"/>
      <c r="AA74" s="8"/>
      <c r="AB74" s="8"/>
      <c r="AC74" s="8"/>
      <c r="AD74" s="8"/>
      <c r="AE74" s="8"/>
      <c r="AF74" s="8"/>
      <c r="AG74" s="8"/>
      <c r="AH74" s="8"/>
      <c r="AI74" s="8"/>
      <c r="AJ74" s="8"/>
      <c r="AK74" s="8"/>
      <c r="AL74" s="8"/>
      <c r="AM74" s="8"/>
      <c r="AN74" s="8"/>
      <c r="AO74" s="8"/>
    </row>
    <row r="75">
      <c r="A75" s="7">
        <f t="shared" si="1"/>
        <v>74</v>
      </c>
      <c r="B75" s="8" t="str">
        <f>IFERROR(__xludf.DUMMYFUNCTION("""COMPUTED_VALUE"""),"13.3484057")</f>
        <v>13.3484057</v>
      </c>
      <c r="C75" s="8" t="str">
        <f>IFERROR(__xludf.DUMMYFUNCTION("""COMPUTED_VALUE"""),"49.7388303")</f>
        <v>49.7388303</v>
      </c>
      <c r="D75" s="8" t="str">
        <f>IFERROR(__xludf.DUMMYFUNCTION("""COMPUTED_VALUE"""),"Plzeň, plastika Kovák")</f>
        <v>Plzeň, plastika Kovák</v>
      </c>
      <c r="E75" s="8" t="str">
        <f>IFERROR(__xludf.DUMMYFUNCTION("""COMPUTED_VALUE"""),"Dar K. Gottwaldovi; neznámý autor; Kovák; 1948; litina s nátěrem, dřevěný sokl; 76 x 25 x 27 cm; Národní muzeum; H11U-1322.
Na soklu štítek s nápisem: K 52. narozeninám p. presidenta lid. dem. republiky československé Klementa Gottwalda, Plzeň 23.11.1948,"&amp;" věnují škodováci.")</f>
        <v>Dar K. Gottwaldovi; neznámý autor; Kovák; 1948; litina s nátěrem, dřevěný sokl; 76 x 25 x 27 cm; Národní muzeum; H11U-1322.
Na soklu štítek s nápisem: K 52. narozeninám p. presidenta lid. dem. republiky československé Klementa Gottwalda, Plzeň 23.11.1948, věnují škodováci.</v>
      </c>
      <c r="F75" s="8" t="str">
        <f>IFERROR(__xludf.DUMMYFUNCTION("""COMPUTED_VALUE"""),"umělecká díla")</f>
        <v>umělecká díla</v>
      </c>
      <c r="G75" s="8" t="str">
        <f>IFERROR(__xludf.DUMMYFUNCTION("""COMPUTED_VALUE"""),"Hmotné dary")</f>
        <v>Hmotné dary</v>
      </c>
      <c r="H75" s="8"/>
      <c r="I75" s="9" t="str">
        <f>IFERROR(__xludf.DUMMYFUNCTION("""COMPUTED_VALUE"""),"1948")</f>
        <v>1948</v>
      </c>
      <c r="J75" s="8"/>
      <c r="K75" s="8" t="str">
        <f>IFERROR(__xludf.DUMMYFUNCTION("""COMPUTED_VALUE"""),"zaměstnanci závodu ŠKODA")</f>
        <v>zaměstnanci závodu ŠKODA</v>
      </c>
      <c r="L75" s="8" t="str">
        <f>IFERROR(__xludf.DUMMYFUNCTION("""COMPUTED_VALUE"""),"Národní muzeum, Sbírka Muzea dělnického hnutí, fond Výtvarné umění.")</f>
        <v>Národní muzeum, Sbírka Muzea dělnického hnutí, fond Výtvarné umění.</v>
      </c>
      <c r="M75" s="8"/>
      <c r="N75" s="8" t="str">
        <f>IFERROR(__xludf.DUMMYFUNCTION("""COMPUTED_VALUE"""),"H11U-1322.JPG")</f>
        <v>H11U-1322.JPG</v>
      </c>
      <c r="O75" s="8"/>
      <c r="P75" s="8" t="str">
        <f>IFERROR(__xludf.DUMMYFUNCTION("""COMPUTED_VALUE"""),"Dar K. Gottwaldovi; neznámý autor; Kovák; 1948; litina s nátěrem, dřevěný sokl; 76 x 25 x 27 cm; Národní muzeum; H11U-1322; foto: O. Tlapáková, 2021.")</f>
        <v>Dar K. Gottwaldovi; neznámý autor; Kovák; 1948; litina s nátěrem, dřevěný sokl; 76 x 25 x 27 cm; Národní muzeum; H11U-1322; foto: O. Tlapáková, 2021.</v>
      </c>
      <c r="Q75" s="8" t="str">
        <f>IFERROR(__xludf.DUMMYFUNCTION("""COMPUTED_VALUE"""),"Národní muzeum, Sbírka Muzea dělnického hnutí, fond Výtvarné umění.")</f>
        <v>Národní muzeum, Sbírka Muzea dělnického hnutí, fond Výtvarné umění.</v>
      </c>
      <c r="R75" s="8" t="str">
        <f>IFERROR(__xludf.DUMMYFUNCTION("""COMPUTED_VALUE"""),"H11U-1322_věnování.JPG")</f>
        <v>H11U-1322_věnování.JPG</v>
      </c>
      <c r="S75" s="8"/>
      <c r="T75" s="8" t="str">
        <f>IFERROR(__xludf.DUMMYFUNCTION("""COMPUTED_VALUE"""),"Dar K. Gottwaldovi; neznámý autor; Kovák; 1948; litina s nátěrem, dřevěný sokl; 76 x 25 x 27 cm; Národní muzeum; H11U-1322; foto: O. Tlapáková, 2021 - detail věnování.")</f>
        <v>Dar K. Gottwaldovi; neznámý autor; Kovák; 1948; litina s nátěrem, dřevěný sokl; 76 x 25 x 27 cm; Národní muzeum; H11U-1322; foto: O. Tlapáková, 2021 - detail věnování.</v>
      </c>
      <c r="U75" s="8" t="str">
        <f>IFERROR(__xludf.DUMMYFUNCTION("""COMPUTED_VALUE"""),"Národní muzeum, Sbírka Muzea dělnického hnutí, fond Výtvarné umění.")</f>
        <v>Národní muzeum, Sbírka Muzea dělnického hnutí, fond Výtvarné umění.</v>
      </c>
      <c r="V75" s="8"/>
      <c r="W75" s="8"/>
      <c r="X75" s="8"/>
      <c r="Y75" s="8"/>
      <c r="Z75" s="8"/>
      <c r="AA75" s="8"/>
      <c r="AB75" s="8"/>
      <c r="AC75" s="8"/>
      <c r="AD75" s="8"/>
      <c r="AE75" s="8"/>
      <c r="AF75" s="8"/>
      <c r="AG75" s="8"/>
      <c r="AH75" s="8"/>
      <c r="AI75" s="8"/>
      <c r="AJ75" s="8"/>
      <c r="AK75" s="8"/>
      <c r="AL75" s="8"/>
      <c r="AM75" s="8"/>
      <c r="AN75" s="8"/>
      <c r="AO75" s="8"/>
    </row>
    <row r="76">
      <c r="A76" s="7">
        <f t="shared" si="1"/>
        <v>75</v>
      </c>
      <c r="B76" s="8" t="str">
        <f>IFERROR(__xludf.DUMMYFUNCTION("""COMPUTED_VALUE"""),"14.9090806")</f>
        <v>14.9090806</v>
      </c>
      <c r="C76" s="8" t="str">
        <f>IFERROR(__xludf.DUMMYFUNCTION("""COMPUTED_VALUE"""),"49.6946053")</f>
        <v>49.6946053</v>
      </c>
      <c r="D76" s="8" t="str">
        <f>IFERROR(__xludf.DUMMYFUNCTION("""COMPUTED_VALUE"""),"Vlašim, plastika Soustružník")</f>
        <v>Vlašim, plastika Soustružník</v>
      </c>
      <c r="E76" s="8" t="str">
        <f>IFERROR(__xludf.DUMMYFUNCTION("""COMPUTED_VALUE"""),"Dar K. Gottwaldovi; neznámý autor; Soustružník; 1949; bronz, mramorový sokl; 53 x 25 x 17,5 cm; Národní muzeum; H11U-1323.
Na soklu štítek s nápisem: V upomínku k udělení čestného občanství města Vlašimi presidentu Klementu Gottwaldovi za jeho budovatelsk"&amp;"é úsilí věnuje Zbrojovka Vlašim, n.p., Vlašim, 1949.")</f>
        <v>Dar K. Gottwaldovi; neznámý autor; Soustružník; 1949; bronz, mramorový sokl; 53 x 25 x 17,5 cm; Národní muzeum; H11U-1323.
Na soklu štítek s nápisem: V upomínku k udělení čestného občanství města Vlašimi presidentu Klementu Gottwaldovi za jeho budovatelské úsilí věnuje Zbrojovka Vlašim, n.p., Vlašim, 1949.</v>
      </c>
      <c r="F76" s="8" t="str">
        <f>IFERROR(__xludf.DUMMYFUNCTION("""COMPUTED_VALUE"""),"umělecká díla")</f>
        <v>umělecká díla</v>
      </c>
      <c r="G76" s="8" t="str">
        <f>IFERROR(__xludf.DUMMYFUNCTION("""COMPUTED_VALUE"""),"Hmotné dary")</f>
        <v>Hmotné dary</v>
      </c>
      <c r="H76" s="8"/>
      <c r="I76" s="9" t="str">
        <f>IFERROR(__xludf.DUMMYFUNCTION("""COMPUTED_VALUE"""),"1949")</f>
        <v>1949</v>
      </c>
      <c r="J76" s="8"/>
      <c r="K76" s="8" t="str">
        <f>IFERROR(__xludf.DUMMYFUNCTION("""COMPUTED_VALUE"""),"Zbrojovka Vlašim, n.p.")</f>
        <v>Zbrojovka Vlašim, n.p.</v>
      </c>
      <c r="L76" s="8" t="str">
        <f>IFERROR(__xludf.DUMMYFUNCTION("""COMPUTED_VALUE"""),"Národní muzeum, Sbírka Muzea dělnického hnutí, fond Výtvarné umění.")</f>
        <v>Národní muzeum, Sbírka Muzea dělnického hnutí, fond Výtvarné umění.</v>
      </c>
      <c r="M76" s="8"/>
      <c r="N76" s="8" t="str">
        <f>IFERROR(__xludf.DUMMYFUNCTION("""COMPUTED_VALUE"""),"H11U-1323.JPG")</f>
        <v>H11U-1323.JPG</v>
      </c>
      <c r="O76" s="8"/>
      <c r="P76" s="8" t="str">
        <f>IFERROR(__xludf.DUMMYFUNCTION("""COMPUTED_VALUE"""),"Dar K. Gottwaldovi; neznámý autor; Soustružník; 1949; bronz, mramorový sokl; 53 x 25 x 17,5 cm; Národní muzeum; H11U-1323; foto: O. Tlapáková, 2020.")</f>
        <v>Dar K. Gottwaldovi; neznámý autor; Soustružník; 1949; bronz, mramorový sokl; 53 x 25 x 17,5 cm; Národní muzeum; H11U-1323; foto: O. Tlapáková, 2020.</v>
      </c>
      <c r="Q76" s="8" t="str">
        <f>IFERROR(__xludf.DUMMYFUNCTION("""COMPUTED_VALUE"""),"Národní muzeum, Sbírka Muzea dělnického hnutí, fond Výtvarné umění.")</f>
        <v>Národní muzeum, Sbírka Muzea dělnického hnutí, fond Výtvarné umění.</v>
      </c>
      <c r="R76" s="8" t="str">
        <f>IFERROR(__xludf.DUMMYFUNCTION("""COMPUTED_VALUE"""),"H11U-1323_věnování.JPG")</f>
        <v>H11U-1323_věnování.JPG</v>
      </c>
      <c r="S76" s="8"/>
      <c r="T76" s="8" t="str">
        <f>IFERROR(__xludf.DUMMYFUNCTION("""COMPUTED_VALUE"""),"Věnování na soklu plastiky: ""V upomínku k udělení čestného občanství města Vlašimi presidentu Klementu Gottwaldovi za jeho budovatelské úsilí věnuje Zbrojovka Vlašim, n.p., Vlašim, 1949""; dar K. Gottwaldovi; neznámý autor; Soustružník; 1949; bronz, mram"&amp;"orový sokl; 53 x 25 x 17,5 cm; Národní muzeum; H11U-1323; foto: O. Tlapáková, 2020.
")</f>
        <v>Věnování na soklu plastiky: "V upomínku k udělení čestného občanství města Vlašimi presidentu Klementu Gottwaldovi za jeho budovatelské úsilí věnuje Zbrojovka Vlašim, n.p., Vlašim, 1949"; dar K. Gottwaldovi; neznámý autor; Soustružník; 1949; bronz, mramorový sokl; 53 x 25 x 17,5 cm; Národní muzeum; H11U-1323; foto: O. Tlapáková, 2020.
</v>
      </c>
      <c r="U76" s="8" t="str">
        <f>IFERROR(__xludf.DUMMYFUNCTION("""COMPUTED_VALUE"""),"Národní muzeum, Sbírka Muzea dělnického hnutí, fond Výtvarné umění.")</f>
        <v>Národní muzeum, Sbírka Muzea dělnického hnutí, fond Výtvarné umění.</v>
      </c>
      <c r="V76" s="8"/>
      <c r="W76" s="8"/>
      <c r="X76" s="8"/>
      <c r="Y76" s="8"/>
      <c r="Z76" s="8"/>
      <c r="AA76" s="8"/>
      <c r="AB76" s="8"/>
      <c r="AC76" s="8"/>
      <c r="AD76" s="8"/>
      <c r="AE76" s="8"/>
      <c r="AF76" s="8"/>
      <c r="AG76" s="8"/>
      <c r="AH76" s="8"/>
      <c r="AI76" s="8"/>
      <c r="AJ76" s="8"/>
      <c r="AK76" s="8"/>
      <c r="AL76" s="8"/>
      <c r="AM76" s="8"/>
      <c r="AN76" s="8"/>
      <c r="AO76" s="8"/>
    </row>
    <row r="77">
      <c r="A77" s="7">
        <f t="shared" si="1"/>
        <v>76</v>
      </c>
      <c r="B77" s="8" t="str">
        <f>IFERROR(__xludf.DUMMYFUNCTION("""COMPUTED_VALUE"""),"14.4431899")</f>
        <v>14.4431899</v>
      </c>
      <c r="C77" s="8" t="str">
        <f>IFERROR(__xludf.DUMMYFUNCTION("""COMPUTED_VALUE"""),"50.0849217")</f>
        <v>50.0849217</v>
      </c>
      <c r="D77" s="8" t="str">
        <f>IFERROR(__xludf.DUMMYFUNCTION("""COMPUTED_VALUE"""),"Praha, plastika Kovář")</f>
        <v>Praha, plastika Kovář</v>
      </c>
      <c r="E77" s="8" t="str">
        <f>IFERROR(__xludf.DUMMYFUNCTION("""COMPUTED_VALUE"""),"Dar K. Gottwaldovi; Ladislav Šaloun, Kovář, nedatováno, bronz, kamenný sokl, Národní muzeum, H11U-1324.
Na kovovém štítku na soklu věnování: Předsedovi vlády našemu čestnému členu Klementu Gottwaldovi k padesátým narozeninám věnuje R.O.H.")</f>
        <v>Dar K. Gottwaldovi; Ladislav Šaloun, Kovář, nedatováno, bronz, kamenný sokl, Národní muzeum, H11U-1324.
Na kovovém štítku na soklu věnování: Předsedovi vlády našemu čestnému členu Klementu Gottwaldovi k padesátým narozeninám věnuje R.O.H.</v>
      </c>
      <c r="F77" s="8" t="str">
        <f>IFERROR(__xludf.DUMMYFUNCTION("""COMPUTED_VALUE"""),"umělecká díla")</f>
        <v>umělecká díla</v>
      </c>
      <c r="G77" s="8" t="str">
        <f>IFERROR(__xludf.DUMMYFUNCTION("""COMPUTED_VALUE"""),"Hmotné dary")</f>
        <v>Hmotné dary</v>
      </c>
      <c r="H77" s="8"/>
      <c r="I77" s="9" t="str">
        <f>IFERROR(__xludf.DUMMYFUNCTION("""COMPUTED_VALUE"""),"1946")</f>
        <v>1946</v>
      </c>
      <c r="J77" s="8"/>
      <c r="K77" s="8" t="str">
        <f>IFERROR(__xludf.DUMMYFUNCTION("""COMPUTED_VALUE"""),"Revoluční a odborové hnutí")</f>
        <v>Revoluční a odborové hnutí</v>
      </c>
      <c r="L77" s="8" t="str">
        <f>IFERROR(__xludf.DUMMYFUNCTION("""COMPUTED_VALUE"""),"Národní muzeum, Sbírka Muzea dělnického hnutí, fond Výtvarné umění.")</f>
        <v>Národní muzeum, Sbírka Muzea dělnického hnutí, fond Výtvarné umění.</v>
      </c>
      <c r="M77" s="8"/>
      <c r="N77" s="8" t="str">
        <f>IFERROR(__xludf.DUMMYFUNCTION("""COMPUTED_VALUE"""),"H11U-1324.JPG")</f>
        <v>H11U-1324.JPG</v>
      </c>
      <c r="O77" s="8"/>
      <c r="P77" s="8" t="str">
        <f>IFERROR(__xludf.DUMMYFUNCTION("""COMPUTED_VALUE"""),"Dar K. Gottwaldovi; Ladislav Šaloun, Kovář, nedatováno, bronz, kamenný sokl, Národní muzeum, H11U-1324; foto: O. Tlapáková, 2021.")</f>
        <v>Dar K. Gottwaldovi; Ladislav Šaloun, Kovář, nedatováno, bronz, kamenný sokl, Národní muzeum, H11U-1324; foto: O. Tlapáková, 2021.</v>
      </c>
      <c r="Q77" s="8" t="str">
        <f>IFERROR(__xludf.DUMMYFUNCTION("""COMPUTED_VALUE"""),"Národní muzeum, Sbírka Muzea dělnického hnutí, fond Výtvarné umění.")</f>
        <v>Národní muzeum, Sbírka Muzea dělnického hnutí, fond Výtvarné umění.</v>
      </c>
      <c r="R77" s="8"/>
      <c r="S77" s="8"/>
      <c r="T77" s="8"/>
      <c r="U77" s="8"/>
      <c r="V77" s="8"/>
      <c r="W77" s="8"/>
      <c r="X77" s="8"/>
      <c r="Y77" s="8"/>
      <c r="Z77" s="8"/>
      <c r="AA77" s="8"/>
      <c r="AB77" s="8"/>
      <c r="AC77" s="8"/>
      <c r="AD77" s="8"/>
      <c r="AE77" s="8"/>
      <c r="AF77" s="8"/>
      <c r="AG77" s="8"/>
      <c r="AH77" s="8"/>
      <c r="AI77" s="8"/>
      <c r="AJ77" s="8"/>
      <c r="AK77" s="8"/>
      <c r="AL77" s="8"/>
      <c r="AM77" s="8"/>
      <c r="AN77" s="8"/>
      <c r="AO77" s="8"/>
    </row>
    <row r="78">
      <c r="A78" s="7">
        <f t="shared" si="1"/>
        <v>77</v>
      </c>
      <c r="B78" s="8" t="str">
        <f>IFERROR(__xludf.DUMMYFUNCTION("""COMPUTED_VALUE"""),"18.2644252")</f>
        <v>18.2644252</v>
      </c>
      <c r="C78" s="8" t="str">
        <f>IFERROR(__xludf.DUMMYFUNCTION("""COMPUTED_VALUE"""),"49.8570345")</f>
        <v>49.8570345</v>
      </c>
      <c r="D78" s="8" t="str">
        <f>IFERROR(__xludf.DUMMYFUNCTION("""COMPUTED_VALUE"""),"Přívoz, plastika Rudoarmějec")</f>
        <v>Přívoz, plastika Rudoarmějec</v>
      </c>
      <c r="E78" s="8" t="str">
        <f>IFERROR(__xludf.DUMMYFUNCTION("""COMPUTED_VALUE"""),"Dar K. Gottwaldovi; Rudolf Kratochvíl, Rudoarmějec, nedatováno, dřevo, Národní muzeum, H11U-1116.")</f>
        <v>Dar K. Gottwaldovi; Rudolf Kratochvíl, Rudoarmějec, nedatováno, dřevo, Národní muzeum, H11U-1116.</v>
      </c>
      <c r="F78" s="8" t="str">
        <f>IFERROR(__xludf.DUMMYFUNCTION("""COMPUTED_VALUE"""),"umělecká díla")</f>
        <v>umělecká díla</v>
      </c>
      <c r="G78" s="8" t="str">
        <f>IFERROR(__xludf.DUMMYFUNCTION("""COMPUTED_VALUE"""),"Hmotné dary")</f>
        <v>Hmotné dary</v>
      </c>
      <c r="H78" s="8"/>
      <c r="I78" s="9" t="str">
        <f>IFERROR(__xludf.DUMMYFUNCTION("""COMPUTED_VALUE"""),"1948")</f>
        <v>1948</v>
      </c>
      <c r="J78" s="8"/>
      <c r="K78" s="8" t="str">
        <f>IFERROR(__xludf.DUMMYFUNCTION("""COMPUTED_VALUE"""),"KSČ Důl Generál Svoboda")</f>
        <v>KSČ Důl Generál Svoboda</v>
      </c>
      <c r="L78" s="8" t="str">
        <f>IFERROR(__xludf.DUMMYFUNCTION("""COMPUTED_VALUE"""),"Národní muzeum, Sbírka Muzea dělnického hnutí, fond Výtvarné umění.")</f>
        <v>Národní muzeum, Sbírka Muzea dělnického hnutí, fond Výtvarné umění.</v>
      </c>
      <c r="M78" s="8"/>
      <c r="N78" s="8" t="str">
        <f>IFERROR(__xludf.DUMMYFUNCTION("""COMPUTED_VALUE"""),"H11U-1116.JPG")</f>
        <v>H11U-1116.JPG</v>
      </c>
      <c r="O78" s="8"/>
      <c r="P78" s="8" t="str">
        <f>IFERROR(__xludf.DUMMYFUNCTION("""COMPUTED_VALUE"""),"Dar K. Gottwaldovi; Rudolf Kratochvíl, Rudoarmějec, nedatováno, dřevo, Národní muzeum, H11U-1116; foto: O. Tlapáková, 2021.")</f>
        <v>Dar K. Gottwaldovi; Rudolf Kratochvíl, Rudoarmějec, nedatováno, dřevo, Národní muzeum, H11U-1116; foto: O. Tlapáková, 2021.</v>
      </c>
      <c r="Q78" s="8" t="str">
        <f>IFERROR(__xludf.DUMMYFUNCTION("""COMPUTED_VALUE"""),"Národní muzeum, Sbírka Muzea dělnického hnutí, fond Výtvarné umění.")</f>
        <v>Národní muzeum, Sbírka Muzea dělnického hnutí, fond Výtvarné umění.</v>
      </c>
      <c r="R78" s="8"/>
      <c r="S78" s="8"/>
      <c r="T78" s="8"/>
      <c r="U78" s="8"/>
      <c r="V78" s="8"/>
      <c r="W78" s="8"/>
      <c r="X78" s="8"/>
      <c r="Y78" s="8"/>
      <c r="Z78" s="8"/>
      <c r="AA78" s="8"/>
      <c r="AB78" s="8"/>
      <c r="AC78" s="8"/>
      <c r="AD78" s="8"/>
      <c r="AE78" s="8"/>
      <c r="AF78" s="8"/>
      <c r="AG78" s="8"/>
      <c r="AH78" s="8"/>
      <c r="AI78" s="8"/>
      <c r="AJ78" s="8"/>
      <c r="AK78" s="8"/>
      <c r="AL78" s="8"/>
      <c r="AM78" s="8"/>
      <c r="AN78" s="8"/>
      <c r="AO78" s="8"/>
    </row>
    <row r="79">
      <c r="A79" s="7">
        <f t="shared" si="1"/>
        <v>78</v>
      </c>
      <c r="B79" s="8" t="str">
        <f>IFERROR(__xludf.DUMMYFUNCTION("""COMPUTED_VALUE"""),"18.2775133")</f>
        <v>18.2775133</v>
      </c>
      <c r="C79" s="8" t="str">
        <f>IFERROR(__xludf.DUMMYFUNCTION("""COMPUTED_VALUE"""),"49.8165796")</f>
        <v>49.8165796</v>
      </c>
      <c r="D79" s="8" t="str">
        <f>IFERROR(__xludf.DUMMYFUNCTION("""COMPUTED_VALUE"""),"Vítkovice, plastika Hutník")</f>
        <v>Vítkovice, plastika Hutník</v>
      </c>
      <c r="E79" s="8" t="str">
        <f>IFERROR(__xludf.DUMMYFUNCTION("""COMPUTED_VALUE"""),"Dar K. Gottwaldovi; Vladimír Brázdil, Hutník, nedatováno, bronz, dřevěný sokl, Národní muzeum, H11U-1343.
Na bronzovém soklu je věnování: Svému milému presidentovi Klementu Gottwaldovi věnují vděční zaměstnanci Vítkovických železáren Klementa Gottwalda, n"&amp;"árodní podnik.")</f>
        <v>Dar K. Gottwaldovi; Vladimír Brázdil, Hutník, nedatováno, bronz, dřevěný sokl, Národní muzeum, H11U-1343.
Na bronzovém soklu je věnování: Svému milému presidentovi Klementu Gottwaldovi věnují vděční zaměstnanci Vítkovických železáren Klementa Gottwalda, národní podnik.</v>
      </c>
      <c r="F79" s="8" t="str">
        <f>IFERROR(__xludf.DUMMYFUNCTION("""COMPUTED_VALUE"""),"umělecká díla")</f>
        <v>umělecká díla</v>
      </c>
      <c r="G79" s="8" t="str">
        <f>IFERROR(__xludf.DUMMYFUNCTION("""COMPUTED_VALUE"""),"Hmotné dary")</f>
        <v>Hmotné dary</v>
      </c>
      <c r="H79" s="8"/>
      <c r="I79" s="9" t="str">
        <f>IFERROR(__xludf.DUMMYFUNCTION("""COMPUTED_VALUE"""),"1949")</f>
        <v>1949</v>
      </c>
      <c r="J79" s="8"/>
      <c r="K79" s="8" t="str">
        <f>IFERROR(__xludf.DUMMYFUNCTION("""COMPUTED_VALUE"""),"zaměstnanci Vítkovických železáren Klementa Gottwalda, n.p.")</f>
        <v>zaměstnanci Vítkovických železáren Klementa Gottwalda, n.p.</v>
      </c>
      <c r="L79" s="8" t="str">
        <f>IFERROR(__xludf.DUMMYFUNCTION("""COMPUTED_VALUE"""),"Národní muzeum, Sbírka Muzea dělnického hnutí, fond Výtvarné umění.")</f>
        <v>Národní muzeum, Sbírka Muzea dělnického hnutí, fond Výtvarné umění.</v>
      </c>
      <c r="M79" s="8"/>
      <c r="N79" s="8" t="str">
        <f>IFERROR(__xludf.DUMMYFUNCTION("""COMPUTED_VALUE"""),"H11U-1343.JPG")</f>
        <v>H11U-1343.JPG</v>
      </c>
      <c r="O79" s="8"/>
      <c r="P79" s="8" t="str">
        <f>IFERROR(__xludf.DUMMYFUNCTION("""COMPUTED_VALUE"""),"Dar K. Gottwaldovi; Vladimír Brázdil, Hutník, nedatováno, bronz, dřevěný sokl, Národní muzeum, H11U-1343; foto: O. Tlapáková, 2021.")</f>
        <v>Dar K. Gottwaldovi; Vladimír Brázdil, Hutník, nedatováno, bronz, dřevěný sokl, Národní muzeum, H11U-1343; foto: O. Tlapáková, 2021.</v>
      </c>
      <c r="Q79" s="8" t="str">
        <f>IFERROR(__xludf.DUMMYFUNCTION("""COMPUTED_VALUE"""),"Národní muzeum, Sbírka Muzea dělnického hnutí, fond Výtvarné umění.")</f>
        <v>Národní muzeum, Sbírka Muzea dělnického hnutí, fond Výtvarné umění.</v>
      </c>
      <c r="R79" s="8" t="str">
        <f>IFERROR(__xludf.DUMMYFUNCTION("""COMPUTED_VALUE"""),"H11U-1343_věnování.JPG")</f>
        <v>H11U-1343_věnování.JPG</v>
      </c>
      <c r="S79" s="8"/>
      <c r="T79" s="8" t="str">
        <f>IFERROR(__xludf.DUMMYFUNCTION("""COMPUTED_VALUE"""),"Věnování na bronzovém soklu platiky: Svému milému presidentovi Klementu Gottwaldovi věnují vděční zaměstnanci Vítkovických železáren Klementa Gottwalda, národní podnik; Dar K. Gottwaldovi; Vladimír Brázdil, Hutník, nedatováno, bronz, dřevěný sokl, Národní"&amp;" muzeum, H11U-1343; foto: O. Tlapáková, 2021.
")</f>
        <v>Věnování na bronzovém soklu platiky: Svému milému presidentovi Klementu Gottwaldovi věnují vděční zaměstnanci Vítkovických železáren Klementa Gottwalda, národní podnik; Dar K. Gottwaldovi; Vladimír Brázdil, Hutník, nedatováno, bronz, dřevěný sokl, Národní muzeum, H11U-1343; foto: O. Tlapáková, 2021.
</v>
      </c>
      <c r="U79" s="8" t="str">
        <f>IFERROR(__xludf.DUMMYFUNCTION("""COMPUTED_VALUE"""),"Národní muzeum, Sbírka Muzea dělnického hnutí, fond Výtvarné umění.")</f>
        <v>Národní muzeum, Sbírka Muzea dělnického hnutí, fond Výtvarné umění.</v>
      </c>
      <c r="V79" s="8"/>
      <c r="W79" s="8"/>
      <c r="X79" s="8"/>
      <c r="Y79" s="8"/>
      <c r="Z79" s="8"/>
      <c r="AA79" s="8"/>
      <c r="AB79" s="8"/>
      <c r="AC79" s="8"/>
      <c r="AD79" s="8"/>
      <c r="AE79" s="8"/>
      <c r="AF79" s="8"/>
      <c r="AG79" s="8"/>
      <c r="AH79" s="8"/>
      <c r="AI79" s="8"/>
      <c r="AJ79" s="8"/>
      <c r="AK79" s="8"/>
      <c r="AL79" s="8"/>
      <c r="AM79" s="8"/>
      <c r="AN79" s="8"/>
      <c r="AO79" s="8"/>
    </row>
    <row r="80">
      <c r="A80" s="7">
        <f t="shared" si="1"/>
        <v>79</v>
      </c>
      <c r="B80" s="8" t="str">
        <f>IFERROR(__xludf.DUMMYFUNCTION("""COMPUTED_VALUE"""),"14.0746768")</f>
        <v>14.0746768</v>
      </c>
      <c r="C80" s="8" t="str">
        <f>IFERROR(__xludf.DUMMYFUNCTION("""COMPUTED_VALUE"""),"49.9643158")</f>
        <v>49.9643158</v>
      </c>
      <c r="D80" s="8" t="str">
        <f>IFERROR(__xludf.DUMMYFUNCTION("""COMPUTED_VALUE"""),"Beroun, Beroun ve fotografii Jiřího Jeníčka")</f>
        <v>Beroun, Beroun ve fotografii Jiřího Jeníčka</v>
      </c>
      <c r="E80" s="8" t="str">
        <f>IFERROR(__xludf.DUMMYFUNCTION("""COMPUTED_VALUE"""),"Dar K. Gottwaldovi; Jiří Jeníček, Beroun ve fotografii Jiřího Jeníčka, nedatováno, soubor 77 pozitivů A4 v kartonových deskách, Národní muzeum, b.č.
")</f>
        <v>Dar K. Gottwaldovi; Jiří Jeníček, Beroun ve fotografii Jiřího Jeníčka, nedatováno, soubor 77 pozitivů A4 v kartonových deskách, Národní muzeum, b.č.
</v>
      </c>
      <c r="F80" s="8" t="str">
        <f>IFERROR(__xludf.DUMMYFUNCTION("""COMPUTED_VALUE"""),"dokumenty")</f>
        <v>dokumenty</v>
      </c>
      <c r="G80" s="8" t="str">
        <f>IFERROR(__xludf.DUMMYFUNCTION("""COMPUTED_VALUE"""),"Hmotné dary")</f>
        <v>Hmotné dary</v>
      </c>
      <c r="H80" s="8"/>
      <c r="I80" s="9" t="str">
        <f>IFERROR(__xludf.DUMMYFUNCTION("""COMPUTED_VALUE"""),"1945")</f>
        <v>1945</v>
      </c>
      <c r="J80" s="8"/>
      <c r="K80" s="8" t="str">
        <f>IFERROR(__xludf.DUMMYFUNCTION("""COMPUTED_VALUE"""),"zaměstnanci města Berouna")</f>
        <v>zaměstnanci města Berouna</v>
      </c>
      <c r="L80" s="8" t="str">
        <f>IFERROR(__xludf.DUMMYFUNCTION("""COMPUTED_VALUE"""),"Národní muzeum, Sbírka Muzea dělnického hnutí, fond Fotografie a audiovizuálních médií.")</f>
        <v>Národní muzeum, Sbírka Muzea dělnického hnutí, fond Fotografie a audiovizuálních médií.</v>
      </c>
      <c r="M80" s="8"/>
      <c r="N80" s="8" t="str">
        <f>IFERROR(__xludf.DUMMYFUNCTION("""COMPUTED_VALUE"""),"Beroun_dar KG_věnování.jpg")</f>
        <v>Beroun_dar KG_věnování.jpg</v>
      </c>
      <c r="O80" s="8"/>
      <c r="P80" s="8" t="str">
        <f>IFERROR(__xludf.DUMMYFUNCTION("""COMPUTED_VALUE"""),"Dar K. Gottwaldovi; Jiří Jeníček, Beroun ve fotografii Jiřího Jeníčka, věnování, nedatováno, soubor 77 pozitivů A4 v kartonových deskách, Národní muzeum, b.č.; sken: G. Hrzánová, 2021.")</f>
        <v>Dar K. Gottwaldovi; Jiří Jeníček, Beroun ve fotografii Jiřího Jeníčka, věnování, nedatováno, soubor 77 pozitivů A4 v kartonových deskách, Národní muzeum, b.č.; sken: G. Hrzánová, 2021.</v>
      </c>
      <c r="Q80" s="8" t="str">
        <f>IFERROR(__xludf.DUMMYFUNCTION("""COMPUTED_VALUE"""),"Národní muzeum, Sbírka Muzea dělnického hnutí, fond Fotografie a audiovizuálních médií.")</f>
        <v>Národní muzeum, Sbírka Muzea dělnického hnutí, fond Fotografie a audiovizuálních médií.</v>
      </c>
      <c r="R80" s="8" t="str">
        <f>IFERROR(__xludf.DUMMYFUNCTION("""COMPUTED_VALUE"""),"Beroun_dar KG_Vnitřní město.jpg")</f>
        <v>Beroun_dar KG_Vnitřní město.jpg</v>
      </c>
      <c r="S80" s="8"/>
      <c r="T80" s="8" t="str">
        <f>IFERROR(__xludf.DUMMYFUNCTION("""COMPUTED_VALUE"""),"Dar K. Gottwaldovi; Jiří Jeníček, Beroun ve fotografii Jiřího Jeníčka, snímek Vnitřní město, nedatováno, soubor 77 pozitivů A4 v kartonových deskách, Národní muzeum, b.č.; sken: G. Hrzánová, 2021.")</f>
        <v>Dar K. Gottwaldovi; Jiří Jeníček, Beroun ve fotografii Jiřího Jeníčka, snímek Vnitřní město, nedatováno, soubor 77 pozitivů A4 v kartonových deskách, Národní muzeum, b.č.; sken: G. Hrzánová, 2021.</v>
      </c>
      <c r="U80" s="8" t="str">
        <f>IFERROR(__xludf.DUMMYFUNCTION("""COMPUTED_VALUE"""),"Národní muzeum, Sbírka Muzea dělnického hnutí, fond Fotografie a audiovizuálních médií.")</f>
        <v>Národní muzeum, Sbírka Muzea dělnického hnutí, fond Fotografie a audiovizuálních médií.</v>
      </c>
      <c r="V80" s="8" t="str">
        <f>IFERROR(__xludf.DUMMYFUNCTION("""COMPUTED_VALUE"""),"Beroun_dar KG_Textilní závody.jpg")</f>
        <v>Beroun_dar KG_Textilní závody.jpg</v>
      </c>
      <c r="W80" s="8"/>
      <c r="X80" s="8" t="str">
        <f>IFERROR(__xludf.DUMMYFUNCTION("""COMPUTED_VALUE"""),"Dar K. Gottwaldovi; Jiří Jeníček, Beroun ve fotografii Jiřího Jeníčka, snímek Textilní závody, nedatováno, soubor 77 pozitivů A4 v kartonových deskách, Národní muzeum, b.č.; sken: G. Hrzánová, 2021.")</f>
        <v>Dar K. Gottwaldovi; Jiří Jeníček, Beroun ve fotografii Jiřího Jeníčka, snímek Textilní závody, nedatováno, soubor 77 pozitivů A4 v kartonových deskách, Národní muzeum, b.č.; sken: G. Hrzánová, 2021.</v>
      </c>
      <c r="Y80" s="8" t="str">
        <f>IFERROR(__xludf.DUMMYFUNCTION("""COMPUTED_VALUE"""),"Národní muzeum, Sbírka Muzea dělnického hnutí, fond Fotografie a audiovizuálních médií.")</f>
        <v>Národní muzeum, Sbírka Muzea dělnického hnutí, fond Fotografie a audiovizuálních médií.</v>
      </c>
      <c r="Z80" s="8" t="str">
        <f>IFERROR(__xludf.DUMMYFUNCTION("""COMPUTED_VALUE"""),"Beroun_dar KG_bez názvu_učeň.jpg")</f>
        <v>Beroun_dar KG_bez názvu_učeň.jpg</v>
      </c>
      <c r="AA80" s="8"/>
      <c r="AB80" s="8" t="str">
        <f>IFERROR(__xludf.DUMMYFUNCTION("""COMPUTED_VALUE"""),"Dar K. Gottwaldovi; Jiří Jeníček, Beroun ve fotografii Jiřího Jeníčka, snímek bez názvu, nedatováno, soubor 77 pozitivů A4 v kartonových deskách, Národní muzeum, b.č.; sken: G. Hrzánová, 2021.")</f>
        <v>Dar K. Gottwaldovi; Jiří Jeníček, Beroun ve fotografii Jiřího Jeníčka, snímek bez názvu, nedatováno, soubor 77 pozitivů A4 v kartonových deskách, Národní muzeum, b.č.; sken: G. Hrzánová, 2021.</v>
      </c>
      <c r="AC80" s="8" t="str">
        <f>IFERROR(__xludf.DUMMYFUNCTION("""COMPUTED_VALUE"""),"Národní muzeum, Sbírka Muzea dělnického hnutí, fond Fotografie a audiovizuálních médií.")</f>
        <v>Národní muzeum, Sbírka Muzea dělnického hnutí, fond Fotografie a audiovizuálních médií.</v>
      </c>
      <c r="AD80" s="8" t="str">
        <f>IFERROR(__xludf.DUMMYFUNCTION("""COMPUTED_VALUE"""),"Beroun_dar KG_bez názvu_dělník.jpg")</f>
        <v>Beroun_dar KG_bez názvu_dělník.jpg</v>
      </c>
      <c r="AE80" s="8"/>
      <c r="AF80" s="8" t="str">
        <f>IFERROR(__xludf.DUMMYFUNCTION("""COMPUTED_VALUE"""),"Dar K. Gottwaldovi; Jiří Jeníček, Beroun ve fotografii Jiřího Jeníčka, snímek bez názvu, nedatováno, soubor 77 pozitivů A4 v kartonových deskách, Národní muzeum, b.č.; sken: G. Hrzánová, 2021.")</f>
        <v>Dar K. Gottwaldovi; Jiří Jeníček, Beroun ve fotografii Jiřího Jeníčka, snímek bez názvu, nedatováno, soubor 77 pozitivů A4 v kartonových deskách, Národní muzeum, b.č.; sken: G. Hrzánová, 2021.</v>
      </c>
      <c r="AG80" s="8" t="str">
        <f>IFERROR(__xludf.DUMMYFUNCTION("""COMPUTED_VALUE"""),"Národní muzeum, Sbírka Muzea dělnického hnutí, fond Fotografie a audiovizuálních médií.")</f>
        <v>Národní muzeum, Sbírka Muzea dělnického hnutí, fond Fotografie a audiovizuálních médií.</v>
      </c>
      <c r="AH80" s="8" t="str">
        <f>IFERROR(__xludf.DUMMYFUNCTION("""COMPUTED_VALUE"""),"Beroun_dar KG_bez názvu_stařenka.jpg")</f>
        <v>Beroun_dar KG_bez názvu_stařenka.jpg</v>
      </c>
      <c r="AI80" s="8"/>
      <c r="AJ80" s="8" t="str">
        <f>IFERROR(__xludf.DUMMYFUNCTION("""COMPUTED_VALUE"""),"Dar K. Gottwaldovi; Jiří Jeníček, Beroun ve fotografii Jiřího Jeníčka, snímek bez názvu, nedatováno, soubor 77 pozitivů A4 v kartonových deskách, Národní muzeum, b.č.; sken: G. Hrzánová, 2021.")</f>
        <v>Dar K. Gottwaldovi; Jiří Jeníček, Beroun ve fotografii Jiřího Jeníčka, snímek bez názvu, nedatováno, soubor 77 pozitivů A4 v kartonových deskách, Národní muzeum, b.č.; sken: G. Hrzánová, 2021.</v>
      </c>
      <c r="AK80" s="8" t="str">
        <f>IFERROR(__xludf.DUMMYFUNCTION("""COMPUTED_VALUE"""),"Národní muzeum, Sbírka Muzea dělnického hnutí, fond Fotografie a audiovizuálních médií.")</f>
        <v>Národní muzeum, Sbírka Muzea dělnického hnutí, fond Fotografie a audiovizuálních médií.</v>
      </c>
      <c r="AL80" s="8" t="str">
        <f>IFERROR(__xludf.DUMMYFUNCTION("""COMPUTED_VALUE"""),"Beroun_dar KG_Ochránce městské pokladnice klepáček.jpg")</f>
        <v>Beroun_dar KG_Ochránce městské pokladnice klepáček.jpg</v>
      </c>
      <c r="AM80" s="8"/>
      <c r="AN80" s="8" t="str">
        <f>IFERROR(__xludf.DUMMYFUNCTION("""COMPUTED_VALUE"""),"Dar K. Gottwaldovi; Jiří Jeníček, Beroun ve fotografii Jiřího Jeníčka, snímek Ochránce městské pokladnice ""klepáček"", nedatováno, soubor 77 pozitivů A4 v kartonových deskách, Národní muzeum, b.č.; sken: G. Hrzánová, 2021.")</f>
        <v>Dar K. Gottwaldovi; Jiří Jeníček, Beroun ve fotografii Jiřího Jeníčka, snímek Ochránce městské pokladnice "klepáček", nedatováno, soubor 77 pozitivů A4 v kartonových deskách, Národní muzeum, b.č.; sken: G. Hrzánová, 2021.</v>
      </c>
      <c r="AO80" s="8" t="str">
        <f>IFERROR(__xludf.DUMMYFUNCTION("""COMPUTED_VALUE"""),"Národní muzeum, Sbírka Muzea dělnického hnutí, fond Fotografie a audiovizuálních médií.")</f>
        <v>Národní muzeum, Sbírka Muzea dělnického hnutí, fond Fotografie a audiovizuálních médií.</v>
      </c>
    </row>
    <row r="81">
      <c r="A81" s="7">
        <f t="shared" si="1"/>
        <v>80</v>
      </c>
      <c r="B81" s="8" t="str">
        <f>IFERROR(__xludf.DUMMYFUNCTION("""COMPUTED_VALUE"""),"17.0987136")</f>
        <v>17.0987136</v>
      </c>
      <c r="C81" s="8" t="str">
        <f>IFERROR(__xludf.DUMMYFUNCTION("""COMPUTED_VALUE"""),"50.3093303")</f>
        <v>50.3093303</v>
      </c>
      <c r="D81" s="8" t="str">
        <f>IFERROR(__xludf.DUMMYFUNCTION("""COMPUTED_VALUE"""),"Žulová, živá káčata - průvodní dokumenty")</f>
        <v>Žulová, živá káčata - průvodní dokumenty</v>
      </c>
      <c r="E81" s="8" t="str">
        <f>IFERROR(__xludf.DUMMYFUNCTION("""COMPUTED_VALUE"""),"Dar K. Gottwaldovi; Dne 23. 11. 1951 bylo rychlíkem z vlakové stanice Jeseník zasláno 55 živých káčat jako dar k narozeninám prezidentu Klementu Gottwaldovi. Zásilka byla vydána 24. 11. 1951 v Praze na Wilsonově nádraží. O osudu tohoto daru není v současn"&amp;"osti nic známo.
Dar je doložen záznamem na Spěšninovém lístku č. 384. Archiv Národního muzea, fond Sbírky Muzea dělnického hnutí - Muzeum Klementa Gottwalda, nezpracováno.
")</f>
        <v>Dar K. Gottwaldovi; Dne 23. 11. 1951 bylo rychlíkem z vlakové stanice Jeseník zasláno 55 živých káčat jako dar k narozeninám prezidentu Klementu Gottwaldovi. Zásilka byla vydána 24. 11. 1951 v Praze na Wilsonově nádraží. O osudu tohoto daru není v současnosti nic známo.
Dar je doložen záznamem na Spěšninovém lístku č. 384. Archiv Národního muzea, fond Sbírky Muzea dělnického hnutí - Muzeum Klementa Gottwalda, nezpracováno.
</v>
      </c>
      <c r="F81" s="8" t="str">
        <f>IFERROR(__xludf.DUMMYFUNCTION("""COMPUTED_VALUE"""),"dokumenty")</f>
        <v>dokumenty</v>
      </c>
      <c r="G81" s="8" t="str">
        <f>IFERROR(__xludf.DUMMYFUNCTION("""COMPUTED_VALUE"""),"Hmotné dary")</f>
        <v>Hmotné dary</v>
      </c>
      <c r="H81" s="8"/>
      <c r="I81" s="9" t="str">
        <f>IFERROR(__xludf.DUMMYFUNCTION("""COMPUTED_VALUE"""),"1951")</f>
        <v>1951</v>
      </c>
      <c r="J81" s="8"/>
      <c r="K81" s="8" t="str">
        <f>IFERROR(__xludf.DUMMYFUNCTION("""COMPUTED_VALUE"""),"Československé státní statky, statek Žulová")</f>
        <v>Československé státní statky, statek Žulová</v>
      </c>
      <c r="L81" s="8" t="str">
        <f>IFERROR(__xludf.DUMMYFUNCTION("""COMPUTED_VALUE"""),"Archiv Národního muzea, fond Sbírky Muzea dělnického hnutí - Muzeum Klementa Gottwalda, nezpracováno.")</f>
        <v>Archiv Národního muzea, fond Sbírky Muzea dělnického hnutí - Muzeum Klementa Gottwalda, nezpracováno.</v>
      </c>
      <c r="M81" s="8"/>
      <c r="N81" s="8" t="str">
        <f>IFERROR(__xludf.DUMMYFUNCTION("""COMPUTED_VALUE"""),"Žulová, káčata.jpg")</f>
        <v>Žulová, káčata.jpg</v>
      </c>
      <c r="O81" s="8"/>
      <c r="P81" s="8" t="str">
        <f>IFERROR(__xludf.DUMMYFUNCTION("""COMPUTED_VALUE"""),"Spěšninový lístek zásilky s darem pro Klementa Gottwalda k 55. narozeninám. Dokumentační foto.")</f>
        <v>Spěšninový lístek zásilky s darem pro Klementa Gottwalda k 55. narozeninám. Dokumentační foto.</v>
      </c>
      <c r="Q81" s="8" t="str">
        <f>IFERROR(__xludf.DUMMYFUNCTION("""COMPUTED_VALUE"""),"Archiv Národního muzea, fond Sbírky Muzea dělnického hnutí - Muzeum Klementa Gottwalda, nezpracováno.")</f>
        <v>Archiv Národního muzea, fond Sbírky Muzea dělnického hnutí - Muzeum Klementa Gottwalda, nezpracováno.</v>
      </c>
      <c r="R81" s="8"/>
      <c r="S81" s="8"/>
      <c r="T81" s="8"/>
      <c r="U81" s="8"/>
      <c r="V81" s="8"/>
      <c r="W81" s="8"/>
      <c r="X81" s="8"/>
      <c r="Y81" s="8"/>
      <c r="Z81" s="8"/>
      <c r="AA81" s="8"/>
      <c r="AB81" s="8"/>
      <c r="AC81" s="8"/>
      <c r="AD81" s="8"/>
      <c r="AE81" s="8"/>
      <c r="AF81" s="8"/>
      <c r="AG81" s="8"/>
      <c r="AH81" s="8"/>
      <c r="AI81" s="8"/>
      <c r="AJ81" s="8"/>
      <c r="AK81" s="8"/>
      <c r="AL81" s="8"/>
      <c r="AM81" s="8"/>
      <c r="AN81" s="8"/>
      <c r="AO81" s="8"/>
    </row>
    <row r="82">
      <c r="A82" s="7">
        <f t="shared" si="1"/>
        <v>81</v>
      </c>
      <c r="B82" s="8" t="str">
        <f>IFERROR(__xludf.DUMMYFUNCTION("""COMPUTED_VALUE"""),"14.5156607")</f>
        <v>14.5156607</v>
      </c>
      <c r="C82" s="8" t="str">
        <f>IFERROR(__xludf.DUMMYFUNCTION("""COMPUTED_VALUE"""),"50.1103651")</f>
        <v>50.1103651</v>
      </c>
      <c r="D82" s="8" t="str">
        <f>IFERROR(__xludf.DUMMYFUNCTION("""COMPUTED_VALUE"""),"Praha, plastika Slévač")</f>
        <v>Praha, plastika Slévač</v>
      </c>
      <c r="E82" s="8" t="str">
        <f>IFERROR(__xludf.DUMMYFUNCTION("""COMPUTED_VALUE"""),"Dar K. Gottwaldovi; Šanda; Slévač; bronz, kamenný sokl; 1947; Národní muzeum; H11U-464. ")</f>
        <v>Dar K. Gottwaldovi; Šanda; Slévač; bronz, kamenný sokl; 1947; Národní muzeum; H11U-464. </v>
      </c>
      <c r="F82" s="8" t="str">
        <f>IFERROR(__xludf.DUMMYFUNCTION("""COMPUTED_VALUE"""),"umělecká díla")</f>
        <v>umělecká díla</v>
      </c>
      <c r="G82" s="8" t="str">
        <f>IFERROR(__xludf.DUMMYFUNCTION("""COMPUTED_VALUE"""),"Hmotné dary")</f>
        <v>Hmotné dary</v>
      </c>
      <c r="H82" s="8"/>
      <c r="I82" s="9" t="str">
        <f>IFERROR(__xludf.DUMMYFUNCTION("""COMPUTED_VALUE"""),"1948")</f>
        <v>1948</v>
      </c>
      <c r="J82" s="8"/>
      <c r="K82" s="8" t="str">
        <f>IFERROR(__xludf.DUMMYFUNCTION("""COMPUTED_VALUE"""),"ČKD (Kolbenka)")</f>
        <v>ČKD (Kolbenka)</v>
      </c>
      <c r="L82" s="8" t="str">
        <f>IFERROR(__xludf.DUMMYFUNCTION("""COMPUTED_VALUE"""),"Národní muzeum, Sbírka Muzea dělnického hnutí, fond Výtvarné umění. ")</f>
        <v>Národní muzeum, Sbírka Muzea dělnického hnutí, fond Výtvarné umění. </v>
      </c>
      <c r="M82" s="8"/>
      <c r="N82" s="8" t="str">
        <f>IFERROR(__xludf.DUMMYFUNCTION("""COMPUTED_VALUE"""),"H11U-1351_01.JPG")</f>
        <v>H11U-1351_01.JPG</v>
      </c>
      <c r="O82" s="8"/>
      <c r="P82" s="8" t="str">
        <f>IFERROR(__xludf.DUMMYFUNCTION("""COMPUTED_VALUE"""),"Dar K. Gottwaldovi; Šanda; Slévač; bronz, kamenný sokl; 1947; Národní muzeum; H11U-464; foto: O. Tlapáková, 2020.")</f>
        <v>Dar K. Gottwaldovi; Šanda; Slévač; bronz, kamenný sokl; 1947; Národní muzeum; H11U-464; foto: O. Tlapáková, 2020.</v>
      </c>
      <c r="Q82" s="8" t="str">
        <f>IFERROR(__xludf.DUMMYFUNCTION("""COMPUTED_VALUE"""),"Národní muzeum, Sbírka Muzea dělnického hnutí, fond Výtvarné umění. ")</f>
        <v>Národní muzeum, Sbírka Muzea dělnického hnutí, fond Výtvarné umění. </v>
      </c>
      <c r="R82" s="8" t="str">
        <f>IFERROR(__xludf.DUMMYFUNCTION("""COMPUTED_VALUE"""),"H11U-1351_věnování.JPG")</f>
        <v>H11U-1351_věnování.JPG</v>
      </c>
      <c r="S82" s="8"/>
      <c r="T82" s="8" t="str">
        <f>IFERROR(__xludf.DUMMYFUNCTION("""COMPUTED_VALUE"""),"Dar K. Gottwaldovi; Šanda; Slévač; bronz, kamenný sokl; 1947; Národní muzeum; H11U-464; foto: O. Tlapáková, 2020 - detail věnování.")</f>
        <v>Dar K. Gottwaldovi; Šanda; Slévač; bronz, kamenný sokl; 1947; Národní muzeum; H11U-464; foto: O. Tlapáková, 2020 - detail věnování.</v>
      </c>
      <c r="U82" s="8" t="str">
        <f>IFERROR(__xludf.DUMMYFUNCTION("""COMPUTED_VALUE"""),"Národní muzeum, Sbírka Muzea dělnického hnutí, fond Výtvarné umění. ")</f>
        <v>Národní muzeum, Sbírka Muzea dělnického hnutí, fond Výtvarné umění. </v>
      </c>
      <c r="V82" s="8"/>
      <c r="W82" s="8"/>
      <c r="X82" s="8"/>
      <c r="Y82" s="8"/>
      <c r="Z82" s="8"/>
      <c r="AA82" s="8"/>
      <c r="AB82" s="8"/>
      <c r="AC82" s="8"/>
      <c r="AD82" s="8"/>
      <c r="AE82" s="8"/>
      <c r="AF82" s="8"/>
      <c r="AG82" s="8"/>
      <c r="AH82" s="8"/>
      <c r="AI82" s="8"/>
      <c r="AJ82" s="8"/>
      <c r="AK82" s="8"/>
      <c r="AL82" s="8"/>
      <c r="AM82" s="8"/>
      <c r="AN82" s="8"/>
      <c r="AO82" s="8"/>
    </row>
    <row r="83">
      <c r="A83" s="7">
        <f t="shared" si="1"/>
        <v>82</v>
      </c>
      <c r="B83" s="8" t="str">
        <f>IFERROR(__xludf.DUMMYFUNCTION("""COMPUTED_VALUE"""),"17.189073")</f>
        <v>17.189073</v>
      </c>
      <c r="C83" s="8" t="str">
        <f>IFERROR(__xludf.DUMMYFUNCTION("""COMPUTED_VALUE"""),"50.2399839")</f>
        <v>50.2399839</v>
      </c>
      <c r="D83" s="8" t="str">
        <f>IFERROR(__xludf.DUMMYFUNCTION("""COMPUTED_VALUE"""),"Lázně Jeseník, tkané obrazy K. Gottwalda a J. V. Stalina")</f>
        <v>Lázně Jeseník, tkané obrazy K. Gottwalda a J. V. Stalina</v>
      </c>
      <c r="E83" s="8" t="str">
        <f>IFERROR(__xludf.DUMMYFUNCTION("""COMPUTED_VALUE"""),"Dar K. Gottwaldovi; Pozdravný dopis a tkané obrazy k 56. narozeninám K. Gottwalda byly dne 22. 11. 1952 osobně předány v Kanceláři presidenta republiky.  Jindřich Turek; Portrét K. Gottwalda; len - strojně vytkávaný vzor; 1952; výroba ARANDAR, tkalcovny a"&amp;" úpravny lnu, n. p. Lázně Jeseník; 89 x 69 cm; Národní muzeum; H11U-1743.
Jindřich Turek; Portrét J. V. Stalina; len - strojně vytkávaný vzor; 1952; výroba ARANDAR, tkalcovny a úpravny lnu, n. p. Lázně Jeseník; 89 x 69 cm; Národní muzeum; H11U-1742.
")</f>
        <v>Dar K. Gottwaldovi; Pozdravný dopis a tkané obrazy k 56. narozeninám K. Gottwalda byly dne 22. 11. 1952 osobně předány v Kanceláři presidenta republiky.  Jindřich Turek; Portrét K. Gottwalda; len - strojně vytkávaný vzor; 1952; výroba ARANDAR, tkalcovny a úpravny lnu, n. p. Lázně Jeseník; 89 x 69 cm; Národní muzeum; H11U-1743.
Jindřich Turek; Portrét J. V. Stalina; len - strojně vytkávaný vzor; 1952; výroba ARANDAR, tkalcovny a úpravny lnu, n. p. Lázně Jeseník; 89 x 69 cm; Národní muzeum; H11U-1742.
</v>
      </c>
      <c r="F83" s="8" t="str">
        <f>IFERROR(__xludf.DUMMYFUNCTION("""COMPUTED_VALUE"""),"umělecká díla")</f>
        <v>umělecká díla</v>
      </c>
      <c r="G83" s="8" t="str">
        <f>IFERROR(__xludf.DUMMYFUNCTION("""COMPUTED_VALUE"""),"Hmotné dary")</f>
        <v>Hmotné dary</v>
      </c>
      <c r="H83" s="8"/>
      <c r="I83" s="9" t="str">
        <f>IFERROR(__xludf.DUMMYFUNCTION("""COMPUTED_VALUE"""),"1952")</f>
        <v>1952</v>
      </c>
      <c r="J83" s="8"/>
      <c r="K83" s="8" t="str">
        <f>IFERROR(__xludf.DUMMYFUNCTION("""COMPUTED_VALUE"""),"ARANDAR, tkalcovny a úpravny lnu, n. p.")</f>
        <v>ARANDAR, tkalcovny a úpravny lnu, n. p.</v>
      </c>
      <c r="L83" s="8" t="str">
        <f>IFERROR(__xludf.DUMMYFUNCTION("""COMPUTED_VALUE"""),"Národní muzeum, Sbírka Muzea dělnického hnutí, fond Výtvarné umění.")</f>
        <v>Národní muzeum, Sbírka Muzea dělnického hnutí, fond Výtvarné umění.</v>
      </c>
      <c r="M83" s="8"/>
      <c r="N83" s="8" t="str">
        <f>IFERROR(__xludf.DUMMYFUNCTION("""COMPUTED_VALUE"""),"H11U-1742.jpg")</f>
        <v>H11U-1742.jpg</v>
      </c>
      <c r="O83" s="8"/>
      <c r="P83" s="8" t="str">
        <f>IFERROR(__xludf.DUMMYFUNCTION("""COMPUTED_VALUE"""),"Návrh: Jindřich Turek; Portrét J. V. Stalina; len - strojně vytkávaný vzor; 1952; výroba ARANDAR, tkalcovny a úpravny lnu, n. p. Lázně Jeseník; 89 x 69 cm; Národní muzeum; H11U-1742; sken: G. Hrzánová, 2021.
")</f>
        <v>Návrh: Jindřich Turek; Portrét J. V. Stalina; len - strojně vytkávaný vzor; 1952; výroba ARANDAR, tkalcovny a úpravny lnu, n. p. Lázně Jeseník; 89 x 69 cm; Národní muzeum; H11U-1742; sken: G. Hrzánová, 2021.
</v>
      </c>
      <c r="Q83" s="8" t="str">
        <f>IFERROR(__xludf.DUMMYFUNCTION("""COMPUTED_VALUE"""),"Národní muzeum, Sbírka Muzea dělnického hnutí, fond Výtvarné umění.")</f>
        <v>Národní muzeum, Sbírka Muzea dělnického hnutí, fond Výtvarné umění.</v>
      </c>
      <c r="R83" s="8" t="str">
        <f>IFERROR(__xludf.DUMMYFUNCTION("""COMPUTED_VALUE"""),"H11U-1743.jpg")</f>
        <v>H11U-1743.jpg</v>
      </c>
      <c r="S83" s="8"/>
      <c r="T83" s="8" t="str">
        <f>IFERROR(__xludf.DUMMYFUNCTION("""COMPUTED_VALUE"""),"Návrh: Jindřich Turek; Portrét K. Gottwalda; len - strojně vytkávaný vzor; 1952; výroba ARANDAR, tkalcovny a úpravny lnu, n. p. Lázně Jeseník; 89 x 69 cm; Národní muzeum; H11U-1743; sken: G. Hrzánová, 2021.")</f>
        <v>Návrh: Jindřich Turek; Portrét K. Gottwalda; len - strojně vytkávaný vzor; 1952; výroba ARANDAR, tkalcovny a úpravny lnu, n. p. Lázně Jeseník; 89 x 69 cm; Národní muzeum; H11U-1743; sken: G. Hrzánová, 2021.</v>
      </c>
      <c r="U83" s="8" t="str">
        <f>IFERROR(__xludf.DUMMYFUNCTION("""COMPUTED_VALUE"""),"Národní muzeum, Sbírka Muzea dělnického hnutí, fond Výtvarné umění.")</f>
        <v>Národní muzeum, Sbírka Muzea dělnického hnutí, fond Výtvarné umění.</v>
      </c>
      <c r="V83" s="8"/>
      <c r="W83" s="8"/>
      <c r="X83" s="8"/>
      <c r="Y83" s="8"/>
      <c r="Z83" s="8"/>
      <c r="AA83" s="8"/>
      <c r="AB83" s="8"/>
      <c r="AC83" s="8"/>
      <c r="AD83" s="8"/>
      <c r="AE83" s="8"/>
      <c r="AF83" s="8"/>
      <c r="AG83" s="8"/>
      <c r="AH83" s="8"/>
      <c r="AI83" s="8"/>
      <c r="AJ83" s="8"/>
      <c r="AK83" s="8"/>
      <c r="AL83" s="8"/>
      <c r="AM83" s="8"/>
      <c r="AN83" s="8"/>
      <c r="AO83" s="8"/>
    </row>
    <row r="84">
      <c r="A84" s="7">
        <f t="shared" si="1"/>
        <v>83</v>
      </c>
      <c r="B84" s="8" t="str">
        <f>IFERROR(__xludf.DUMMYFUNCTION("""COMPUTED_VALUE"""),"14.4035044")</f>
        <v>14.4035044</v>
      </c>
      <c r="C84" s="8" t="str">
        <f>IFERROR(__xludf.DUMMYFUNCTION("""COMPUTED_VALUE"""),"50.0888163")</f>
        <v>50.0888163</v>
      </c>
      <c r="D84" s="8" t="str">
        <f>IFERROR(__xludf.DUMMYFUNCTION("""COMPUTED_VALUE"""),"Praha, báseň a malovaný šátek - nezachované")</f>
        <v>Praha, báseň a malovaný šátek - nezachované</v>
      </c>
      <c r="E84" s="8" t="str">
        <f>IFERROR(__xludf.DUMMYFUNCTION("""COMPUTED_VALUE"""),"Báseň Vítězný únor 1948; autor: pplk. Vacek; 1949. 
Šátek, hedvábný ručně malovaný s lidovými ornamenty, znakem KSČ, letopočty 1896-1949, iniciálami KG a SNB; autor: vrchní strážmistr Jaroslav Růžička; 1949. 
Informace o daru jsou převzaty ze spisové agen"&amp;"dy kanceláře. Šátek byl předán do sbírky darů.
")</f>
        <v>Báseň Vítězný únor 1948; autor: pplk. Vacek; 1949. 
Šátek, hedvábný ručně malovaný s lidovými ornamenty, znakem KSČ, letopočty 1896-1949, iniciálami KG a SNB; autor: vrchní strážmistr Jaroslav Růžička; 1949. 
Informace o daru jsou převzaty ze spisové agendy kanceláře. Šátek byl předán do sbírky darů.
</v>
      </c>
      <c r="F84" s="8" t="str">
        <f>IFERROR(__xludf.DUMMYFUNCTION("""COMPUTED_VALUE"""),"dokumenty")</f>
        <v>dokumenty</v>
      </c>
      <c r="G84" s="8" t="str">
        <f>IFERROR(__xludf.DUMMYFUNCTION("""COMPUTED_VALUE"""),"Hmotné dary")</f>
        <v>Hmotné dary</v>
      </c>
      <c r="H84" s="8"/>
      <c r="I84" s="9" t="str">
        <f>IFERROR(__xludf.DUMMYFUNCTION("""COMPUTED_VALUE"""),"1949")</f>
        <v>1949</v>
      </c>
      <c r="J84" s="8"/>
      <c r="K84" s="8" t="str">
        <f>IFERROR(__xludf.DUMMYFUNCTION("""COMPUTED_VALUE"""),"Ministerstvo vnitra, velitelství Veřejné bezpečnosti")</f>
        <v>Ministerstvo vnitra, velitelství Veřejné bezpečnosti</v>
      </c>
      <c r="L84" s="8" t="str">
        <f>IFERROR(__xludf.DUMMYFUNCTION("""COMPUTED_VALUE"""),"Archiv Kanceláře prezidenta republiky, inv. č. 24316, k 608.")</f>
        <v>Archiv Kanceláře prezidenta republiky, inv. č. 24316, k 608.</v>
      </c>
      <c r="M84" s="8"/>
      <c r="N84" s="8" t="str">
        <f>IFERROR(__xludf.DUMMYFUNCTION("""COMPUTED_VALUE"""),"KPR_01.jpg")</f>
        <v>KPR_01.jpg</v>
      </c>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row>
    <row r="85">
      <c r="A85" s="7">
        <f t="shared" si="1"/>
        <v>84</v>
      </c>
      <c r="B85" s="8" t="str">
        <f>IFERROR(__xludf.DUMMYFUNCTION("""COMPUTED_VALUE"""),"17.993563")</f>
        <v>17.993563</v>
      </c>
      <c r="C85" s="8" t="str">
        <f>IFERROR(__xludf.DUMMYFUNCTION("""COMPUTED_VALUE"""),"49.3381397")</f>
        <v>49.3381397</v>
      </c>
      <c r="D85" s="8" t="str">
        <f>IFERROR(__xludf.DUMMYFUNCTION("""COMPUTED_VALUE"""),"Vsetín, papuče, valaška, košile a pokrývka - nezachované")</f>
        <v>Vsetín, papuče, valaška, košile a pokrývka - nezachované</v>
      </c>
      <c r="E85" s="8" t="str">
        <f>IFERROR(__xludf.DUMMYFUNCTION("""COMPUTED_VALUE"""),"Předměty předané přednostovi Kanceláře prezidenta republiky delegací Místního národního výboru Vsetín 21. 11. 1949 k narozeninám K. Gottwalda: papuče (předány do domácnosti prezidenta); valaška a vyšívaná košile s perleťovou broží (předáno do muzea darů);"&amp;" ozdobná pokrývka (předána do domácnosti prezidenta). 
Informace o daru jsou převzaty ze spisové agendy kanceláře.
")</f>
        <v>Předměty předané přednostovi Kanceláře prezidenta republiky delegací Místního národního výboru Vsetín 21. 11. 1949 k narozeninám K. Gottwalda: papuče (předány do domácnosti prezidenta); valaška a vyšívaná košile s perleťovou broží (předáno do muzea darů); ozdobná pokrývka (předána do domácnosti prezidenta). 
Informace o daru jsou převzaty ze spisové agendy kanceláře.
</v>
      </c>
      <c r="F85" s="8" t="str">
        <f>IFERROR(__xludf.DUMMYFUNCTION("""COMPUTED_VALUE"""),"dokumenty")</f>
        <v>dokumenty</v>
      </c>
      <c r="G85" s="8" t="str">
        <f>IFERROR(__xludf.DUMMYFUNCTION("""COMPUTED_VALUE"""),"Hmotné dary")</f>
        <v>Hmotné dary</v>
      </c>
      <c r="H85" s="8"/>
      <c r="I85" s="9" t="str">
        <f>IFERROR(__xludf.DUMMYFUNCTION("""COMPUTED_VALUE"""),"1949")</f>
        <v>1949</v>
      </c>
      <c r="J85" s="8"/>
      <c r="K85" s="8" t="str">
        <f>IFERROR(__xludf.DUMMYFUNCTION("""COMPUTED_VALUE"""),"Místní národní výbor Vsetín")</f>
        <v>Místní národní výbor Vsetín</v>
      </c>
      <c r="L85" s="8" t="str">
        <f>IFERROR(__xludf.DUMMYFUNCTION("""COMPUTED_VALUE"""),"Archiv Kanceláře prezidenta republiky, inv. č. 24316, k 608.")</f>
        <v>Archiv Kanceláře prezidenta republiky, inv. č. 24316, k 608.</v>
      </c>
      <c r="M85" s="8"/>
      <c r="N85" s="8" t="str">
        <f>IFERROR(__xludf.DUMMYFUNCTION("""COMPUTED_VALUE"""),"KPR_02.jpg")</f>
        <v>KPR_02.jpg</v>
      </c>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row>
    <row r="86">
      <c r="A86" s="7">
        <f t="shared" si="1"/>
        <v>85</v>
      </c>
      <c r="B86" s="8" t="str">
        <f>IFERROR(__xludf.DUMMYFUNCTION("""COMPUTED_VALUE"""),"15.1902854")</f>
        <v>15.1902854</v>
      </c>
      <c r="C86" s="8" t="str">
        <f>IFERROR(__xludf.DUMMYFUNCTION("""COMPUTED_VALUE"""),"49.1211903")</f>
        <v>49.1211903</v>
      </c>
      <c r="D86" s="8" t="str">
        <f>IFERROR(__xludf.DUMMYFUNCTION("""COMPUTED_VALUE"""),"Kunžak, bavlněné punčochy - nezachované")</f>
        <v>Kunžak, bavlněné punčochy - nezachované</v>
      </c>
      <c r="E86" s="8" t="str">
        <f>IFERROR(__xludf.DUMMYFUNCTION("""COMPUTED_VALUE"""),"Předměty předané přednostovi Kanceláře prezidenta republiky delegací Místního národního výboru Kunžak 21. 11. 1949 k narozeninám K. Gottwalda: krabice pleteného zboží o pěti balíčcích bavlněných punčoch (předáno do domácnosti prezidenta). 
Informace o dar"&amp;"u jsou převzaty ze spisové agendy kanceláře.")</f>
        <v>Předměty předané přednostovi Kanceláře prezidenta republiky delegací Místního národního výboru Kunžak 21. 11. 1949 k narozeninám K. Gottwalda: krabice pleteného zboží o pěti balíčcích bavlněných punčoch (předáno do domácnosti prezidenta). 
Informace o daru jsou převzaty ze spisové agendy kanceláře.</v>
      </c>
      <c r="F86" s="8" t="str">
        <f>IFERROR(__xludf.DUMMYFUNCTION("""COMPUTED_VALUE"""),"dokumenty")</f>
        <v>dokumenty</v>
      </c>
      <c r="G86" s="8" t="str">
        <f>IFERROR(__xludf.DUMMYFUNCTION("""COMPUTED_VALUE"""),"Hmotné dary")</f>
        <v>Hmotné dary</v>
      </c>
      <c r="H86" s="8"/>
      <c r="I86" s="9" t="str">
        <f>IFERROR(__xludf.DUMMYFUNCTION("""COMPUTED_VALUE"""),"1949")</f>
        <v>1949</v>
      </c>
      <c r="J86" s="8"/>
      <c r="K86" s="8" t="str">
        <f>IFERROR(__xludf.DUMMYFUNCTION("""COMPUTED_VALUE"""),"Místní národní výbor Kunžak")</f>
        <v>Místní národní výbor Kunžak</v>
      </c>
      <c r="L86" s="8" t="str">
        <f>IFERROR(__xludf.DUMMYFUNCTION("""COMPUTED_VALUE"""),"Archiv Kanceláře prezidenta republiky, inv. č. 24316, k 608.")</f>
        <v>Archiv Kanceláře prezidenta republiky, inv. č. 24316, k 608.</v>
      </c>
      <c r="M86" s="8"/>
      <c r="N86" s="8" t="str">
        <f>IFERROR(__xludf.DUMMYFUNCTION("""COMPUTED_VALUE"""),"KPR_03.jpg")</f>
        <v>KPR_03.jpg</v>
      </c>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row>
    <row r="87">
      <c r="A87" s="7">
        <f t="shared" si="1"/>
        <v>86</v>
      </c>
      <c r="B87" s="8" t="str">
        <f>IFERROR(__xludf.DUMMYFUNCTION("""COMPUTED_VALUE"""),"17.1260024")</f>
        <v>17.1260024</v>
      </c>
      <c r="C87" s="8" t="str">
        <f>IFERROR(__xludf.DUMMYFUNCTION("""COMPUTED_VALUE"""),"48.8529391")</f>
        <v>48.8529391</v>
      </c>
      <c r="D87" s="8" t="str">
        <f>IFERROR(__xludf.DUMMYFUNCTION("""COMPUTED_VALUE"""),"Hodonín, kočárek - nezachované")</f>
        <v>Hodonín, kočárek - nezachované</v>
      </c>
      <c r="E87" s="8" t="str">
        <f>IFERROR(__xludf.DUMMYFUNCTION("""COMPUTED_VALUE"""),"Prototyp dětského kočárku pro vnučku K. Gottwalda předala přednostovi Kanceláře prezidenta republiky delegace Lidové družstvo KLADIVO v Hodoníně 22. 12. 1951. Téhož dne byl dar předán do Lán.
Informace o daru jsou převzaty ze spisové agendy kanceláře.")</f>
        <v>Prototyp dětského kočárku pro vnučku K. Gottwalda předala přednostovi Kanceláře prezidenta republiky delegace Lidové družstvo KLADIVO v Hodoníně 22. 12. 1951. Téhož dne byl dar předán do Lán.
Informace o daru jsou převzaty ze spisové agendy kanceláře.</v>
      </c>
      <c r="F87" s="8" t="str">
        <f>IFERROR(__xludf.DUMMYFUNCTION("""COMPUTED_VALUE"""),"dokumenty")</f>
        <v>dokumenty</v>
      </c>
      <c r="G87" s="8" t="str">
        <f>IFERROR(__xludf.DUMMYFUNCTION("""COMPUTED_VALUE"""),"Hmotné dary")</f>
        <v>Hmotné dary</v>
      </c>
      <c r="H87" s="8"/>
      <c r="I87" s="9" t="str">
        <f>IFERROR(__xludf.DUMMYFUNCTION("""COMPUTED_VALUE"""),"1951")</f>
        <v>1951</v>
      </c>
      <c r="J87" s="8"/>
      <c r="K87" s="8" t="str">
        <f>IFERROR(__xludf.DUMMYFUNCTION("""COMPUTED_VALUE"""),"Lidové družstvo KLADIVO v Hodoníně")</f>
        <v>Lidové družstvo KLADIVO v Hodoníně</v>
      </c>
      <c r="L87" s="8" t="str">
        <f>IFERROR(__xludf.DUMMYFUNCTION("""COMPUTED_VALUE"""),"Archiv Kanceláře prezidenta republiky, inv. č. 24316, k 608.")</f>
        <v>Archiv Kanceláře prezidenta republiky, inv. č. 24316, k 608.</v>
      </c>
      <c r="M87" s="8"/>
      <c r="N87" s="8" t="str">
        <f>IFERROR(__xludf.DUMMYFUNCTION("""COMPUTED_VALUE"""),"KPR_04.jpg")</f>
        <v>KPR_04.jpg</v>
      </c>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row>
    <row r="88">
      <c r="A88" s="7">
        <f t="shared" si="1"/>
        <v>87</v>
      </c>
      <c r="B88" s="8" t="str">
        <f>IFERROR(__xludf.DUMMYFUNCTION("""COMPUTED_VALUE"""),"14.5976686")</f>
        <v>14.5976686</v>
      </c>
      <c r="C88" s="8" t="str">
        <f>IFERROR(__xludf.DUMMYFUNCTION("""COMPUTED_VALUE"""),"50.1127167")</f>
        <v>50.1127167</v>
      </c>
      <c r="D88" s="8" t="str">
        <f>IFERROR(__xludf.DUMMYFUNCTION("""COMPUTED_VALUE"""),"Praha - Horní Počernice, zdobené pštrosí vejce z Egypta - nezachované")</f>
        <v>Praha - Horní Počernice, zdobené pštrosí vejce z Egypta - nezachované</v>
      </c>
      <c r="E88" s="8" t="str">
        <f>IFERROR(__xludf.DUMMYFUNCTION("""COMPUTED_VALUE"""),"Zdobené pštrosí vejce (přivezené v roce 1896 otcem dárkyně Aloisem Zelenkou z montáže v cukrovaru v Egyptě) předala společně s dopisem dárkyně přednostovi Kanceláře prezidenta republiky 19. 11. 1952 k narozeninám K. Gottwalda. Vejce předáno do Výstavky da"&amp;"rů, jak si v dopise paní Schusterová přála.
Informace o daru jsou převzaty ze spisové agendy kanceláře.")</f>
        <v>Zdobené pštrosí vejce (přivezené v roce 1896 otcem dárkyně Aloisem Zelenkou z montáže v cukrovaru v Egyptě) předala společně s dopisem dárkyně přednostovi Kanceláře prezidenta republiky 19. 11. 1952 k narozeninám K. Gottwalda. Vejce předáno do Výstavky darů, jak si v dopise paní Schusterová přála.
Informace o daru jsou převzaty ze spisové agendy kanceláře.</v>
      </c>
      <c r="F88" s="8" t="str">
        <f>IFERROR(__xludf.DUMMYFUNCTION("""COMPUTED_VALUE"""),"dokumenty")</f>
        <v>dokumenty</v>
      </c>
      <c r="G88" s="8" t="str">
        <f>IFERROR(__xludf.DUMMYFUNCTION("""COMPUTED_VALUE"""),"Hmotné dary")</f>
        <v>Hmotné dary</v>
      </c>
      <c r="H88" s="8"/>
      <c r="I88" s="9" t="str">
        <f>IFERROR(__xludf.DUMMYFUNCTION("""COMPUTED_VALUE"""),"1952")</f>
        <v>1952</v>
      </c>
      <c r="J88" s="8"/>
      <c r="K88" s="8" t="str">
        <f>IFERROR(__xludf.DUMMYFUNCTION("""COMPUTED_VALUE"""),"Pavla Schusterová - Zelenková")</f>
        <v>Pavla Schusterová - Zelenková</v>
      </c>
      <c r="L88" s="8" t="str">
        <f>IFERROR(__xludf.DUMMYFUNCTION("""COMPUTED_VALUE"""),"Archiv Kanceláře prezidenta republiky, inv. č. 24316, k 608.")</f>
        <v>Archiv Kanceláře prezidenta republiky, inv. č. 24316, k 608.</v>
      </c>
      <c r="M88" s="8"/>
      <c r="N88" s="8" t="str">
        <f>IFERROR(__xludf.DUMMYFUNCTION("""COMPUTED_VALUE"""),"KPR_05.jpg")</f>
        <v>KPR_05.jpg</v>
      </c>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row>
    <row r="89">
      <c r="A89" s="7">
        <f t="shared" si="1"/>
        <v>88</v>
      </c>
      <c r="B89" s="8" t="str">
        <f>IFERROR(__xludf.DUMMYFUNCTION("""COMPUTED_VALUE"""),"14.3987014")</f>
        <v>14.3987014</v>
      </c>
      <c r="C89" s="8" t="str">
        <f>IFERROR(__xludf.DUMMYFUNCTION("""COMPUTED_VALUE"""),"50.0901701")</f>
        <v>50.0901701</v>
      </c>
      <c r="D89" s="8" t="str">
        <f>IFERROR(__xludf.DUMMYFUNCTION("""COMPUTED_VALUE"""),"Praha, brožura Klement Gottwald vzor pracovníka")</f>
        <v>Praha, brožura Klement Gottwald vzor pracovníka</v>
      </c>
      <c r="E89" s="8" t="str">
        <f>IFERROR(__xludf.DUMMYFUNCTION("""COMPUTED_VALUE"""),"Dar K. Gottwaldovi; NEČÁSEK, František. Klement Gottwald, vzor pracovníka: (O několika vlastnostech a zásadách jeho práce a literární tvorby): Přednáška proslovená 18. listopadu 1948 v Ústřední knihovně hl. města Prahy. 1. vyd. Praha: Ministerstvo informa"&amp;"cí a osvěty, 1948. V knize rukopisné věnování: Presidentovi soudruhu Gottwaldovi - v úctě a lásce František Nečásek Vánoce 1948.
V letech 1948-1953 byl František Nečásek přednostou kulturního a tiskového odboru Kanceláře prezidenta republiky.")</f>
        <v>Dar K. Gottwaldovi; NEČÁSEK, František. Klement Gottwald, vzor pracovníka: (O několika vlastnostech a zásadách jeho práce a literární tvorby): Přednáška proslovená 18. listopadu 1948 v Ústřední knihovně hl. města Prahy. 1. vyd. Praha: Ministerstvo informací a osvěty, 1948. V knize rukopisné věnování: Presidentovi soudruhu Gottwaldovi - v úctě a lásce František Nečásek Vánoce 1948.
V letech 1948-1953 byl František Nečásek přednostou kulturního a tiskového odboru Kanceláře prezidenta republiky.</v>
      </c>
      <c r="F89" s="8" t="str">
        <f>IFERROR(__xludf.DUMMYFUNCTION("""COMPUTED_VALUE"""),"dokumenty")</f>
        <v>dokumenty</v>
      </c>
      <c r="G89" s="8" t="str">
        <f>IFERROR(__xludf.DUMMYFUNCTION("""COMPUTED_VALUE"""),"Hmotné dary")</f>
        <v>Hmotné dary</v>
      </c>
      <c r="H89" s="8"/>
      <c r="I89" s="9" t="str">
        <f>IFERROR(__xludf.DUMMYFUNCTION("""COMPUTED_VALUE"""),"1948")</f>
        <v>1948</v>
      </c>
      <c r="J89" s="8"/>
      <c r="K89" s="8" t="str">
        <f>IFERROR(__xludf.DUMMYFUNCTION("""COMPUTED_VALUE"""),"František Nečásek (1913-1968)")</f>
        <v>František Nečásek (1913-1968)</v>
      </c>
      <c r="L89" s="8" t="str">
        <f>IFERROR(__xludf.DUMMYFUNCTION("""COMPUTED_VALUE"""),"Národní muzeum, Sbírka Muzea dělnického hnutí, fond Knihy. ")</f>
        <v>Národní muzeum, Sbírka Muzea dělnického hnutí, fond Knihy. </v>
      </c>
      <c r="M89" s="8"/>
      <c r="N89" s="8" t="str">
        <f>IFERROR(__xludf.DUMMYFUNCTION("""COMPUTED_VALUE"""),"H11K-2_titulka.jpg")</f>
        <v>H11K-2_titulka.jpg</v>
      </c>
      <c r="O89" s="8"/>
      <c r="P89" s="8" t="str">
        <f>IFERROR(__xludf.DUMMYFUNCTION("""COMPUTED_VALUE"""),"NEČÁSEK, František. Klement Gottwald, vzor pracovníka: (O několika vlastnostech a zásadách jeho práce a literární tvorby): Přednáška proslovená 18. listopadu 1948 v Ústřední knihovně hl. města Prahy. 1. vyd. Praha: Ministerstvo informací a osvěty, 1948; s"&amp;"ken: G. Hrzánová, 2021.")</f>
        <v>NEČÁSEK, František. Klement Gottwald, vzor pracovníka: (O několika vlastnostech a zásadách jeho práce a literární tvorby): Přednáška proslovená 18. listopadu 1948 v Ústřední knihovně hl. města Prahy. 1. vyd. Praha: Ministerstvo informací a osvěty, 1948; sken: G. Hrzánová, 2021.</v>
      </c>
      <c r="Q89" s="8" t="str">
        <f>IFERROR(__xludf.DUMMYFUNCTION("""COMPUTED_VALUE"""),"Národní muzeum, Sbírka Muzea dělnického hnutí, fond Knihy.")</f>
        <v>Národní muzeum, Sbírka Muzea dělnického hnutí, fond Knihy.</v>
      </c>
      <c r="R89" s="8" t="str">
        <f>IFERROR(__xludf.DUMMYFUNCTION("""COMPUTED_VALUE"""),"H11K-2_věnování.jpg")</f>
        <v>H11K-2_věnování.jpg</v>
      </c>
      <c r="S89" s="8"/>
      <c r="T89" s="8" t="str">
        <f>IFERROR(__xludf.DUMMYFUNCTION("""COMPUTED_VALUE"""),"NEČÁSEK, František. Klement Gottwald, vzor pracovníka: (O několika vlastnostech a zásadách jeho práce a literární tvorby): Přednáška proslovená 18. listopadu 1948 v Ústřední knihovně hl. města Prahy. 1. vyd. Praha: Ministerstvo informací a osvěty, 1948; s"&amp;"ken: G. Hrzánová, 2021.")</f>
        <v>NEČÁSEK, František. Klement Gottwald, vzor pracovníka: (O několika vlastnostech a zásadách jeho práce a literární tvorby): Přednáška proslovená 18. listopadu 1948 v Ústřední knihovně hl. města Prahy. 1. vyd. Praha: Ministerstvo informací a osvěty, 1948; sken: G. Hrzánová, 2021.</v>
      </c>
      <c r="U89" s="8" t="str">
        <f>IFERROR(__xludf.DUMMYFUNCTION("""COMPUTED_VALUE"""),"Národní muzeum, Sbírka Muzea dělnického hnutí, fond Knihy.")</f>
        <v>Národní muzeum, Sbírka Muzea dělnického hnutí, fond Knihy.</v>
      </c>
      <c r="V89" s="8"/>
      <c r="W89" s="8"/>
      <c r="X89" s="8"/>
      <c r="Y89" s="8"/>
      <c r="Z89" s="8"/>
      <c r="AA89" s="8"/>
      <c r="AB89" s="8"/>
      <c r="AC89" s="8"/>
      <c r="AD89" s="8"/>
      <c r="AE89" s="8"/>
      <c r="AF89" s="8"/>
      <c r="AG89" s="8"/>
      <c r="AH89" s="8"/>
      <c r="AI89" s="8"/>
      <c r="AJ89" s="8"/>
      <c r="AK89" s="8"/>
      <c r="AL89" s="8"/>
      <c r="AM89" s="8"/>
      <c r="AN89" s="8"/>
      <c r="AO89" s="8"/>
    </row>
    <row r="90">
      <c r="A90" s="7">
        <f t="shared" si="1"/>
        <v>89</v>
      </c>
      <c r="B90" s="8" t="str">
        <f>IFERROR(__xludf.DUMMYFUNCTION("""COMPUTED_VALUE"""),"14.1149223")</f>
        <v>14.1149223</v>
      </c>
      <c r="C90" s="8" t="str">
        <f>IFERROR(__xludf.DUMMYFUNCTION("""COMPUTED_VALUE"""),"50.1709674")</f>
        <v>50.1709674</v>
      </c>
      <c r="D90" s="8" t="str">
        <f>IFERROR(__xludf.DUMMYFUNCTION("""COMPUTED_VALUE"""),"Hnidousy, telegram k volbě prezidentem")</f>
        <v>Hnidousy, telegram k volbě prezidentem</v>
      </c>
      <c r="E90" s="8" t="str">
        <f>IFERROR(__xludf.DUMMYFUNCTION("""COMPUTED_VALUE"""),"Telegram K. Gottwaldovi k volbě prezidentem - obec Hnidousy; formulář telegram; 13.6.1948; papír; formát A5.")</f>
        <v>Telegram K. Gottwaldovi k volbě prezidentem - obec Hnidousy; formulář telegram; 13.6.1948; papír; formát A5.</v>
      </c>
      <c r="F90" s="8" t="str">
        <f>IFERROR(__xludf.DUMMYFUNCTION("""COMPUTED_VALUE"""),"dokumenty")</f>
        <v>dokumenty</v>
      </c>
      <c r="G90" s="8" t="str">
        <f>IFERROR(__xludf.DUMMYFUNCTION("""COMPUTED_VALUE"""),"Telegramy")</f>
        <v>Telegramy</v>
      </c>
      <c r="H90" s="8"/>
      <c r="I90" s="9" t="str">
        <f>IFERROR(__xludf.DUMMYFUNCTION("""COMPUTED_VALUE"""),"1948")</f>
        <v>1948</v>
      </c>
      <c r="J90" s="8"/>
      <c r="K90" s="8" t="str">
        <f>IFERROR(__xludf.DUMMYFUNCTION("""COMPUTED_VALUE"""),"Obec Hnidousy")</f>
        <v>Obec Hnidousy</v>
      </c>
      <c r="L90" s="8" t="str">
        <f>IFERROR(__xludf.DUMMYFUNCTION("""COMPUTED_VALUE"""),"Národní muzeum, Archiv NM, Sbírka Muzea dělnického hnutí, sbírka Klement Gottwald - kult osobnosti.")</f>
        <v>Národní muzeum, Archiv NM, Sbírka Muzea dělnického hnutí, sbírka Klement Gottwald - kult osobnosti.</v>
      </c>
      <c r="M90" s="8"/>
      <c r="N90" s="8" t="str">
        <f>IFERROR(__xludf.DUMMYFUNCTION("""COMPUTED_VALUE"""),"1948_Hnidousy_volba.jpg")</f>
        <v>1948_Hnidousy_volba.jpg</v>
      </c>
      <c r="O90" s="8"/>
      <c r="P90" s="8" t="str">
        <f>IFERROR(__xludf.DUMMYFUNCTION("""COMPUTED_VALUE"""),"Telegram K. Gottwaldovi k volbě prezidentem - obec Hnidousy; formulář telegram; 13.6.1948; papír; formát A5; sken: G. Hrzánová, 2021.")</f>
        <v>Telegram K. Gottwaldovi k volbě prezidentem - obec Hnidousy; formulář telegram; 13.6.1948; papír; formát A5; sken: G. Hrzánová, 2021.</v>
      </c>
      <c r="Q90" s="8" t="str">
        <f>IFERROR(__xludf.DUMMYFUNCTION("""COMPUTED_VALUE"""),"Národní muzeum, Archiv NM, Sbírka Muzea dělnického hnutí, sbírka Klement Gottwald - kult osobnosti.")</f>
        <v>Národní muzeum, Archiv NM, Sbírka Muzea dělnického hnutí, sbírka Klement Gottwald - kult osobnosti.</v>
      </c>
      <c r="R90" s="8"/>
      <c r="S90" s="8"/>
      <c r="T90" s="8"/>
      <c r="U90" s="8"/>
      <c r="V90" s="8"/>
      <c r="W90" s="8"/>
      <c r="X90" s="8"/>
      <c r="Y90" s="8"/>
      <c r="Z90" s="8"/>
      <c r="AA90" s="8"/>
      <c r="AB90" s="8"/>
      <c r="AC90" s="8"/>
      <c r="AD90" s="8"/>
      <c r="AE90" s="8"/>
      <c r="AF90" s="8"/>
      <c r="AG90" s="8"/>
      <c r="AH90" s="8"/>
      <c r="AI90" s="8"/>
      <c r="AJ90" s="8"/>
      <c r="AK90" s="8"/>
      <c r="AL90" s="8"/>
      <c r="AM90" s="8"/>
      <c r="AN90" s="8"/>
      <c r="AO90" s="8"/>
    </row>
    <row r="91">
      <c r="A91" s="7">
        <f t="shared" si="1"/>
        <v>90</v>
      </c>
      <c r="B91" s="8" t="str">
        <f>IFERROR(__xludf.DUMMYFUNCTION("""COMPUTED_VALUE"""),"12.1950127")</f>
        <v>12.1950127</v>
      </c>
      <c r="C91" s="8" t="str">
        <f>IFERROR(__xludf.DUMMYFUNCTION("""COMPUTED_VALUE"""),"50.2238827")</f>
        <v>50.2238827</v>
      </c>
      <c r="D91" s="8" t="str">
        <f>IFERROR(__xludf.DUMMYFUNCTION("""COMPUTED_VALUE"""),"Aš, telegram k volbě prezidentem, závod STEPO")</f>
        <v>Aš, telegram k volbě prezidentem, závod STEPO</v>
      </c>
      <c r="E91" s="8" t="str">
        <f>IFERROR(__xludf.DUMMYFUNCTION("""COMPUTED_VALUE"""),"Telegram K. Gottwaldovi k volbě prezidentem - závod STEPO Aš; formulář telegram; 11.6.1948; papír; formát A5.")</f>
        <v>Telegram K. Gottwaldovi k volbě prezidentem - závod STEPO Aš; formulář telegram; 11.6.1948; papír; formát A5.</v>
      </c>
      <c r="F91" s="8" t="str">
        <f>IFERROR(__xludf.DUMMYFUNCTION("""COMPUTED_VALUE"""),"dokumenty")</f>
        <v>dokumenty</v>
      </c>
      <c r="G91" s="8" t="str">
        <f>IFERROR(__xludf.DUMMYFUNCTION("""COMPUTED_VALUE"""),"Telegramy")</f>
        <v>Telegramy</v>
      </c>
      <c r="H91" s="8"/>
      <c r="I91" s="9" t="str">
        <f>IFERROR(__xludf.DUMMYFUNCTION("""COMPUTED_VALUE"""),"1948")</f>
        <v>1948</v>
      </c>
      <c r="J91" s="8"/>
      <c r="K91" s="8" t="str">
        <f>IFERROR(__xludf.DUMMYFUNCTION("""COMPUTED_VALUE"""),"závod STEPO Aš")</f>
        <v>závod STEPO Aš</v>
      </c>
      <c r="L91" s="8" t="str">
        <f>IFERROR(__xludf.DUMMYFUNCTION("""COMPUTED_VALUE"""),"Národní muzeum, Archiv NM, Sbírka Muzea dělnického hnutí, sbírka Klement Gottwald - kult osobnosti.")</f>
        <v>Národní muzeum, Archiv NM, Sbírka Muzea dělnického hnutí, sbírka Klement Gottwald - kult osobnosti.</v>
      </c>
      <c r="M91" s="8"/>
      <c r="N91" s="8" t="str">
        <f>IFERROR(__xludf.DUMMYFUNCTION("""COMPUTED_VALUE"""),"1948, Aš, závod STEPO, telegram k volbě prezidentem.jpg")</f>
        <v>1948, Aš, závod STEPO, telegram k volbě prezidentem.jpg</v>
      </c>
      <c r="O91" s="8"/>
      <c r="P91" s="8" t="str">
        <f>IFERROR(__xludf.DUMMYFUNCTION("""COMPUTED_VALUE"""),"Telegram K. Gottwaldovi k volbě prezidentem - závod STEPO Aš; formulář telegram; 11.6.1948; papír; formát A5; sken: G. Hrzánová, 2021.")</f>
        <v>Telegram K. Gottwaldovi k volbě prezidentem - závod STEPO Aš; formulář telegram; 11.6.1948; papír; formát A5; sken: G. Hrzánová, 2021.</v>
      </c>
      <c r="Q91" s="8" t="str">
        <f>IFERROR(__xludf.DUMMYFUNCTION("""COMPUTED_VALUE"""),"Národní muzeum, Archiv NM, Sbírka Muzea dělnického hnutí, sbírka Klement Gottwald - kult osobnosti.")</f>
        <v>Národní muzeum, Archiv NM, Sbírka Muzea dělnického hnutí, sbírka Klement Gottwald - kult osobnosti.</v>
      </c>
      <c r="R91" s="8"/>
      <c r="S91" s="8"/>
      <c r="T91" s="8"/>
      <c r="U91" s="8"/>
      <c r="V91" s="8"/>
      <c r="W91" s="8"/>
      <c r="X91" s="8"/>
      <c r="Y91" s="8"/>
      <c r="Z91" s="8"/>
      <c r="AA91" s="8"/>
      <c r="AB91" s="8"/>
      <c r="AC91" s="8"/>
      <c r="AD91" s="8"/>
      <c r="AE91" s="8"/>
      <c r="AF91" s="8"/>
      <c r="AG91" s="8"/>
      <c r="AH91" s="8"/>
      <c r="AI91" s="8"/>
      <c r="AJ91" s="8"/>
      <c r="AK91" s="8"/>
      <c r="AL91" s="8"/>
      <c r="AM91" s="8"/>
      <c r="AN91" s="8"/>
      <c r="AO91" s="8"/>
    </row>
    <row r="92">
      <c r="A92" s="7">
        <f t="shared" si="1"/>
        <v>91</v>
      </c>
      <c r="B92" s="8" t="str">
        <f>IFERROR(__xludf.DUMMYFUNCTION("""COMPUTED_VALUE"""),"15.222983")</f>
        <v>15.222983</v>
      </c>
      <c r="C92" s="8" t="str">
        <f>IFERROR(__xludf.DUMMYFUNCTION("""COMPUTED_VALUE"""),"49.4306207")</f>
        <v>49.4306207</v>
      </c>
      <c r="D92" s="8" t="str">
        <f>IFERROR(__xludf.DUMMYFUNCTION("""COMPUTED_VALUE"""),"Pelhřimov, telegram k volbě prezidentem")</f>
        <v>Pelhřimov, telegram k volbě prezidentem</v>
      </c>
      <c r="E92" s="8" t="str">
        <f>IFERROR(__xludf.DUMMYFUNCTION("""COMPUTED_VALUE"""),"Telegram K. Gottwaldovi k volbě prezidentem - firma Matějka s.s. Pelhřimov; formulář telegram; 11.6.1948; papír; formát A5.")</f>
        <v>Telegram K. Gottwaldovi k volbě prezidentem - firma Matějka s.s. Pelhřimov; formulář telegram; 11.6.1948; papír; formát A5.</v>
      </c>
      <c r="F92" s="8" t="str">
        <f>IFERROR(__xludf.DUMMYFUNCTION("""COMPUTED_VALUE"""),"dokumenty")</f>
        <v>dokumenty</v>
      </c>
      <c r="G92" s="8" t="str">
        <f>IFERROR(__xludf.DUMMYFUNCTION("""COMPUTED_VALUE"""),"Telegramy")</f>
        <v>Telegramy</v>
      </c>
      <c r="H92" s="8"/>
      <c r="I92" s="9" t="str">
        <f>IFERROR(__xludf.DUMMYFUNCTION("""COMPUTED_VALUE"""),"1948")</f>
        <v>1948</v>
      </c>
      <c r="J92" s="8"/>
      <c r="K92" s="8" t="str">
        <f>IFERROR(__xludf.DUMMYFUNCTION("""COMPUTED_VALUE"""),"Závodní organizace a předsednictvi firmy Matějka Aš")</f>
        <v>Závodní organizace a předsednictvi firmy Matějka Aš</v>
      </c>
      <c r="L92" s="8" t="str">
        <f>IFERROR(__xludf.DUMMYFUNCTION("""COMPUTED_VALUE"""),"Národní muzeum, Archiv NM, Sbírka Muzea dělnického hnutí, sbírka Klement Gottwald - kult osobnosti.")</f>
        <v>Národní muzeum, Archiv NM, Sbírka Muzea dělnického hnutí, sbírka Klement Gottwald - kult osobnosti.</v>
      </c>
      <c r="M92" s="8"/>
      <c r="N92" s="8" t="str">
        <f>IFERROR(__xludf.DUMMYFUNCTION("""COMPUTED_VALUE"""),"1948, Pelhřimov, firma Matějka, telegram K Gottwaldovi k volbě prezidentem.jpg")</f>
        <v>1948, Pelhřimov, firma Matějka, telegram K Gottwaldovi k volbě prezidentem.jpg</v>
      </c>
      <c r="O92" s="8"/>
      <c r="P92" s="8" t="str">
        <f>IFERROR(__xludf.DUMMYFUNCTION("""COMPUTED_VALUE"""),"Telegram K. Gottwaldovi k volbě prezidentem - firma Matějka s.s. Pelhřimov; formulář telegram; 11.6.1948; papír; formát A5; sken: G. Hrzánová, 2021.")</f>
        <v>Telegram K. Gottwaldovi k volbě prezidentem - firma Matějka s.s. Pelhřimov; formulář telegram; 11.6.1948; papír; formát A5; sken: G. Hrzánová, 2021.</v>
      </c>
      <c r="Q92" s="8" t="str">
        <f>IFERROR(__xludf.DUMMYFUNCTION("""COMPUTED_VALUE"""),"Národní muzeum, Archiv NM, Sbírka Muzea dělnického hnutí, sbírka Klement Gottwald - kult osobnosti.")</f>
        <v>Národní muzeum, Archiv NM, Sbírka Muzea dělnického hnutí, sbírka Klement Gottwald - kult osobnosti.</v>
      </c>
      <c r="R92" s="8"/>
      <c r="S92" s="8"/>
      <c r="T92" s="8"/>
      <c r="U92" s="8"/>
      <c r="V92" s="8"/>
      <c r="W92" s="8"/>
      <c r="X92" s="8"/>
      <c r="Y92" s="8"/>
      <c r="Z92" s="8"/>
      <c r="AA92" s="8"/>
      <c r="AB92" s="8"/>
      <c r="AC92" s="8"/>
      <c r="AD92" s="8"/>
      <c r="AE92" s="8"/>
      <c r="AF92" s="8"/>
      <c r="AG92" s="8"/>
      <c r="AH92" s="8"/>
      <c r="AI92" s="8"/>
      <c r="AJ92" s="8"/>
      <c r="AK92" s="8"/>
      <c r="AL92" s="8"/>
      <c r="AM92" s="8"/>
      <c r="AN92" s="8"/>
      <c r="AO92" s="8"/>
    </row>
    <row r="93">
      <c r="A93" s="7">
        <f t="shared" si="1"/>
        <v>92</v>
      </c>
      <c r="B93" s="8" t="str">
        <f>IFERROR(__xludf.DUMMYFUNCTION("""COMPUTED_VALUE"""),"13.1629837")</f>
        <v>13.1629837</v>
      </c>
      <c r="C93" s="8" t="str">
        <f>IFERROR(__xludf.DUMMYFUNCTION("""COMPUTED_VALUE"""),"50.0919285")</f>
        <v>50.0919285</v>
      </c>
      <c r="D93" s="8" t="str">
        <f>IFERROR(__xludf.DUMMYFUNCTION("""COMPUTED_VALUE"""),"Žlutice, telegram k volbě prezidentem")</f>
        <v>Žlutice, telegram k volbě prezidentem</v>
      </c>
      <c r="E93" s="8" t="str">
        <f>IFERROR(__xludf.DUMMYFUNCTION("""COMPUTED_VALUE"""),"Telegram K. Gottwaldovi k volbě prezidentem - Jednotný svaz zemědělců; formulář telegram; 11.6.1948; papír; formát A5.")</f>
        <v>Telegram K. Gottwaldovi k volbě prezidentem - Jednotný svaz zemědělců; formulář telegram; 11.6.1948; papír; formát A5.</v>
      </c>
      <c r="F93" s="8" t="str">
        <f>IFERROR(__xludf.DUMMYFUNCTION("""COMPUTED_VALUE"""),"dokumenty")</f>
        <v>dokumenty</v>
      </c>
      <c r="G93" s="8" t="str">
        <f>IFERROR(__xludf.DUMMYFUNCTION("""COMPUTED_VALUE"""),"Telegramy")</f>
        <v>Telegramy</v>
      </c>
      <c r="H93" s="8"/>
      <c r="I93" s="9" t="str">
        <f>IFERROR(__xludf.DUMMYFUNCTION("""COMPUTED_VALUE"""),"1948")</f>
        <v>1948</v>
      </c>
      <c r="J93" s="8"/>
      <c r="K93" s="8" t="str">
        <f>IFERROR(__xludf.DUMMYFUNCTION("""COMPUTED_VALUE"""),"Jednotný svaz zemědělců")</f>
        <v>Jednotný svaz zemědělců</v>
      </c>
      <c r="L93" s="8" t="str">
        <f>IFERROR(__xludf.DUMMYFUNCTION("""COMPUTED_VALUE"""),"Národní muzeum, Archiv NM, Sbírka Muzea dělnického hnutí, sbírka Klement Gottwald - kult osobnosti.")</f>
        <v>Národní muzeum, Archiv NM, Sbírka Muzea dělnického hnutí, sbírka Klement Gottwald - kult osobnosti.</v>
      </c>
      <c r="M93" s="8"/>
      <c r="N93" s="8" t="str">
        <f>IFERROR(__xludf.DUMMYFUNCTION("""COMPUTED_VALUE"""),"1948, Žlutice, Jednotný svaz zemědělců, telegram K Gottwaldovi k volbě prezidentem.jpg")</f>
        <v>1948, Žlutice, Jednotný svaz zemědělců, telegram K Gottwaldovi k volbě prezidentem.jpg</v>
      </c>
      <c r="O93" s="8"/>
      <c r="P93" s="8" t="str">
        <f>IFERROR(__xludf.DUMMYFUNCTION("""COMPUTED_VALUE"""),"Telegram K. Gottwaldovi k volbě prezidentem - Jednotný svaz zemědělců; formulář telegram; 11.6.1948; papír; formát A5; sken: G. Hrzánová, 2021.")</f>
        <v>Telegram K. Gottwaldovi k volbě prezidentem - Jednotný svaz zemědělců; formulář telegram; 11.6.1948; papír; formát A5; sken: G. Hrzánová, 2021.</v>
      </c>
      <c r="Q93" s="8" t="str">
        <f>IFERROR(__xludf.DUMMYFUNCTION("""COMPUTED_VALUE"""),"Národní muzeum, Archiv NM, Sbírka Muzea dělnického hnutí, sbírka Klement Gottwald - kult osobnosti.")</f>
        <v>Národní muzeum, Archiv NM, Sbírka Muzea dělnického hnutí, sbírka Klement Gottwald - kult osobnosti.</v>
      </c>
      <c r="R93" s="8"/>
      <c r="S93" s="8"/>
      <c r="T93" s="8"/>
      <c r="U93" s="8"/>
      <c r="V93" s="8"/>
      <c r="W93" s="8"/>
      <c r="X93" s="8"/>
      <c r="Y93" s="8"/>
      <c r="Z93" s="8"/>
      <c r="AA93" s="8"/>
      <c r="AB93" s="8"/>
      <c r="AC93" s="8"/>
      <c r="AD93" s="8"/>
      <c r="AE93" s="8"/>
      <c r="AF93" s="8"/>
      <c r="AG93" s="8"/>
      <c r="AH93" s="8"/>
      <c r="AI93" s="8"/>
      <c r="AJ93" s="8"/>
      <c r="AK93" s="8"/>
      <c r="AL93" s="8"/>
      <c r="AM93" s="8"/>
      <c r="AN93" s="8"/>
      <c r="AO93" s="8"/>
    </row>
    <row r="94">
      <c r="A94" s="7">
        <f t="shared" si="1"/>
        <v>93</v>
      </c>
      <c r="B94" s="8" t="str">
        <f>IFERROR(__xludf.DUMMYFUNCTION("""COMPUTED_VALUE"""),"14.4828842")</f>
        <v>14.4828842</v>
      </c>
      <c r="C94" s="8" t="str">
        <f>IFERROR(__xludf.DUMMYFUNCTION("""COMPUTED_VALUE"""),"50.0503722")</f>
        <v>50.0503722</v>
      </c>
      <c r="D94" s="8" t="str">
        <f>IFERROR(__xludf.DUMMYFUNCTION("""COMPUTED_VALUE"""),"Praha, telegram k volbě prezidentem, Společenstvo výrobců koženého zboží ozdobného")</f>
        <v>Praha, telegram k volbě prezidentem, Společenstvo výrobců koženého zboží ozdobného</v>
      </c>
      <c r="E94" s="8" t="str">
        <f>IFERROR(__xludf.DUMMYFUNCTION("""COMPUTED_VALUE"""),"Telegram K. Gottwaldovi k volbě prezidentem - Společenstvo výrobců koženého zboží ozdobného, Praha; formulář telegram; 12.6.1948; papír; formát A5.")</f>
        <v>Telegram K. Gottwaldovi k volbě prezidentem - Společenstvo výrobců koženého zboží ozdobného, Praha; formulář telegram; 12.6.1948; papír; formát A5.</v>
      </c>
      <c r="F94" s="8" t="str">
        <f>IFERROR(__xludf.DUMMYFUNCTION("""COMPUTED_VALUE"""),"dokumenty")</f>
        <v>dokumenty</v>
      </c>
      <c r="G94" s="8" t="str">
        <f>IFERROR(__xludf.DUMMYFUNCTION("""COMPUTED_VALUE"""),"Telegramy")</f>
        <v>Telegramy</v>
      </c>
      <c r="H94" s="8"/>
      <c r="I94" s="9" t="str">
        <f>IFERROR(__xludf.DUMMYFUNCTION("""COMPUTED_VALUE"""),"1948")</f>
        <v>1948</v>
      </c>
      <c r="J94" s="8"/>
      <c r="K94" s="8" t="str">
        <f>IFERROR(__xludf.DUMMYFUNCTION("""COMPUTED_VALUE"""),"Společenstvo výrobců koženého zboží ozdobného, Praha")</f>
        <v>Společenstvo výrobců koženého zboží ozdobného, Praha</v>
      </c>
      <c r="L94" s="8" t="str">
        <f>IFERROR(__xludf.DUMMYFUNCTION("""COMPUTED_VALUE"""),"Národní muzeum, Archiv NM, Sbírka Muzea dělnického hnutí, sbírka Klement Gottwald - kult osobnosti.")</f>
        <v>Národní muzeum, Archiv NM, Sbírka Muzea dělnického hnutí, sbírka Klement Gottwald - kult osobnosti.</v>
      </c>
      <c r="M94" s="8"/>
      <c r="N94" s="8" t="str">
        <f>IFERROR(__xludf.DUMMYFUNCTION("""COMPUTED_VALUE"""),"1948, Praha, Společenstvo výrobců koženého zboží ozdobného, telegram k volbě prezidentem.jpg")</f>
        <v>1948, Praha, Společenstvo výrobců koženého zboží ozdobného, telegram k volbě prezidentem.jpg</v>
      </c>
      <c r="O94" s="8"/>
      <c r="P94" s="8" t="str">
        <f>IFERROR(__xludf.DUMMYFUNCTION("""COMPUTED_VALUE"""),"Telegram K. Gottwaldovi k volbě prezidentem - Společenstvo výrobců koženého zboží ozdobného, Praha; formulář telegram; 12.6.1948; papír; formát A5; sken: G. Hrzánová, 2021.")</f>
        <v>Telegram K. Gottwaldovi k volbě prezidentem - Společenstvo výrobců koženého zboží ozdobného, Praha; formulář telegram; 12.6.1948; papír; formát A5; sken: G. Hrzánová, 2021.</v>
      </c>
      <c r="Q94" s="8" t="str">
        <f>IFERROR(__xludf.DUMMYFUNCTION("""COMPUTED_VALUE"""),"Národní muzeum, Archiv NM, Sbírka Muzea dělnického hnutí, sbírka Klement Gottwald - kult osobnosti.")</f>
        <v>Národní muzeum, Archiv NM, Sbírka Muzea dělnického hnutí, sbírka Klement Gottwald - kult osobnosti.</v>
      </c>
      <c r="R94" s="8"/>
      <c r="S94" s="8"/>
      <c r="T94" s="8"/>
      <c r="U94" s="8"/>
      <c r="V94" s="8"/>
      <c r="W94" s="8"/>
      <c r="X94" s="8"/>
      <c r="Y94" s="8"/>
      <c r="Z94" s="8"/>
      <c r="AA94" s="8"/>
      <c r="AB94" s="8"/>
      <c r="AC94" s="8"/>
      <c r="AD94" s="8"/>
      <c r="AE94" s="8"/>
      <c r="AF94" s="8"/>
      <c r="AG94" s="8"/>
      <c r="AH94" s="8"/>
      <c r="AI94" s="8"/>
      <c r="AJ94" s="8"/>
      <c r="AK94" s="8"/>
      <c r="AL94" s="8"/>
      <c r="AM94" s="8"/>
      <c r="AN94" s="8"/>
      <c r="AO94" s="8"/>
    </row>
    <row r="95">
      <c r="A95" s="7">
        <f t="shared" si="1"/>
        <v>94</v>
      </c>
      <c r="B95" s="8" t="str">
        <f>IFERROR(__xludf.DUMMYFUNCTION("""COMPUTED_VALUE"""),"12.1946671")</f>
        <v>12.1946671</v>
      </c>
      <c r="C95" s="8" t="str">
        <f>IFERROR(__xludf.DUMMYFUNCTION("""COMPUTED_VALUE"""),"50.2210168")</f>
        <v>50.2210168</v>
      </c>
      <c r="D95" s="8" t="str">
        <f>IFERROR(__xludf.DUMMYFUNCTION("""COMPUTED_VALUE"""),"Aš, telegram k volbě prezidentem, firma Schmidt")</f>
        <v>Aš, telegram k volbě prezidentem, firma Schmidt</v>
      </c>
      <c r="E95" s="8" t="str">
        <f>IFERROR(__xludf.DUMMYFUNCTION("""COMPUTED_VALUE"""),"Telegram K. Gottwaldovi k volbě prezidentem - firma Schmidt vdova AŠ; formulář telegram; 12.6.1948; papír; formát A5.")</f>
        <v>Telegram K. Gottwaldovi k volbě prezidentem - firma Schmidt vdova AŠ; formulář telegram; 12.6.1948; papír; formát A5.</v>
      </c>
      <c r="F95" s="8" t="str">
        <f>IFERROR(__xludf.DUMMYFUNCTION("""COMPUTED_VALUE"""),"dokumenty")</f>
        <v>dokumenty</v>
      </c>
      <c r="G95" s="8" t="str">
        <f>IFERROR(__xludf.DUMMYFUNCTION("""COMPUTED_VALUE"""),"Telegramy")</f>
        <v>Telegramy</v>
      </c>
      <c r="H95" s="8"/>
      <c r="I95" s="9" t="str">
        <f>IFERROR(__xludf.DUMMYFUNCTION("""COMPUTED_VALUE"""),"1948")</f>
        <v>1948</v>
      </c>
      <c r="J95" s="8"/>
      <c r="K95" s="8" t="str">
        <f>IFERROR(__xludf.DUMMYFUNCTION("""COMPUTED_VALUE"""),"firma F. Schmidt vdova")</f>
        <v>firma F. Schmidt vdova</v>
      </c>
      <c r="L95" s="8" t="str">
        <f>IFERROR(__xludf.DUMMYFUNCTION("""COMPUTED_VALUE"""),"Národní muzeum, Archiv NM, Sbírka Muzea dělnického hnutí, sbírka Klement Gottwald - kult osobnosti.
http://www.industrialnitopografie.cz/karta.php?zaznam=V011366 (online 22.7.2021).
")</f>
        <v>Národní muzeum, Archiv NM, Sbírka Muzea dělnického hnutí, sbírka Klement Gottwald - kult osobnosti.
http://www.industrialnitopografie.cz/karta.php?zaznam=V011366 (online 22.7.2021).
</v>
      </c>
      <c r="M95" s="8"/>
      <c r="N95" s="8" t="str">
        <f>IFERROR(__xludf.DUMMYFUNCTION("""COMPUTED_VALUE"""),"1948, Aš, firma Schmidt vdova, telegram k volbě prezidentem.jpg")</f>
        <v>1948, Aš, firma Schmidt vdova, telegram k volbě prezidentem.jpg</v>
      </c>
      <c r="O95" s="8"/>
      <c r="P95" s="8" t="str">
        <f>IFERROR(__xludf.DUMMYFUNCTION("""COMPUTED_VALUE"""),"Telegram K. Gottwaldovi k volbě prezidentem - firma Schmidt vdova AŠ; formulář telegram; 12.6.1948; papír; formát A5; sken: G. Hrzánová, 2021.")</f>
        <v>Telegram K. Gottwaldovi k volbě prezidentem - firma Schmidt vdova AŠ; formulář telegram; 12.6.1948; papír; formát A5; sken: G. Hrzánová, 2021.</v>
      </c>
      <c r="Q95" s="8" t="str">
        <f>IFERROR(__xludf.DUMMYFUNCTION("""COMPUTED_VALUE"""),"Národní muzeum, Archiv NM, Sbírka Muzea dělnického hnutí, sbírka Klement Gottwald - kult osobnosti.")</f>
        <v>Národní muzeum, Archiv NM, Sbírka Muzea dělnického hnutí, sbírka Klement Gottwald - kult osobnosti.</v>
      </c>
      <c r="R95" s="8"/>
      <c r="S95" s="8"/>
      <c r="T95" s="8"/>
      <c r="U95" s="8"/>
      <c r="V95" s="8"/>
      <c r="W95" s="8"/>
      <c r="X95" s="8"/>
      <c r="Y95" s="8"/>
      <c r="Z95" s="8"/>
      <c r="AA95" s="8"/>
      <c r="AB95" s="8"/>
      <c r="AC95" s="8"/>
      <c r="AD95" s="8"/>
      <c r="AE95" s="8"/>
      <c r="AF95" s="8"/>
      <c r="AG95" s="8"/>
      <c r="AH95" s="8"/>
      <c r="AI95" s="8"/>
      <c r="AJ95" s="8"/>
      <c r="AK95" s="8"/>
      <c r="AL95" s="8"/>
      <c r="AM95" s="8"/>
      <c r="AN95" s="8"/>
      <c r="AO95" s="8"/>
    </row>
    <row r="96">
      <c r="A96" s="7">
        <f t="shared" si="1"/>
        <v>95</v>
      </c>
      <c r="B96" s="8" t="str">
        <f>IFERROR(__xludf.DUMMYFUNCTION("""COMPUTED_VALUE"""),"15.7811994")</f>
        <v>15.7811994</v>
      </c>
      <c r="C96" s="8" t="str">
        <f>IFERROR(__xludf.DUMMYFUNCTION("""COMPUTED_VALUE"""),"50.0343092")</f>
        <v>50.0343092</v>
      </c>
      <c r="D96" s="8" t="str">
        <f>IFERROR(__xludf.DUMMYFUNCTION("""COMPUTED_VALUE"""),"Pardubice, telegram k volbě prezidentem, Krajský výbor KSČ")</f>
        <v>Pardubice, telegram k volbě prezidentem, Krajský výbor KSČ</v>
      </c>
      <c r="E96" s="8" t="str">
        <f>IFERROR(__xludf.DUMMYFUNCTION("""COMPUTED_VALUE"""),"Telegram K. Gottwaldovi k volbě prezidentem - Krajský výbor KSČ Pardubice; formulář telegram; 12.6.1948; papír; formát A5.")</f>
        <v>Telegram K. Gottwaldovi k volbě prezidentem - Krajský výbor KSČ Pardubice; formulář telegram; 12.6.1948; papír; formát A5.</v>
      </c>
      <c r="F96" s="8" t="str">
        <f>IFERROR(__xludf.DUMMYFUNCTION("""COMPUTED_VALUE"""),"dokumenty")</f>
        <v>dokumenty</v>
      </c>
      <c r="G96" s="8" t="str">
        <f>IFERROR(__xludf.DUMMYFUNCTION("""COMPUTED_VALUE"""),"Telegramy")</f>
        <v>Telegramy</v>
      </c>
      <c r="H96" s="8"/>
      <c r="I96" s="9" t="str">
        <f>IFERROR(__xludf.DUMMYFUNCTION("""COMPUTED_VALUE"""),"1948")</f>
        <v>1948</v>
      </c>
      <c r="J96" s="8"/>
      <c r="K96" s="8" t="str">
        <f>IFERROR(__xludf.DUMMYFUNCTION("""COMPUTED_VALUE"""),"Krajský výbor KSČ Pardubice")</f>
        <v>Krajský výbor KSČ Pardubice</v>
      </c>
      <c r="L96" s="8" t="str">
        <f>IFERROR(__xludf.DUMMYFUNCTION("""COMPUTED_VALUE"""),"Národní muzeum, Archiv NM, Sbírka Muzea dělnického hnutí, sbírka Klement Gottwald - kult osobnosti.")</f>
        <v>Národní muzeum, Archiv NM, Sbírka Muzea dělnického hnutí, sbírka Klement Gottwald - kult osobnosti.</v>
      </c>
      <c r="M96" s="8"/>
      <c r="N96" s="8" t="str">
        <f>IFERROR(__xludf.DUMMYFUNCTION("""COMPUTED_VALUE"""),"1948, Pardubice, Krajský výbor KSČ, telegram k volbě prezidentem_01.jpg")</f>
        <v>1948, Pardubice, Krajský výbor KSČ, telegram k volbě prezidentem_01.jpg</v>
      </c>
      <c r="O96" s="8"/>
      <c r="P96" s="8" t="str">
        <f>IFERROR(__xludf.DUMMYFUNCTION("""COMPUTED_VALUE"""),"Telegram K. Gottwaldovi k volbě prezidentem - Krajský výbor KSČ Pardubice; formulář telegram; 12.6.1948; papír; formát A5; sken: G. Hrzánová, 2021.")</f>
        <v>Telegram K. Gottwaldovi k volbě prezidentem - Krajský výbor KSČ Pardubice; formulář telegram; 12.6.1948; papír; formát A5; sken: G. Hrzánová, 2021.</v>
      </c>
      <c r="Q96" s="8" t="str">
        <f>IFERROR(__xludf.DUMMYFUNCTION("""COMPUTED_VALUE"""),"Národní muzeum, Archiv NM, Sbírka Muzea dělnického hnutí, sbírka Klement Gottwald - kult osobnosti.")</f>
        <v>Národní muzeum, Archiv NM, Sbírka Muzea dělnického hnutí, sbírka Klement Gottwald - kult osobnosti.</v>
      </c>
      <c r="R96" s="8" t="str">
        <f>IFERROR(__xludf.DUMMYFUNCTION("""COMPUTED_VALUE"""),"1948, Pardubice, Krajský výbor KSČ, telegram k volbě prezidentem_02.jpg")</f>
        <v>1948, Pardubice, Krajský výbor KSČ, telegram k volbě prezidentem_02.jpg</v>
      </c>
      <c r="S96" s="8"/>
      <c r="T96" s="8" t="str">
        <f>IFERROR(__xludf.DUMMYFUNCTION("""COMPUTED_VALUE"""),"Telegram K. Gottwaldovi k volbě prezidentem - Krajský výbor KSČ Pardubice; formulář telegram; 12.6.1948; papír; formát A5; sken: G. Hrzánová, 2021.")</f>
        <v>Telegram K. Gottwaldovi k volbě prezidentem - Krajský výbor KSČ Pardubice; formulář telegram; 12.6.1948; papír; formát A5; sken: G. Hrzánová, 2021.</v>
      </c>
      <c r="U96" s="8" t="str">
        <f>IFERROR(__xludf.DUMMYFUNCTION("""COMPUTED_VALUE"""),"Národní muzeum, Archiv NM, Sbírka Muzea dělnického hnutí, sbírka Klement Gottwald - kult osobnosti.")</f>
        <v>Národní muzeum, Archiv NM, Sbírka Muzea dělnického hnutí, sbírka Klement Gottwald - kult osobnosti.</v>
      </c>
      <c r="V96" s="8"/>
      <c r="W96" s="8"/>
      <c r="X96" s="8"/>
      <c r="Y96" s="8"/>
      <c r="Z96" s="8"/>
      <c r="AA96" s="8"/>
      <c r="AB96" s="8"/>
      <c r="AC96" s="8"/>
      <c r="AD96" s="8"/>
      <c r="AE96" s="8"/>
      <c r="AF96" s="8"/>
      <c r="AG96" s="8"/>
      <c r="AH96" s="8"/>
      <c r="AI96" s="8"/>
      <c r="AJ96" s="8"/>
      <c r="AK96" s="8"/>
      <c r="AL96" s="8"/>
      <c r="AM96" s="8"/>
      <c r="AN96" s="8"/>
      <c r="AO96" s="8"/>
    </row>
    <row r="97">
      <c r="A97" s="7">
        <f t="shared" si="1"/>
        <v>96</v>
      </c>
      <c r="B97" s="8" t="str">
        <f>IFERROR(__xludf.DUMMYFUNCTION("""COMPUTED_VALUE"""),"12.7011977")</f>
        <v>12.7011977</v>
      </c>
      <c r="C97" s="8" t="str">
        <f>IFERROR(__xludf.DUMMYFUNCTION("""COMPUTED_VALUE"""),"49.9645986")</f>
        <v>49.9645986</v>
      </c>
      <c r="D97" s="8" t="str">
        <f>IFERROR(__xludf.DUMMYFUNCTION("""COMPUTED_VALUE"""),"Mariánské Lázně, telegram k volbě prezidentem")</f>
        <v>Mariánské Lázně, telegram k volbě prezidentem</v>
      </c>
      <c r="E97" s="8" t="str">
        <f>IFERROR(__xludf.DUMMYFUNCTION("""COMPUTED_VALUE"""),"Telegram K. Gottwaldovi k volbě prezidentem - Okresní kriminální úřadovna Mariánské Lázně; formulář telegram; 11.6.1948; papír; formát A5.")</f>
        <v>Telegram K. Gottwaldovi k volbě prezidentem - Okresní kriminální úřadovna Mariánské Lázně; formulář telegram; 11.6.1948; papír; formát A5.</v>
      </c>
      <c r="F97" s="8" t="str">
        <f>IFERROR(__xludf.DUMMYFUNCTION("""COMPUTED_VALUE"""),"dokumenty")</f>
        <v>dokumenty</v>
      </c>
      <c r="G97" s="8" t="str">
        <f>IFERROR(__xludf.DUMMYFUNCTION("""COMPUTED_VALUE"""),"Telegramy")</f>
        <v>Telegramy</v>
      </c>
      <c r="H97" s="8"/>
      <c r="I97" s="9" t="str">
        <f>IFERROR(__xludf.DUMMYFUNCTION("""COMPUTED_VALUE"""),"1948")</f>
        <v>1948</v>
      </c>
      <c r="J97" s="8"/>
      <c r="K97" s="8" t="str">
        <f>IFERROR(__xludf.DUMMYFUNCTION("""COMPUTED_VALUE"""),"příslušníci kriminální úřadovny Mariánské Lázně")</f>
        <v>příslušníci kriminální úřadovny Mariánské Lázně</v>
      </c>
      <c r="L97" s="8" t="str">
        <f>IFERROR(__xludf.DUMMYFUNCTION("""COMPUTED_VALUE"""),"Národní muzeum, Archiv NM, Sbírka Muzea dělnického hnutí, sbírka Klement Gottwald - kult osobnosti.")</f>
        <v>Národní muzeum, Archiv NM, Sbírka Muzea dělnického hnutí, sbírka Klement Gottwald - kult osobnosti.</v>
      </c>
      <c r="M97" s="8"/>
      <c r="N97" s="8" t="str">
        <f>IFERROR(__xludf.DUMMYFUNCTION("""COMPUTED_VALUE"""),"1948, Mariánské Lázně, Okresní kriminální úřadovna, telegram k volbě prezidentem_01.jpg")</f>
        <v>1948, Mariánské Lázně, Okresní kriminální úřadovna, telegram k volbě prezidentem_01.jpg</v>
      </c>
      <c r="O97" s="8"/>
      <c r="P97" s="8" t="str">
        <f>IFERROR(__xludf.DUMMYFUNCTION("""COMPUTED_VALUE"""),"Telegram K. Gottwaldovi k volbě prezidentem - Okresní kriminální úřadovna Mariánské Lázně; formulář telegram; 11.6.1948; papír; formát A5; sken: G. Hrzánová, 2021.")</f>
        <v>Telegram K. Gottwaldovi k volbě prezidentem - Okresní kriminální úřadovna Mariánské Lázně; formulář telegram; 11.6.1948; papír; formát A5; sken: G. Hrzánová, 2021.</v>
      </c>
      <c r="Q97" s="8" t="str">
        <f>IFERROR(__xludf.DUMMYFUNCTION("""COMPUTED_VALUE"""),"Národní muzeum, Archiv NM, Sbírka Muzea dělnického hnutí, sbírka Klement Gottwald - kult osobnosti.")</f>
        <v>Národní muzeum, Archiv NM, Sbírka Muzea dělnického hnutí, sbírka Klement Gottwald - kult osobnosti.</v>
      </c>
      <c r="R97" s="8" t="str">
        <f>IFERROR(__xludf.DUMMYFUNCTION("""COMPUTED_VALUE"""),"1948, Mariánské Lázně, Okresní kriminální úřadovna, telegram k volbě prezidentem_02.jpg")</f>
        <v>1948, Mariánské Lázně, Okresní kriminální úřadovna, telegram k volbě prezidentem_02.jpg</v>
      </c>
      <c r="S97" s="8"/>
      <c r="T97" s="8" t="str">
        <f>IFERROR(__xludf.DUMMYFUNCTION("""COMPUTED_VALUE"""),"Telegram K. Gottwaldovi k volbě prezidentem - Okresní kriminální úřadovna Mariánské Lázně; formulář telegram; 11.6.1948; papír; formát A5; sken: G. Hrzánová, 2021.")</f>
        <v>Telegram K. Gottwaldovi k volbě prezidentem - Okresní kriminální úřadovna Mariánské Lázně; formulář telegram; 11.6.1948; papír; formát A5; sken: G. Hrzánová, 2021.</v>
      </c>
      <c r="U97" s="8" t="str">
        <f>IFERROR(__xludf.DUMMYFUNCTION("""COMPUTED_VALUE"""),"Národní muzeum, Archiv NM, Sbírka Muzea dělnického hnutí, sbírka Klement Gottwald - kult osobnosti.")</f>
        <v>Národní muzeum, Archiv NM, Sbírka Muzea dělnického hnutí, sbírka Klement Gottwald - kult osobnosti.</v>
      </c>
      <c r="V97" s="8"/>
      <c r="W97" s="8"/>
      <c r="X97" s="8"/>
      <c r="Y97" s="8"/>
      <c r="Z97" s="8"/>
      <c r="AA97" s="8"/>
      <c r="AB97" s="8"/>
      <c r="AC97" s="8"/>
      <c r="AD97" s="8"/>
      <c r="AE97" s="8"/>
      <c r="AF97" s="8"/>
      <c r="AG97" s="8"/>
      <c r="AH97" s="8"/>
      <c r="AI97" s="8"/>
      <c r="AJ97" s="8"/>
      <c r="AK97" s="8"/>
      <c r="AL97" s="8"/>
      <c r="AM97" s="8"/>
      <c r="AN97" s="8"/>
      <c r="AO97" s="8"/>
    </row>
    <row r="98">
      <c r="A98" s="7">
        <f t="shared" si="1"/>
        <v>97</v>
      </c>
      <c r="B98" s="8" t="str">
        <f>IFERROR(__xludf.DUMMYFUNCTION("""COMPUTED_VALUE"""),"15.0543387")</f>
        <v>15.0543387</v>
      </c>
      <c r="C98" s="8" t="str">
        <f>IFERROR(__xludf.DUMMYFUNCTION("""COMPUTED_VALUE"""),"50.76628")</f>
        <v>50.76628</v>
      </c>
      <c r="D98" s="8" t="str">
        <f>IFERROR(__xludf.DUMMYFUNCTION("""COMPUTED_VALUE"""),"Liberec, telegram k volbě prezidentem")</f>
        <v>Liberec, telegram k volbě prezidentem</v>
      </c>
      <c r="E98" s="8" t="str">
        <f>IFERROR(__xludf.DUMMYFUNCTION("""COMPUTED_VALUE"""),"Telegram K. Gottwaldovi k volbě prezidentem - Krajský výbor KSČ Liberec; formulář telegram; 12.6.1948; papír; formát A5.")</f>
        <v>Telegram K. Gottwaldovi k volbě prezidentem - Krajský výbor KSČ Liberec; formulář telegram; 12.6.1948; papír; formát A5.</v>
      </c>
      <c r="F98" s="8" t="str">
        <f>IFERROR(__xludf.DUMMYFUNCTION("""COMPUTED_VALUE"""),"dokumenty")</f>
        <v>dokumenty</v>
      </c>
      <c r="G98" s="8" t="str">
        <f>IFERROR(__xludf.DUMMYFUNCTION("""COMPUTED_VALUE"""),"Telegramy")</f>
        <v>Telegramy</v>
      </c>
      <c r="H98" s="8"/>
      <c r="I98" s="9" t="str">
        <f>IFERROR(__xludf.DUMMYFUNCTION("""COMPUTED_VALUE"""),"1948")</f>
        <v>1948</v>
      </c>
      <c r="J98" s="8"/>
      <c r="K98" s="8" t="str">
        <f>IFERROR(__xludf.DUMMYFUNCTION("""COMPUTED_VALUE"""),"Krajský výbor KSČ Liberec")</f>
        <v>Krajský výbor KSČ Liberec</v>
      </c>
      <c r="L98" s="8" t="str">
        <f>IFERROR(__xludf.DUMMYFUNCTION("""COMPUTED_VALUE"""),"Národní muzeum, Archiv NM, Sbírka Muzea dělnického hnutí, sbírka Klement Gottwald - kult osobnosti.")</f>
        <v>Národní muzeum, Archiv NM, Sbírka Muzea dělnického hnutí, sbírka Klement Gottwald - kult osobnosti.</v>
      </c>
      <c r="M98" s="8"/>
      <c r="N98" s="8" t="str">
        <f>IFERROR(__xludf.DUMMYFUNCTION("""COMPUTED_VALUE"""),"1948, Liberec, Krajský výbor KSČ, telegram k volbě prezidentem_01.jpg")</f>
        <v>1948, Liberec, Krajský výbor KSČ, telegram k volbě prezidentem_01.jpg</v>
      </c>
      <c r="O98" s="8"/>
      <c r="P98" s="8" t="str">
        <f>IFERROR(__xludf.DUMMYFUNCTION("""COMPUTED_VALUE"""),"Telegram K. Gottwaldovi k volbě prezidentem - Krajský výbor KSČ Liberec; formulář telegram; 12.6.1948; papír; formát A5; sken: G. Hrzánová, 2021.")</f>
        <v>Telegram K. Gottwaldovi k volbě prezidentem - Krajský výbor KSČ Liberec; formulář telegram; 12.6.1948; papír; formát A5; sken: G. Hrzánová, 2021.</v>
      </c>
      <c r="Q98" s="8" t="str">
        <f>IFERROR(__xludf.DUMMYFUNCTION("""COMPUTED_VALUE"""),"Národní muzeum, Archiv NM, Sbírka Muzea dělnického hnutí, sbírka Klement Gottwald - kult osobnosti.")</f>
        <v>Národní muzeum, Archiv NM, Sbírka Muzea dělnického hnutí, sbírka Klement Gottwald - kult osobnosti.</v>
      </c>
      <c r="R98" s="8" t="str">
        <f>IFERROR(__xludf.DUMMYFUNCTION("""COMPUTED_VALUE"""),"1948, Liberec, Krajský výbor KSČ, telegram k volbě prezidentem_02.jpg")</f>
        <v>1948, Liberec, Krajský výbor KSČ, telegram k volbě prezidentem_02.jpg</v>
      </c>
      <c r="S98" s="8"/>
      <c r="T98" s="8" t="str">
        <f>IFERROR(__xludf.DUMMYFUNCTION("""COMPUTED_VALUE"""),"Telegram K. Gottwaldovi k volbě prezidentem - Krajský výbor KSČ Liberec; formulář telegram; 12.6.1948; papír; formát A5; sken: G. Hrzánová, 2021.")</f>
        <v>Telegram K. Gottwaldovi k volbě prezidentem - Krajský výbor KSČ Liberec; formulář telegram; 12.6.1948; papír; formát A5; sken: G. Hrzánová, 2021.</v>
      </c>
      <c r="U98" s="8" t="str">
        <f>IFERROR(__xludf.DUMMYFUNCTION("""COMPUTED_VALUE"""),"Národní muzeum, Archiv NM, Sbírka Muzea dělnického hnutí, sbírka Klement Gottwald - kult osobnosti.")</f>
        <v>Národní muzeum, Archiv NM, Sbírka Muzea dělnického hnutí, sbírka Klement Gottwald - kult osobnosti.</v>
      </c>
      <c r="V98" s="8"/>
      <c r="W98" s="8"/>
      <c r="X98" s="8"/>
      <c r="Y98" s="8"/>
      <c r="Z98" s="8"/>
      <c r="AA98" s="8"/>
      <c r="AB98" s="8"/>
      <c r="AC98" s="8"/>
      <c r="AD98" s="8"/>
      <c r="AE98" s="8"/>
      <c r="AF98" s="8"/>
      <c r="AG98" s="8"/>
      <c r="AH98" s="8"/>
      <c r="AI98" s="8"/>
      <c r="AJ98" s="8"/>
      <c r="AK98" s="8"/>
      <c r="AL98" s="8"/>
      <c r="AM98" s="8"/>
      <c r="AN98" s="8"/>
      <c r="AO98" s="8"/>
    </row>
    <row r="99">
      <c r="A99" s="7">
        <f t="shared" si="1"/>
        <v>98</v>
      </c>
      <c r="B99" s="8" t="str">
        <f>IFERROR(__xludf.DUMMYFUNCTION("""COMPUTED_VALUE"""),"14.6592444")</f>
        <v>14.6592444</v>
      </c>
      <c r="C99" s="8" t="str">
        <f>IFERROR(__xludf.DUMMYFUNCTION("""COMPUTED_VALUE"""),"50.1863259")</f>
        <v>50.1863259</v>
      </c>
      <c r="D99" s="8" t="str">
        <f>IFERROR(__xludf.DUMMYFUNCTION("""COMPUTED_VALUE"""),"Brandýs nad Labem, telegram k volbě prezidentem")</f>
        <v>Brandýs nad Labem, telegram k volbě prezidentem</v>
      </c>
      <c r="E99" s="8" t="str">
        <f>IFERROR(__xludf.DUMMYFUNCTION("""COMPUTED_VALUE"""),"Telegram K. Gottwaldovi k volbě prezidentem - Okresní výbor KSČ Brandýs nad Labem; formulář telegram; 12.6.1948 v 19:50; papír; formát A5.")</f>
        <v>Telegram K. Gottwaldovi k volbě prezidentem - Okresní výbor KSČ Brandýs nad Labem; formulář telegram; 12.6.1948 v 19:50; papír; formát A5.</v>
      </c>
      <c r="F99" s="8" t="str">
        <f>IFERROR(__xludf.DUMMYFUNCTION("""COMPUTED_VALUE"""),"dokumenty")</f>
        <v>dokumenty</v>
      </c>
      <c r="G99" s="8" t="str">
        <f>IFERROR(__xludf.DUMMYFUNCTION("""COMPUTED_VALUE"""),"Telegramy")</f>
        <v>Telegramy</v>
      </c>
      <c r="H99" s="8"/>
      <c r="I99" s="9" t="str">
        <f>IFERROR(__xludf.DUMMYFUNCTION("""COMPUTED_VALUE"""),"1948")</f>
        <v>1948</v>
      </c>
      <c r="J99" s="8"/>
      <c r="K99" s="8" t="str">
        <f>IFERROR(__xludf.DUMMYFUNCTION("""COMPUTED_VALUE"""),"Okresní výbor KSČ Brandýs nad Labem")</f>
        <v>Okresní výbor KSČ Brandýs nad Labem</v>
      </c>
      <c r="L99" s="8" t="str">
        <f>IFERROR(__xludf.DUMMYFUNCTION("""COMPUTED_VALUE"""),"Národní muzeum, Archiv NM, Sbírka Muzea dělnického hnutí, sbírka Klement Gottwald - kult osobnosti.")</f>
        <v>Národní muzeum, Archiv NM, Sbírka Muzea dělnického hnutí, sbírka Klement Gottwald - kult osobnosti.</v>
      </c>
      <c r="M99" s="8"/>
      <c r="N99" s="8" t="str">
        <f>IFERROR(__xludf.DUMMYFUNCTION("""COMPUTED_VALUE"""),"1948, Brandýs nad Labem, Okresní výbor KSČ, telegram k volbě prezidentem_01jpg")</f>
        <v>1948, Brandýs nad Labem, Okresní výbor KSČ, telegram k volbě prezidentem_01jpg</v>
      </c>
      <c r="O99" s="8"/>
      <c r="P99" s="8" t="str">
        <f>IFERROR(__xludf.DUMMYFUNCTION("""COMPUTED_VALUE"""),"Telegram K. Gottwaldovi k volbě prezidentem - Okresní výbor KSČ Brandýs nad Labem; formulář telegram; 12.6.1948 v 19:50; papír; formát A5; sken: G. Hrzánová, 2021.")</f>
        <v>Telegram K. Gottwaldovi k volbě prezidentem - Okresní výbor KSČ Brandýs nad Labem; formulář telegram; 12.6.1948 v 19:50; papír; formát A5; sken: G. Hrzánová, 2021.</v>
      </c>
      <c r="Q99" s="8" t="str">
        <f>IFERROR(__xludf.DUMMYFUNCTION("""COMPUTED_VALUE"""),"Národní muzeum, Archiv NM, Sbírka Muzea dělnického hnutí, sbírka Klement Gottwald - kult osobnosti.")</f>
        <v>Národní muzeum, Archiv NM, Sbírka Muzea dělnického hnutí, sbírka Klement Gottwald - kult osobnosti.</v>
      </c>
      <c r="R99" s="8" t="str">
        <f>IFERROR(__xludf.DUMMYFUNCTION("""COMPUTED_VALUE"""),"1948, Brandýs nad Labem, Okresní výbor KSČ, telegram k volbě prezidentem_02.jpg")</f>
        <v>1948, Brandýs nad Labem, Okresní výbor KSČ, telegram k volbě prezidentem_02.jpg</v>
      </c>
      <c r="S99" s="8"/>
      <c r="T99" s="8" t="str">
        <f>IFERROR(__xludf.DUMMYFUNCTION("""COMPUTED_VALUE"""),"Telegram K. Gottwaldovi k volbě prezidentem - Okresní výbor KSČ Brandýs nad Labem; formulář telegram; 12.6.1948 v 19:50; papír; formát A5; sken: G. Hrzánová, 2021.")</f>
        <v>Telegram K. Gottwaldovi k volbě prezidentem - Okresní výbor KSČ Brandýs nad Labem; formulář telegram; 12.6.1948 v 19:50; papír; formát A5; sken: G. Hrzánová, 2021.</v>
      </c>
      <c r="U99" s="8" t="str">
        <f>IFERROR(__xludf.DUMMYFUNCTION("""COMPUTED_VALUE"""),"Národní muzeum, Archiv NM, Sbírka Muzea dělnického hnutí, sbírka Klement Gottwald - kult osobnosti.")</f>
        <v>Národní muzeum, Archiv NM, Sbírka Muzea dělnického hnutí, sbírka Klement Gottwald - kult osobnosti.</v>
      </c>
      <c r="V99" s="8" t="str">
        <f>IFERROR(__xludf.DUMMYFUNCTION("""COMPUTED_VALUE"""),"1948, Brandýs nad Labem, Okresní výbor KSČ, telegram k volbě prezidentem_03.jpg")</f>
        <v>1948, Brandýs nad Labem, Okresní výbor KSČ, telegram k volbě prezidentem_03.jpg</v>
      </c>
      <c r="W99" s="8"/>
      <c r="X99" s="8" t="str">
        <f>IFERROR(__xludf.DUMMYFUNCTION("""COMPUTED_VALUE"""),"Telegram K. Gottwaldovi k volbě prezidentem - Okresní výbor KSČ Brandýs nad Labem; formulář telegram; 12.6.1948 v 19:50; papír; formát A5; sken: G. Hrzánová, 2021.")</f>
        <v>Telegram K. Gottwaldovi k volbě prezidentem - Okresní výbor KSČ Brandýs nad Labem; formulář telegram; 12.6.1948 v 19:50; papír; formát A5; sken: G. Hrzánová, 2021.</v>
      </c>
      <c r="Y99" s="8" t="str">
        <f>IFERROR(__xludf.DUMMYFUNCTION("""COMPUTED_VALUE"""),"Národní muzeum, Archiv NM, Sbírka Muzea dělnického hnutí, sbírka Klement Gottwald - kult osobnosti.")</f>
        <v>Národní muzeum, Archiv NM, Sbírka Muzea dělnického hnutí, sbírka Klement Gottwald - kult osobnosti.</v>
      </c>
      <c r="Z99" s="8"/>
      <c r="AA99" s="8"/>
      <c r="AB99" s="8"/>
      <c r="AC99" s="8"/>
      <c r="AD99" s="8"/>
      <c r="AE99" s="8"/>
      <c r="AF99" s="8"/>
      <c r="AG99" s="8"/>
      <c r="AH99" s="8"/>
      <c r="AI99" s="8"/>
      <c r="AJ99" s="8"/>
      <c r="AK99" s="8"/>
      <c r="AL99" s="8"/>
      <c r="AM99" s="8"/>
      <c r="AN99" s="8"/>
      <c r="AO99" s="8"/>
    </row>
    <row r="100">
      <c r="A100" s="7">
        <f t="shared" si="1"/>
        <v>99</v>
      </c>
      <c r="B100" s="8" t="str">
        <f>IFERROR(__xludf.DUMMYFUNCTION("""COMPUTED_VALUE"""),"14.4813957")</f>
        <v>14.4813957</v>
      </c>
      <c r="C100" s="8" t="str">
        <f>IFERROR(__xludf.DUMMYFUNCTION("""COMPUTED_VALUE"""),"50.0536819")</f>
        <v>50.0536819</v>
      </c>
      <c r="D100" s="8" t="str">
        <f>IFERROR(__xludf.DUMMYFUNCTION("""COMPUTED_VALUE"""),"Praha, telegram k volbě prezidentem, Společenstvo masérů, pedikářů a kosmetiků")</f>
        <v>Praha, telegram k volbě prezidentem, Společenstvo masérů, pedikářů a kosmetiků</v>
      </c>
      <c r="E100" s="8" t="str">
        <f>IFERROR(__xludf.DUMMYFUNCTION("""COMPUTED_VALUE"""),"Telegram K. Gottwaldovi k volbě prezidentem - Společenstvo masérů, pedikářů a kosmetiků, Praha; formulář telegram; 12.6.1948; papír; formát A5.")</f>
        <v>Telegram K. Gottwaldovi k volbě prezidentem - Společenstvo masérů, pedikářů a kosmetiků, Praha; formulář telegram; 12.6.1948; papír; formát A5.</v>
      </c>
      <c r="F100" s="8" t="str">
        <f>IFERROR(__xludf.DUMMYFUNCTION("""COMPUTED_VALUE"""),"dokumenty")</f>
        <v>dokumenty</v>
      </c>
      <c r="G100" s="8" t="str">
        <f>IFERROR(__xludf.DUMMYFUNCTION("""COMPUTED_VALUE"""),"Telegramy")</f>
        <v>Telegramy</v>
      </c>
      <c r="H100" s="8"/>
      <c r="I100" s="9" t="str">
        <f>IFERROR(__xludf.DUMMYFUNCTION("""COMPUTED_VALUE"""),"1948")</f>
        <v>1948</v>
      </c>
      <c r="J100" s="8"/>
      <c r="K100" s="8" t="str">
        <f>IFERROR(__xludf.DUMMYFUNCTION("""COMPUTED_VALUE"""),"Společenstvo masérů, pedikářů a kosmetiků, Praha")</f>
        <v>Společenstvo masérů, pedikářů a kosmetiků, Praha</v>
      </c>
      <c r="L100" s="8" t="str">
        <f>IFERROR(__xludf.DUMMYFUNCTION("""COMPUTED_VALUE"""),"Národní muzeum, Archiv NM, Sbírka Muzea dělnického hnutí, sbírka Klement Gottwald - kult osobnosti.")</f>
        <v>Národní muzeum, Archiv NM, Sbírka Muzea dělnického hnutí, sbírka Klement Gottwald - kult osobnosti.</v>
      </c>
      <c r="M100" s="8"/>
      <c r="N100" s="8" t="str">
        <f>IFERROR(__xludf.DUMMYFUNCTION("""COMPUTED_VALUE"""),"1948, Praha, Společenstvo masérů, pedikářů a kosmetiků, telegram k volbě prezidentem.jpg")</f>
        <v>1948, Praha, Společenstvo masérů, pedikářů a kosmetiků, telegram k volbě prezidentem.jpg</v>
      </c>
      <c r="O100" s="8"/>
      <c r="P100" s="8" t="str">
        <f>IFERROR(__xludf.DUMMYFUNCTION("""COMPUTED_VALUE"""),"Telegram K. Gottwaldovi k volbě prezidentem - Společenstvo masérů, pedikářů a kosmetiků, Praha; formulář telegram; 12.6.1948; papír; formát A5; sken: G. Hrzánová, 2021.")</f>
        <v>Telegram K. Gottwaldovi k volbě prezidentem - Společenstvo masérů, pedikářů a kosmetiků, Praha; formulář telegram; 12.6.1948; papír; formát A5; sken: G. Hrzánová, 2021.</v>
      </c>
      <c r="Q100" s="8" t="str">
        <f>IFERROR(__xludf.DUMMYFUNCTION("""COMPUTED_VALUE"""),"Národní muzeum, Archiv NM, Sbírka Muzea dělnického hnutí, sbírka Klement Gottwald - kult osobnosti.")</f>
        <v>Národní muzeum, Archiv NM, Sbírka Muzea dělnického hnutí, sbírka Klement Gottwald - kult osobnosti.</v>
      </c>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row>
    <row r="101">
      <c r="A101" s="7">
        <f t="shared" si="1"/>
        <v>100</v>
      </c>
      <c r="B101" s="8" t="str">
        <f>IFERROR(__xludf.DUMMYFUNCTION("""COMPUTED_VALUE"""),"15.7718175")</f>
        <v>15.7718175</v>
      </c>
      <c r="C101" s="8" t="str">
        <f>IFERROR(__xludf.DUMMYFUNCTION("""COMPUTED_VALUE"""),"50.0355333")</f>
        <v>50.0355333</v>
      </c>
      <c r="D101" s="8" t="str">
        <f>IFERROR(__xludf.DUMMYFUNCTION("""COMPUTED_VALUE"""),"Pardubice, telegram k volbě prezidentem, družstvo PANCO")</f>
        <v>Pardubice, telegram k volbě prezidentem, družstvo PANCO</v>
      </c>
      <c r="E101" s="8" t="str">
        <f>IFERROR(__xludf.DUMMYFUNCTION("""COMPUTED_VALUE"""),"Telegram K. Gottwaldovi k volbě prezidentem - Družstvo PANCO plnící pera Pardubice; formulář telegram; 11.6.1948; papír; formát A5.")</f>
        <v>Telegram K. Gottwaldovi k volbě prezidentem - Družstvo PANCO plnící pera Pardubice; formulář telegram; 11.6.1948; papír; formát A5.</v>
      </c>
      <c r="F101" s="8" t="str">
        <f>IFERROR(__xludf.DUMMYFUNCTION("""COMPUTED_VALUE"""),"dokumenty")</f>
        <v>dokumenty</v>
      </c>
      <c r="G101" s="8" t="str">
        <f>IFERROR(__xludf.DUMMYFUNCTION("""COMPUTED_VALUE"""),"Telegramy")</f>
        <v>Telegramy</v>
      </c>
      <c r="H101" s="8"/>
      <c r="I101" s="9" t="str">
        <f>IFERROR(__xludf.DUMMYFUNCTION("""COMPUTED_VALUE"""),"1948")</f>
        <v>1948</v>
      </c>
      <c r="J101" s="8"/>
      <c r="K101" s="8" t="str">
        <f>IFERROR(__xludf.DUMMYFUNCTION("""COMPUTED_VALUE"""),"zaměstnanci Družstva PANCO plnící pera Pardubice")</f>
        <v>zaměstnanci Družstva PANCO plnící pera Pardubice</v>
      </c>
      <c r="L101" s="8" t="str">
        <f>IFERROR(__xludf.DUMMYFUNCTION("""COMPUTED_VALUE"""),"Národní muzeum, Archiv NM, Sbírka Muzea dělnického hnutí, sbírka Klement Gottwald - kult osobnosti.")</f>
        <v>Národní muzeum, Archiv NM, Sbírka Muzea dělnického hnutí, sbírka Klement Gottwald - kult osobnosti.</v>
      </c>
      <c r="M101" s="8"/>
      <c r="N101" s="8" t="str">
        <f>IFERROR(__xludf.DUMMYFUNCTION("""COMPUTED_VALUE"""),"1948, Pardubice, Družstvo PANCO plnící pera, telegram k volbě prezidentem.jpg")</f>
        <v>1948, Pardubice, Družstvo PANCO plnící pera, telegram k volbě prezidentem.jpg</v>
      </c>
      <c r="O101" s="8"/>
      <c r="P101" s="8" t="str">
        <f>IFERROR(__xludf.DUMMYFUNCTION("""COMPUTED_VALUE"""),"Telegram K. Gottwaldovi k volbě prezidentem - Družstvo PANCO plnící pera Pardubice; formulář telegram; 11.6.1948; papír; formát A5; sken: G. Hrzánová, 2021.")</f>
        <v>Telegram K. Gottwaldovi k volbě prezidentem - Družstvo PANCO plnící pera Pardubice; formulář telegram; 11.6.1948; papír; formát A5; sken: G. Hrzánová, 2021.</v>
      </c>
      <c r="Q101" s="8" t="str">
        <f>IFERROR(__xludf.DUMMYFUNCTION("""COMPUTED_VALUE"""),"Národní muzeum, Archiv NM, Sbírka Muzea dělnického hnutí, sbírka Klement Gottwald - kult osobnosti.")</f>
        <v>Národní muzeum, Archiv NM, Sbírka Muzea dělnického hnutí, sbírka Klement Gottwald - kult osobnosti.</v>
      </c>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row>
    <row r="102">
      <c r="A102" s="7">
        <f t="shared" si="1"/>
        <v>101</v>
      </c>
      <c r="B102" s="8" t="str">
        <f>IFERROR(__xludf.DUMMYFUNCTION("""COMPUTED_VALUE"""),"12.8719616")</f>
        <v>12.8719616</v>
      </c>
      <c r="C102" s="8" t="str">
        <f>IFERROR(__xludf.DUMMYFUNCTION("""COMPUTED_VALUE"""),"50.2318521")</f>
        <v>50.2318521</v>
      </c>
      <c r="D102" s="8" t="str">
        <f>IFERROR(__xludf.DUMMYFUNCTION("""COMPUTED_VALUE"""),"Karlovy Vary, telegram k volbě prezidentem")</f>
        <v>Karlovy Vary, telegram k volbě prezidentem</v>
      </c>
      <c r="E102" s="8" t="str">
        <f>IFERROR(__xludf.DUMMYFUNCTION("""COMPUTED_VALUE"""),"Telegram K. Gottwaldovi k volbě prezidentem - Krajský výbor Svazu čs. mládeže Karlovy Vary; formulář telegram; 11.6.1948; papír; formát A5.")</f>
        <v>Telegram K. Gottwaldovi k volbě prezidentem - Krajský výbor Svazu čs. mládeže Karlovy Vary; formulář telegram; 11.6.1948; papír; formát A5.</v>
      </c>
      <c r="F102" s="8" t="str">
        <f>IFERROR(__xludf.DUMMYFUNCTION("""COMPUTED_VALUE"""),"dokumenty")</f>
        <v>dokumenty</v>
      </c>
      <c r="G102" s="8" t="str">
        <f>IFERROR(__xludf.DUMMYFUNCTION("""COMPUTED_VALUE"""),"Telegramy")</f>
        <v>Telegramy</v>
      </c>
      <c r="H102" s="8"/>
      <c r="I102" s="9" t="str">
        <f>IFERROR(__xludf.DUMMYFUNCTION("""COMPUTED_VALUE"""),"1948")</f>
        <v>1948</v>
      </c>
      <c r="J102" s="8"/>
      <c r="K102" s="8" t="str">
        <f>IFERROR(__xludf.DUMMYFUNCTION("""COMPUTED_VALUE"""),"Krajský výbor Svazu československé mládeže Karlovy Vary")</f>
        <v>Krajský výbor Svazu československé mládeže Karlovy Vary</v>
      </c>
      <c r="L102" s="8" t="str">
        <f>IFERROR(__xludf.DUMMYFUNCTION("""COMPUTED_VALUE"""),"Národní muzeum, Archiv NM, Sbírka Muzea dělnického hnutí, sbírka Klement Gottwald - kult osobnosti.")</f>
        <v>Národní muzeum, Archiv NM, Sbírka Muzea dělnického hnutí, sbírka Klement Gottwald - kult osobnosti.</v>
      </c>
      <c r="M102" s="8"/>
      <c r="N102" s="8" t="str">
        <f>IFERROR(__xludf.DUMMYFUNCTION("""COMPUTED_VALUE"""),"1948, Karlovy Vary, Svaz čs mládeže, telegram k volbě prezidentem.jpg")</f>
        <v>1948, Karlovy Vary, Svaz čs mládeže, telegram k volbě prezidentem.jpg</v>
      </c>
      <c r="O102" s="8"/>
      <c r="P102" s="8" t="str">
        <f>IFERROR(__xludf.DUMMYFUNCTION("""COMPUTED_VALUE"""),"Telegram K. Gottwaldovi k volbě prezidentem - Krajský výbor Svazu čs. mládeže Karlovy Vary; formulář telegram; 11.6.1948; papír; formát A5; sken: G. Hrzánová, 2021.")</f>
        <v>Telegram K. Gottwaldovi k volbě prezidentem - Krajský výbor Svazu čs. mládeže Karlovy Vary; formulář telegram; 11.6.1948; papír; formát A5; sken: G. Hrzánová, 2021.</v>
      </c>
      <c r="Q102" s="8" t="str">
        <f>IFERROR(__xludf.DUMMYFUNCTION("""COMPUTED_VALUE"""),"Národní muzeum, Archiv NM, Sbírka Muzea dělnického hnutí, sbírka Klement Gottwald - kult osobnosti.")</f>
        <v>Národní muzeum, Archiv NM, Sbírka Muzea dělnického hnutí, sbírka Klement Gottwald - kult osobnosti.</v>
      </c>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row>
    <row r="103">
      <c r="A103" s="7">
        <f t="shared" si="1"/>
        <v>102</v>
      </c>
      <c r="B103" s="8" t="str">
        <f>IFERROR(__xludf.DUMMYFUNCTION("""COMPUTED_VALUE"""),"13.2256544")</f>
        <v>13.2256544</v>
      </c>
      <c r="C103" s="8" t="str">
        <f>IFERROR(__xludf.DUMMYFUNCTION("""COMPUTED_VALUE"""),"49.6784086")</f>
        <v>49.6784086</v>
      </c>
      <c r="D103" s="8" t="str">
        <f>IFERROR(__xludf.DUMMYFUNCTION("""COMPUTED_VALUE"""),"Zbůch, telegram k volbě prezidentem")</f>
        <v>Zbůch, telegram k volbě prezidentem</v>
      </c>
      <c r="E103" s="8" t="str">
        <f>IFERROR(__xludf.DUMMYFUNCTION("""COMPUTED_VALUE"""),"Telegram K. Gottwaldovi k volbě prezidentem - Měšťanská a obecná škola ve Zbůchu; formulář telegram; 11.6.1948; papír; formát A5.")</f>
        <v>Telegram K. Gottwaldovi k volbě prezidentem - Měšťanská a obecná škola ve Zbůchu; formulář telegram; 11.6.1948; papír; formát A5.</v>
      </c>
      <c r="F103" s="8" t="str">
        <f>IFERROR(__xludf.DUMMYFUNCTION("""COMPUTED_VALUE"""),"dokumenty")</f>
        <v>dokumenty</v>
      </c>
      <c r="G103" s="8" t="str">
        <f>IFERROR(__xludf.DUMMYFUNCTION("""COMPUTED_VALUE"""),"Telegramy")</f>
        <v>Telegramy</v>
      </c>
      <c r="H103" s="8"/>
      <c r="I103" s="9" t="str">
        <f>IFERROR(__xludf.DUMMYFUNCTION("""COMPUTED_VALUE"""),"1948")</f>
        <v>1948</v>
      </c>
      <c r="J103" s="8"/>
      <c r="K103" s="8" t="str">
        <f>IFERROR(__xludf.DUMMYFUNCTION("""COMPUTED_VALUE"""),"Učitelstvo a žactvo Měšťanské a obecné školy ve Zbůchu")</f>
        <v>Učitelstvo a žactvo Měšťanské a obecné školy ve Zbůchu</v>
      </c>
      <c r="L103" s="8" t="str">
        <f>IFERROR(__xludf.DUMMYFUNCTION("""COMPUTED_VALUE"""),"Národní muzeum, Archiv NM, Sbírka Muzea dělnického hnutí, sbírka Klement Gottwald - kult osobnosti.")</f>
        <v>Národní muzeum, Archiv NM, Sbírka Muzea dělnického hnutí, sbírka Klement Gottwald - kult osobnosti.</v>
      </c>
      <c r="M103" s="8"/>
      <c r="N103" s="8" t="str">
        <f>IFERROR(__xludf.DUMMYFUNCTION("""COMPUTED_VALUE"""),"1948, Zbůch, Měšťanská a obecná škola, telegram k volbě prezidentem.jpg")</f>
        <v>1948, Zbůch, Měšťanská a obecná škola, telegram k volbě prezidentem.jpg</v>
      </c>
      <c r="O103" s="8"/>
      <c r="P103" s="8" t="str">
        <f>IFERROR(__xludf.DUMMYFUNCTION("""COMPUTED_VALUE"""),"Telegram K. Gottwaldovi k volbě prezidentem - Měšťanská a obecná škola ve Zbůchu; formulář telegram; 11.6.1948; papír; formát A5; sken: G. Hrzánová, 2021.")</f>
        <v>Telegram K. Gottwaldovi k volbě prezidentem - Měšťanská a obecná škola ve Zbůchu; formulář telegram; 11.6.1948; papír; formát A5; sken: G. Hrzánová, 2021.</v>
      </c>
      <c r="Q103" s="8" t="str">
        <f>IFERROR(__xludf.DUMMYFUNCTION("""COMPUTED_VALUE"""),"Národní muzeum, Archiv NM, Sbírka Muzea dělnického hnutí, sbírka Klement Gottwald - kult osobnosti.")</f>
        <v>Národní muzeum, Archiv NM, Sbírka Muzea dělnického hnutí, sbírka Klement Gottwald - kult osobnosti.</v>
      </c>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row>
    <row r="104">
      <c r="A104" s="7">
        <f t="shared" si="1"/>
        <v>103</v>
      </c>
      <c r="B104" s="8" t="str">
        <f>IFERROR(__xludf.DUMMYFUNCTION("""COMPUTED_VALUE"""),"13.2046047")</f>
        <v>13.2046047</v>
      </c>
      <c r="C104" s="8" t="str">
        <f>IFERROR(__xludf.DUMMYFUNCTION("""COMPUTED_VALUE"""),"49.7127158")</f>
        <v>49.7127158</v>
      </c>
      <c r="D104" s="8" t="str">
        <f>IFERROR(__xludf.DUMMYFUNCTION("""COMPUTED_VALUE"""),"Nýřany, telegram k volbě prezidentem")</f>
        <v>Nýřany, telegram k volbě prezidentem</v>
      </c>
      <c r="E104" s="8" t="str">
        <f>IFERROR(__xludf.DUMMYFUNCTION("""COMPUTED_VALUE"""),"Telegram K. Gottwaldovi k volbě prezidentem - Měšťanská škola chlapecká Nýřany; formulář telegram; 11.6.1948; papír; formát A5.")</f>
        <v>Telegram K. Gottwaldovi k volbě prezidentem - Měšťanská škola chlapecká Nýřany; formulář telegram; 11.6.1948; papír; formát A5.</v>
      </c>
      <c r="F104" s="8" t="str">
        <f>IFERROR(__xludf.DUMMYFUNCTION("""COMPUTED_VALUE"""),"dokumenty")</f>
        <v>dokumenty</v>
      </c>
      <c r="G104" s="8" t="str">
        <f>IFERROR(__xludf.DUMMYFUNCTION("""COMPUTED_VALUE"""),"Telegramy")</f>
        <v>Telegramy</v>
      </c>
      <c r="H104" s="8"/>
      <c r="I104" s="9" t="str">
        <f>IFERROR(__xludf.DUMMYFUNCTION("""COMPUTED_VALUE"""),"1948")</f>
        <v>1948</v>
      </c>
      <c r="J104" s="8"/>
      <c r="K104" s="8" t="str">
        <f>IFERROR(__xludf.DUMMYFUNCTION("""COMPUTED_VALUE"""),"Učitelstvo a žactvo Měšťanské školy chlapecké Nýřany")</f>
        <v>Učitelstvo a žactvo Měšťanské školy chlapecké Nýřany</v>
      </c>
      <c r="L104" s="8" t="str">
        <f>IFERROR(__xludf.DUMMYFUNCTION("""COMPUTED_VALUE"""),"Národní muzeum, Archiv NM, Sbírka Muzea dělnického hnutí, sbírka Klement Gottwald - kult osobnosti.")</f>
        <v>Národní muzeum, Archiv NM, Sbírka Muzea dělnického hnutí, sbírka Klement Gottwald - kult osobnosti.</v>
      </c>
      <c r="M104" s="8"/>
      <c r="N104" s="8" t="str">
        <f>IFERROR(__xludf.DUMMYFUNCTION("""COMPUTED_VALUE"""),"1948, Nýřany, Měšťanská škola chlapecká, telegram k volbě prezidentem.jpg")</f>
        <v>1948, Nýřany, Měšťanská škola chlapecká, telegram k volbě prezidentem.jpg</v>
      </c>
      <c r="O104" s="8"/>
      <c r="P104" s="8" t="str">
        <f>IFERROR(__xludf.DUMMYFUNCTION("""COMPUTED_VALUE"""),"Telegram K. Gottwaldovi k volbě prezidentem - Měšťanská škola chlapecká Nýřany; formulář telegram; 11.6.1948; papír; formát A5; sken: G. Hrzánová, 2021.")</f>
        <v>Telegram K. Gottwaldovi k volbě prezidentem - Měšťanská škola chlapecká Nýřany; formulář telegram; 11.6.1948; papír; formát A5; sken: G. Hrzánová, 2021.</v>
      </c>
      <c r="Q104" s="8" t="str">
        <f>IFERROR(__xludf.DUMMYFUNCTION("""COMPUTED_VALUE"""),"Národní muzeum, Archiv NM, Sbírka Muzea dělnického hnutí, sbírka Klement Gottwald - kult osobnosti.")</f>
        <v>Národní muzeum, Archiv NM, Sbírka Muzea dělnického hnutí, sbírka Klement Gottwald - kult osobnosti.</v>
      </c>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row>
    <row r="105">
      <c r="A105" s="7">
        <f t="shared" si="1"/>
        <v>104</v>
      </c>
      <c r="B105" s="8" t="str">
        <f>IFERROR(__xludf.DUMMYFUNCTION("""COMPUTED_VALUE"""),"14.3938762")</f>
        <v>14.3938762</v>
      </c>
      <c r="C105" s="8" t="str">
        <f>IFERROR(__xludf.DUMMYFUNCTION("""COMPUTED_VALUE"""),"49.2599512")</f>
        <v>49.2599512</v>
      </c>
      <c r="D105" s="8" t="str">
        <f>IFERROR(__xludf.DUMMYFUNCTION("""COMPUTED_VALUE"""),"Hosty, telegram k volbě prezidentem")</f>
        <v>Hosty, telegram k volbě prezidentem</v>
      </c>
      <c r="E105" s="8" t="str">
        <f>IFERROR(__xludf.DUMMYFUNCTION("""COMPUTED_VALUE"""),"Telegram K. Gottwaldovi k volbě prezidentem - Místní akční výbor Národní fronty v Hostech; formulář telegram; 11.6.1948; papír; formát A5.")</f>
        <v>Telegram K. Gottwaldovi k volbě prezidentem - Místní akční výbor Národní fronty v Hostech; formulář telegram; 11.6.1948; papír; formát A5.</v>
      </c>
      <c r="F105" s="8" t="str">
        <f>IFERROR(__xludf.DUMMYFUNCTION("""COMPUTED_VALUE"""),"dokumenty")</f>
        <v>dokumenty</v>
      </c>
      <c r="G105" s="8" t="str">
        <f>IFERROR(__xludf.DUMMYFUNCTION("""COMPUTED_VALUE"""),"Telegramy")</f>
        <v>Telegramy</v>
      </c>
      <c r="H105" s="8"/>
      <c r="I105" s="9" t="str">
        <f>IFERROR(__xludf.DUMMYFUNCTION("""COMPUTED_VALUE"""),"1948")</f>
        <v>1948</v>
      </c>
      <c r="J105" s="8"/>
      <c r="K105" s="8" t="str">
        <f>IFERROR(__xludf.DUMMYFUNCTION("""COMPUTED_VALUE"""),"Místní akční výbor Národní fronty v Hostech")</f>
        <v>Místní akční výbor Národní fronty v Hostech</v>
      </c>
      <c r="L105" s="8" t="str">
        <f>IFERROR(__xludf.DUMMYFUNCTION("""COMPUTED_VALUE"""),"Národní muzeum, Archiv NM, Sbírka Muzea dělnického hnutí, sbírka Klement Gottwald - kult osobnosti.")</f>
        <v>Národní muzeum, Archiv NM, Sbírka Muzea dělnického hnutí, sbírka Klement Gottwald - kult osobnosti.</v>
      </c>
      <c r="M105" s="8"/>
      <c r="N105" s="8" t="str">
        <f>IFERROR(__xludf.DUMMYFUNCTION("""COMPUTED_VALUE"""),"1948, Hosty, Místní akční výbor Národní fronty, telegram k volbě prezidentem.jpg")</f>
        <v>1948, Hosty, Místní akční výbor Národní fronty, telegram k volbě prezidentem.jpg</v>
      </c>
      <c r="O105" s="8"/>
      <c r="P105" s="8" t="str">
        <f>IFERROR(__xludf.DUMMYFUNCTION("""COMPUTED_VALUE"""),"Telegram K. Gottwaldovi k volbě prezidentem - Místní akční výbor Národní fronty v Hostech; formulář telegram; 11.6.1948; papír; formát A5; sken: G. Hrzánová, 2021.")</f>
        <v>Telegram K. Gottwaldovi k volbě prezidentem - Místní akční výbor Národní fronty v Hostech; formulář telegram; 11.6.1948; papír; formát A5; sken: G. Hrzánová, 2021.</v>
      </c>
      <c r="Q105" s="8" t="str">
        <f>IFERROR(__xludf.DUMMYFUNCTION("""COMPUTED_VALUE"""),"Národní muzeum, Archiv NM, Sbírka Muzea dělnického hnutí, sbírka Klement Gottwald - kult osobnosti.")</f>
        <v>Národní muzeum, Archiv NM, Sbírka Muzea dělnického hnutí, sbírka Klement Gottwald - kult osobnosti.</v>
      </c>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row>
    <row r="106">
      <c r="A106" s="7">
        <f t="shared" si="1"/>
        <v>105</v>
      </c>
      <c r="B106" s="8" t="str">
        <f>IFERROR(__xludf.DUMMYFUNCTION("""COMPUTED_VALUE"""),"16.543365")</f>
        <v>16.543365</v>
      </c>
      <c r="C106" s="8" t="str">
        <f>IFERROR(__xludf.DUMMYFUNCTION("""COMPUTED_VALUE"""),"49.93099")</f>
        <v>49.93099</v>
      </c>
      <c r="D106" s="8" t="str">
        <f>IFERROR(__xludf.DUMMYFUNCTION("""COMPUTED_VALUE"""),"Ostrov, telegram k volbě prezidentem")</f>
        <v>Ostrov, telegram k volbě prezidentem</v>
      </c>
      <c r="E106" s="8" t="str">
        <f>IFERROR(__xludf.DUMMYFUNCTION("""COMPUTED_VALUE"""),"Telegram K. Gottwaldovi k volbě prezidentem - Místní akční výbor Národní fronty Ostrov (okr. Lanškroun); formulář telegram; 11.6.1948; papír; formát A5.")</f>
        <v>Telegram K. Gottwaldovi k volbě prezidentem - Místní akční výbor Národní fronty Ostrov (okr. Lanškroun); formulář telegram; 11.6.1948; papír; formát A5.</v>
      </c>
      <c r="F106" s="8" t="str">
        <f>IFERROR(__xludf.DUMMYFUNCTION("""COMPUTED_VALUE"""),"dokumenty")</f>
        <v>dokumenty</v>
      </c>
      <c r="G106" s="8" t="str">
        <f>IFERROR(__xludf.DUMMYFUNCTION("""COMPUTED_VALUE"""),"Telegramy")</f>
        <v>Telegramy</v>
      </c>
      <c r="H106" s="8"/>
      <c r="I106" s="9" t="str">
        <f>IFERROR(__xludf.DUMMYFUNCTION("""COMPUTED_VALUE"""),"1948")</f>
        <v>1948</v>
      </c>
      <c r="J106" s="8"/>
      <c r="K106" s="8" t="str">
        <f>IFERROR(__xludf.DUMMYFUNCTION("""COMPUTED_VALUE"""),"Místní akční výbor Národní fronty Ostrov (okr. Lanškroun)")</f>
        <v>Místní akční výbor Národní fronty Ostrov (okr. Lanškroun)</v>
      </c>
      <c r="L106" s="8" t="str">
        <f>IFERROR(__xludf.DUMMYFUNCTION("""COMPUTED_VALUE"""),"Národní muzeum, Archiv NM, Sbírka Muzea dělnického hnutí, sbírka Klement Gottwald - kult osobnosti.")</f>
        <v>Národní muzeum, Archiv NM, Sbírka Muzea dělnického hnutí, sbírka Klement Gottwald - kult osobnosti.</v>
      </c>
      <c r="M106" s="8"/>
      <c r="N106" s="8" t="str">
        <f>IFERROR(__xludf.DUMMYFUNCTION("""COMPUTED_VALUE"""),"1948, Ostrov, Místní akční výbor Národní fronty, telegram k volbě prezidentem.jpg")</f>
        <v>1948, Ostrov, Místní akční výbor Národní fronty, telegram k volbě prezidentem.jpg</v>
      </c>
      <c r="O106" s="8"/>
      <c r="P106" s="8" t="str">
        <f>IFERROR(__xludf.DUMMYFUNCTION("""COMPUTED_VALUE"""),"Telegram K. Gottwaldovi k volbě prezidentem - Místní akční výbor Národní fronty Ostrov (okr. Lanškroun); formulář telegram; 11.6.1948; papír; formát A5; sken: G. Hrzánová, 2021.")</f>
        <v>Telegram K. Gottwaldovi k volbě prezidentem - Místní akční výbor Národní fronty Ostrov (okr. Lanškroun); formulář telegram; 11.6.1948; papír; formát A5; sken: G. Hrzánová, 2021.</v>
      </c>
      <c r="Q106" s="8" t="str">
        <f>IFERROR(__xludf.DUMMYFUNCTION("""COMPUTED_VALUE"""),"Národní muzeum, Archiv NM, Sbírka Muzea dělnického hnutí, sbírka Klement Gottwald - kult osobnosti.")</f>
        <v>Národní muzeum, Archiv NM, Sbírka Muzea dělnického hnutí, sbírka Klement Gottwald - kult osobnosti.</v>
      </c>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row>
    <row r="107">
      <c r="A107" s="7">
        <f t="shared" si="1"/>
        <v>106</v>
      </c>
      <c r="B107" s="8" t="str">
        <f>IFERROR(__xludf.DUMMYFUNCTION("""COMPUTED_VALUE"""),"14.908438")</f>
        <v>14.908438</v>
      </c>
      <c r="C107" s="8" t="str">
        <f>IFERROR(__xludf.DUMMYFUNCTION("""COMPUTED_VALUE"""),"50.4134249")</f>
        <v>50.4134249</v>
      </c>
      <c r="D107" s="8" t="str">
        <f>IFERROR(__xludf.DUMMYFUNCTION("""COMPUTED_VALUE"""),"Mladá Boleslav, telegram k volbě prezidentem")</f>
        <v>Mladá Boleslav, telegram k volbě prezidentem</v>
      </c>
      <c r="E107" s="8" t="str">
        <f>IFERROR(__xludf.DUMMYFUNCTION("""COMPUTED_VALUE"""),"Telegram K. Gottwaldovi k volbě prezidentem - Okresní národní výbor v Mladé Boleslavy; formulář telegram; 11.6.1948; papír; formát A5.")</f>
        <v>Telegram K. Gottwaldovi k volbě prezidentem - Okresní národní výbor v Mladé Boleslavy; formulář telegram; 11.6.1948; papír; formát A5.</v>
      </c>
      <c r="F107" s="8" t="str">
        <f>IFERROR(__xludf.DUMMYFUNCTION("""COMPUTED_VALUE"""),"dokumenty")</f>
        <v>dokumenty</v>
      </c>
      <c r="G107" s="8" t="str">
        <f>IFERROR(__xludf.DUMMYFUNCTION("""COMPUTED_VALUE"""),"Telegramy")</f>
        <v>Telegramy</v>
      </c>
      <c r="H107" s="8"/>
      <c r="I107" s="9" t="str">
        <f>IFERROR(__xludf.DUMMYFUNCTION("""COMPUTED_VALUE"""),"1948")</f>
        <v>1948</v>
      </c>
      <c r="J107" s="8"/>
      <c r="K107" s="8" t="str">
        <f>IFERROR(__xludf.DUMMYFUNCTION("""COMPUTED_VALUE"""),"Okresní národní výbor v Mladé Boleslavy")</f>
        <v>Okresní národní výbor v Mladé Boleslavy</v>
      </c>
      <c r="L107" s="8" t="str">
        <f>IFERROR(__xludf.DUMMYFUNCTION("""COMPUTED_VALUE"""),"Národní muzeum, Archiv NM, Sbírka Muzea dělnického hnutí, sbírka Klement Gottwald - kult osobnosti.")</f>
        <v>Národní muzeum, Archiv NM, Sbírka Muzea dělnického hnutí, sbírka Klement Gottwald - kult osobnosti.</v>
      </c>
      <c r="M107" s="8"/>
      <c r="N107" s="8" t="str">
        <f>IFERROR(__xludf.DUMMYFUNCTION("""COMPUTED_VALUE"""),"1948, Mladá Boleslav, Okresní národní výbor, telegram k volbě prezidentem.jpg")</f>
        <v>1948, Mladá Boleslav, Okresní národní výbor, telegram k volbě prezidentem.jpg</v>
      </c>
      <c r="O107" s="8"/>
      <c r="P107" s="8" t="str">
        <f>IFERROR(__xludf.DUMMYFUNCTION("""COMPUTED_VALUE"""),"Telegram K. Gottwaldovi k volbě prezidentem - Okresní národní výbor v Mladé Boleslavy; formulář telegram; 11.6.1948; papír; formát A5; sken: G. Hrzánová, 2021.")</f>
        <v>Telegram K. Gottwaldovi k volbě prezidentem - Okresní národní výbor v Mladé Boleslavy; formulář telegram; 11.6.1948; papír; formát A5; sken: G. Hrzánová, 2021.</v>
      </c>
      <c r="Q107" s="8" t="str">
        <f>IFERROR(__xludf.DUMMYFUNCTION("""COMPUTED_VALUE"""),"Národní muzeum, Archiv NM, Sbírka Muzea dělnického hnutí, sbírka Klement Gottwald - kult osobnosti.")</f>
        <v>Národní muzeum, Archiv NM, Sbírka Muzea dělnického hnutí, sbírka Klement Gottwald - kult osobnosti.</v>
      </c>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row>
    <row r="108">
      <c r="A108" s="7">
        <f t="shared" si="1"/>
        <v>107</v>
      </c>
      <c r="B108" s="8" t="str">
        <f>IFERROR(__xludf.DUMMYFUNCTION("""COMPUTED_VALUE"""),"13.6329122")</f>
        <v>13.6329122</v>
      </c>
      <c r="C108" s="8" t="str">
        <f>IFERROR(__xludf.DUMMYFUNCTION("""COMPUTED_VALUE"""),"50.5015549")</f>
        <v>50.5015549</v>
      </c>
      <c r="D108" s="8" t="str">
        <f>IFERROR(__xludf.DUMMYFUNCTION("""COMPUTED_VALUE"""),"Most, telegram k volbě prezidentem")</f>
        <v>Most, telegram k volbě prezidentem</v>
      </c>
      <c r="E108" s="8" t="str">
        <f>IFERROR(__xludf.DUMMYFUNCTION("""COMPUTED_VALUE"""),"Telegram K. Gottwaldovi k volbě prezidentem - Stavba mládeže - brigáda Most; formulář telegram; 11.6.1948; papír; formát A5.")</f>
        <v>Telegram K. Gottwaldovi k volbě prezidentem - Stavba mládeže - brigáda Most; formulář telegram; 11.6.1948; papír; formát A5.</v>
      </c>
      <c r="F108" s="8" t="str">
        <f>IFERROR(__xludf.DUMMYFUNCTION("""COMPUTED_VALUE"""),"dokumenty")</f>
        <v>dokumenty</v>
      </c>
      <c r="G108" s="8" t="str">
        <f>IFERROR(__xludf.DUMMYFUNCTION("""COMPUTED_VALUE"""),"Telegramy")</f>
        <v>Telegramy</v>
      </c>
      <c r="H108" s="8"/>
      <c r="I108" s="9" t="str">
        <f>IFERROR(__xludf.DUMMYFUNCTION("""COMPUTED_VALUE"""),"1948")</f>
        <v>1948</v>
      </c>
      <c r="J108" s="8"/>
      <c r="K108" s="8" t="str">
        <f>IFERROR(__xludf.DUMMYFUNCTION("""COMPUTED_VALUE"""),"Stavba mládeže - brigáda Most")</f>
        <v>Stavba mládeže - brigáda Most</v>
      </c>
      <c r="L108" s="8" t="str">
        <f>IFERROR(__xludf.DUMMYFUNCTION("""COMPUTED_VALUE"""),"Národní muzeum, Archiv NM, Sbírka Muzea dělnického hnutí, sbírka Klement Gottwald - kult osobnosti.")</f>
        <v>Národní muzeum, Archiv NM, Sbírka Muzea dělnického hnutí, sbírka Klement Gottwald - kult osobnosti.</v>
      </c>
      <c r="M108" s="8"/>
      <c r="N108" s="8" t="str">
        <f>IFERROR(__xludf.DUMMYFUNCTION("""COMPUTED_VALUE"""),"1948, Most, Stavba mládeže - brigáda Most, telegram k volbě prezidentem.jpg")</f>
        <v>1948, Most, Stavba mládeže - brigáda Most, telegram k volbě prezidentem.jpg</v>
      </c>
      <c r="O108" s="8"/>
      <c r="P108" s="8" t="str">
        <f>IFERROR(__xludf.DUMMYFUNCTION("""COMPUTED_VALUE"""),"Telegram K. Gottwaldovi k volbě prezidentem - Stavba mládeže - brigáda Most; formulář telegram; 11.6.1948; papír; formát A5; sken: G. Hrzánová, 2021.")</f>
        <v>Telegram K. Gottwaldovi k volbě prezidentem - Stavba mládeže - brigáda Most; formulář telegram; 11.6.1948; papír; formát A5; sken: G. Hrzánová, 2021.</v>
      </c>
      <c r="Q108" s="8" t="str">
        <f>IFERROR(__xludf.DUMMYFUNCTION("""COMPUTED_VALUE"""),"Národní muzeum, Archiv NM, Sbírka Muzea dělnického hnutí, sbírka Klement Gottwald - kult osobnosti.")</f>
        <v>Národní muzeum, Archiv NM, Sbírka Muzea dělnického hnutí, sbírka Klement Gottwald - kult osobnosti.</v>
      </c>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row>
    <row r="109">
      <c r="A109" s="7">
        <f t="shared" si="1"/>
        <v>108</v>
      </c>
      <c r="B109" s="8" t="str">
        <f>IFERROR(__xludf.DUMMYFUNCTION("""COMPUTED_VALUE"""),"17.6627635")</f>
        <v>17.6627635</v>
      </c>
      <c r="C109" s="8" t="str">
        <f>IFERROR(__xludf.DUMMYFUNCTION("""COMPUTED_VALUE"""),"49.2244365")</f>
        <v>49.2244365</v>
      </c>
      <c r="D109" s="8" t="str">
        <f>IFERROR(__xludf.DUMMYFUNCTION("""COMPUTED_VALUE"""),"Zlín, telegram k volbě prezidentem, Společenstvo řezníků a uzenářů")</f>
        <v>Zlín, telegram k volbě prezidentem, Společenstvo řezníků a uzenářů</v>
      </c>
      <c r="E109" s="8" t="str">
        <f>IFERROR(__xludf.DUMMYFUNCTION("""COMPUTED_VALUE"""),"Telegram K. Gottwaldovi k volbě prezidentem - Společenstvo řezníků a uzenářů ve Zlíně; formulář telegram; 11.6.1948; papír; formát A5.")</f>
        <v>Telegram K. Gottwaldovi k volbě prezidentem - Společenstvo řezníků a uzenářů ve Zlíně; formulář telegram; 11.6.1948; papír; formát A5.</v>
      </c>
      <c r="F109" s="8" t="str">
        <f>IFERROR(__xludf.DUMMYFUNCTION("""COMPUTED_VALUE"""),"dokumenty")</f>
        <v>dokumenty</v>
      </c>
      <c r="G109" s="8" t="str">
        <f>IFERROR(__xludf.DUMMYFUNCTION("""COMPUTED_VALUE"""),"Telegramy")</f>
        <v>Telegramy</v>
      </c>
      <c r="H109" s="8"/>
      <c r="I109" s="9" t="str">
        <f>IFERROR(__xludf.DUMMYFUNCTION("""COMPUTED_VALUE"""),"1948")</f>
        <v>1948</v>
      </c>
      <c r="J109" s="8"/>
      <c r="K109" s="8" t="str">
        <f>IFERROR(__xludf.DUMMYFUNCTION("""COMPUTED_VALUE"""),"Společenstvo řezníků a uzenářů ve Zlíně")</f>
        <v>Společenstvo řezníků a uzenářů ve Zlíně</v>
      </c>
      <c r="L109" s="8" t="str">
        <f>IFERROR(__xludf.DUMMYFUNCTION("""COMPUTED_VALUE"""),"Národní muzeum, Archiv NM, Sbírka Muzea dělnického hnutí, sbírka Klement Gottwald - kult osobnosti.")</f>
        <v>Národní muzeum, Archiv NM, Sbírka Muzea dělnického hnutí, sbírka Klement Gottwald - kult osobnosti.</v>
      </c>
      <c r="M109" s="8"/>
      <c r="N109" s="8" t="str">
        <f>IFERROR(__xludf.DUMMYFUNCTION("""COMPUTED_VALUE"""),"1948, Zlín, Společenstvo řezníků a uzenářů ve Zlíně, telegram k volbě prezidentem.jpg")</f>
        <v>1948, Zlín, Společenstvo řezníků a uzenářů ve Zlíně, telegram k volbě prezidentem.jpg</v>
      </c>
      <c r="O109" s="8"/>
      <c r="P109" s="8" t="str">
        <f>IFERROR(__xludf.DUMMYFUNCTION("""COMPUTED_VALUE"""),"Telegram K. Gottwaldovi k volbě prezidentem - Společenstvo řezníků a uzenářů ve Zlíně; formulář telegram; 11.6.1948; papír; formát A5; sken: G. Hrzánová, 2021.")</f>
        <v>Telegram K. Gottwaldovi k volbě prezidentem - Společenstvo řezníků a uzenářů ve Zlíně; formulář telegram; 11.6.1948; papír; formát A5; sken: G. Hrzánová, 2021.</v>
      </c>
      <c r="Q109" s="8" t="str">
        <f>IFERROR(__xludf.DUMMYFUNCTION("""COMPUTED_VALUE"""),"Národní muzeum, Archiv NM, Sbírka Muzea dělnického hnutí, sbírka Klement Gottwald - kult osobnosti.")</f>
        <v>Národní muzeum, Archiv NM, Sbírka Muzea dělnického hnutí, sbírka Klement Gottwald - kult osobnosti.</v>
      </c>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row>
    <row r="110">
      <c r="A110" s="7">
        <f t="shared" si="1"/>
        <v>109</v>
      </c>
      <c r="B110" s="8" t="str">
        <f>IFERROR(__xludf.DUMMYFUNCTION("""COMPUTED_VALUE"""),"16.571604")</f>
        <v>16.571604</v>
      </c>
      <c r="C110" s="8" t="str">
        <f>IFERROR(__xludf.DUMMYFUNCTION("""COMPUTED_VALUE"""),"49.264605")</f>
        <v>49.264605</v>
      </c>
      <c r="D110" s="8" t="str">
        <f>IFERROR(__xludf.DUMMYFUNCTION("""COMPUTED_VALUE"""),"Ivanovice u Brna, telegram k volbě prezidentem")</f>
        <v>Ivanovice u Brna, telegram k volbě prezidentem</v>
      </c>
      <c r="E110" s="8" t="str">
        <f>IFERROR(__xludf.DUMMYFUNCTION("""COMPUTED_VALUE"""),"Telegram K. Gottwaldovi k volbě prezidentem - Místní organizace KSČ Ivanovice u Brna; formulář telegram; 12.6.1948; papír; formát A5.")</f>
        <v>Telegram K. Gottwaldovi k volbě prezidentem - Místní organizace KSČ Ivanovice u Brna; formulář telegram; 12.6.1948; papír; formát A5.</v>
      </c>
      <c r="F110" s="8" t="str">
        <f>IFERROR(__xludf.DUMMYFUNCTION("""COMPUTED_VALUE"""),"dokumenty")</f>
        <v>dokumenty</v>
      </c>
      <c r="G110" s="8" t="str">
        <f>IFERROR(__xludf.DUMMYFUNCTION("""COMPUTED_VALUE"""),"Telegramy")</f>
        <v>Telegramy</v>
      </c>
      <c r="H110" s="8"/>
      <c r="I110" s="9" t="str">
        <f>IFERROR(__xludf.DUMMYFUNCTION("""COMPUTED_VALUE"""),"1948")</f>
        <v>1948</v>
      </c>
      <c r="J110" s="8"/>
      <c r="K110" s="8" t="str">
        <f>IFERROR(__xludf.DUMMYFUNCTION("""COMPUTED_VALUE"""),"Místní organizace KSČ Ivanovice u Brna")</f>
        <v>Místní organizace KSČ Ivanovice u Brna</v>
      </c>
      <c r="L110" s="8" t="str">
        <f>IFERROR(__xludf.DUMMYFUNCTION("""COMPUTED_VALUE"""),"Národní muzeum, Archiv NM, Sbírka Muzea dělnického hnutí, sbírka Klement Gottwald - kult osobnosti.")</f>
        <v>Národní muzeum, Archiv NM, Sbírka Muzea dělnického hnutí, sbírka Klement Gottwald - kult osobnosti.</v>
      </c>
      <c r="M110" s="8"/>
      <c r="N110" s="8" t="str">
        <f>IFERROR(__xludf.DUMMYFUNCTION("""COMPUTED_VALUE"""),"1948, Ivanovice u Brna, Místní organizace KSČ, telegram k volbě prezidentem.jpg")</f>
        <v>1948, Ivanovice u Brna, Místní organizace KSČ, telegram k volbě prezidentem.jpg</v>
      </c>
      <c r="O110" s="8"/>
      <c r="P110" s="8" t="str">
        <f>IFERROR(__xludf.DUMMYFUNCTION("""COMPUTED_VALUE"""),"Telegram K. Gottwaldovi k volbě prezidentem - Místní organizace KSČ Ivanovice u Brna; formulář telegram; 12.6.1948; papír; formát A5; sken: G. Hrzánová, 2021.")</f>
        <v>Telegram K. Gottwaldovi k volbě prezidentem - Místní organizace KSČ Ivanovice u Brna; formulář telegram; 12.6.1948; papír; formát A5; sken: G. Hrzánová, 2021.</v>
      </c>
      <c r="Q110" s="8" t="str">
        <f>IFERROR(__xludf.DUMMYFUNCTION("""COMPUTED_VALUE"""),"Národní muzeum, Archiv NM, Sbírka Muzea dělnického hnutí, sbírka Klement Gottwald - kult osobnosti.")</f>
        <v>Národní muzeum, Archiv NM, Sbírka Muzea dělnického hnutí, sbírka Klement Gottwald - kult osobnosti.</v>
      </c>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row>
    <row r="111">
      <c r="A111" s="7">
        <f t="shared" si="1"/>
        <v>110</v>
      </c>
      <c r="B111" s="8" t="str">
        <f>IFERROR(__xludf.DUMMYFUNCTION("""COMPUTED_VALUE"""),"13.58683")</f>
        <v>13.58683</v>
      </c>
      <c r="C111" s="8" t="str">
        <f>IFERROR(__xludf.DUMMYFUNCTION("""COMPUTED_VALUE"""),"50.56875")</f>
        <v>50.56875</v>
      </c>
      <c r="D111" s="8" t="str">
        <f>IFERROR(__xludf.DUMMYFUNCTION("""COMPUTED_VALUE"""),"Záluží, telegram k volbě prezidentem")</f>
        <v>Záluží, telegram k volbě prezidentem</v>
      </c>
      <c r="E111" s="8" t="str">
        <f>IFERROR(__xludf.DUMMYFUNCTION("""COMPUTED_VALUE"""),"Telegram K. Gottwaldovi k volbě prezidentem - Osazenstvo Dolu Kolumbus v Záluží (u Litvínova); formulář telegram; nedatováno- červen 1948; papír; formát A5.")</f>
        <v>Telegram K. Gottwaldovi k volbě prezidentem - Osazenstvo Dolu Kolumbus v Záluží (u Litvínova); formulář telegram; nedatováno- červen 1948; papír; formát A5.</v>
      </c>
      <c r="F111" s="8" t="str">
        <f>IFERROR(__xludf.DUMMYFUNCTION("""COMPUTED_VALUE"""),"dokumenty")</f>
        <v>dokumenty</v>
      </c>
      <c r="G111" s="8" t="str">
        <f>IFERROR(__xludf.DUMMYFUNCTION("""COMPUTED_VALUE"""),"Telegramy")</f>
        <v>Telegramy</v>
      </c>
      <c r="H111" s="8"/>
      <c r="I111" s="9" t="str">
        <f>IFERROR(__xludf.DUMMYFUNCTION("""COMPUTED_VALUE"""),"1948")</f>
        <v>1948</v>
      </c>
      <c r="J111" s="8"/>
      <c r="K111" s="8" t="str">
        <f>IFERROR(__xludf.DUMMYFUNCTION("""COMPUTED_VALUE"""),"Osazenstvo Dolu Kolumbus v Záluží (u Litvínova)")</f>
        <v>Osazenstvo Dolu Kolumbus v Záluží (u Litvínova)</v>
      </c>
      <c r="L111" s="8" t="str">
        <f>IFERROR(__xludf.DUMMYFUNCTION("""COMPUTED_VALUE"""),"Národní muzeum, Archiv NM, Sbírka Muzea dělnického hnutí, sbírka Klement Gottwald - kult osobnosti.
Lokace osady horníků Dolu Kolumbus: http://zanikleobce.cz/index.php?lang=d&amp;obec=26175 (online, 27.7.2021).
")</f>
        <v>Národní muzeum, Archiv NM, Sbírka Muzea dělnického hnutí, sbírka Klement Gottwald - kult osobnosti.
Lokace osady horníků Dolu Kolumbus: http://zanikleobce.cz/index.php?lang=d&amp;obec=26175 (online, 27.7.2021).
</v>
      </c>
      <c r="M111" s="8"/>
      <c r="N111" s="8" t="str">
        <f>IFERROR(__xludf.DUMMYFUNCTION("""COMPUTED_VALUE"""),"1948, Záluží, Osazenstvo Dolu Kolumbus, telegram k volbě prezidentem.jpg")</f>
        <v>1948, Záluží, Osazenstvo Dolu Kolumbus, telegram k volbě prezidentem.jpg</v>
      </c>
      <c r="O111" s="8"/>
      <c r="P111" s="8" t="str">
        <f>IFERROR(__xludf.DUMMYFUNCTION("""COMPUTED_VALUE"""),"Telegram K. Gottwaldovi k volbě prezidentem - Osazenstvo Dolu Kolumbus v Záluží (u Litvínova); formulář telegram; nedatováno- červen 1948; papír; formát A5; sken: G. Hrzánová, 2021.")</f>
        <v>Telegram K. Gottwaldovi k volbě prezidentem - Osazenstvo Dolu Kolumbus v Záluží (u Litvínova); formulář telegram; nedatováno- červen 1948; papír; formát A5; sken: G. Hrzánová, 2021.</v>
      </c>
      <c r="Q111" s="8" t="str">
        <f>IFERROR(__xludf.DUMMYFUNCTION("""COMPUTED_VALUE"""),"Národní muzeum, Archiv NM, Sbírka Muzea dělnického hnutí, sbírka Klement Gottwald - kult osobnosti.")</f>
        <v>Národní muzeum, Archiv NM, Sbírka Muzea dělnického hnutí, sbírka Klement Gottwald - kult osobnosti.</v>
      </c>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row>
    <row r="112">
      <c r="A112" s="7">
        <f t="shared" si="1"/>
        <v>111</v>
      </c>
      <c r="B112" s="8" t="str">
        <f>IFERROR(__xludf.DUMMYFUNCTION("""COMPUTED_VALUE"""),"14.5305702")</f>
        <v>14.5305702</v>
      </c>
      <c r="C112" s="8" t="str">
        <f>IFERROR(__xludf.DUMMYFUNCTION("""COMPUTED_VALUE"""),"50.745117")</f>
        <v>50.745117</v>
      </c>
      <c r="D112" s="8" t="str">
        <f>IFERROR(__xludf.DUMMYFUNCTION("""COMPUTED_VALUE"""),"Skalice u České Lípy, telegram k volbě prezidentem")</f>
        <v>Skalice u České Lípy, telegram k volbě prezidentem</v>
      </c>
      <c r="E112" s="8" t="str">
        <f>IFERROR(__xludf.DUMMYFUNCTION("""COMPUTED_VALUE"""),"Telegram K. Gottwaldovi k volbě prezidentem - Obec Skalice u České Lípy; formulář telegram; 12.6.1948; papír; formát A5.")</f>
        <v>Telegram K. Gottwaldovi k volbě prezidentem - Obec Skalice u České Lípy; formulář telegram; 12.6.1948; papír; formát A5.</v>
      </c>
      <c r="F112" s="8" t="str">
        <f>IFERROR(__xludf.DUMMYFUNCTION("""COMPUTED_VALUE"""),"dokumenty")</f>
        <v>dokumenty</v>
      </c>
      <c r="G112" s="8" t="str">
        <f>IFERROR(__xludf.DUMMYFUNCTION("""COMPUTED_VALUE"""),"Telegramy")</f>
        <v>Telegramy</v>
      </c>
      <c r="H112" s="8"/>
      <c r="I112" s="9" t="str">
        <f>IFERROR(__xludf.DUMMYFUNCTION("""COMPUTED_VALUE"""),"1948")</f>
        <v>1948</v>
      </c>
      <c r="J112" s="8"/>
      <c r="K112" s="8" t="str">
        <f>IFERROR(__xludf.DUMMYFUNCTION("""COMPUTED_VALUE"""),"Obec Skalice u České Lípy")</f>
        <v>Obec Skalice u České Lípy</v>
      </c>
      <c r="L112" s="8" t="str">
        <f>IFERROR(__xludf.DUMMYFUNCTION("""COMPUTED_VALUE"""),"Národní muzeum, Archiv NM, Sbírka Muzea dělnického hnutí, sbírka Klement Gottwald - kult osobnosti.")</f>
        <v>Národní muzeum, Archiv NM, Sbírka Muzea dělnického hnutí, sbírka Klement Gottwald - kult osobnosti.</v>
      </c>
      <c r="M112" s="8"/>
      <c r="N112" s="8" t="str">
        <f>IFERROR(__xludf.DUMMYFUNCTION("""COMPUTED_VALUE"""),"1948, Skalice u České Lípy, obec, telegram k volbě prezidentem.jpg")</f>
        <v>1948, Skalice u České Lípy, obec, telegram k volbě prezidentem.jpg</v>
      </c>
      <c r="O112" s="8"/>
      <c r="P112" s="8" t="str">
        <f>IFERROR(__xludf.DUMMYFUNCTION("""COMPUTED_VALUE"""),"Telegram K. Gottwaldovi k volbě prezidentem - Obec Skalice u České Lípy; formulář telegram; 12.6.1948; papír; formát A5; sken: G. Hrzánová, 2021.")</f>
        <v>Telegram K. Gottwaldovi k volbě prezidentem - Obec Skalice u České Lípy; formulář telegram; 12.6.1948; papír; formát A5; sken: G. Hrzánová, 2021.</v>
      </c>
      <c r="Q112" s="8" t="str">
        <f>IFERROR(__xludf.DUMMYFUNCTION("""COMPUTED_VALUE"""),"Národní muzeum, Archiv NM, Sbírka Muzea dělnického hnutí, sbírka Klement Gottwald - kult osobnosti.")</f>
        <v>Národní muzeum, Archiv NM, Sbírka Muzea dělnického hnutí, sbírka Klement Gottwald - kult osobnosti.</v>
      </c>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row>
    <row r="113">
      <c r="A113" s="7">
        <f t="shared" si="1"/>
        <v>112</v>
      </c>
      <c r="B113" s="8" t="str">
        <f>IFERROR(__xludf.DUMMYFUNCTION("""COMPUTED_VALUE"""),"13.835284")</f>
        <v>13.835284</v>
      </c>
      <c r="C113" s="8" t="str">
        <f>IFERROR(__xludf.DUMMYFUNCTION("""COMPUTED_VALUE"""),"50.6444579")</f>
        <v>50.6444579</v>
      </c>
      <c r="D113" s="8" t="str">
        <f>IFERROR(__xludf.DUMMYFUNCTION("""COMPUTED_VALUE"""),"Teplice, telegram k volbě prezidentem")</f>
        <v>Teplice, telegram k volbě prezidentem</v>
      </c>
      <c r="E113" s="8" t="str">
        <f>IFERROR(__xludf.DUMMYFUNCTION("""COMPUTED_VALUE"""),"Telegram K. Gottwaldovi k volbě prezidentem - Okresní výbor Svazu čs. mládeže Lázně Teplice; formulář telegram; 12.6.1948; papír; formát A5.")</f>
        <v>Telegram K. Gottwaldovi k volbě prezidentem - Okresní výbor Svazu čs. mládeže Lázně Teplice; formulář telegram; 12.6.1948; papír; formát A5.</v>
      </c>
      <c r="F113" s="8" t="str">
        <f>IFERROR(__xludf.DUMMYFUNCTION("""COMPUTED_VALUE"""),"dokumenty")</f>
        <v>dokumenty</v>
      </c>
      <c r="G113" s="8" t="str">
        <f>IFERROR(__xludf.DUMMYFUNCTION("""COMPUTED_VALUE"""),"Telegramy")</f>
        <v>Telegramy</v>
      </c>
      <c r="H113" s="8"/>
      <c r="I113" s="9" t="str">
        <f>IFERROR(__xludf.DUMMYFUNCTION("""COMPUTED_VALUE"""),"1948")</f>
        <v>1948</v>
      </c>
      <c r="J113" s="8"/>
      <c r="K113" s="8" t="str">
        <f>IFERROR(__xludf.DUMMYFUNCTION("""COMPUTED_VALUE"""),"Okresní výbor Svazu čs. mládeže Lázně Teplice")</f>
        <v>Okresní výbor Svazu čs. mládeže Lázně Teplice</v>
      </c>
      <c r="L113" s="8" t="str">
        <f>IFERROR(__xludf.DUMMYFUNCTION("""COMPUTED_VALUE"""),"Národní muzeum, Archiv NM, Sbírka Muzea dělnického hnutí, sbírka Klement Gottwald - kult osobnosti.")</f>
        <v>Národní muzeum, Archiv NM, Sbírka Muzea dělnického hnutí, sbírka Klement Gottwald - kult osobnosti.</v>
      </c>
      <c r="M113" s="8"/>
      <c r="N113" s="8" t="str">
        <f>IFERROR(__xludf.DUMMYFUNCTION("""COMPUTED_VALUE"""),"1948, Teplice, Okresní výbor Svazu čs mládeže, telegram k volbě prezidentem.jpg")</f>
        <v>1948, Teplice, Okresní výbor Svazu čs mládeže, telegram k volbě prezidentem.jpg</v>
      </c>
      <c r="O113" s="8"/>
      <c r="P113" s="8" t="str">
        <f>IFERROR(__xludf.DUMMYFUNCTION("""COMPUTED_VALUE"""),"Telegram K. Gottwaldovi k volbě prezidentem - Okresní výbor Svazu čs. mládeže Lázně Teplice; formulář telegram; 12.6.1948; papír; formát A5; sken: G. Hrzánová, 2021.")</f>
        <v>Telegram K. Gottwaldovi k volbě prezidentem - Okresní výbor Svazu čs. mládeže Lázně Teplice; formulář telegram; 12.6.1948; papír; formát A5; sken: G. Hrzánová, 2021.</v>
      </c>
      <c r="Q113" s="8" t="str">
        <f>IFERROR(__xludf.DUMMYFUNCTION("""COMPUTED_VALUE"""),"Národní muzeum, Archiv NM, Sbírka Muzea dělnického hnutí, sbírka Klement Gottwald - kult osobnosti.")</f>
        <v>Národní muzeum, Archiv NM, Sbírka Muzea dělnického hnutí, sbírka Klement Gottwald - kult osobnosti.</v>
      </c>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row>
    <row r="114">
      <c r="A114" s="7">
        <f t="shared" si="1"/>
        <v>113</v>
      </c>
      <c r="B114" s="8" t="str">
        <f>IFERROR(__xludf.DUMMYFUNCTION("""COMPUTED_VALUE"""),"14.4842103")</f>
        <v>14.4842103</v>
      </c>
      <c r="C114" s="8" t="str">
        <f>IFERROR(__xludf.DUMMYFUNCTION("""COMPUTED_VALUE"""),"50.0468528")</f>
        <v>50.0468528</v>
      </c>
      <c r="D114" s="8" t="str">
        <f>IFERROR(__xludf.DUMMYFUNCTION("""COMPUTED_VALUE"""),"Praha, telegram k volbě prezidentem, Okresní jednota živnostenských společenstev")</f>
        <v>Praha, telegram k volbě prezidentem, Okresní jednota živnostenských společenstev</v>
      </c>
      <c r="E114" s="8" t="str">
        <f>IFERROR(__xludf.DUMMYFUNCTION("""COMPUTED_VALUE"""),"Telegram K. Gottwaldovi k volbě prezidentem - Okresní jednota živnostenských společenstev ve Velké Praze; formulář telegram; 12.6.1948; papír; formát A5.")</f>
        <v>Telegram K. Gottwaldovi k volbě prezidentem - Okresní jednota živnostenských společenstev ve Velké Praze; formulář telegram; 12.6.1948; papír; formát A5.</v>
      </c>
      <c r="F114" s="8" t="str">
        <f>IFERROR(__xludf.DUMMYFUNCTION("""COMPUTED_VALUE"""),"dokumenty")</f>
        <v>dokumenty</v>
      </c>
      <c r="G114" s="8" t="str">
        <f>IFERROR(__xludf.DUMMYFUNCTION("""COMPUTED_VALUE"""),"Telegramy")</f>
        <v>Telegramy</v>
      </c>
      <c r="H114" s="8"/>
      <c r="I114" s="9" t="str">
        <f>IFERROR(__xludf.DUMMYFUNCTION("""COMPUTED_VALUE"""),"1948")</f>
        <v>1948</v>
      </c>
      <c r="J114" s="8"/>
      <c r="K114" s="8" t="str">
        <f>IFERROR(__xludf.DUMMYFUNCTION("""COMPUTED_VALUE"""),"Okresní jednota živnostenských společenstev ve Velké Praze ")</f>
        <v>Okresní jednota živnostenských společenstev ve Velké Praze </v>
      </c>
      <c r="L114" s="8" t="str">
        <f>IFERROR(__xludf.DUMMYFUNCTION("""COMPUTED_VALUE"""),"Národní muzeum, Archiv NM, Sbírka Muzea dělnického hnutí, sbírka Klement Gottwald - kult osobnosti.")</f>
        <v>Národní muzeum, Archiv NM, Sbírka Muzea dělnického hnutí, sbírka Klement Gottwald - kult osobnosti.</v>
      </c>
      <c r="M114" s="8"/>
      <c r="N114" s="8" t="str">
        <f>IFERROR(__xludf.DUMMYFUNCTION("""COMPUTED_VALUE"""),"1948, Praha, Okresní jednota živnostenských společenstev, telegram k volbě prezidentem.jpg")</f>
        <v>1948, Praha, Okresní jednota živnostenských společenstev, telegram k volbě prezidentem.jpg</v>
      </c>
      <c r="O114" s="8"/>
      <c r="P114" s="8" t="str">
        <f>IFERROR(__xludf.DUMMYFUNCTION("""COMPUTED_VALUE"""),"Telegram K. Gottwaldovi k volbě prezidentem - Okresní jednota živnostenských společenstev ve Velké Praze; formulář telegram; 12.6.1948; papír; formát A5; sken: G. Hrzánová, 2021.")</f>
        <v>Telegram K. Gottwaldovi k volbě prezidentem - Okresní jednota živnostenských společenstev ve Velké Praze; formulář telegram; 12.6.1948; papír; formát A5; sken: G. Hrzánová, 2021.</v>
      </c>
      <c r="Q114" s="8" t="str">
        <f>IFERROR(__xludf.DUMMYFUNCTION("""COMPUTED_VALUE"""),"Národní muzeum, Archiv NM, Sbírka Muzea dělnického hnutí, sbírka Klement Gottwald - kult osobnosti.")</f>
        <v>Národní muzeum, Archiv NM, Sbírka Muzea dělnického hnutí, sbírka Klement Gottwald - kult osobnosti.</v>
      </c>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row>
    <row r="115">
      <c r="A115" s="7">
        <f t="shared" si="1"/>
        <v>114</v>
      </c>
      <c r="B115" s="8" t="str">
        <f>IFERROR(__xludf.DUMMYFUNCTION("""COMPUTED_VALUE"""),"14.3843361")</f>
        <v>14.3843361</v>
      </c>
      <c r="C115" s="8" t="str">
        <f>IFERROR(__xludf.DUMMYFUNCTION("""COMPUTED_VALUE"""),"50.0882417")</f>
        <v>50.0882417</v>
      </c>
      <c r="D115" s="8" t="str">
        <f>IFERROR(__xludf.DUMMYFUNCTION("""COMPUTED_VALUE"""),"Praha, telegram k volbě prezidentem, Místní organizace KSČ")</f>
        <v>Praha, telegram k volbě prezidentem, Místní organizace KSČ</v>
      </c>
      <c r="E115" s="8" t="str">
        <f>IFERROR(__xludf.DUMMYFUNCTION("""COMPUTED_VALUE"""),"Telegram K. Gottwaldovi k volbě prezidentem - Místní organizace KSČ, Hradčanská kolej, Praha; formulář telegram; 12.6.1948, 13:35; papír; formát A5.")</f>
        <v>Telegram K. Gottwaldovi k volbě prezidentem - Místní organizace KSČ, Hradčanská kolej, Praha; formulář telegram; 12.6.1948, 13:35; papír; formát A5.</v>
      </c>
      <c r="F115" s="8" t="str">
        <f>IFERROR(__xludf.DUMMYFUNCTION("""COMPUTED_VALUE"""),"dokumenty")</f>
        <v>dokumenty</v>
      </c>
      <c r="G115" s="8" t="str">
        <f>IFERROR(__xludf.DUMMYFUNCTION("""COMPUTED_VALUE"""),"Telegramy")</f>
        <v>Telegramy</v>
      </c>
      <c r="H115" s="8"/>
      <c r="I115" s="9" t="str">
        <f>IFERROR(__xludf.DUMMYFUNCTION("""COMPUTED_VALUE"""),"1948")</f>
        <v>1948</v>
      </c>
      <c r="J115" s="8"/>
      <c r="K115" s="8" t="str">
        <f>IFERROR(__xludf.DUMMYFUNCTION("""COMPUTED_VALUE"""),"Místní organizace KSČ, Hradčanská kolej, Praha")</f>
        <v>Místní organizace KSČ, Hradčanská kolej, Praha</v>
      </c>
      <c r="L115" s="8" t="str">
        <f>IFERROR(__xludf.DUMMYFUNCTION("""COMPUTED_VALUE"""),"Národní muzeum, Archiv NM, Sbírka Muzea dělnického hnutí, sbírka Klement Gottwald - kult osobnosti.")</f>
        <v>Národní muzeum, Archiv NM, Sbírka Muzea dělnického hnutí, sbírka Klement Gottwald - kult osobnosti.</v>
      </c>
      <c r="M115" s="8"/>
      <c r="N115" s="8" t="str">
        <f>IFERROR(__xludf.DUMMYFUNCTION("""COMPUTED_VALUE"""),"1948, Praha, Místní organizace KSČ, Hradčanská kolej, telegram k volbě prezidentem.jpg")</f>
        <v>1948, Praha, Místní organizace KSČ, Hradčanská kolej, telegram k volbě prezidentem.jpg</v>
      </c>
      <c r="O115" s="8"/>
      <c r="P115" s="8" t="str">
        <f>IFERROR(__xludf.DUMMYFUNCTION("""COMPUTED_VALUE"""),"Telegram K. Gottwaldovi k volbě prezidentem - Místní organizace KSČ, Hradčanská kolej, Praha; formulář telegram; 12.6.1948, 13:35; papír; formát A5; sken: G. Hrzánová, 2021.")</f>
        <v>Telegram K. Gottwaldovi k volbě prezidentem - Místní organizace KSČ, Hradčanská kolej, Praha; formulář telegram; 12.6.1948, 13:35; papír; formát A5; sken: G. Hrzánová, 2021.</v>
      </c>
      <c r="Q115" s="8" t="str">
        <f>IFERROR(__xludf.DUMMYFUNCTION("""COMPUTED_VALUE"""),"Národní muzeum, Archiv NM, Sbírka Muzea dělnického hnutí, sbírka Klement Gottwald - kult osobnosti.")</f>
        <v>Národní muzeum, Archiv NM, Sbírka Muzea dělnického hnutí, sbírka Klement Gottwald - kult osobnosti.</v>
      </c>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row>
    <row r="116">
      <c r="A116" s="7">
        <f t="shared" si="1"/>
        <v>115</v>
      </c>
      <c r="B116" s="8" t="str">
        <f>IFERROR(__xludf.DUMMYFUNCTION("""COMPUTED_VALUE"""),"19.6438178")</f>
        <v>19.6438178</v>
      </c>
      <c r="C116" s="8" t="str">
        <f>IFERROR(__xludf.DUMMYFUNCTION("""COMPUTED_VALUE"""),"48.8060729")</f>
        <v>48.8060729</v>
      </c>
      <c r="D116" s="8" t="str">
        <f>IFERROR(__xludf.DUMMYFUNCTION("""COMPUTED_VALUE"""),"Brezno, telegram k volbě prezidentem")</f>
        <v>Brezno, telegram k volbě prezidentem</v>
      </c>
      <c r="E116" s="8" t="str">
        <f>IFERROR(__xludf.DUMMYFUNCTION("""COMPUTED_VALUE"""),"Telegram K. Gottwaldovi k volbě prezidentem - Okresní odborová rada, Brezno nad Hronom; formulář telegram; 12.6.1948, 12:00; papír; formát A5.")</f>
        <v>Telegram K. Gottwaldovi k volbě prezidentem - Okresní odborová rada, Brezno nad Hronom; formulář telegram; 12.6.1948, 12:00; papír; formát A5.</v>
      </c>
      <c r="F116" s="8" t="str">
        <f>IFERROR(__xludf.DUMMYFUNCTION("""COMPUTED_VALUE"""),"dokumenty")</f>
        <v>dokumenty</v>
      </c>
      <c r="G116" s="8" t="str">
        <f>IFERROR(__xludf.DUMMYFUNCTION("""COMPUTED_VALUE"""),"Telegramy")</f>
        <v>Telegramy</v>
      </c>
      <c r="H116" s="8"/>
      <c r="I116" s="9" t="str">
        <f>IFERROR(__xludf.DUMMYFUNCTION("""COMPUTED_VALUE"""),"1948")</f>
        <v>1948</v>
      </c>
      <c r="J116" s="8"/>
      <c r="K116" s="8" t="str">
        <f>IFERROR(__xludf.DUMMYFUNCTION("""COMPUTED_VALUE"""),"Okresní odborová rada, Brezno nad Hronom")</f>
        <v>Okresní odborová rada, Brezno nad Hronom</v>
      </c>
      <c r="L116" s="8" t="str">
        <f>IFERROR(__xludf.DUMMYFUNCTION("""COMPUTED_VALUE"""),"Národní muzeum, Archiv NM, Sbírka Muzea dělnického hnutí, sbírka Klement Gottwald - kult osobnosti.")</f>
        <v>Národní muzeum, Archiv NM, Sbírka Muzea dělnického hnutí, sbírka Klement Gottwald - kult osobnosti.</v>
      </c>
      <c r="M116" s="8"/>
      <c r="N116" s="8" t="str">
        <f>IFERROR(__xludf.DUMMYFUNCTION("""COMPUTED_VALUE"""),"1948, Brezno, Okresní odborová rada, telegram k volbě prezidentem.jpg")</f>
        <v>1948, Brezno, Okresní odborová rada, telegram k volbě prezidentem.jpg</v>
      </c>
      <c r="O116" s="8"/>
      <c r="P116" s="8" t="str">
        <f>IFERROR(__xludf.DUMMYFUNCTION("""COMPUTED_VALUE"""),"Telegram K. Gottwaldovi k volbě prezidentem - Okresní odborová rada, Brezno nad Hronom; formulář telegram; 12.6.1948, 12:00; papír; formát A5; sken: G. Hrzánová, 2021.")</f>
        <v>Telegram K. Gottwaldovi k volbě prezidentem - Okresní odborová rada, Brezno nad Hronom; formulář telegram; 12.6.1948, 12:00; papír; formát A5; sken: G. Hrzánová, 2021.</v>
      </c>
      <c r="Q116" s="8" t="str">
        <f>IFERROR(__xludf.DUMMYFUNCTION("""COMPUTED_VALUE"""),"Národní muzeum, Archiv NM, Sbírka Muzea dělnického hnutí, sbírka Klement Gottwald - kult osobnosti.")</f>
        <v>Národní muzeum, Archiv NM, Sbírka Muzea dělnického hnutí, sbírka Klement Gottwald - kult osobnosti.</v>
      </c>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row>
    <row r="117">
      <c r="A117" s="7">
        <f t="shared" si="1"/>
        <v>116</v>
      </c>
      <c r="B117" s="8" t="str">
        <f>IFERROR(__xludf.DUMMYFUNCTION("""COMPUTED_VALUE"""),"17.8882504")</f>
        <v>17.8882504</v>
      </c>
      <c r="C117" s="8" t="str">
        <f>IFERROR(__xludf.DUMMYFUNCTION("""COMPUTED_VALUE"""),"48.6980375")</f>
        <v>48.6980375</v>
      </c>
      <c r="D117" s="8" t="str">
        <f>IFERROR(__xludf.DUMMYFUNCTION("""COMPUTED_VALUE"""),"Hrádok, telegram k volbě prezidentem")</f>
        <v>Hrádok, telegram k volbě prezidentem</v>
      </c>
      <c r="E117" s="8" t="str">
        <f>IFERROR(__xludf.DUMMYFUNCTION("""COMPUTED_VALUE"""),"Telegram K. Gottwaldovi k volbě prezidentem - Místní organizace KSS, Hrádok nad Hronom; formulář telegram; 12.6.1948, 12:15; papír; formát A5.")</f>
        <v>Telegram K. Gottwaldovi k volbě prezidentem - Místní organizace KSS, Hrádok nad Hronom; formulář telegram; 12.6.1948, 12:15; papír; formát A5.</v>
      </c>
      <c r="F117" s="8" t="str">
        <f>IFERROR(__xludf.DUMMYFUNCTION("""COMPUTED_VALUE"""),"dokumenty")</f>
        <v>dokumenty</v>
      </c>
      <c r="G117" s="8" t="str">
        <f>IFERROR(__xludf.DUMMYFUNCTION("""COMPUTED_VALUE"""),"Telegramy")</f>
        <v>Telegramy</v>
      </c>
      <c r="H117" s="8"/>
      <c r="I117" s="9" t="str">
        <f>IFERROR(__xludf.DUMMYFUNCTION("""COMPUTED_VALUE"""),"1948")</f>
        <v>1948</v>
      </c>
      <c r="J117" s="8"/>
      <c r="K117" s="8" t="str">
        <f>IFERROR(__xludf.DUMMYFUNCTION("""COMPUTED_VALUE"""),"Místní organizace KSS, Hrádok nad Hronom")</f>
        <v>Místní organizace KSS, Hrádok nad Hronom</v>
      </c>
      <c r="L117" s="8" t="str">
        <f>IFERROR(__xludf.DUMMYFUNCTION("""COMPUTED_VALUE"""),"Národní muzeum, Archiv NM, Sbírka Muzea dělnického hnutí, sbírka Klement Gottwald - kult osobnosti.")</f>
        <v>Národní muzeum, Archiv NM, Sbírka Muzea dělnického hnutí, sbírka Klement Gottwald - kult osobnosti.</v>
      </c>
      <c r="M117" s="8"/>
      <c r="N117" s="8" t="str">
        <f>IFERROR(__xludf.DUMMYFUNCTION("""COMPUTED_VALUE"""),"1948, Hrádok, Místní organizace KSS, telegram k volbě prezidentem.jpg")</f>
        <v>1948, Hrádok, Místní organizace KSS, telegram k volbě prezidentem.jpg</v>
      </c>
      <c r="O117" s="8"/>
      <c r="P117" s="8" t="str">
        <f>IFERROR(__xludf.DUMMYFUNCTION("""COMPUTED_VALUE"""),"Telegram K. Gottwaldovi k volbě prezidentem - Místní organizace KSS, Hrádok nad Hronom; formulář telegram; 12.6.1948, 12:15; papír; formát A5; sken: G. Hrzánová, 2021.")</f>
        <v>Telegram K. Gottwaldovi k volbě prezidentem - Místní organizace KSS, Hrádok nad Hronom; formulář telegram; 12.6.1948, 12:15; papír; formát A5; sken: G. Hrzánová, 2021.</v>
      </c>
      <c r="Q117" s="8" t="str">
        <f>IFERROR(__xludf.DUMMYFUNCTION("""COMPUTED_VALUE"""),"Národní muzeum, Archiv NM, Sbírka Muzea dělnického hnutí, sbírka Klement Gottwald - kult osobnosti.")</f>
        <v>Národní muzeum, Archiv NM, Sbírka Muzea dělnického hnutí, sbírka Klement Gottwald - kult osobnosti.</v>
      </c>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row>
    <row r="118">
      <c r="A118" s="7">
        <f t="shared" si="1"/>
        <v>117</v>
      </c>
      <c r="B118" s="8" t="str">
        <f>IFERROR(__xludf.DUMMYFUNCTION("""COMPUTED_VALUE"""),"17.5334034")</f>
        <v>17.5334034</v>
      </c>
      <c r="C118" s="8" t="str">
        <f>IFERROR(__xludf.DUMMYFUNCTION("""COMPUTED_VALUE"""),"48.8620736")</f>
        <v>48.8620736</v>
      </c>
      <c r="D118" s="8" t="str">
        <f>IFERROR(__xludf.DUMMYFUNCTION("""COMPUTED_VALUE"""),"Javorník, telegram k volbě prezidentem")</f>
        <v>Javorník, telegram k volbě prezidentem</v>
      </c>
      <c r="E118" s="8" t="str">
        <f>IFERROR(__xludf.DUMMYFUNCTION("""COMPUTED_VALUE"""),"Telegram K. Gottwaldovi k volbě prezidentem - Místní organizace KSČ, Javorník; formulář telegram; 12.6.1948, 11:50; papír; formát A5.")</f>
        <v>Telegram K. Gottwaldovi k volbě prezidentem - Místní organizace KSČ, Javorník; formulář telegram; 12.6.1948, 11:50; papír; formát A5.</v>
      </c>
      <c r="F118" s="8" t="str">
        <f>IFERROR(__xludf.DUMMYFUNCTION("""COMPUTED_VALUE"""),"dokumenty")</f>
        <v>dokumenty</v>
      </c>
      <c r="G118" s="8" t="str">
        <f>IFERROR(__xludf.DUMMYFUNCTION("""COMPUTED_VALUE"""),"Telegramy")</f>
        <v>Telegramy</v>
      </c>
      <c r="H118" s="8"/>
      <c r="I118" s="9" t="str">
        <f>IFERROR(__xludf.DUMMYFUNCTION("""COMPUTED_VALUE"""),"1948")</f>
        <v>1948</v>
      </c>
      <c r="J118" s="8"/>
      <c r="K118" s="8" t="str">
        <f>IFERROR(__xludf.DUMMYFUNCTION("""COMPUTED_VALUE"""),"Místní organizace KSČ, Javorník")</f>
        <v>Místní organizace KSČ, Javorník</v>
      </c>
      <c r="L118" s="8" t="str">
        <f>IFERROR(__xludf.DUMMYFUNCTION("""COMPUTED_VALUE"""),"Národní muzeum, Archiv NM, Sbírka Muzea dělnického hnutí, sbírka Klement Gottwald - kult osobnosti.")</f>
        <v>Národní muzeum, Archiv NM, Sbírka Muzea dělnického hnutí, sbírka Klement Gottwald - kult osobnosti.</v>
      </c>
      <c r="M118" s="8"/>
      <c r="N118" s="8" t="str">
        <f>IFERROR(__xludf.DUMMYFUNCTION("""COMPUTED_VALUE"""),"1948, Javorník, Místní organizace KSČ, telegram k volbě prezidentem.jpg")</f>
        <v>1948, Javorník, Místní organizace KSČ, telegram k volbě prezidentem.jpg</v>
      </c>
      <c r="O118" s="8"/>
      <c r="P118" s="8" t="str">
        <f>IFERROR(__xludf.DUMMYFUNCTION("""COMPUTED_VALUE"""),"Telegram K. Gottwaldovi k volbě prezidentem - Místní organizace KSČ, Javorník; formulář telegram; 12.6.1948, 11:50; papír; formát A5; sken: G. Hrzánová, 2021.")</f>
        <v>Telegram K. Gottwaldovi k volbě prezidentem - Místní organizace KSČ, Javorník; formulář telegram; 12.6.1948, 11:50; papír; formát A5; sken: G. Hrzánová, 2021.</v>
      </c>
      <c r="Q118" s="8" t="str">
        <f>IFERROR(__xludf.DUMMYFUNCTION("""COMPUTED_VALUE"""),"Národní muzeum, Archiv NM, Sbírka Muzea dělnického hnutí, sbírka Klement Gottwald - kult osobnosti.")</f>
        <v>Národní muzeum, Archiv NM, Sbírka Muzea dělnického hnutí, sbírka Klement Gottwald - kult osobnosti.</v>
      </c>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row>
    <row r="119">
      <c r="A119" s="7">
        <f t="shared" si="1"/>
        <v>118</v>
      </c>
      <c r="B119" s="8" t="str">
        <f>IFERROR(__xludf.DUMMYFUNCTION("""COMPUTED_VALUE"""),"17.5933177")</f>
        <v>17.5933177</v>
      </c>
      <c r="C119" s="8" t="str">
        <f>IFERROR(__xludf.DUMMYFUNCTION("""COMPUTED_VALUE"""),"48.8609474")</f>
        <v>48.8609474</v>
      </c>
      <c r="D119" s="8" t="str">
        <f>IFERROR(__xludf.DUMMYFUNCTION("""COMPUTED_VALUE"""),"Nová Lhota, telegram k volbě prezidentem")</f>
        <v>Nová Lhota, telegram k volbě prezidentem</v>
      </c>
      <c r="E119" s="8" t="str">
        <f>IFERROR(__xludf.DUMMYFUNCTION("""COMPUTED_VALUE"""),"Telegram K. Gottwaldovi k volbě prezidentem - Místní organizace KSČ, Nová Lhota; formulář telegram; 12.6.1948; papír; formát A5.")</f>
        <v>Telegram K. Gottwaldovi k volbě prezidentem - Místní organizace KSČ, Nová Lhota; formulář telegram; 12.6.1948; papír; formát A5.</v>
      </c>
      <c r="F119" s="8" t="str">
        <f>IFERROR(__xludf.DUMMYFUNCTION("""COMPUTED_VALUE"""),"dokumenty")</f>
        <v>dokumenty</v>
      </c>
      <c r="G119" s="8" t="str">
        <f>IFERROR(__xludf.DUMMYFUNCTION("""COMPUTED_VALUE"""),"Telegramy")</f>
        <v>Telegramy</v>
      </c>
      <c r="H119" s="8"/>
      <c r="I119" s="9" t="str">
        <f>IFERROR(__xludf.DUMMYFUNCTION("""COMPUTED_VALUE"""),"1948")</f>
        <v>1948</v>
      </c>
      <c r="J119" s="8"/>
      <c r="K119" s="8" t="str">
        <f>IFERROR(__xludf.DUMMYFUNCTION("""COMPUTED_VALUE"""),"Místní organizace KSČ, Nová Lhota")</f>
        <v>Místní organizace KSČ, Nová Lhota</v>
      </c>
      <c r="L119" s="8" t="str">
        <f>IFERROR(__xludf.DUMMYFUNCTION("""COMPUTED_VALUE"""),"Národní muzeum, Archiv NM, Sbírka Muzea dělnického hnutí, sbírka Klement Gottwald - kult osobnosti.")</f>
        <v>Národní muzeum, Archiv NM, Sbírka Muzea dělnického hnutí, sbírka Klement Gottwald - kult osobnosti.</v>
      </c>
      <c r="M119" s="8"/>
      <c r="N119" s="8" t="str">
        <f>IFERROR(__xludf.DUMMYFUNCTION("""COMPUTED_VALUE"""),"1948, Nová Lhota, Místní organizace KSČ, telegram k volbě prezidentem.jpg")</f>
        <v>1948, Nová Lhota, Místní organizace KSČ, telegram k volbě prezidentem.jpg</v>
      </c>
      <c r="O119" s="8"/>
      <c r="P119" s="8" t="str">
        <f>IFERROR(__xludf.DUMMYFUNCTION("""COMPUTED_VALUE"""),"Telegram K. Gottwaldovi k volbě prezidentem - Místní organizace KSČ, Nová Lhota; formulář telegram; 12.6.1948; papír; formát A5; sken: G. Hrzánová, 2021.")</f>
        <v>Telegram K. Gottwaldovi k volbě prezidentem - Místní organizace KSČ, Nová Lhota; formulář telegram; 12.6.1948; papír; formát A5; sken: G. Hrzánová, 2021.</v>
      </c>
      <c r="Q119" s="8" t="str">
        <f>IFERROR(__xludf.DUMMYFUNCTION("""COMPUTED_VALUE"""),"Národní muzeum, Archiv NM, Sbírka Muzea dělnického hnutí, sbírka Klement Gottwald - kult osobnosti.")</f>
        <v>Národní muzeum, Archiv NM, Sbírka Muzea dělnického hnutí, sbírka Klement Gottwald - kult osobnosti.</v>
      </c>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row>
    <row r="120">
      <c r="A120" s="7">
        <f t="shared" si="1"/>
        <v>119</v>
      </c>
      <c r="B120" s="8" t="str">
        <f>IFERROR(__xludf.DUMMYFUNCTION("""COMPUTED_VALUE"""),"16.6211039")</f>
        <v>16.6211039</v>
      </c>
      <c r="C120" s="8" t="str">
        <f>IFERROR(__xludf.DUMMYFUNCTION("""COMPUTED_VALUE"""),"49.1807162")</f>
        <v>49.1807162</v>
      </c>
      <c r="D120" s="8" t="str">
        <f>IFERROR(__xludf.DUMMYFUNCTION("""COMPUTED_VALUE"""),"Brno - Komárov, telegram k volbě prezidentem")</f>
        <v>Brno - Komárov, telegram k volbě prezidentem</v>
      </c>
      <c r="E120" s="8" t="str">
        <f>IFERROR(__xludf.DUMMYFUNCTION("""COMPUTED_VALUE"""),"Telegram K. Gottwaldovi k volbě prezidentem - Závodní organizace KSČ, Streblovy závody, Brno Komárov; formulář telegram; 12.6.1948, 10:45; papír; formát A5.")</f>
        <v>Telegram K. Gottwaldovi k volbě prezidentem - Závodní organizace KSČ, Streblovy závody, Brno Komárov; formulář telegram; 12.6.1948, 10:45; papír; formát A5.</v>
      </c>
      <c r="F120" s="8" t="str">
        <f>IFERROR(__xludf.DUMMYFUNCTION("""COMPUTED_VALUE"""),"dokumenty")</f>
        <v>dokumenty</v>
      </c>
      <c r="G120" s="8" t="str">
        <f>IFERROR(__xludf.DUMMYFUNCTION("""COMPUTED_VALUE"""),"Telegramy")</f>
        <v>Telegramy</v>
      </c>
      <c r="H120" s="8"/>
      <c r="I120" s="9" t="str">
        <f>IFERROR(__xludf.DUMMYFUNCTION("""COMPUTED_VALUE"""),"1948")</f>
        <v>1948</v>
      </c>
      <c r="J120" s="8"/>
      <c r="K120" s="8" t="str">
        <f>IFERROR(__xludf.DUMMYFUNCTION("""COMPUTED_VALUE"""),"Závodní organizace KSČ, Streblovy závody, Brno Komárov")</f>
        <v>Závodní organizace KSČ, Streblovy závody, Brno Komárov</v>
      </c>
      <c r="L120" s="8" t="str">
        <f>IFERROR(__xludf.DUMMYFUNCTION("""COMPUTED_VALUE"""),"Národní muzeum, Archiv NM, Sbírka Muzea dělnického hnutí, sbírka Klement Gottwald - kult osobnosti.")</f>
        <v>Národní muzeum, Archiv NM, Sbírka Muzea dělnického hnutí, sbírka Klement Gottwald - kult osobnosti.</v>
      </c>
      <c r="M120" s="8"/>
      <c r="N120" s="8" t="str">
        <f>IFERROR(__xludf.DUMMYFUNCTION("""COMPUTED_VALUE"""),"1948, Brno - Komárov, Závodní organizace KSČ, Streblovy závody, telegram k volbě prezidentem.jpg")</f>
        <v>1948, Brno - Komárov, Závodní organizace KSČ, Streblovy závody, telegram k volbě prezidentem.jpg</v>
      </c>
      <c r="O120" s="8"/>
      <c r="P120" s="8" t="str">
        <f>IFERROR(__xludf.DUMMYFUNCTION("""COMPUTED_VALUE"""),"Telegram K. Gottwaldovi k volbě prezidentem - Závodní organizace KSČ, Streblovy závody, Brno Komárov; formulář telegram; 12.6.1948, 10:45; papír; formát A5; sken: G. Hrzánová, 2021.")</f>
        <v>Telegram K. Gottwaldovi k volbě prezidentem - Závodní organizace KSČ, Streblovy závody, Brno Komárov; formulář telegram; 12.6.1948, 10:45; papír; formát A5; sken: G. Hrzánová, 2021.</v>
      </c>
      <c r="Q120" s="8" t="str">
        <f>IFERROR(__xludf.DUMMYFUNCTION("""COMPUTED_VALUE"""),"Národní muzeum, Archiv NM, Sbírka Muzea dělnického hnutí, sbírka Klement Gottwald - kult osobnosti.")</f>
        <v>Národní muzeum, Archiv NM, Sbírka Muzea dělnického hnutí, sbírka Klement Gottwald - kult osobnosti.</v>
      </c>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row>
    <row r="121">
      <c r="A121" s="7">
        <f t="shared" si="1"/>
        <v>120</v>
      </c>
      <c r="B121" s="8" t="str">
        <f>IFERROR(__xludf.DUMMYFUNCTION("""COMPUTED_VALUE"""),"17.6627635")</f>
        <v>17.6627635</v>
      </c>
      <c r="C121" s="8" t="str">
        <f>IFERROR(__xludf.DUMMYFUNCTION("""COMPUTED_VALUE"""),"49.2244365")</f>
        <v>49.2244365</v>
      </c>
      <c r="D121" s="8" t="str">
        <f>IFERROR(__xludf.DUMMYFUNCTION("""COMPUTED_VALUE"""),"Zlín, telegram k volbě prezidentem, Společenstvo malířů pokojů a lakýrníků")</f>
        <v>Zlín, telegram k volbě prezidentem, Společenstvo malířů pokojů a lakýrníků</v>
      </c>
      <c r="E121" s="8" t="str">
        <f>IFERROR(__xludf.DUMMYFUNCTION("""COMPUTED_VALUE"""),"Telegram K. Gottwaldovi k volbě prezidentem - Společenstvo malířů pokojů a lakýrníků, Zlín; formulář telegram; 11.6.1948, 10:10; papír; formát A5.")</f>
        <v>Telegram K. Gottwaldovi k volbě prezidentem - Společenstvo malířů pokojů a lakýrníků, Zlín; formulář telegram; 11.6.1948, 10:10; papír; formát A5.</v>
      </c>
      <c r="F121" s="8" t="str">
        <f>IFERROR(__xludf.DUMMYFUNCTION("""COMPUTED_VALUE"""),"dokumenty")</f>
        <v>dokumenty</v>
      </c>
      <c r="G121" s="8" t="str">
        <f>IFERROR(__xludf.DUMMYFUNCTION("""COMPUTED_VALUE"""),"Telegramy")</f>
        <v>Telegramy</v>
      </c>
      <c r="H121" s="8"/>
      <c r="I121" s="9" t="str">
        <f>IFERROR(__xludf.DUMMYFUNCTION("""COMPUTED_VALUE"""),"1948")</f>
        <v>1948</v>
      </c>
      <c r="J121" s="8"/>
      <c r="K121" s="8" t="str">
        <f>IFERROR(__xludf.DUMMYFUNCTION("""COMPUTED_VALUE"""),"Společenstvo malířů pokojů a lakýrníků, Zlín")</f>
        <v>Společenstvo malířů pokojů a lakýrníků, Zlín</v>
      </c>
      <c r="L121" s="8" t="str">
        <f>IFERROR(__xludf.DUMMYFUNCTION("""COMPUTED_VALUE"""),"Národní muzeum, Archiv NM, Sbírka Muzea dělnického hnutí, sbírka Klement Gottwald - kult osobnosti.")</f>
        <v>Národní muzeum, Archiv NM, Sbírka Muzea dělnického hnutí, sbírka Klement Gottwald - kult osobnosti.</v>
      </c>
      <c r="M121" s="8"/>
      <c r="N121" s="8" t="str">
        <f>IFERROR(__xludf.DUMMYFUNCTION("""COMPUTED_VALUE"""),"1948, Zlín, Společenstvo malířů pokojů a lakýrníků, telegram k volbě prezidentem.jpg")</f>
        <v>1948, Zlín, Společenstvo malířů pokojů a lakýrníků, telegram k volbě prezidentem.jpg</v>
      </c>
      <c r="O121" s="8"/>
      <c r="P121" s="8" t="str">
        <f>IFERROR(__xludf.DUMMYFUNCTION("""COMPUTED_VALUE"""),"Telegram K. Gottwaldovi k volbě prezidentem - Společenstvo malířů pokojů a lakýrníků, Zlín; formulář telegram; 11.6.1948, 10:10; papír; formát A5; sken: G. Hrzánová, 2021.")</f>
        <v>Telegram K. Gottwaldovi k volbě prezidentem - Společenstvo malířů pokojů a lakýrníků, Zlín; formulář telegram; 11.6.1948, 10:10; papír; formát A5; sken: G. Hrzánová, 2021.</v>
      </c>
      <c r="Q121" s="8" t="str">
        <f>IFERROR(__xludf.DUMMYFUNCTION("""COMPUTED_VALUE"""),"Národní muzeum, Archiv NM, Sbírka Muzea dělnického hnutí, sbírka Klement Gottwald - kult osobnosti.")</f>
        <v>Národní muzeum, Archiv NM, Sbírka Muzea dělnického hnutí, sbírka Klement Gottwald - kult osobnosti.</v>
      </c>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row>
    <row r="122">
      <c r="A122" s="7">
        <f t="shared" si="1"/>
        <v>121</v>
      </c>
      <c r="B122" s="8" t="str">
        <f>IFERROR(__xludf.DUMMYFUNCTION("""COMPUTED_VALUE"""),"14.5158984")</f>
        <v>14.5158984</v>
      </c>
      <c r="C122" s="8" t="str">
        <f>IFERROR(__xludf.DUMMYFUNCTION("""COMPUTED_VALUE"""),"50.1424912")</f>
        <v>50.1424912</v>
      </c>
      <c r="D122" s="8" t="str">
        <f>IFERROR(__xludf.DUMMYFUNCTION("""COMPUTED_VALUE"""),"Praha - Letňany, telegram k volbě prezidentem")</f>
        <v>Praha - Letňany, telegram k volbě prezidentem</v>
      </c>
      <c r="E122" s="8" t="str">
        <f>IFERROR(__xludf.DUMMYFUNCTION("""COMPUTED_VALUE"""),"Telegram K. Gottwaldovi k volbě prezidentem - Závodní odborová skupina a závodní rada automobilových závodů národní podnik AVIA závod J. Dimitrova, Praha - Letňany; formulář telegram; 10.6.1948, 14:30; papír; formát A5. ")</f>
        <v>Telegram K. Gottwaldovi k volbě prezidentem - Závodní odborová skupina a závodní rada automobilových závodů národní podnik AVIA závod J. Dimitrova, Praha - Letňany; formulář telegram; 10.6.1948, 14:30; papír; formát A5. </v>
      </c>
      <c r="F122" s="8" t="str">
        <f>IFERROR(__xludf.DUMMYFUNCTION("""COMPUTED_VALUE"""),"dokumenty")</f>
        <v>dokumenty</v>
      </c>
      <c r="G122" s="8" t="str">
        <f>IFERROR(__xludf.DUMMYFUNCTION("""COMPUTED_VALUE"""),"Telegramy")</f>
        <v>Telegramy</v>
      </c>
      <c r="H122" s="8"/>
      <c r="I122" s="9" t="str">
        <f>IFERROR(__xludf.DUMMYFUNCTION("""COMPUTED_VALUE"""),"1948")</f>
        <v>1948</v>
      </c>
      <c r="J122" s="8"/>
      <c r="K122" s="8" t="str">
        <f>IFERROR(__xludf.DUMMYFUNCTION("""COMPUTED_VALUE"""),"Závodní odborová skupina a závodní rada automobilových závodů národní podnik AVIA závod J. Dimitrova, Praha - Letňany")</f>
        <v>Závodní odborová skupina a závodní rada automobilových závodů národní podnik AVIA závod J. Dimitrova, Praha - Letňany</v>
      </c>
      <c r="L122" s="8" t="str">
        <f>IFERROR(__xludf.DUMMYFUNCTION("""COMPUTED_VALUE"""),"Národní muzeum, Archiv NM, Sbírka Muzea dělnického hnutí, sbírka Klement Gottwald - kult osobnosti.")</f>
        <v>Národní muzeum, Archiv NM, Sbírka Muzea dělnického hnutí, sbírka Klement Gottwald - kult osobnosti.</v>
      </c>
      <c r="M122" s="8"/>
      <c r="N122" s="8" t="str">
        <f>IFERROR(__xludf.DUMMYFUNCTION("""COMPUTED_VALUE"""),"1948, Praha - Letňany, Závodní odborová skupina a závodní rada automobilových závodů národní podnik AVIA závod J Dimitrova, telegram k volbě prezidentem.jpg")</f>
        <v>1948, Praha - Letňany, Závodní odborová skupina a závodní rada automobilových závodů národní podnik AVIA závod J Dimitrova, telegram k volbě prezidentem.jpg</v>
      </c>
      <c r="O122" s="8"/>
      <c r="P122" s="8" t="str">
        <f>IFERROR(__xludf.DUMMYFUNCTION("""COMPUTED_VALUE"""),"Telegram K. Gottwaldovi k volbě prezidentem - Závodní odborová skupina a závodní rada automobilových závodů národní podnik AVIA závod J. Dimitrova, Praha - Letňany; formulář telegram; 10.6.1948, 14:30; papír; formát A5; sken: G. Hrzánová, 2021.")</f>
        <v>Telegram K. Gottwaldovi k volbě prezidentem - Závodní odborová skupina a závodní rada automobilových závodů národní podnik AVIA závod J. Dimitrova, Praha - Letňany; formulář telegram; 10.6.1948, 14:30; papír; formát A5; sken: G. Hrzánová, 2021.</v>
      </c>
      <c r="Q122" s="8" t="str">
        <f>IFERROR(__xludf.DUMMYFUNCTION("""COMPUTED_VALUE"""),"Národní muzeum, Archiv NM, Sbírka Muzea dělnického hnutí, sbírka Klement Gottwald - kult osobnosti.")</f>
        <v>Národní muzeum, Archiv NM, Sbírka Muzea dělnického hnutí, sbírka Klement Gottwald - kult osobnosti.</v>
      </c>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row>
    <row r="123">
      <c r="A123" s="7">
        <f t="shared" si="1"/>
        <v>122</v>
      </c>
      <c r="B123" s="8" t="str">
        <f>IFERROR(__xludf.DUMMYFUNCTION("""COMPUTED_VALUE"""),"14.6873698")</f>
        <v>14.6873698</v>
      </c>
      <c r="C123" s="8" t="str">
        <f>IFERROR(__xludf.DUMMYFUNCTION("""COMPUTED_VALUE"""),"49.7837821")</f>
        <v>49.7837821</v>
      </c>
      <c r="D123" s="8" t="str">
        <f>IFERROR(__xludf.DUMMYFUNCTION("""COMPUTED_VALUE"""),"Benešov, telegram k volbě prezidentem")</f>
        <v>Benešov, telegram k volbě prezidentem</v>
      </c>
      <c r="E123" s="8" t="str">
        <f>IFERROR(__xludf.DUMMYFUNCTION("""COMPUTED_VALUE"""),"Telegram K. Gottwaldovi k volbě prezidentem - Ředitelství, závodní rada a závodní odborová skupina státního statku a rybníků, Benešov; formulář telegram; 10.6.1948, 15:00; papír; formát A5.")</f>
        <v>Telegram K. Gottwaldovi k volbě prezidentem - Ředitelství, závodní rada a závodní odborová skupina státního statku a rybníků, Benešov; formulář telegram; 10.6.1948, 15:00; papír; formát A5.</v>
      </c>
      <c r="F123" s="8" t="str">
        <f>IFERROR(__xludf.DUMMYFUNCTION("""COMPUTED_VALUE"""),"dokumenty")</f>
        <v>dokumenty</v>
      </c>
      <c r="G123" s="8" t="str">
        <f>IFERROR(__xludf.DUMMYFUNCTION("""COMPUTED_VALUE"""),"Telegramy")</f>
        <v>Telegramy</v>
      </c>
      <c r="H123" s="8"/>
      <c r="I123" s="9" t="str">
        <f>IFERROR(__xludf.DUMMYFUNCTION("""COMPUTED_VALUE"""),"1948")</f>
        <v>1948</v>
      </c>
      <c r="J123" s="8"/>
      <c r="K123" s="8" t="str">
        <f>IFERROR(__xludf.DUMMYFUNCTION("""COMPUTED_VALUE"""),"Ředitelství, závodní rada a závodní odborová skupina státního statku a rybníků, Benešov")</f>
        <v>Ředitelství, závodní rada a závodní odborová skupina státního statku a rybníků, Benešov</v>
      </c>
      <c r="L123" s="8" t="str">
        <f>IFERROR(__xludf.DUMMYFUNCTION("""COMPUTED_VALUE"""),"Národní muzeum, Archiv NM, Sbírka Muzea dělnického hnutí, sbírka Klement Gottwald - kult osobnosti.")</f>
        <v>Národní muzeum, Archiv NM, Sbírka Muzea dělnického hnutí, sbírka Klement Gottwald - kult osobnosti.</v>
      </c>
      <c r="M123" s="8"/>
      <c r="N123" s="8" t="str">
        <f>IFERROR(__xludf.DUMMYFUNCTION("""COMPUTED_VALUE"""),"1948, Benešov, Ředitelství, závodní rada a závodní odborová skupina státního statku a rybníků, telegram k volbě prezidentem.jpg")</f>
        <v>1948, Benešov, Ředitelství, závodní rada a závodní odborová skupina státního statku a rybníků, telegram k volbě prezidentem.jpg</v>
      </c>
      <c r="O123" s="8"/>
      <c r="P123" s="8" t="str">
        <f>IFERROR(__xludf.DUMMYFUNCTION("""COMPUTED_VALUE"""),"Telegram K. Gottwaldovi k volbě prezidentem - Ředitelství, závodní rada a závodní odborová skupina státního statku a rybníků, Benešov; formulář telegram; 10.6.1948, 15:00; papír; formát A5; sken: G. Hrzánová, 2021.")</f>
        <v>Telegram K. Gottwaldovi k volbě prezidentem - Ředitelství, závodní rada a závodní odborová skupina státního statku a rybníků, Benešov; formulář telegram; 10.6.1948, 15:00; papír; formát A5; sken: G. Hrzánová, 2021.</v>
      </c>
      <c r="Q123" s="8" t="str">
        <f>IFERROR(__xludf.DUMMYFUNCTION("""COMPUTED_VALUE"""),"Národní muzeum, Archiv NM, Sbírka Muzea dělnického hnutí, sbírka Klement Gottwald - kult osobnosti.")</f>
        <v>Národní muzeum, Archiv NM, Sbírka Muzea dělnického hnutí, sbírka Klement Gottwald - kult osobnosti.</v>
      </c>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row>
    <row r="124">
      <c r="A124" s="7">
        <f t="shared" si="1"/>
        <v>123</v>
      </c>
      <c r="B124" s="8" t="str">
        <f>IFERROR(__xludf.DUMMYFUNCTION("""COMPUTED_VALUE"""),"13.2510894")</f>
        <v>13.2510894</v>
      </c>
      <c r="C124" s="8" t="str">
        <f>IFERROR(__xludf.DUMMYFUNCTION("""COMPUTED_VALUE"""),"49.7758804")</f>
        <v>49.7758804</v>
      </c>
      <c r="D124" s="8" t="str">
        <f>IFERROR(__xludf.DUMMYFUNCTION("""COMPUTED_VALUE"""),"Město Touškov, telegram k volbě prezidentem")</f>
        <v>Město Touškov, telegram k volbě prezidentem</v>
      </c>
      <c r="E124" s="8" t="str">
        <f>IFERROR(__xludf.DUMMYFUNCTION("""COMPUTED_VALUE"""),"Telegram K. Gottwaldovi k volbě prezidentem - učitelstvo a žactvo měšťanské školy , Město Touškov; formulář telegram; 11.6.1948, 14:07; papír; formát A5.")</f>
        <v>Telegram K. Gottwaldovi k volbě prezidentem - učitelstvo a žactvo měšťanské školy , Město Touškov; formulář telegram; 11.6.1948, 14:07; papír; formát A5.</v>
      </c>
      <c r="F124" s="8" t="str">
        <f>IFERROR(__xludf.DUMMYFUNCTION("""COMPUTED_VALUE"""),"dokumenty")</f>
        <v>dokumenty</v>
      </c>
      <c r="G124" s="8" t="str">
        <f>IFERROR(__xludf.DUMMYFUNCTION("""COMPUTED_VALUE"""),"Telegramy")</f>
        <v>Telegramy</v>
      </c>
      <c r="H124" s="8"/>
      <c r="I124" s="9" t="str">
        <f>IFERROR(__xludf.DUMMYFUNCTION("""COMPUTED_VALUE"""),"1948")</f>
        <v>1948</v>
      </c>
      <c r="J124" s="8"/>
      <c r="K124" s="8" t="str">
        <f>IFERROR(__xludf.DUMMYFUNCTION("""COMPUTED_VALUE"""),"učitelstvo a žactvo měšťanské školy , Město Touškov")</f>
        <v>učitelstvo a žactvo měšťanské školy , Město Touškov</v>
      </c>
      <c r="L124" s="8" t="str">
        <f>IFERROR(__xludf.DUMMYFUNCTION("""COMPUTED_VALUE"""),"Národní muzeum, Archiv NM, Sbírka Muzea dělnického hnutí, sbírka Klement Gottwald - kult osobnosti.")</f>
        <v>Národní muzeum, Archiv NM, Sbírka Muzea dělnického hnutí, sbírka Klement Gottwald - kult osobnosti.</v>
      </c>
      <c r="M124" s="8"/>
      <c r="N124" s="8" t="str">
        <f>IFERROR(__xludf.DUMMYFUNCTION("""COMPUTED_VALUE"""),"1948, Město Touškov, Učitelstvo a žactvo měšťanské školy, telegram k volbě prezidentem.jpg")</f>
        <v>1948, Město Touškov, Učitelstvo a žactvo měšťanské školy, telegram k volbě prezidentem.jpg</v>
      </c>
      <c r="O124" s="8"/>
      <c r="P124" s="8" t="str">
        <f>IFERROR(__xludf.DUMMYFUNCTION("""COMPUTED_VALUE"""),"Telegram K. Gottwaldovi k volbě prezidentem - učitelstvo a žactvo měšťanské školy , Město Touškov; formulář telegram; 11.6.1948, 14:07; papír; formát A5; sken: G. Hrzánová, 2021.")</f>
        <v>Telegram K. Gottwaldovi k volbě prezidentem - učitelstvo a žactvo měšťanské školy , Město Touškov; formulář telegram; 11.6.1948, 14:07; papír; formát A5; sken: G. Hrzánová, 2021.</v>
      </c>
      <c r="Q124" s="8" t="str">
        <f>IFERROR(__xludf.DUMMYFUNCTION("""COMPUTED_VALUE"""),"Národní muzeum, Archiv NM, Sbírka Muzea dělnického hnutí, sbírka Klement Gottwald - kult osobnosti.")</f>
        <v>Národní muzeum, Archiv NM, Sbírka Muzea dělnického hnutí, sbírka Klement Gottwald - kult osobnosti.</v>
      </c>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row>
    <row r="125">
      <c r="A125" s="7">
        <f t="shared" si="1"/>
        <v>124</v>
      </c>
      <c r="B125" s="8" t="str">
        <f>IFERROR(__xludf.DUMMYFUNCTION("""COMPUTED_VALUE"""),"13.2027224")</f>
        <v>13.2027224</v>
      </c>
      <c r="C125" s="8" t="str">
        <f>IFERROR(__xludf.DUMMYFUNCTION("""COMPUTED_VALUE"""),"49.6540901")</f>
        <v>49.6540901</v>
      </c>
      <c r="D125" s="8" t="str">
        <f>IFERROR(__xludf.DUMMYFUNCTION("""COMPUTED_VALUE"""),"Chotěšov, telegram k volbě prezidentem")</f>
        <v>Chotěšov, telegram k volbě prezidentem</v>
      </c>
      <c r="E125" s="8" t="str">
        <f>IFERROR(__xludf.DUMMYFUNCTION("""COMPUTED_VALUE"""),"Telegram K. Gottwaldovi k volbě prezidentem - učitelstvo a žactvo měšťanské školy, Chotěšov; formulář telegram; 11.6.1948, 14:00; papír; formát A5.")</f>
        <v>Telegram K. Gottwaldovi k volbě prezidentem - učitelstvo a žactvo měšťanské školy, Chotěšov; formulář telegram; 11.6.1948, 14:00; papír; formát A5.</v>
      </c>
      <c r="F125" s="8" t="str">
        <f>IFERROR(__xludf.DUMMYFUNCTION("""COMPUTED_VALUE"""),"dokumenty")</f>
        <v>dokumenty</v>
      </c>
      <c r="G125" s="8" t="str">
        <f>IFERROR(__xludf.DUMMYFUNCTION("""COMPUTED_VALUE"""),"Telegramy")</f>
        <v>Telegramy</v>
      </c>
      <c r="H125" s="8"/>
      <c r="I125" s="9" t="str">
        <f>IFERROR(__xludf.DUMMYFUNCTION("""COMPUTED_VALUE"""),"1948")</f>
        <v>1948</v>
      </c>
      <c r="J125" s="8"/>
      <c r="K125" s="8" t="str">
        <f>IFERROR(__xludf.DUMMYFUNCTION("""COMPUTED_VALUE"""),"Učitelstvo a žactvo měšťanské školy, Chotěšov")</f>
        <v>Učitelstvo a žactvo měšťanské školy, Chotěšov</v>
      </c>
      <c r="L125" s="8" t="str">
        <f>IFERROR(__xludf.DUMMYFUNCTION("""COMPUTED_VALUE"""),"Národní muzeum, Archiv NM, Sbírka Muzea dělnického hnutí, sbírka Klement Gottwald - kult osobnosti.")</f>
        <v>Národní muzeum, Archiv NM, Sbírka Muzea dělnického hnutí, sbírka Klement Gottwald - kult osobnosti.</v>
      </c>
      <c r="M125" s="8"/>
      <c r="N125" s="8" t="str">
        <f>IFERROR(__xludf.DUMMYFUNCTION("""COMPUTED_VALUE"""),"1948, Chotěšov, Učitelstvo a žactvo měšťanské školy, telegram k volbě prezidentem.jpg")</f>
        <v>1948, Chotěšov, Učitelstvo a žactvo měšťanské školy, telegram k volbě prezidentem.jpg</v>
      </c>
      <c r="O125" s="8"/>
      <c r="P125" s="8" t="str">
        <f>IFERROR(__xludf.DUMMYFUNCTION("""COMPUTED_VALUE"""),"Telegram K. Gottwaldovi k volbě prezidentem - učitelstvo a žactvo měšťanské školy, Chotěšov; formulář telegram; 11.6.1948, 14:00; papír; formát A5; sken: G. Hrzánová, 2021.")</f>
        <v>Telegram K. Gottwaldovi k volbě prezidentem - učitelstvo a žactvo měšťanské školy, Chotěšov; formulář telegram; 11.6.1948, 14:00; papír; formát A5; sken: G. Hrzánová, 2021.</v>
      </c>
      <c r="Q125" s="8" t="str">
        <f>IFERROR(__xludf.DUMMYFUNCTION("""COMPUTED_VALUE"""),"Národní muzeum, Archiv NM, Sbírka Muzea dělnického hnutí, sbírka Klement Gottwald - kult osobnosti.")</f>
        <v>Národní muzeum, Archiv NM, Sbírka Muzea dělnického hnutí, sbírka Klement Gottwald - kult osobnosti.</v>
      </c>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row>
    <row r="126">
      <c r="A126" s="7">
        <f t="shared" si="1"/>
        <v>125</v>
      </c>
      <c r="B126" s="8" t="str">
        <f>IFERROR(__xludf.DUMMYFUNCTION("""COMPUTED_VALUE"""),"13.3736371")</f>
        <v>13.3736371</v>
      </c>
      <c r="C126" s="8" t="str">
        <f>IFERROR(__xludf.DUMMYFUNCTION("""COMPUTED_VALUE"""),"49.7384314")</f>
        <v>49.7384314</v>
      </c>
      <c r="D126" s="8" t="str">
        <f>IFERROR(__xludf.DUMMYFUNCTION("""COMPUTED_VALUE"""),"Plzeň, telegram k volbě prezidentem")</f>
        <v>Plzeň, telegram k volbě prezidentem</v>
      </c>
      <c r="E126" s="8" t="str">
        <f>IFERROR(__xludf.DUMMYFUNCTION("""COMPUTED_VALUE"""),"Telegram K. Gottwaldovi k volbě prezidentem - Závodní skupina ROH, Ředitelství pošt, Plzeň; formulář telegram; 11.6.1948, 14:20; papír; formát A5.")</f>
        <v>Telegram K. Gottwaldovi k volbě prezidentem - Závodní skupina ROH, Ředitelství pošt, Plzeň; formulář telegram; 11.6.1948, 14:20; papír; formát A5.</v>
      </c>
      <c r="F126" s="8" t="str">
        <f>IFERROR(__xludf.DUMMYFUNCTION("""COMPUTED_VALUE"""),"dokumenty")</f>
        <v>dokumenty</v>
      </c>
      <c r="G126" s="8" t="str">
        <f>IFERROR(__xludf.DUMMYFUNCTION("""COMPUTED_VALUE"""),"Telegramy")</f>
        <v>Telegramy</v>
      </c>
      <c r="H126" s="8"/>
      <c r="I126" s="9" t="str">
        <f>IFERROR(__xludf.DUMMYFUNCTION("""COMPUTED_VALUE"""),"1948")</f>
        <v>1948</v>
      </c>
      <c r="J126" s="8"/>
      <c r="K126" s="8" t="str">
        <f>IFERROR(__xludf.DUMMYFUNCTION("""COMPUTED_VALUE"""),"Závodní skupina ROH, Ředitelství pošt, Plzeň")</f>
        <v>Závodní skupina ROH, Ředitelství pošt, Plzeň</v>
      </c>
      <c r="L126" s="8" t="str">
        <f>IFERROR(__xludf.DUMMYFUNCTION("""COMPUTED_VALUE"""),"Národní muzeum, Archiv NM, Sbírka Muzea dělnického hnutí, sbírka Klement Gottwald - kult osobnosti.")</f>
        <v>Národní muzeum, Archiv NM, Sbírka Muzea dělnického hnutí, sbírka Klement Gottwald - kult osobnosti.</v>
      </c>
      <c r="M126" s="8"/>
      <c r="N126" s="8" t="str">
        <f>IFERROR(__xludf.DUMMYFUNCTION("""COMPUTED_VALUE"""),"1948, Plzeň, Závodní skupina ROH, Ředitelství pošt, telegram k volbě prezidentem.jpg")</f>
        <v>1948, Plzeň, Závodní skupina ROH, Ředitelství pošt, telegram k volbě prezidentem.jpg</v>
      </c>
      <c r="O126" s="8"/>
      <c r="P126" s="8" t="str">
        <f>IFERROR(__xludf.DUMMYFUNCTION("""COMPUTED_VALUE"""),"Telegram K. Gottwaldovi k volbě prezidentem - Závodní skupina ROH, Ředitelství pošt, Plzeň; formulář telegram; 11.6.1948, 14:20; papír; formát A5; sken: G. Hrzánová, 2021.")</f>
        <v>Telegram K. Gottwaldovi k volbě prezidentem - Závodní skupina ROH, Ředitelství pošt, Plzeň; formulář telegram; 11.6.1948, 14:20; papír; formát A5; sken: G. Hrzánová, 2021.</v>
      </c>
      <c r="Q126" s="8" t="str">
        <f>IFERROR(__xludf.DUMMYFUNCTION("""COMPUTED_VALUE"""),"Národní muzeum, Archiv NM, Sbírka Muzea dělnického hnutí, sbírka Klement Gottwald - kult osobnosti.")</f>
        <v>Národní muzeum, Archiv NM, Sbírka Muzea dělnického hnutí, sbírka Klement Gottwald - kult osobnosti.</v>
      </c>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row>
    <row r="127">
      <c r="A127" s="7">
        <f t="shared" si="1"/>
        <v>126</v>
      </c>
      <c r="B127" s="8" t="str">
        <f>IFERROR(__xludf.DUMMYFUNCTION("""COMPUTED_VALUE"""),"17.0900484")</f>
        <v>17.0900484</v>
      </c>
      <c r="C127" s="8" t="str">
        <f>IFERROR(__xludf.DUMMYFUNCTION("""COMPUTED_VALUE"""),"48.9169376")</f>
        <v>48.9169376</v>
      </c>
      <c r="D127" s="8" t="str">
        <f>IFERROR(__xludf.DUMMYFUNCTION("""COMPUTED_VALUE"""),"Dubňany, telegram k volbě prezidentem")</f>
        <v>Dubňany, telegram k volbě prezidentem</v>
      </c>
      <c r="E127" s="8" t="str">
        <f>IFERROR(__xludf.DUMMYFUNCTION("""COMPUTED_VALUE"""),"Telegram K. Gottwaldovi k volbě prezidentem - Horníci Dolu Pomoc boží, Dubňany; formulář telegram; 12.6.1948, 10:40; papír; formát A5.")</f>
        <v>Telegram K. Gottwaldovi k volbě prezidentem - Horníci Dolu Pomoc boží, Dubňany; formulář telegram; 12.6.1948, 10:40; papír; formát A5.</v>
      </c>
      <c r="F127" s="8" t="str">
        <f>IFERROR(__xludf.DUMMYFUNCTION("""COMPUTED_VALUE"""),"dokumenty")</f>
        <v>dokumenty</v>
      </c>
      <c r="G127" s="8" t="str">
        <f>IFERROR(__xludf.DUMMYFUNCTION("""COMPUTED_VALUE"""),"Telegramy")</f>
        <v>Telegramy</v>
      </c>
      <c r="H127" s="8"/>
      <c r="I127" s="9" t="str">
        <f>IFERROR(__xludf.DUMMYFUNCTION("""COMPUTED_VALUE"""),"1948")</f>
        <v>1948</v>
      </c>
      <c r="J127" s="8"/>
      <c r="K127" s="8" t="str">
        <f>IFERROR(__xludf.DUMMYFUNCTION("""COMPUTED_VALUE"""),"Horníci Dolu Pomoc boží, Dubňany")</f>
        <v>Horníci Dolu Pomoc boží, Dubňany</v>
      </c>
      <c r="L127" s="8" t="str">
        <f>IFERROR(__xludf.DUMMYFUNCTION("""COMPUTED_VALUE"""),"Národní muzeum, Archiv NM, Sbírka Muzea dělnického hnutí, sbírka Klement Gottwald - kult osobnosti.")</f>
        <v>Národní muzeum, Archiv NM, Sbírka Muzea dělnického hnutí, sbírka Klement Gottwald - kult osobnosti.</v>
      </c>
      <c r="M127" s="8"/>
      <c r="N127" s="8" t="str">
        <f>IFERROR(__xludf.DUMMYFUNCTION("""COMPUTED_VALUE"""),"1948, Dubňany, Horníci Dolu Pomoc boží, telegram k volbě prezidentem.jpg")</f>
        <v>1948, Dubňany, Horníci Dolu Pomoc boží, telegram k volbě prezidentem.jpg</v>
      </c>
      <c r="O127" s="8"/>
      <c r="P127" s="8" t="str">
        <f>IFERROR(__xludf.DUMMYFUNCTION("""COMPUTED_VALUE"""),"Telegram K. Gottwaldovi k volbě prezidentem - Horníci Dolu Pomoc boží, Dubňany; formulář telegram; 12.6.1948, 10:40; papír; formát A5; sken: G. Hrzánová, 2021.")</f>
        <v>Telegram K. Gottwaldovi k volbě prezidentem - Horníci Dolu Pomoc boží, Dubňany; formulář telegram; 12.6.1948, 10:40; papír; formát A5; sken: G. Hrzánová, 2021.</v>
      </c>
      <c r="Q127" s="8" t="str">
        <f>IFERROR(__xludf.DUMMYFUNCTION("""COMPUTED_VALUE"""),"Národní muzeum, Archiv NM, Sbírka Muzea dělnického hnutí, sbírka Klement Gottwald - kult osobnosti.")</f>
        <v>Národní muzeum, Archiv NM, Sbírka Muzea dělnického hnutí, sbírka Klement Gottwald - kult osobnosti.</v>
      </c>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row>
    <row r="128">
      <c r="A128" s="7">
        <f t="shared" si="1"/>
        <v>127</v>
      </c>
      <c r="B128" s="8" t="str">
        <f>IFERROR(__xludf.DUMMYFUNCTION("""COMPUTED_VALUE"""),"18.5432186")</f>
        <v>18.5432186</v>
      </c>
      <c r="C128" s="8" t="str">
        <f>IFERROR(__xludf.DUMMYFUNCTION("""COMPUTED_VALUE"""),"49.8566524")</f>
        <v>49.8566524</v>
      </c>
      <c r="D128" s="8" t="str">
        <f>IFERROR(__xludf.DUMMYFUNCTION("""COMPUTED_VALUE"""),"Karviná, telegram k volbě prezidentem, Závodní rada Jámy Hlubina")</f>
        <v>Karviná, telegram k volbě prezidentem, Závodní rada Jámy Hlubina</v>
      </c>
      <c r="E128" s="8" t="str">
        <f>IFERROR(__xludf.DUMMYFUNCTION("""COMPUTED_VALUE"""),"Telegram K. Gottwaldovi k volbě prezidentem - Závodní rada Jámy Hlubina, Karviná; formulář telegram; 11.6.1948, 11:30; papír; formát A5.")</f>
        <v>Telegram K. Gottwaldovi k volbě prezidentem - Závodní rada Jámy Hlubina, Karviná; formulář telegram; 11.6.1948, 11:30; papír; formát A5.</v>
      </c>
      <c r="F128" s="8" t="str">
        <f>IFERROR(__xludf.DUMMYFUNCTION("""COMPUTED_VALUE"""),"dokumenty")</f>
        <v>dokumenty</v>
      </c>
      <c r="G128" s="8" t="str">
        <f>IFERROR(__xludf.DUMMYFUNCTION("""COMPUTED_VALUE"""),"Telegramy")</f>
        <v>Telegramy</v>
      </c>
      <c r="H128" s="8"/>
      <c r="I128" s="9" t="str">
        <f>IFERROR(__xludf.DUMMYFUNCTION("""COMPUTED_VALUE"""),"1948")</f>
        <v>1948</v>
      </c>
      <c r="J128" s="8"/>
      <c r="K128" s="8" t="str">
        <f>IFERROR(__xludf.DUMMYFUNCTION("""COMPUTED_VALUE"""),"Závodní rada Jámy Hlubiny, Karviná")</f>
        <v>Závodní rada Jámy Hlubiny, Karviná</v>
      </c>
      <c r="L128" s="8" t="str">
        <f>IFERROR(__xludf.DUMMYFUNCTION("""COMPUTED_VALUE"""),"Národní muzeum, Archiv NM, Sbírka Muzea dělnického hnutí, sbírka Klement Gottwald - kult osobnosti.")</f>
        <v>Národní muzeum, Archiv NM, Sbírka Muzea dělnického hnutí, sbírka Klement Gottwald - kult osobnosti.</v>
      </c>
      <c r="M128" s="8"/>
      <c r="N128" s="8" t="str">
        <f>IFERROR(__xludf.DUMMYFUNCTION("""COMPUTED_VALUE"""),"1948, Karviná, Závodní rada Jámy Hlubina, telegram k volbě prezidentem.jpg")</f>
        <v>1948, Karviná, Závodní rada Jámy Hlubina, telegram k volbě prezidentem.jpg</v>
      </c>
      <c r="O128" s="8"/>
      <c r="P128" s="8" t="str">
        <f>IFERROR(__xludf.DUMMYFUNCTION("""COMPUTED_VALUE"""),"Telegram K. Gottwaldovi k volbě prezidentem - Závodní rada Jámy Hlubina, Karviná; formulář telegram; 11.6.1948, 11:30; papír; formát A5; sken: G. Hrzánová, 2021.")</f>
        <v>Telegram K. Gottwaldovi k volbě prezidentem - Závodní rada Jámy Hlubina, Karviná; formulář telegram; 11.6.1948, 11:30; papír; formát A5; sken: G. Hrzánová, 2021.</v>
      </c>
      <c r="Q128" s="8" t="str">
        <f>IFERROR(__xludf.DUMMYFUNCTION("""COMPUTED_VALUE"""),"Národní muzeum, Archiv NM, Sbírka Muzea dělnického hnutí, sbírka Klement Gottwald - kult osobnosti.")</f>
        <v>Národní muzeum, Archiv NM, Sbírka Muzea dělnického hnutí, sbírka Klement Gottwald - kult osobnosti.</v>
      </c>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row>
    <row r="129">
      <c r="A129" s="7">
        <f t="shared" si="1"/>
        <v>128</v>
      </c>
      <c r="B129" s="8" t="str">
        <f>IFERROR(__xludf.DUMMYFUNCTION("""COMPUTED_VALUE"""),"15.5826975")</f>
        <v>15.5826975</v>
      </c>
      <c r="C129" s="8" t="str">
        <f>IFERROR(__xludf.DUMMYFUNCTION("""COMPUTED_VALUE"""),"50.4287432")</f>
        <v>50.4287432</v>
      </c>
      <c r="D129" s="8" t="str">
        <f>IFERROR(__xludf.DUMMYFUNCTION("""COMPUTED_VALUE"""),"Lázně Bělohrad, telegram k volbě prezidentem")</f>
        <v>Lázně Bělohrad, telegram k volbě prezidentem</v>
      </c>
      <c r="E129" s="8" t="str">
        <f>IFERROR(__xludf.DUMMYFUNCTION("""COMPUTED_VALUE"""),"Telegram K. Gottwaldovi k volbě prezidentem - Zaměstnanci firmy Kremlička v národní správě, Lázně Bělohrad; formulář telegram; 11.6.1948, 11:50; papír; formát A5.")</f>
        <v>Telegram K. Gottwaldovi k volbě prezidentem - Zaměstnanci firmy Kremlička v národní správě, Lázně Bělohrad; formulář telegram; 11.6.1948, 11:50; papír; formát A5.</v>
      </c>
      <c r="F129" s="8" t="str">
        <f>IFERROR(__xludf.DUMMYFUNCTION("""COMPUTED_VALUE"""),"dokumenty")</f>
        <v>dokumenty</v>
      </c>
      <c r="G129" s="8" t="str">
        <f>IFERROR(__xludf.DUMMYFUNCTION("""COMPUTED_VALUE"""),"Telegramy")</f>
        <v>Telegramy</v>
      </c>
      <c r="H129" s="8"/>
      <c r="I129" s="9" t="str">
        <f>IFERROR(__xludf.DUMMYFUNCTION("""COMPUTED_VALUE"""),"1948")</f>
        <v>1948</v>
      </c>
      <c r="J129" s="8"/>
      <c r="K129" s="8" t="str">
        <f>IFERROR(__xludf.DUMMYFUNCTION("""COMPUTED_VALUE"""),"Zaměstnanci firmy Kremlička v národní správě, Lázně Bělohrad")</f>
        <v>Zaměstnanci firmy Kremlička v národní správě, Lázně Bělohrad</v>
      </c>
      <c r="L129" s="8" t="str">
        <f>IFERROR(__xludf.DUMMYFUNCTION("""COMPUTED_VALUE"""),"Národní muzeum, Archiv NM, Sbírka Muzea dělnického hnutí, sbírka Klement Gottwald - kult osobnosti.")</f>
        <v>Národní muzeum, Archiv NM, Sbírka Muzea dělnického hnutí, sbírka Klement Gottwald - kult osobnosti.</v>
      </c>
      <c r="M129" s="8"/>
      <c r="N129" s="8" t="str">
        <f>IFERROR(__xludf.DUMMYFUNCTION("""COMPUTED_VALUE"""),"1948, Lázně Bělohrad, Zaměstnanci firmy Kremlička v národní správě, telegram k volbě prezidentem.jpg")</f>
        <v>1948, Lázně Bělohrad, Zaměstnanci firmy Kremlička v národní správě, telegram k volbě prezidentem.jpg</v>
      </c>
      <c r="O129" s="8"/>
      <c r="P129" s="8" t="str">
        <f>IFERROR(__xludf.DUMMYFUNCTION("""COMPUTED_VALUE"""),"Telegram K. Gottwaldovi k volbě prezidentem - Zaměstnanci firmy Kremlička v národní správě, Lázně Bělohrad; formulář telegram; 11.6.1948, 11:50; papír; formát A5; sken: G. Hrzánová, 2021.")</f>
        <v>Telegram K. Gottwaldovi k volbě prezidentem - Zaměstnanci firmy Kremlička v národní správě, Lázně Bělohrad; formulář telegram; 11.6.1948, 11:50; papír; formát A5; sken: G. Hrzánová, 2021.</v>
      </c>
      <c r="Q129" s="8" t="str">
        <f>IFERROR(__xludf.DUMMYFUNCTION("""COMPUTED_VALUE"""),"Národní muzeum, Archiv NM, Sbírka Muzea dělnického hnutí, sbírka Klement Gottwald - kult osobnosti.")</f>
        <v>Národní muzeum, Archiv NM, Sbírka Muzea dělnického hnutí, sbírka Klement Gottwald - kult osobnosti.</v>
      </c>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row>
    <row r="130">
      <c r="A130" s="7">
        <f t="shared" si="1"/>
        <v>129</v>
      </c>
      <c r="B130" s="8" t="str">
        <f>IFERROR(__xludf.DUMMYFUNCTION("""COMPUTED_VALUE"""),"15.1203639")</f>
        <v>15.1203639</v>
      </c>
      <c r="C130" s="8" t="str">
        <f>IFERROR(__xludf.DUMMYFUNCTION("""COMPUTED_VALUE"""),"50.1451652")</f>
        <v>50.1451652</v>
      </c>
      <c r="D130" s="8" t="str">
        <f>IFERROR(__xludf.DUMMYFUNCTION("""COMPUTED_VALUE"""),"Poděbrady, telegram k volbě prezidentem")</f>
        <v>Poděbrady, telegram k volbě prezidentem</v>
      </c>
      <c r="E130" s="8" t="str">
        <f>IFERROR(__xludf.DUMMYFUNCTION("""COMPUTED_VALUE"""),"Telegram K. Gottwaldovi k volbě prezidentem - Ivan Olbracht, Poděbrady; formulář telegram; 10.6.1948, 09:00; papír; formát A5.")</f>
        <v>Telegram K. Gottwaldovi k volbě prezidentem - Ivan Olbracht, Poděbrady; formulář telegram; 10.6.1948, 09:00; papír; formát A5.</v>
      </c>
      <c r="F130" s="8" t="str">
        <f>IFERROR(__xludf.DUMMYFUNCTION("""COMPUTED_VALUE"""),"dokumenty")</f>
        <v>dokumenty</v>
      </c>
      <c r="G130" s="8" t="str">
        <f>IFERROR(__xludf.DUMMYFUNCTION("""COMPUTED_VALUE"""),"Telegramy")</f>
        <v>Telegramy</v>
      </c>
      <c r="H130" s="8"/>
      <c r="I130" s="9" t="str">
        <f>IFERROR(__xludf.DUMMYFUNCTION("""COMPUTED_VALUE"""),"1948")</f>
        <v>1948</v>
      </c>
      <c r="J130" s="8"/>
      <c r="K130" s="8" t="str">
        <f>IFERROR(__xludf.DUMMYFUNCTION("""COMPUTED_VALUE"""),"Ivan Olbracht")</f>
        <v>Ivan Olbracht</v>
      </c>
      <c r="L130" s="8" t="str">
        <f>IFERROR(__xludf.DUMMYFUNCTION("""COMPUTED_VALUE"""),"Národní muzeum, Archiv NM, Sbírka Muzea dělnického hnutí, sbírka Klement Gottwald - kult osobnosti.")</f>
        <v>Národní muzeum, Archiv NM, Sbírka Muzea dělnického hnutí, sbírka Klement Gottwald - kult osobnosti.</v>
      </c>
      <c r="M130" s="8"/>
      <c r="N130" s="8" t="str">
        <f>IFERROR(__xludf.DUMMYFUNCTION("""COMPUTED_VALUE"""),"1948, Poděbrady, Ivan Olbracht, telegram k volbě prezidentem.jpg")</f>
        <v>1948, Poděbrady, Ivan Olbracht, telegram k volbě prezidentem.jpg</v>
      </c>
      <c r="O130" s="8"/>
      <c r="P130" s="8" t="str">
        <f>IFERROR(__xludf.DUMMYFUNCTION("""COMPUTED_VALUE"""),"Telegram K. Gottwaldovi k volbě prezidentem - Ivan Olbracht, Poděbrady; formulář telegram; 10.6.1948, 09:00; papír; formát A5; sken: G. Hrzánová, 2021.")</f>
        <v>Telegram K. Gottwaldovi k volbě prezidentem - Ivan Olbracht, Poděbrady; formulář telegram; 10.6.1948, 09:00; papír; formát A5; sken: G. Hrzánová, 2021.</v>
      </c>
      <c r="Q130" s="8" t="str">
        <f>IFERROR(__xludf.DUMMYFUNCTION("""COMPUTED_VALUE"""),"Národní muzeum, Archiv NM, Sbírka Muzea dělnického hnutí, sbírka Klement Gottwald - kult osobnosti.")</f>
        <v>Národní muzeum, Archiv NM, Sbírka Muzea dělnického hnutí, sbírka Klement Gottwald - kult osobnosti.</v>
      </c>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row>
    <row r="131">
      <c r="A131" s="7">
        <f t="shared" si="1"/>
        <v>130</v>
      </c>
      <c r="B131" s="8" t="str">
        <f>IFERROR(__xludf.DUMMYFUNCTION("""COMPUTED_VALUE"""),"19.1461917")</f>
        <v>19.1461917</v>
      </c>
      <c r="C131" s="8" t="str">
        <f>IFERROR(__xludf.DUMMYFUNCTION("""COMPUTED_VALUE"""),"48.736277")</f>
        <v>48.736277</v>
      </c>
      <c r="D131" s="8" t="str">
        <f>IFERROR(__xludf.DUMMYFUNCTION("""COMPUTED_VALUE"""),"Banská Bystrica, telegram k volbě prezidentem")</f>
        <v>Banská Bystrica, telegram k volbě prezidentem</v>
      </c>
      <c r="E131" s="8" t="str">
        <f>IFERROR(__xludf.DUMMYFUNCTION("""COMPUTED_VALUE"""),"Telegram K. Gottwaldovi k volbě prezidentem - Sjezd báňských a hutních inženýrů, Banská Bystrica; formulář telegram; 11.6.1948, 09:10; papír; formát A5.")</f>
        <v>Telegram K. Gottwaldovi k volbě prezidentem - Sjezd báňských a hutních inženýrů, Banská Bystrica; formulář telegram; 11.6.1948, 09:10; papír; formát A5.</v>
      </c>
      <c r="F131" s="8" t="str">
        <f>IFERROR(__xludf.DUMMYFUNCTION("""COMPUTED_VALUE"""),"dokumenty")</f>
        <v>dokumenty</v>
      </c>
      <c r="G131" s="8" t="str">
        <f>IFERROR(__xludf.DUMMYFUNCTION("""COMPUTED_VALUE"""),"Telegramy")</f>
        <v>Telegramy</v>
      </c>
      <c r="H131" s="8"/>
      <c r="I131" s="9" t="str">
        <f>IFERROR(__xludf.DUMMYFUNCTION("""COMPUTED_VALUE"""),"1948")</f>
        <v>1948</v>
      </c>
      <c r="J131" s="8"/>
      <c r="K131" s="8" t="str">
        <f>IFERROR(__xludf.DUMMYFUNCTION("""COMPUTED_VALUE"""),"Sjezd báňských a hutních inženýrů v Banské Bystrici")</f>
        <v>Sjezd báňských a hutních inženýrů v Banské Bystrici</v>
      </c>
      <c r="L131" s="8" t="str">
        <f>IFERROR(__xludf.DUMMYFUNCTION("""COMPUTED_VALUE"""),"Národní muzeum, Archiv NM, Sbírka Muzea dělnického hnutí, sbírka Klement Gottwald - kult osobnosti.")</f>
        <v>Národní muzeum, Archiv NM, Sbírka Muzea dělnického hnutí, sbírka Klement Gottwald - kult osobnosti.</v>
      </c>
      <c r="M131" s="8"/>
      <c r="N131" s="8" t="str">
        <f>IFERROR(__xludf.DUMMYFUNCTION("""COMPUTED_VALUE"""),"1948, Banská Bystrica, Sjezd báňských a hutních inženýrů, telegram k volbě prezidentem.jpg")</f>
        <v>1948, Banská Bystrica, Sjezd báňských a hutních inženýrů, telegram k volbě prezidentem.jpg</v>
      </c>
      <c r="O131" s="8"/>
      <c r="P131" s="8" t="str">
        <f>IFERROR(__xludf.DUMMYFUNCTION("""COMPUTED_VALUE"""),"Telegram K. Gottwaldovi k volbě prezidentem - Sjezd báňských a hutních inženýrů, Banská Bystrica; formulář telegram; 11.6.1948, 09:10; papír; formát A5; sken: G. Hrzánová, 2021.")</f>
        <v>Telegram K. Gottwaldovi k volbě prezidentem - Sjezd báňských a hutních inženýrů, Banská Bystrica; formulář telegram; 11.6.1948, 09:10; papír; formát A5; sken: G. Hrzánová, 2021.</v>
      </c>
      <c r="Q131" s="8" t="str">
        <f>IFERROR(__xludf.DUMMYFUNCTION("""COMPUTED_VALUE"""),"Národní muzeum, Archiv NM, Sbírka Muzea dělnického hnutí, sbírka Klement Gottwald - kult osobnosti.")</f>
        <v>Národní muzeum, Archiv NM, Sbírka Muzea dělnického hnutí, sbírka Klement Gottwald - kult osobnosti.</v>
      </c>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row>
    <row r="132">
      <c r="A132" s="7">
        <f t="shared" si="1"/>
        <v>131</v>
      </c>
      <c r="B132" s="8" t="str">
        <f>IFERROR(__xludf.DUMMYFUNCTION("""COMPUTED_VALUE"""),"19.1679073")</f>
        <v>19.1679073</v>
      </c>
      <c r="C132" s="8" t="str">
        <f>IFERROR(__xludf.DUMMYFUNCTION("""COMPUTED_VALUE"""),"49.1201726")</f>
        <v>49.1201726</v>
      </c>
      <c r="D132" s="8" t="str">
        <f>IFERROR(__xludf.DUMMYFUNCTION("""COMPUTED_VALUE"""),"Ľubochňa, telegram k volbě prezidentem")</f>
        <v>Ľubochňa, telegram k volbě prezidentem</v>
      </c>
      <c r="E132" s="8" t="str">
        <f>IFERROR(__xludf.DUMMYFUNCTION("""COMPUTED_VALUE"""),"Telegram K. Gottwaldovi k volbě prezidentem - Ústřední svaz cestovního ruchu - ředitelství pro cestovní ruch, Ľubochňa; formulář telegram; 12.6.1948, 16:00; papír; formát A5.")</f>
        <v>Telegram K. Gottwaldovi k volbě prezidentem - Ústřední svaz cestovního ruchu - ředitelství pro cestovní ruch, Ľubochňa; formulář telegram; 12.6.1948, 16:00; papír; formát A5.</v>
      </c>
      <c r="F132" s="8" t="str">
        <f>IFERROR(__xludf.DUMMYFUNCTION("""COMPUTED_VALUE"""),"dokumenty")</f>
        <v>dokumenty</v>
      </c>
      <c r="G132" s="8" t="str">
        <f>IFERROR(__xludf.DUMMYFUNCTION("""COMPUTED_VALUE"""),"Telegramy")</f>
        <v>Telegramy</v>
      </c>
      <c r="H132" s="8"/>
      <c r="I132" s="9" t="str">
        <f>IFERROR(__xludf.DUMMYFUNCTION("""COMPUTED_VALUE"""),"1948")</f>
        <v>1948</v>
      </c>
      <c r="J132" s="8"/>
      <c r="K132" s="8" t="str">
        <f>IFERROR(__xludf.DUMMYFUNCTION("""COMPUTED_VALUE"""),"Ústřední svaz cestovního ruchu - ředitelství pro cestovní ruch")</f>
        <v>Ústřední svaz cestovního ruchu - ředitelství pro cestovní ruch</v>
      </c>
      <c r="L132" s="8" t="str">
        <f>IFERROR(__xludf.DUMMYFUNCTION("""COMPUTED_VALUE"""),"Národní muzeum, Archiv NM, Sbírka Muzea dělnického hnutí, sbírka Klement Gottwald - kult osobnosti.")</f>
        <v>Národní muzeum, Archiv NM, Sbírka Muzea dělnického hnutí, sbírka Klement Gottwald - kult osobnosti.</v>
      </c>
      <c r="M132" s="8"/>
      <c r="N132" s="8" t="str">
        <f>IFERROR(__xludf.DUMMYFUNCTION("""COMPUTED_VALUE"""),"1948, Ľubochňa, Ústřední svaz cestovního ruchu, telegram k volbě prezidentem.jpg")</f>
        <v>1948, Ľubochňa, Ústřední svaz cestovního ruchu, telegram k volbě prezidentem.jpg</v>
      </c>
      <c r="O132" s="8"/>
      <c r="P132" s="8" t="str">
        <f>IFERROR(__xludf.DUMMYFUNCTION("""COMPUTED_VALUE"""),"Telegram K. Gottwaldovi k volbě prezidentem - Ústřední svaz cestovního ruchu - ředitelství pro cestovní ruch, Ľubochňa; formulář telegram; 12.6.1948, 16:00; papír; formát A5; sken: G. Hrzánová, 2021.")</f>
        <v>Telegram K. Gottwaldovi k volbě prezidentem - Ústřední svaz cestovního ruchu - ředitelství pro cestovní ruch, Ľubochňa; formulář telegram; 12.6.1948, 16:00; papír; formát A5; sken: G. Hrzánová, 2021.</v>
      </c>
      <c r="Q132" s="8" t="str">
        <f>IFERROR(__xludf.DUMMYFUNCTION("""COMPUTED_VALUE"""),"Národní muzeum, Archiv NM, Sbírka Muzea dělnického hnutí, sbírka Klement Gottwald - kult osobnosti.")</f>
        <v>Národní muzeum, Archiv NM, Sbírka Muzea dělnického hnutí, sbírka Klement Gottwald - kult osobnosti.</v>
      </c>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row>
    <row r="133">
      <c r="A133" s="7">
        <f t="shared" si="1"/>
        <v>132</v>
      </c>
      <c r="B133" s="8" t="str">
        <f>IFERROR(__xludf.DUMMYFUNCTION("""COMPUTED_VALUE"""),"17.8580895")</f>
        <v>17.8580895</v>
      </c>
      <c r="C133" s="8" t="str">
        <f>IFERROR(__xludf.DUMMYFUNCTION("""COMPUTED_VALUE"""),"48.8025995")</f>
        <v>48.8025995</v>
      </c>
      <c r="D133" s="8" t="str">
        <f>IFERROR(__xludf.DUMMYFUNCTION("""COMPUTED_VALUE"""),"Trenčianske Bohuslavice, telegram k volbě prezidentem")</f>
        <v>Trenčianske Bohuslavice, telegram k volbě prezidentem</v>
      </c>
      <c r="E133" s="8" t="str">
        <f>IFERROR(__xludf.DUMMYFUNCTION("""COMPUTED_VALUE"""),"Telegram K. Gottwaldovi k volbě prezidentem - Místní organizace KSS, Trenčianske Bohuslavice; formulář telegram; 12.6.1948, 08:00; papír; formát A5.")</f>
        <v>Telegram K. Gottwaldovi k volbě prezidentem - Místní organizace KSS, Trenčianske Bohuslavice; formulář telegram; 12.6.1948, 08:00; papír; formát A5.</v>
      </c>
      <c r="F133" s="8" t="str">
        <f>IFERROR(__xludf.DUMMYFUNCTION("""COMPUTED_VALUE"""),"dokumenty")</f>
        <v>dokumenty</v>
      </c>
      <c r="G133" s="8" t="str">
        <f>IFERROR(__xludf.DUMMYFUNCTION("""COMPUTED_VALUE"""),"Telegramy")</f>
        <v>Telegramy</v>
      </c>
      <c r="H133" s="8"/>
      <c r="I133" s="9" t="str">
        <f>IFERROR(__xludf.DUMMYFUNCTION("""COMPUTED_VALUE"""),"1948")</f>
        <v>1948</v>
      </c>
      <c r="J133" s="8"/>
      <c r="K133" s="8" t="str">
        <f>IFERROR(__xludf.DUMMYFUNCTION("""COMPUTED_VALUE"""),"Místní organizace KSS")</f>
        <v>Místní organizace KSS</v>
      </c>
      <c r="L133" s="8" t="str">
        <f>IFERROR(__xludf.DUMMYFUNCTION("""COMPUTED_VALUE"""),"Národní muzeum, Archiv NM, Sbírka Muzea dělnického hnutí, sbírka Klement Gottwald - kult osobnosti.")</f>
        <v>Národní muzeum, Archiv NM, Sbírka Muzea dělnického hnutí, sbírka Klement Gottwald - kult osobnosti.</v>
      </c>
      <c r="M133" s="8"/>
      <c r="N133" s="8" t="str">
        <f>IFERROR(__xludf.DUMMYFUNCTION("""COMPUTED_VALUE"""),"1948 Trenčianske Bohuslavice, Místní organizace KSS, telegram k volbě prezidentem.jpg")</f>
        <v>1948 Trenčianske Bohuslavice, Místní organizace KSS, telegram k volbě prezidentem.jpg</v>
      </c>
      <c r="O133" s="8"/>
      <c r="P133" s="8" t="str">
        <f>IFERROR(__xludf.DUMMYFUNCTION("""COMPUTED_VALUE"""),"Telegram K. Gottwaldovi k volbě prezidentem - Místní organizace KSS, Trenčianske Bohuslavice; formulář telegram; 12.6.1948, 08:00; papír; formát A5; sken: G. Hrzánová, 2021.")</f>
        <v>Telegram K. Gottwaldovi k volbě prezidentem - Místní organizace KSS, Trenčianske Bohuslavice; formulář telegram; 12.6.1948, 08:00; papír; formát A5; sken: G. Hrzánová, 2021.</v>
      </c>
      <c r="Q133" s="8" t="str">
        <f>IFERROR(__xludf.DUMMYFUNCTION("""COMPUTED_VALUE"""),"Národní muzeum, Archiv NM, Sbírka Muzea dělnického hnutí, sbírka Klement Gottwald - kult osobnosti.")</f>
        <v>Národní muzeum, Archiv NM, Sbírka Muzea dělnického hnutí, sbírka Klement Gottwald - kult osobnosti.</v>
      </c>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row>
    <row r="134">
      <c r="A134" s="7">
        <f t="shared" si="1"/>
        <v>133</v>
      </c>
      <c r="B134" s="8" t="str">
        <f>IFERROR(__xludf.DUMMYFUNCTION("""COMPUTED_VALUE"""),"19.6112558")</f>
        <v>19.6112558</v>
      </c>
      <c r="C134" s="8" t="str">
        <f>IFERROR(__xludf.DUMMYFUNCTION("""COMPUTED_VALUE"""),"49.1192931")</f>
        <v>49.1192931</v>
      </c>
      <c r="D134" s="8" t="str">
        <f>IFERROR(__xludf.DUMMYFUNCTION("""COMPUTED_VALUE"""),"Bobrovec, telegram k volbě prezidentem")</f>
        <v>Bobrovec, telegram k volbě prezidentem</v>
      </c>
      <c r="E134" s="8" t="str">
        <f>IFERROR(__xludf.DUMMYFUNCTION("""COMPUTED_VALUE"""),"Telegram K. Gottwaldovi k volbě prezidentem - Jozef Misuth, Bobrovec, okr. Liptovský Mikuláš; formulář telegram; 12.6.1948, 11:50; papír; formát A5.")</f>
        <v>Telegram K. Gottwaldovi k volbě prezidentem - Jozef Misuth, Bobrovec, okr. Liptovský Mikuláš; formulář telegram; 12.6.1948, 11:50; papír; formát A5.</v>
      </c>
      <c r="F134" s="8" t="str">
        <f>IFERROR(__xludf.DUMMYFUNCTION("""COMPUTED_VALUE"""),"dokumenty")</f>
        <v>dokumenty</v>
      </c>
      <c r="G134" s="8" t="str">
        <f>IFERROR(__xludf.DUMMYFUNCTION("""COMPUTED_VALUE"""),"Telegramy")</f>
        <v>Telegramy</v>
      </c>
      <c r="H134" s="8"/>
      <c r="I134" s="9" t="str">
        <f>IFERROR(__xludf.DUMMYFUNCTION("""COMPUTED_VALUE"""),"1948")</f>
        <v>1948</v>
      </c>
      <c r="J134" s="8"/>
      <c r="K134" s="8" t="str">
        <f>IFERROR(__xludf.DUMMYFUNCTION("""COMPUTED_VALUE"""),"Jozef Misuth")</f>
        <v>Jozef Misuth</v>
      </c>
      <c r="L134" s="8" t="str">
        <f>IFERROR(__xludf.DUMMYFUNCTION("""COMPUTED_VALUE"""),"Národní muzeum, Archiv NM, Sbírka Muzea dělnického hnutí, sbírka Klement Gottwald - kult osobnosti..")</f>
        <v>Národní muzeum, Archiv NM, Sbírka Muzea dělnického hnutí, sbírka Klement Gottwald - kult osobnosti..</v>
      </c>
      <c r="M134" s="8"/>
      <c r="N134" s="8" t="str">
        <f>IFERROR(__xludf.DUMMYFUNCTION("""COMPUTED_VALUE"""),"1948, Bobrovec, Jozef Misuth, telegram k volbě prezidentem.jpg")</f>
        <v>1948, Bobrovec, Jozef Misuth, telegram k volbě prezidentem.jpg</v>
      </c>
      <c r="O134" s="8"/>
      <c r="P134" s="8" t="str">
        <f>IFERROR(__xludf.DUMMYFUNCTION("""COMPUTED_VALUE"""),"Telegram K. Gottwaldovi k volbě prezidentem - Jozef Misuth, Bobrovec, okr. Liptovský Mikuláš; formulář telegram; 12.6.1948, 11:50; papír; formát A5; sken: G. Hrzánová, 2021.")</f>
        <v>Telegram K. Gottwaldovi k volbě prezidentem - Jozef Misuth, Bobrovec, okr. Liptovský Mikuláš; formulář telegram; 12.6.1948, 11:50; papír; formát A5; sken: G. Hrzánová, 2021.</v>
      </c>
      <c r="Q134" s="8" t="str">
        <f>IFERROR(__xludf.DUMMYFUNCTION("""COMPUTED_VALUE"""),"Národní muzeum, Archiv NM, Sbírka Muzea dělnického hnutí, sbírka Klement Gottwald - kult osobnosti.")</f>
        <v>Národní muzeum, Archiv NM, Sbírka Muzea dělnického hnutí, sbírka Klement Gottwald - kult osobnosti.</v>
      </c>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row>
    <row r="135">
      <c r="A135" s="7">
        <f t="shared" si="1"/>
        <v>134</v>
      </c>
      <c r="B135" s="8" t="str">
        <f>IFERROR(__xludf.DUMMYFUNCTION("""COMPUTED_VALUE"""),"17.1225387")</f>
        <v>17.1225387</v>
      </c>
      <c r="C135" s="8" t="str">
        <f>IFERROR(__xludf.DUMMYFUNCTION("""COMPUTED_VALUE"""),"49.9177259")</f>
        <v>49.9177259</v>
      </c>
      <c r="D135" s="8" t="str">
        <f>IFERROR(__xludf.DUMMYFUNCTION("""COMPUTED_VALUE"""),"Třemešek, telegram k volbě prezidentem")</f>
        <v>Třemešek, telegram k volbě prezidentem</v>
      </c>
      <c r="E135" s="8" t="str">
        <f>IFERROR(__xludf.DUMMYFUNCTION("""COMPUTED_VALUE"""),"Telegram K. Gottwaldovi k volbě prezidentem - Místní národní výbor, Místní akční výbor Národní fronty a občané, Třemešek; formulář telegram; 14.6.1948, 17:45; papír; formát A5.")</f>
        <v>Telegram K. Gottwaldovi k volbě prezidentem - Místní národní výbor, Místní akční výbor Národní fronty a občané, Třemešek; formulář telegram; 14.6.1948, 17:45; papír; formát A5.</v>
      </c>
      <c r="F135" s="8" t="str">
        <f>IFERROR(__xludf.DUMMYFUNCTION("""COMPUTED_VALUE"""),"dokumenty")</f>
        <v>dokumenty</v>
      </c>
      <c r="G135" s="8" t="str">
        <f>IFERROR(__xludf.DUMMYFUNCTION("""COMPUTED_VALUE"""),"Telegramy")</f>
        <v>Telegramy</v>
      </c>
      <c r="H135" s="8"/>
      <c r="I135" s="9" t="str">
        <f>IFERROR(__xludf.DUMMYFUNCTION("""COMPUTED_VALUE"""),"1948")</f>
        <v>1948</v>
      </c>
      <c r="J135" s="8"/>
      <c r="K135" s="8" t="str">
        <f>IFERROR(__xludf.DUMMYFUNCTION("""COMPUTED_VALUE"""),"Místní národní výbor, Místní akční výbor Národní fronty a občané")</f>
        <v>Místní národní výbor, Místní akční výbor Národní fronty a občané</v>
      </c>
      <c r="L135" s="8" t="str">
        <f>IFERROR(__xludf.DUMMYFUNCTION("""COMPUTED_VALUE"""),"Národní muzeum, Archiv NM, Sbírka Muzea dělnického hnutí, sbírka Klement Gottwald - kult osobnosti.")</f>
        <v>Národní muzeum, Archiv NM, Sbírka Muzea dělnického hnutí, sbírka Klement Gottwald - kult osobnosti.</v>
      </c>
      <c r="M135" s="8"/>
      <c r="N135" s="8" t="str">
        <f>IFERROR(__xludf.DUMMYFUNCTION("""COMPUTED_VALUE"""),"1948, Třemešek, Místní národní výbor, Místní akční výbor Národní fronty a občané, telegram k volbě prezidentem.jpg")</f>
        <v>1948, Třemešek, Místní národní výbor, Místní akční výbor Národní fronty a občané, telegram k volbě prezidentem.jpg</v>
      </c>
      <c r="O135" s="8"/>
      <c r="P135" s="8" t="str">
        <f>IFERROR(__xludf.DUMMYFUNCTION("""COMPUTED_VALUE"""),"Telegram K. Gottwaldovi k volbě prezidentem - Místní národní výbor, Místní akční výbor Národní fronty a občané, Třemešek; formulář telegram; 14.6.1948, 17:45; papír; formát A5; sken: G. Hrzánová, 2021.")</f>
        <v>Telegram K. Gottwaldovi k volbě prezidentem - Místní národní výbor, Místní akční výbor Národní fronty a občané, Třemešek; formulář telegram; 14.6.1948, 17:45; papír; formát A5; sken: G. Hrzánová, 2021.</v>
      </c>
      <c r="Q135" s="8" t="str">
        <f>IFERROR(__xludf.DUMMYFUNCTION("""COMPUTED_VALUE"""),"Národní muzeum, Archiv NM, Sbírka Muzea dělnického hnutí, sbírka Klement Gottwald - kult osobnosti.")</f>
        <v>Národní muzeum, Archiv NM, Sbírka Muzea dělnického hnutí, sbírka Klement Gottwald - kult osobnosti.</v>
      </c>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row>
    <row r="136">
      <c r="A136" s="7">
        <f t="shared" si="1"/>
        <v>135</v>
      </c>
      <c r="B136" s="8" t="str">
        <f>IFERROR(__xludf.DUMMYFUNCTION("""COMPUTED_VALUE"""),"20.3603549")</f>
        <v>20.3603549</v>
      </c>
      <c r="C136" s="8" t="str">
        <f>IFERROR(__xludf.DUMMYFUNCTION("""COMPUTED_VALUE"""),"49.3841841")</f>
        <v>49.3841841</v>
      </c>
      <c r="D136" s="8" t="str">
        <f>IFERROR(__xludf.DUMMYFUNCTION("""COMPUTED_VALUE"""),"Spišská Stará Ves, telegram k volbě prezidentem")</f>
        <v>Spišská Stará Ves, telegram k volbě prezidentem</v>
      </c>
      <c r="E136" s="8" t="str">
        <f>IFERROR(__xludf.DUMMYFUNCTION("""COMPUTED_VALUE"""),"Telegram K. Gottwaldovi k volbě prezidentem - Sbor slovenské ligy reemigrantů z Polska, Spišská Stará Ves; formulář telegram; 13.6.1948, 12:00; papír; formát A5.")</f>
        <v>Telegram K. Gottwaldovi k volbě prezidentem - Sbor slovenské ligy reemigrantů z Polska, Spišská Stará Ves; formulář telegram; 13.6.1948, 12:00; papír; formát A5.</v>
      </c>
      <c r="F136" s="8" t="str">
        <f>IFERROR(__xludf.DUMMYFUNCTION("""COMPUTED_VALUE"""),"dokumenty")</f>
        <v>dokumenty</v>
      </c>
      <c r="G136" s="8" t="str">
        <f>IFERROR(__xludf.DUMMYFUNCTION("""COMPUTED_VALUE"""),"Telegramy")</f>
        <v>Telegramy</v>
      </c>
      <c r="H136" s="8"/>
      <c r="I136" s="9" t="str">
        <f>IFERROR(__xludf.DUMMYFUNCTION("""COMPUTED_VALUE"""),"1948")</f>
        <v>1948</v>
      </c>
      <c r="J136" s="8"/>
      <c r="K136" s="8" t="str">
        <f>IFERROR(__xludf.DUMMYFUNCTION("""COMPUTED_VALUE"""),"Sbor slovenské ligy reemigrantů z Polska")</f>
        <v>Sbor slovenské ligy reemigrantů z Polska</v>
      </c>
      <c r="L136" s="8" t="str">
        <f>IFERROR(__xludf.DUMMYFUNCTION("""COMPUTED_VALUE"""),"Národní muzeum, Archiv NM, Sbírka Muzea dělnického hnutí, sbírka Klement Gottwald - kult osobnosti.")</f>
        <v>Národní muzeum, Archiv NM, Sbírka Muzea dělnického hnutí, sbírka Klement Gottwald - kult osobnosti.</v>
      </c>
      <c r="M136" s="8"/>
      <c r="N136" s="8" t="str">
        <f>IFERROR(__xludf.DUMMYFUNCTION("""COMPUTED_VALUE"""),"1948, Spišská Stará Ves, Sbor slovenské ligy reemigrantů z Polska, telegram k volbě prezidentem.jpg")</f>
        <v>1948, Spišská Stará Ves, Sbor slovenské ligy reemigrantů z Polska, telegram k volbě prezidentem.jpg</v>
      </c>
      <c r="O136" s="8"/>
      <c r="P136" s="8" t="str">
        <f>IFERROR(__xludf.DUMMYFUNCTION("""COMPUTED_VALUE"""),"Telegram K. Gottwaldovi k volbě prezidentem - Sbor slovenské ligy reemigrantů z Polska, Spišská Stará Ves; formulář telegram; 13.6.1948, 12:00; papír; formát A5; sken: G. Hrzánová, 2021.")</f>
        <v>Telegram K. Gottwaldovi k volbě prezidentem - Sbor slovenské ligy reemigrantů z Polska, Spišská Stará Ves; formulář telegram; 13.6.1948, 12:00; papír; formát A5; sken: G. Hrzánová, 2021.</v>
      </c>
      <c r="Q136" s="8" t="str">
        <f>IFERROR(__xludf.DUMMYFUNCTION("""COMPUTED_VALUE"""),"Národní muzeum, Archiv NM, Sbírka Muzea dělnického hnutí, sbírka Klement Gottwald - kult osobnosti.")</f>
        <v>Národní muzeum, Archiv NM, Sbírka Muzea dělnického hnutí, sbírka Klement Gottwald - kult osobnosti.</v>
      </c>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row>
    <row r="137">
      <c r="A137" s="7">
        <f t="shared" si="1"/>
        <v>136</v>
      </c>
      <c r="B137" s="8" t="str">
        <f>IFERROR(__xludf.DUMMYFUNCTION("""COMPUTED_VALUE"""),"18.7408001")</f>
        <v>18.7408001</v>
      </c>
      <c r="C137" s="8" t="str">
        <f>IFERROR(__xludf.DUMMYFUNCTION("""COMPUTED_VALUE"""),"49.2194498")</f>
        <v>49.2194498</v>
      </c>
      <c r="D137" s="8" t="str">
        <f>IFERROR(__xludf.DUMMYFUNCTION("""COMPUTED_VALUE"""),"Žilina, telegram k volbě prezidentem")</f>
        <v>Žilina, telegram k volbě prezidentem</v>
      </c>
      <c r="E137" s="8" t="str">
        <f>IFERROR(__xludf.DUMMYFUNCTION("""COMPUTED_VALUE"""),"Telegram K. Gottwaldovi k volbě prezidentem - Delegáti Okresní konference SSM, Žilina; formulář telegram; 13.6.1948, 18:45; papír; formát A5.")</f>
        <v>Telegram K. Gottwaldovi k volbě prezidentem - Delegáti Okresní konference SSM, Žilina; formulář telegram; 13.6.1948, 18:45; papír; formát A5.</v>
      </c>
      <c r="F137" s="8" t="str">
        <f>IFERROR(__xludf.DUMMYFUNCTION("""COMPUTED_VALUE"""),"dokumenty")</f>
        <v>dokumenty</v>
      </c>
      <c r="G137" s="8" t="str">
        <f>IFERROR(__xludf.DUMMYFUNCTION("""COMPUTED_VALUE"""),"Telegramy")</f>
        <v>Telegramy</v>
      </c>
      <c r="H137" s="8"/>
      <c r="I137" s="9" t="str">
        <f>IFERROR(__xludf.DUMMYFUNCTION("""COMPUTED_VALUE"""),"1948")</f>
        <v>1948</v>
      </c>
      <c r="J137" s="8"/>
      <c r="K137" s="8" t="str">
        <f>IFERROR(__xludf.DUMMYFUNCTION("""COMPUTED_VALUE"""),"Delegáti Okresní konference SSM")</f>
        <v>Delegáti Okresní konference SSM</v>
      </c>
      <c r="L137" s="8" t="str">
        <f>IFERROR(__xludf.DUMMYFUNCTION("""COMPUTED_VALUE"""),"Národní muzeum, Archiv NM, Sbírka Muzea dělnického hnutí, sbírka Klement Gottwald - kult osobnosti.")</f>
        <v>Národní muzeum, Archiv NM, Sbírka Muzea dělnického hnutí, sbírka Klement Gottwald - kult osobnosti.</v>
      </c>
      <c r="M137" s="8"/>
      <c r="N137" s="8" t="str">
        <f>IFERROR(__xludf.DUMMYFUNCTION("""COMPUTED_VALUE"""),"1948, Žilina, Delegáti Okresní konference SSM, telegram k volbě prezidentem.jpg")</f>
        <v>1948, Žilina, Delegáti Okresní konference SSM, telegram k volbě prezidentem.jpg</v>
      </c>
      <c r="O137" s="8"/>
      <c r="P137" s="8" t="str">
        <f>IFERROR(__xludf.DUMMYFUNCTION("""COMPUTED_VALUE"""),"Telegram K. Gottwaldovi k volbě prezidentem - Delegáti Okresní konference SSM, Žilina; formulář telegram; 13.6.1948, 18:45; papír; formát A5; sken: G. Hrzánová, 2021.")</f>
        <v>Telegram K. Gottwaldovi k volbě prezidentem - Delegáti Okresní konference SSM, Žilina; formulář telegram; 13.6.1948, 18:45; papír; formát A5; sken: G. Hrzánová, 2021.</v>
      </c>
      <c r="Q137" s="8" t="str">
        <f>IFERROR(__xludf.DUMMYFUNCTION("""COMPUTED_VALUE"""),"Národní muzeum, Archiv NM, Sbírka Muzea dělnického hnutí, sbírka Klement Gottwald - kult osobnosti.")</f>
        <v>Národní muzeum, Archiv NM, Sbírka Muzea dělnického hnutí, sbírka Klement Gottwald - kult osobnosti.</v>
      </c>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row>
    <row r="138">
      <c r="A138" s="7">
        <f t="shared" si="1"/>
        <v>137</v>
      </c>
      <c r="B138" s="8" t="str">
        <f>IFERROR(__xludf.DUMMYFUNCTION("""COMPUTED_VALUE"""),"17.1077477")</f>
        <v>17.1077477</v>
      </c>
      <c r="C138" s="8" t="str">
        <f>IFERROR(__xludf.DUMMYFUNCTION("""COMPUTED_VALUE"""),"48.1485965")</f>
        <v>48.1485965</v>
      </c>
      <c r="D138" s="8" t="str">
        <f>IFERROR(__xludf.DUMMYFUNCTION("""COMPUTED_VALUE"""),"Bratislava, telegram k volbě prezidentem")</f>
        <v>Bratislava, telegram k volbě prezidentem</v>
      </c>
      <c r="E138" s="8" t="str">
        <f>IFERROR(__xludf.DUMMYFUNCTION("""COMPUTED_VALUE"""),"Telegram K. Gottwaldovi k volbě prezidentem - Oblastní akční výbor Národní fronty, Bratislava; formulář telegram; 13.6.1948, 13:45; papír; formát A5.")</f>
        <v>Telegram K. Gottwaldovi k volbě prezidentem - Oblastní akční výbor Národní fronty, Bratislava; formulář telegram; 13.6.1948, 13:45; papír; formát A5.</v>
      </c>
      <c r="F138" s="8" t="str">
        <f>IFERROR(__xludf.DUMMYFUNCTION("""COMPUTED_VALUE"""),"dokumenty")</f>
        <v>dokumenty</v>
      </c>
      <c r="G138" s="8" t="str">
        <f>IFERROR(__xludf.DUMMYFUNCTION("""COMPUTED_VALUE"""),"Telegramy")</f>
        <v>Telegramy</v>
      </c>
      <c r="H138" s="8"/>
      <c r="I138" s="9" t="str">
        <f>IFERROR(__xludf.DUMMYFUNCTION("""COMPUTED_VALUE"""),"1948")</f>
        <v>1948</v>
      </c>
      <c r="J138" s="8"/>
      <c r="K138" s="8" t="str">
        <f>IFERROR(__xludf.DUMMYFUNCTION("""COMPUTED_VALUE"""),"Oblastní akční výbor Národní fronty")</f>
        <v>Oblastní akční výbor Národní fronty</v>
      </c>
      <c r="L138" s="8" t="str">
        <f>IFERROR(__xludf.DUMMYFUNCTION("""COMPUTED_VALUE"""),"Národní muzeum, Archiv NM, Sbírka Muzea dělnického hnutí, sbírka Klement Gottwald - kult osobnosti.")</f>
        <v>Národní muzeum, Archiv NM, Sbírka Muzea dělnického hnutí, sbírka Klement Gottwald - kult osobnosti.</v>
      </c>
      <c r="M138" s="8"/>
      <c r="N138" s="8" t="str">
        <f>IFERROR(__xludf.DUMMYFUNCTION("""COMPUTED_VALUE"""),"1948, Bratislava, Oblastní akční výbor Národní fronty, telegram k volbě prezidentem_01.jpg")</f>
        <v>1948, Bratislava, Oblastní akční výbor Národní fronty, telegram k volbě prezidentem_01.jpg</v>
      </c>
      <c r="O138" s="8"/>
      <c r="P138" s="8" t="str">
        <f>IFERROR(__xludf.DUMMYFUNCTION("""COMPUTED_VALUE"""),"Telegram K. Gottwaldovi k volbě prezidentem - Oblastní akční výbor Národní fronty, Bratislava; formulář telegram; 13.6.1948, 13:45; papír; formát A5; sken: G. Hrzánová, 2021.")</f>
        <v>Telegram K. Gottwaldovi k volbě prezidentem - Oblastní akční výbor Národní fronty, Bratislava; formulář telegram; 13.6.1948, 13:45; papír; formát A5; sken: G. Hrzánová, 2021.</v>
      </c>
      <c r="Q138" s="8" t="str">
        <f>IFERROR(__xludf.DUMMYFUNCTION("""COMPUTED_VALUE"""),"Národní muzeum, Archiv NM, Sbírka Muzea dělnického hnutí, sbírka Klement Gottwald - kult osobnosti.")</f>
        <v>Národní muzeum, Archiv NM, Sbírka Muzea dělnického hnutí, sbírka Klement Gottwald - kult osobnosti.</v>
      </c>
      <c r="R138" s="8" t="str">
        <f>IFERROR(__xludf.DUMMYFUNCTION("""COMPUTED_VALUE"""),"1948, Bratislava, Oblastní akční výbor Národní fronty, telegram k volbě prezidentem_02.jpg")</f>
        <v>1948, Bratislava, Oblastní akční výbor Národní fronty, telegram k volbě prezidentem_02.jpg</v>
      </c>
      <c r="S138" s="8"/>
      <c r="T138" s="8" t="str">
        <f>IFERROR(__xludf.DUMMYFUNCTION("""COMPUTED_VALUE"""),"Telegram K. Gottwaldovi k volbě prezidentem - Oblastní akční výbor Národní fronty, Bratislava; formulář telegram; 13.6.1948, 13:45; papír; formát A5; sken: G. Hrzánová, 2021.")</f>
        <v>Telegram K. Gottwaldovi k volbě prezidentem - Oblastní akční výbor Národní fronty, Bratislava; formulář telegram; 13.6.1948, 13:45; papír; formát A5; sken: G. Hrzánová, 2021.</v>
      </c>
      <c r="U138" s="8" t="str">
        <f>IFERROR(__xludf.DUMMYFUNCTION("""COMPUTED_VALUE"""),"Národní muzeum, Archiv NM, Sbírka Muzea dělnického hnutí, sbírka Klement Gottwald - kult osobnosti.")</f>
        <v>Národní muzeum, Archiv NM, Sbírka Muzea dělnického hnutí, sbírka Klement Gottwald - kult osobnosti.</v>
      </c>
      <c r="V138" s="8" t="str">
        <f>IFERROR(__xludf.DUMMYFUNCTION("""COMPUTED_VALUE"""),"1948, Bratislava, Oblastní akční výbor Národní fronty, telegram k volbě prezidentem_03.jpg")</f>
        <v>1948, Bratislava, Oblastní akční výbor Národní fronty, telegram k volbě prezidentem_03.jpg</v>
      </c>
      <c r="W138" s="8"/>
      <c r="X138" s="8" t="str">
        <f>IFERROR(__xludf.DUMMYFUNCTION("""COMPUTED_VALUE"""),"Telegram K. Gottwaldovi k volbě prezidentem - Oblastní akční výbor Národní fronty, Bratislava; formulář telegram; 13.6.1948, 13:45; papír; formát A5; sken: G. Hrzánová, 2021.")</f>
        <v>Telegram K. Gottwaldovi k volbě prezidentem - Oblastní akční výbor Národní fronty, Bratislava; formulář telegram; 13.6.1948, 13:45; papír; formát A5; sken: G. Hrzánová, 2021.</v>
      </c>
      <c r="Y138" s="8" t="str">
        <f>IFERROR(__xludf.DUMMYFUNCTION("""COMPUTED_VALUE"""),"Národní muzeum, Archiv NM, Sbírka Muzea dělnického hnutí, sbírka Klement Gottwald - kult osobnosti.")</f>
        <v>Národní muzeum, Archiv NM, Sbírka Muzea dělnického hnutí, sbírka Klement Gottwald - kult osobnosti.</v>
      </c>
      <c r="Z138" s="8"/>
      <c r="AA138" s="8"/>
      <c r="AB138" s="8"/>
      <c r="AC138" s="8"/>
      <c r="AD138" s="8"/>
      <c r="AE138" s="8"/>
      <c r="AF138" s="8"/>
      <c r="AG138" s="8"/>
      <c r="AH138" s="8"/>
      <c r="AI138" s="8"/>
      <c r="AJ138" s="8"/>
      <c r="AK138" s="8"/>
      <c r="AL138" s="8"/>
      <c r="AM138" s="8"/>
      <c r="AN138" s="8"/>
      <c r="AO138" s="8"/>
    </row>
    <row r="139">
      <c r="A139" s="7">
        <f t="shared" si="1"/>
        <v>138</v>
      </c>
      <c r="B139" s="8" t="str">
        <f>IFERROR(__xludf.DUMMYFUNCTION("""COMPUTED_VALUE"""),"18.6461201")</f>
        <v>18.6461201</v>
      </c>
      <c r="C139" s="8" t="str">
        <f>IFERROR(__xludf.DUMMYFUNCTION("""COMPUTED_VALUE"""),"47.7777903")</f>
        <v>47.7777903</v>
      </c>
      <c r="D139" s="8" t="str">
        <f>IFERROR(__xludf.DUMMYFUNCTION("""COMPUTED_VALUE"""),"Obid (Ebed), telegram k volbě prezidentem")</f>
        <v>Obid (Ebed), telegram k volbě prezidentem</v>
      </c>
      <c r="E139" s="8" t="str">
        <f>IFERROR(__xludf.DUMMYFUNCTION("""COMPUTED_VALUE"""),"Telegram K. Gottwaldovi k volbě prezidentem - Obec Ebed (Obid), okr. Parkán (Štúrovo); formulář telegram; 13.6.1948, 17:00; papír; formát A5.")</f>
        <v>Telegram K. Gottwaldovi k volbě prezidentem - Obec Ebed (Obid), okr. Parkán (Štúrovo); formulář telegram; 13.6.1948, 17:00; papír; formát A5.</v>
      </c>
      <c r="F139" s="8" t="str">
        <f>IFERROR(__xludf.DUMMYFUNCTION("""COMPUTED_VALUE"""),"dokumenty")</f>
        <v>dokumenty</v>
      </c>
      <c r="G139" s="8" t="str">
        <f>IFERROR(__xludf.DUMMYFUNCTION("""COMPUTED_VALUE"""),"Telegramy")</f>
        <v>Telegramy</v>
      </c>
      <c r="H139" s="8"/>
      <c r="I139" s="9" t="str">
        <f>IFERROR(__xludf.DUMMYFUNCTION("""COMPUTED_VALUE"""),"1948")</f>
        <v>1948</v>
      </c>
      <c r="J139" s="8"/>
      <c r="K139" s="8" t="str">
        <f>IFERROR(__xludf.DUMMYFUNCTION("""COMPUTED_VALUE"""),"Obec Ebed (Obid), okr. Parkán (Štúrovo)")</f>
        <v>Obec Ebed (Obid), okr. Parkán (Štúrovo)</v>
      </c>
      <c r="L139" s="8" t="str">
        <f>IFERROR(__xludf.DUMMYFUNCTION("""COMPUTED_VALUE"""),"Národní muzeum, Archiv NM, Sbírka Muzea dělnického hnutí, sbírka Klement Gottwald - kult osobnosti.")</f>
        <v>Národní muzeum, Archiv NM, Sbírka Muzea dělnického hnutí, sbírka Klement Gottwald - kult osobnosti.</v>
      </c>
      <c r="M139" s="8"/>
      <c r="N139" s="8" t="str">
        <f>IFERROR(__xludf.DUMMYFUNCTION("""COMPUTED_VALUE"""),"1948, Obid (Ebed), Obec Ebed, telegram k volbě prezidentem.jpg")</f>
        <v>1948, Obid (Ebed), Obec Ebed, telegram k volbě prezidentem.jpg</v>
      </c>
      <c r="O139" s="8"/>
      <c r="P139" s="8" t="str">
        <f>IFERROR(__xludf.DUMMYFUNCTION("""COMPUTED_VALUE"""),"Telegram K. Gottwaldovi k volbě prezidentem - Obec Ebed (Obid), okr. Parkán (Štúrovo); formulář telegram; 13.6.1948, 17:00; papír; formát A5; sken: G. Hrzánová, 2021.")</f>
        <v>Telegram K. Gottwaldovi k volbě prezidentem - Obec Ebed (Obid), okr. Parkán (Štúrovo); formulář telegram; 13.6.1948, 17:00; papír; formát A5; sken: G. Hrzánová, 2021.</v>
      </c>
      <c r="Q139" s="8" t="str">
        <f>IFERROR(__xludf.DUMMYFUNCTION("""COMPUTED_VALUE"""),"Národní muzeum, Archiv NM, Sbírka Muzea dělnického hnutí, sbírka Klement Gottwald - kult osobnosti.")</f>
        <v>Národní muzeum, Archiv NM, Sbírka Muzea dělnického hnutí, sbírka Klement Gottwald - kult osobnosti.</v>
      </c>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row>
    <row r="140">
      <c r="A140" s="7">
        <f t="shared" si="1"/>
        <v>139</v>
      </c>
      <c r="B140" s="8" t="str">
        <f>IFERROR(__xludf.DUMMYFUNCTION("""COMPUTED_VALUE"""),"14.7136163")</f>
        <v>14.7136163</v>
      </c>
      <c r="C140" s="8" t="str">
        <f>IFERROR(__xludf.DUMMYFUNCTION("""COMPUTED_VALUE"""),"49.9364431")</f>
        <v>49.9364431</v>
      </c>
      <c r="D140" s="8" t="str">
        <f>IFERROR(__xludf.DUMMYFUNCTION("""COMPUTED_VALUE"""),"Mnichovice, telegram k volbě prezidentem")</f>
        <v>Mnichovice, telegram k volbě prezidentem</v>
      </c>
      <c r="E140" s="8" t="str">
        <f>IFERROR(__xludf.DUMMYFUNCTION("""COMPUTED_VALUE"""),"Telegram K. Gottwaldovi k volbě prezidentem - Sokol, Mnichovice; formulář telegram; 12.6.1948, 10:10; papír; formát A5.")</f>
        <v>Telegram K. Gottwaldovi k volbě prezidentem - Sokol, Mnichovice; formulář telegram; 12.6.1948, 10:10; papír; formát A5.</v>
      </c>
      <c r="F140" s="8" t="str">
        <f>IFERROR(__xludf.DUMMYFUNCTION("""COMPUTED_VALUE"""),"dokumenty")</f>
        <v>dokumenty</v>
      </c>
      <c r="G140" s="8" t="str">
        <f>IFERROR(__xludf.DUMMYFUNCTION("""COMPUTED_VALUE"""),"Telegramy")</f>
        <v>Telegramy</v>
      </c>
      <c r="H140" s="8"/>
      <c r="I140" s="9" t="str">
        <f>IFERROR(__xludf.DUMMYFUNCTION("""COMPUTED_VALUE"""),"1948")</f>
        <v>1948</v>
      </c>
      <c r="J140" s="8"/>
      <c r="K140" s="8" t="str">
        <f>IFERROR(__xludf.DUMMYFUNCTION("""COMPUTED_VALUE"""),"Sokol Mnichovice")</f>
        <v>Sokol Mnichovice</v>
      </c>
      <c r="L140" s="8" t="str">
        <f>IFERROR(__xludf.DUMMYFUNCTION("""COMPUTED_VALUE"""),"Národní muzeum, Archiv NM, Sbírka Muzea dělnického hnutí, sbírka Klement Gottwald - kult osobnosti.")</f>
        <v>Národní muzeum, Archiv NM, Sbírka Muzea dělnického hnutí, sbírka Klement Gottwald - kult osobnosti.</v>
      </c>
      <c r="M140" s="8"/>
      <c r="N140" s="8" t="str">
        <f>IFERROR(__xludf.DUMMYFUNCTION("""COMPUTED_VALUE"""),"1948, Mnichovice, Sokol, telegram k volbě prezidentem.jpg")</f>
        <v>1948, Mnichovice, Sokol, telegram k volbě prezidentem.jpg</v>
      </c>
      <c r="O140" s="8"/>
      <c r="P140" s="8" t="str">
        <f>IFERROR(__xludf.DUMMYFUNCTION("""COMPUTED_VALUE"""),"Telegram K. Gottwaldovi k volbě prezidentem - Sokol, Mnichovice; formulář telegram; 12.6.1948, 10:10; papír; formát A5; sken: G. Hrzánová, 2021.")</f>
        <v>Telegram K. Gottwaldovi k volbě prezidentem - Sokol, Mnichovice; formulář telegram; 12.6.1948, 10:10; papír; formát A5; sken: G. Hrzánová, 2021.</v>
      </c>
      <c r="Q140" s="8" t="str">
        <f>IFERROR(__xludf.DUMMYFUNCTION("""COMPUTED_VALUE"""),"Národní muzeum, Archiv NM, Sbírka Muzea dělnického hnutí, sbírka Klement Gottwald - kult osobnosti.")</f>
        <v>Národní muzeum, Archiv NM, Sbírka Muzea dělnického hnutí, sbírka Klement Gottwald - kult osobnosti.</v>
      </c>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row>
    <row r="141">
      <c r="A141" s="7">
        <f t="shared" si="1"/>
        <v>140</v>
      </c>
      <c r="B141" s="8" t="str">
        <f>IFERROR(__xludf.DUMMYFUNCTION("""COMPUTED_VALUE"""),"13.7753594")</f>
        <v>13.7753594</v>
      </c>
      <c r="C141" s="8" t="str">
        <f>IFERROR(__xludf.DUMMYFUNCTION("""COMPUTED_VALUE"""),"50.5485474")</f>
        <v>50.5485474</v>
      </c>
      <c r="D141" s="8" t="str">
        <f>IFERROR(__xludf.DUMMYFUNCTION("""COMPUTED_VALUE"""),"Bílina, telegram k volbě prezidentem")</f>
        <v>Bílina, telegram k volbě prezidentem</v>
      </c>
      <c r="E141" s="8" t="str">
        <f>IFERROR(__xludf.DUMMYFUNCTION("""COMPUTED_VALUE"""),"Telegram K. Gottwaldovi k volbě prezidentem - Spolek socialistických bezvěrců, Bílina; formulář telegram; 14.6.1948, 09:55; papír; formát A5.")</f>
        <v>Telegram K. Gottwaldovi k volbě prezidentem - Spolek socialistických bezvěrců, Bílina; formulář telegram; 14.6.1948, 09:55; papír; formát A5.</v>
      </c>
      <c r="F141" s="8" t="str">
        <f>IFERROR(__xludf.DUMMYFUNCTION("""COMPUTED_VALUE"""),"dokumenty")</f>
        <v>dokumenty</v>
      </c>
      <c r="G141" s="8" t="str">
        <f>IFERROR(__xludf.DUMMYFUNCTION("""COMPUTED_VALUE"""),"Telegramy")</f>
        <v>Telegramy</v>
      </c>
      <c r="H141" s="8"/>
      <c r="I141" s="9" t="str">
        <f>IFERROR(__xludf.DUMMYFUNCTION("""COMPUTED_VALUE"""),"1948")</f>
        <v>1948</v>
      </c>
      <c r="J141" s="8"/>
      <c r="K141" s="8" t="str">
        <f>IFERROR(__xludf.DUMMYFUNCTION("""COMPUTED_VALUE"""),"Spolek socialistických bezvěrců")</f>
        <v>Spolek socialistických bezvěrců</v>
      </c>
      <c r="L141" s="8" t="str">
        <f>IFERROR(__xludf.DUMMYFUNCTION("""COMPUTED_VALUE"""),"Národní muzeum, Archiv NM, Sbírka Muzea dělnického hnutí, sbírka Klement Gottwald - kult osobnosti.")</f>
        <v>Národní muzeum, Archiv NM, Sbírka Muzea dělnického hnutí, sbírka Klement Gottwald - kult osobnosti.</v>
      </c>
      <c r="M141" s="8"/>
      <c r="N141" s="8" t="str">
        <f>IFERROR(__xludf.DUMMYFUNCTION("""COMPUTED_VALUE"""),"1948, Bílina, Spolek socialistických bezvěrců, telegram k volbě prezidentem.jpg")</f>
        <v>1948, Bílina, Spolek socialistických bezvěrců, telegram k volbě prezidentem.jpg</v>
      </c>
      <c r="O141" s="8"/>
      <c r="P141" s="8" t="str">
        <f>IFERROR(__xludf.DUMMYFUNCTION("""COMPUTED_VALUE"""),"Telegram K. Gottwaldovi k volbě prezidentem - Spolek socialistických bezvěrců, Bílina; formulář telegram; 14.6.1948, 09:55; papír; formát A5; sken: G. Hrzánová, 2021.")</f>
        <v>Telegram K. Gottwaldovi k volbě prezidentem - Spolek socialistických bezvěrců, Bílina; formulář telegram; 14.6.1948, 09:55; papír; formát A5; sken: G. Hrzánová, 2021.</v>
      </c>
      <c r="Q141" s="8" t="str">
        <f>IFERROR(__xludf.DUMMYFUNCTION("""COMPUTED_VALUE"""),"Národní muzeum, Archiv NM, Sbírka Muzea dělnického hnutí, sbírka Klement Gottwald - kult osobnosti.")</f>
        <v>Národní muzeum, Archiv NM, Sbírka Muzea dělnického hnutí, sbírka Klement Gottwald - kult osobnosti.</v>
      </c>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row>
    <row r="142">
      <c r="A142" s="7">
        <f t="shared" si="1"/>
        <v>141</v>
      </c>
      <c r="B142" s="8" t="str">
        <f>IFERROR(__xludf.DUMMYFUNCTION("""COMPUTED_VALUE"""),"14.2627351")</f>
        <v>14.2627351</v>
      </c>
      <c r="C142" s="8" t="str">
        <f>IFERROR(__xludf.DUMMYFUNCTION("""COMPUTED_VALUE"""),"50.0663305")</f>
        <v>50.0663305</v>
      </c>
      <c r="D142" s="8" t="str">
        <f>IFERROR(__xludf.DUMMYFUNCTION("""COMPUTED_VALUE"""),"Praha - Petrovská 55 (Pavlická), telegram k volbě prezidentem")</f>
        <v>Praha - Petrovská 55 (Pavlická), telegram k volbě prezidentem</v>
      </c>
      <c r="E142" s="8" t="str">
        <f>IFERROR(__xludf.DUMMYFUNCTION("""COMPUTED_VALUE"""),"Telegram K. Gottwaldovi k volbě prezidentem - Karel a Vlasta Váňovi, Anděla Čejpová, Praha - Petrovská 55 (Pavlická); formulář telegram; 14.6.1948, 16:55; papír; formát A5.")</f>
        <v>Telegram K. Gottwaldovi k volbě prezidentem - Karel a Vlasta Váňovi, Anděla Čejpová, Praha - Petrovská 55 (Pavlická); formulář telegram; 14.6.1948, 16:55; papír; formát A5.</v>
      </c>
      <c r="F142" s="8" t="str">
        <f>IFERROR(__xludf.DUMMYFUNCTION("""COMPUTED_VALUE"""),"dokumenty")</f>
        <v>dokumenty</v>
      </c>
      <c r="G142" s="8" t="str">
        <f>IFERROR(__xludf.DUMMYFUNCTION("""COMPUTED_VALUE"""),"Telegramy")</f>
        <v>Telegramy</v>
      </c>
      <c r="H142" s="8"/>
      <c r="I142" s="9" t="str">
        <f>IFERROR(__xludf.DUMMYFUNCTION("""COMPUTED_VALUE"""),"1948")</f>
        <v>1948</v>
      </c>
      <c r="J142" s="8"/>
      <c r="K142" s="8" t="str">
        <f>IFERROR(__xludf.DUMMYFUNCTION("""COMPUTED_VALUE"""),"Karel a Vlasta Váňovi, Anděla Čejpová")</f>
        <v>Karel a Vlasta Váňovi, Anděla Čejpová</v>
      </c>
      <c r="L142" s="8" t="str">
        <f>IFERROR(__xludf.DUMMYFUNCTION("""COMPUTED_VALUE"""),"Národní muzeum, Archiv NM, Sbírka Muzea dělnického hnutí, sbírka Klement Gottwald - kult osobnosti.")</f>
        <v>Národní muzeum, Archiv NM, Sbírka Muzea dělnického hnutí, sbírka Klement Gottwald - kult osobnosti.</v>
      </c>
      <c r="M142" s="8"/>
      <c r="N142" s="8" t="str">
        <f>IFERROR(__xludf.DUMMYFUNCTION("""COMPUTED_VALUE"""),"1948, Praha - Petrovská 55 (Pavlická), Karel a Vlasta Váňovi, Anděla Čejpová, telegram k volbě prezidentem.jpg")</f>
        <v>1948, Praha - Petrovská 55 (Pavlická), Karel a Vlasta Váňovi, Anděla Čejpová, telegram k volbě prezidentem.jpg</v>
      </c>
      <c r="O142" s="8"/>
      <c r="P142" s="8" t="str">
        <f>IFERROR(__xludf.DUMMYFUNCTION("""COMPUTED_VALUE"""),"Telegram K. Gottwaldovi k volbě prezidentem - Karel a Vlasta Váňovi, Anděla Čejpová, Praha - Petrovská 55 (Pavlická); formulář telegram; 14.6.1948, 16:55; papír; formát A5; sken: G. Hrzánová, 2021.")</f>
        <v>Telegram K. Gottwaldovi k volbě prezidentem - Karel a Vlasta Váňovi, Anděla Čejpová, Praha - Petrovská 55 (Pavlická); formulář telegram; 14.6.1948, 16:55; papír; formát A5; sken: G. Hrzánová, 2021.</v>
      </c>
      <c r="Q142" s="8" t="str">
        <f>IFERROR(__xludf.DUMMYFUNCTION("""COMPUTED_VALUE"""),"Národní muzeum, Archiv NM, Sbírka Muzea dělnického hnutí, sbírka Klement Gottwald - kult osobnosti.")</f>
        <v>Národní muzeum, Archiv NM, Sbírka Muzea dělnického hnutí, sbírka Klement Gottwald - kult osobnosti.</v>
      </c>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row>
    <row r="143">
      <c r="A143" s="7">
        <f t="shared" si="1"/>
        <v>142</v>
      </c>
      <c r="B143" s="8" t="str">
        <f>IFERROR(__xludf.DUMMYFUNCTION("""COMPUTED_VALUE"""),"18.4959104")</f>
        <v>18.4959104</v>
      </c>
      <c r="C143" s="8" t="str">
        <f>IFERROR(__xludf.DUMMYFUNCTION("""COMPUTED_VALUE"""),"49.8438321")</f>
        <v>49.8438321</v>
      </c>
      <c r="D143" s="8" t="str">
        <f>IFERROR(__xludf.DUMMYFUNCTION("""COMPUTED_VALUE"""),"Karviná, telegram k volbě prezidentem, Koksovna President Beneš")</f>
        <v>Karviná, telegram k volbě prezidentem, Koksovna President Beneš</v>
      </c>
      <c r="E143" s="8" t="str">
        <f>IFERROR(__xludf.DUMMYFUNCTION("""COMPUTED_VALUE"""),"Telegram K. Gottwaldovi k volbě prezidentem - Koksovna President Beneš, Karviná; formulář telegram; 10.6.1948, 15:00; papír; formát A5.")</f>
        <v>Telegram K. Gottwaldovi k volbě prezidentem - Koksovna President Beneš, Karviná; formulář telegram; 10.6.1948, 15:00; papír; formát A5.</v>
      </c>
      <c r="F143" s="8" t="str">
        <f>IFERROR(__xludf.DUMMYFUNCTION("""COMPUTED_VALUE"""),"dokumenty")</f>
        <v>dokumenty</v>
      </c>
      <c r="G143" s="8" t="str">
        <f>IFERROR(__xludf.DUMMYFUNCTION("""COMPUTED_VALUE"""),"Telegramy")</f>
        <v>Telegramy</v>
      </c>
      <c r="H143" s="8"/>
      <c r="I143" s="9" t="str">
        <f>IFERROR(__xludf.DUMMYFUNCTION("""COMPUTED_VALUE"""),"1948")</f>
        <v>1948</v>
      </c>
      <c r="J143" s="8"/>
      <c r="K143" s="8" t="str">
        <f>IFERROR(__xludf.DUMMYFUNCTION("""COMPUTED_VALUE"""),"Koksovna President Beneš")</f>
        <v>Koksovna President Beneš</v>
      </c>
      <c r="L143" s="8" t="str">
        <f>IFERROR(__xludf.DUMMYFUNCTION("""COMPUTED_VALUE"""),"Národní muzeum, Archiv NM, Sbírka Muzea dělnického hnutí, sbírka Klement Gottwald - kult osobnosti.
https://www.archives.cz/web/soka/karvina/projekt/resources/karvina/hruby/kronika/text5.htm (online, 24.8.2021).
")</f>
        <v>Národní muzeum, Archiv NM, Sbírka Muzea dělnického hnutí, sbírka Klement Gottwald - kult osobnosti.
https://www.archives.cz/web/soka/karvina/projekt/resources/karvina/hruby/kronika/text5.htm (online, 24.8.2021).
</v>
      </c>
      <c r="M143" s="8"/>
      <c r="N143" s="8" t="str">
        <f>IFERROR(__xludf.DUMMYFUNCTION("""COMPUTED_VALUE"""),"1948, Karviná, Koksovna President Beneš, telegram k volbě prezidentem.jpg")</f>
        <v>1948, Karviná, Koksovna President Beneš, telegram k volbě prezidentem.jpg</v>
      </c>
      <c r="O143" s="8"/>
      <c r="P143" s="8" t="str">
        <f>IFERROR(__xludf.DUMMYFUNCTION("""COMPUTED_VALUE"""),"Telegram K. Gottwaldovi k volbě prezidentem - Koksovna President Beneš, Karviná; formulář telegram; 10.6.1948, 15:00; papír; formát A5; sken: G. Hrzánová, 2021.")</f>
        <v>Telegram K. Gottwaldovi k volbě prezidentem - Koksovna President Beneš, Karviná; formulář telegram; 10.6.1948, 15:00; papír; formát A5; sken: G. Hrzánová, 2021.</v>
      </c>
      <c r="Q143" s="8" t="str">
        <f>IFERROR(__xludf.DUMMYFUNCTION("""COMPUTED_VALUE"""),"Národní muzeum, Archiv NM, Sbírka Muzea dělnického hnutí, sbírka Klement Gottwald - kult osobnosti.")</f>
        <v>Národní muzeum, Archiv NM, Sbírka Muzea dělnického hnutí, sbírka Klement Gottwald - kult osobnosti.</v>
      </c>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row>
    <row r="144">
      <c r="A144" s="7">
        <f t="shared" si="1"/>
        <v>143</v>
      </c>
      <c r="B144" s="8" t="str">
        <f>IFERROR(__xludf.DUMMYFUNCTION("""COMPUTED_VALUE"""),"14.5396991")</f>
        <v>14.5396991</v>
      </c>
      <c r="C144" s="8" t="str">
        <f>IFERROR(__xludf.DUMMYFUNCTION("""COMPUTED_VALUE"""),"50.6785201")</f>
        <v>50.6785201</v>
      </c>
      <c r="D144" s="8" t="str">
        <f>IFERROR(__xludf.DUMMYFUNCTION("""COMPUTED_VALUE"""),"Česká Lípa, pracovní závazek dvouletky")</f>
        <v>Česká Lípa, pracovní závazek dvouletky</v>
      </c>
      <c r="E144" s="8" t="str">
        <f>IFERROR(__xludf.DUMMYFUNCTION("""COMPUTED_VALUE"""),"Pracovní závazek plnění dvouletého pracovního plánu, připojeno k blahopřání k 50. narozeninám. Béžové kožené desky s aplikací číslice a lipové ratolesti, různé listy s logem podniku Tatra, n. p. závod Klementa Gottwalda, Č. Lípa, ruční papír bohatě ilustr"&amp;"ovaný - kolorovaná iniciála, připojeny grafy výroby, ale i např. poměru Němců a Čechů v továrně, rkp, tisk, 10 ll, 42 x 30 cm.")</f>
        <v>Pracovní závazek plnění dvouletého pracovního plánu, připojeno k blahopřání k 50. narozeninám. Béžové kožené desky s aplikací číslice a lipové ratolesti, různé listy s logem podniku Tatra, n. p. závod Klementa Gottwalda, Č. Lípa, ruční papír bohatě ilustrovaný - kolorovaná iniciála, připojeny grafy výroby, ale i např. poměru Němců a Čechů v továrně, rkp, tisk, 10 ll, 42 x 30 cm.</v>
      </c>
      <c r="F144" s="8" t="str">
        <f>IFERROR(__xludf.DUMMYFUNCTION("""COMPUTED_VALUE"""),"dokumenty")</f>
        <v>dokumenty</v>
      </c>
      <c r="G144" s="8" t="str">
        <f>IFERROR(__xludf.DUMMYFUNCTION("""COMPUTED_VALUE"""),"Závazky")</f>
        <v>Závazky</v>
      </c>
      <c r="H144" s="8"/>
      <c r="I144" s="9" t="str">
        <f>IFERROR(__xludf.DUMMYFUNCTION("""COMPUTED_VALUE"""),"listopad 1946")</f>
        <v>listopad 1946</v>
      </c>
      <c r="J144" s="8"/>
      <c r="K144" s="8" t="str">
        <f>IFERROR(__xludf.DUMMYFUNCTION("""COMPUTED_VALUE"""),"Závod Tatra.")</f>
        <v>Závod Tatra.</v>
      </c>
      <c r="L144" s="8" t="str">
        <f>IFERROR(__xludf.DUMMYFUNCTION("""COMPUTED_VALUE"""),"Národní muzeum, Archiv NM, Sbírka Muzea dělnického hnutí, sbírka Klement Gottwald - kult osobnosti.")</f>
        <v>Národní muzeum, Archiv NM, Sbírka Muzea dělnického hnutí, sbírka Klement Gottwald - kult osobnosti.</v>
      </c>
      <c r="M144" s="8"/>
      <c r="N144" s="8" t="str">
        <f>IFERROR(__xludf.DUMMYFUNCTION("""COMPUTED_VALUE"""),"Česká Lípa_zav01.jpg")</f>
        <v>Česká Lípa_zav01.jpg</v>
      </c>
      <c r="O144" s="8"/>
      <c r="P144" s="8" t="str">
        <f>IFERROR(__xludf.DUMMYFUNCTION("""COMPUTED_VALUE"""),"Obrazová dokumentace archiválie.")</f>
        <v>Obrazová dokumentace archiválie.</v>
      </c>
      <c r="Q144" s="8" t="str">
        <f>IFERROR(__xludf.DUMMYFUNCTION("""COMPUTED_VALUE"""),"Národní muzeum, Archiv NM, Sbírka Muzea dělnického hnutí, sbírka Klement Gottwald - kult osobnosti.")</f>
        <v>Národní muzeum, Archiv NM, Sbírka Muzea dělnického hnutí, sbírka Klement Gottwald - kult osobnosti.</v>
      </c>
      <c r="R144" s="8" t="str">
        <f>IFERROR(__xludf.DUMMYFUNCTION("""COMPUTED_VALUE"""),"Česká Lípa_zav02.jpg")</f>
        <v>Česká Lípa_zav02.jpg</v>
      </c>
      <c r="S144" s="8"/>
      <c r="T144" s="8" t="str">
        <f>IFERROR(__xludf.DUMMYFUNCTION("""COMPUTED_VALUE"""),"Obrazová dokumentace archiválie.")</f>
        <v>Obrazová dokumentace archiválie.</v>
      </c>
      <c r="U144" s="8" t="str">
        <f>IFERROR(__xludf.DUMMYFUNCTION("""COMPUTED_VALUE"""),"Národní muzeum, Archiv NM, Sbírka Muzea dělnického hnutí, sbírka Klement Gottwald - kult osobnosti.")</f>
        <v>Národní muzeum, Archiv NM, Sbírka Muzea dělnického hnutí, sbírka Klement Gottwald - kult osobnosti.</v>
      </c>
      <c r="V144" s="8" t="str">
        <f>IFERROR(__xludf.DUMMYFUNCTION("""COMPUTED_VALUE"""),"Česká Lípa_zav04.jpg")</f>
        <v>Česká Lípa_zav04.jpg</v>
      </c>
      <c r="W144" s="8"/>
      <c r="X144" s="8" t="str">
        <f>IFERROR(__xludf.DUMMYFUNCTION("""COMPUTED_VALUE"""),"Obrazová dokumentace archiválie.")</f>
        <v>Obrazová dokumentace archiválie.</v>
      </c>
      <c r="Y144" s="8" t="str">
        <f>IFERROR(__xludf.DUMMYFUNCTION("""COMPUTED_VALUE"""),"Národní muzeum, Archiv NM, Sbírka Muzea dělnického hnutí, sbírka Klement Gottwald - kult osobnosti.")</f>
        <v>Národní muzeum, Archiv NM, Sbírka Muzea dělnického hnutí, sbírka Klement Gottwald - kult osobnosti.</v>
      </c>
      <c r="Z144" s="8" t="str">
        <f>IFERROR(__xludf.DUMMYFUNCTION("""COMPUTED_VALUE"""),"Česká Lípa_zav05.jpg")</f>
        <v>Česká Lípa_zav05.jpg</v>
      </c>
      <c r="AA144" s="8"/>
      <c r="AB144" s="8" t="str">
        <f>IFERROR(__xludf.DUMMYFUNCTION("""COMPUTED_VALUE"""),"Obrazová dokumentace archiválie.")</f>
        <v>Obrazová dokumentace archiválie.</v>
      </c>
      <c r="AC144" s="8" t="str">
        <f>IFERROR(__xludf.DUMMYFUNCTION("""COMPUTED_VALUE"""),"Národní muzeum, Archiv NM, Sbírka Muzea dělnického hnutí, sbírka Klement Gottwald - kult osobnosti.")</f>
        <v>Národní muzeum, Archiv NM, Sbírka Muzea dělnického hnutí, sbírka Klement Gottwald - kult osobnosti.</v>
      </c>
      <c r="AD144" s="8"/>
      <c r="AE144" s="8"/>
      <c r="AF144" s="8"/>
      <c r="AG144" s="8"/>
      <c r="AH144" s="8"/>
      <c r="AI144" s="8"/>
      <c r="AJ144" s="8"/>
      <c r="AK144" s="8"/>
      <c r="AL144" s="8"/>
      <c r="AM144" s="8"/>
      <c r="AN144" s="8"/>
      <c r="AO144" s="8"/>
    </row>
    <row r="145">
      <c r="A145" s="7">
        <f t="shared" si="1"/>
        <v>144</v>
      </c>
      <c r="B145" s="8" t="str">
        <f>IFERROR(__xludf.DUMMYFUNCTION("""COMPUTED_VALUE"""),"14.0869438")</f>
        <v>14.0869438</v>
      </c>
      <c r="C145" s="8" t="str">
        <f>IFERROR(__xludf.DUMMYFUNCTION("""COMPUTED_VALUE"""),"50.2304622")</f>
        <v>50.2304622</v>
      </c>
      <c r="D145" s="8" t="str">
        <f>IFERROR(__xludf.DUMMYFUNCTION("""COMPUTED_VALUE"""),"Slaný, pracovní závazek")</f>
        <v>Slaný, pracovní závazek</v>
      </c>
      <c r="E145" s="8" t="str">
        <f>IFERROR(__xludf.DUMMYFUNCTION("""COMPUTED_VALUE"""),"Pracovní závazek u příležitosti zvolení čestným občanem. Černé koženkové desky se zlaceným nápisem a barevnými symboly, realistické perokresby vyráběných strojů, rkp, 8 ll, 35 x 24 cm.")</f>
        <v>Pracovní závazek u příležitosti zvolení čestným občanem. Černé koženkové desky se zlaceným nápisem a barevnými symboly, realistické perokresby vyráběných strojů, rkp, 8 ll, 35 x 24 cm.</v>
      </c>
      <c r="F145" s="8" t="str">
        <f>IFERROR(__xludf.DUMMYFUNCTION("""COMPUTED_VALUE"""),"dokumenty")</f>
        <v>dokumenty</v>
      </c>
      <c r="G145" s="8" t="str">
        <f>IFERROR(__xludf.DUMMYFUNCTION("""COMPUTED_VALUE"""),"Závazky")</f>
        <v>Závazky</v>
      </c>
      <c r="H145" s="8"/>
      <c r="I145" s="9" t="str">
        <f>IFERROR(__xludf.DUMMYFUNCTION("""COMPUTED_VALUE"""),"b. d. ")</f>
        <v>b. d. </v>
      </c>
      <c r="J145" s="8"/>
      <c r="K145" s="8" t="str">
        <f>IFERROR(__xludf.DUMMYFUNCTION("""COMPUTED_VALUE"""),"Podnik ČKD.")</f>
        <v>Podnik ČKD.</v>
      </c>
      <c r="L145" s="8" t="str">
        <f>IFERROR(__xludf.DUMMYFUNCTION("""COMPUTED_VALUE"""),"Národní muzeum, Archiv NM, Sbírka Muzea dělnického hnutí, sbírka Klement Gottwald - kult osobnosti.")</f>
        <v>Národní muzeum, Archiv NM, Sbírka Muzea dělnického hnutí, sbírka Klement Gottwald - kult osobnosti.</v>
      </c>
      <c r="M145" s="8"/>
      <c r="N145" s="8" t="str">
        <f>IFERROR(__xludf.DUMMYFUNCTION("""COMPUTED_VALUE"""),"Slaný_zav01.jpg")</f>
        <v>Slaný_zav01.jpg</v>
      </c>
      <c r="O145" s="8"/>
      <c r="P145" s="8" t="str">
        <f>IFERROR(__xludf.DUMMYFUNCTION("""COMPUTED_VALUE"""),"Obrazová dokumentace archiválie.")</f>
        <v>Obrazová dokumentace archiválie.</v>
      </c>
      <c r="Q145" s="8" t="str">
        <f>IFERROR(__xludf.DUMMYFUNCTION("""COMPUTED_VALUE"""),"Národní muzeum, Archiv NM, Sbírka Muzea dělnického hnutí, sbírka Klement Gottwald - kult osobnosti.")</f>
        <v>Národní muzeum, Archiv NM, Sbírka Muzea dělnického hnutí, sbírka Klement Gottwald - kult osobnosti.</v>
      </c>
      <c r="R145" s="8" t="str">
        <f>IFERROR(__xludf.DUMMYFUNCTION("""COMPUTED_VALUE"""),"Slaný_zav02.jpg")</f>
        <v>Slaný_zav02.jpg</v>
      </c>
      <c r="S145" s="8"/>
      <c r="T145" s="8" t="str">
        <f>IFERROR(__xludf.DUMMYFUNCTION("""COMPUTED_VALUE"""),"Obrazová dokumentace archiválie.")</f>
        <v>Obrazová dokumentace archiválie.</v>
      </c>
      <c r="U145" s="8" t="str">
        <f>IFERROR(__xludf.DUMMYFUNCTION("""COMPUTED_VALUE"""),"Národní muzeum, Archiv NM, Sbírka Muzea dělnického hnutí, sbírka Klement Gottwald - kult osobnosti.")</f>
        <v>Národní muzeum, Archiv NM, Sbírka Muzea dělnického hnutí, sbírka Klement Gottwald - kult osobnosti.</v>
      </c>
      <c r="V145" s="8" t="str">
        <f>IFERROR(__xludf.DUMMYFUNCTION("""COMPUTED_VALUE"""),"Slaný_zav03.jpg")</f>
        <v>Slaný_zav03.jpg</v>
      </c>
      <c r="W145" s="8"/>
      <c r="X145" s="8" t="str">
        <f>IFERROR(__xludf.DUMMYFUNCTION("""COMPUTED_VALUE"""),"Obrazová dokumentace archiválie.")</f>
        <v>Obrazová dokumentace archiválie.</v>
      </c>
      <c r="Y145" s="8" t="str">
        <f>IFERROR(__xludf.DUMMYFUNCTION("""COMPUTED_VALUE"""),"Národní muzeum, Archiv NM, Sbírka Muzea dělnického hnutí, sbírka Klement Gottwald - kult osobnosti.")</f>
        <v>Národní muzeum, Archiv NM, Sbírka Muzea dělnického hnutí, sbírka Klement Gottwald - kult osobnosti.</v>
      </c>
      <c r="Z145" s="8" t="str">
        <f>IFERROR(__xludf.DUMMYFUNCTION("""COMPUTED_VALUE"""),"Slaný_zav04.jpg")</f>
        <v>Slaný_zav04.jpg</v>
      </c>
      <c r="AA145" s="8"/>
      <c r="AB145" s="8" t="str">
        <f>IFERROR(__xludf.DUMMYFUNCTION("""COMPUTED_VALUE"""),"Obrazová dokumentace archiválie.")</f>
        <v>Obrazová dokumentace archiválie.</v>
      </c>
      <c r="AC145" s="8" t="str">
        <f>IFERROR(__xludf.DUMMYFUNCTION("""COMPUTED_VALUE"""),"Národní muzeum, Archiv NM, Sbírka Muzea dělnického hnutí, sbírka Klement Gottwald - kult osobnosti.")</f>
        <v>Národní muzeum, Archiv NM, Sbírka Muzea dělnického hnutí, sbírka Klement Gottwald - kult osobnosti.</v>
      </c>
      <c r="AD145" s="8" t="str">
        <f>IFERROR(__xludf.DUMMYFUNCTION("""COMPUTED_VALUE"""),"Slaný_zav05.jpg")</f>
        <v>Slaný_zav05.jpg</v>
      </c>
      <c r="AE145" s="8"/>
      <c r="AF145" s="8" t="str">
        <f>IFERROR(__xludf.DUMMYFUNCTION("""COMPUTED_VALUE"""),"Obrazová dokumentace archiválie.")</f>
        <v>Obrazová dokumentace archiválie.</v>
      </c>
      <c r="AG145" s="8" t="str">
        <f>IFERROR(__xludf.DUMMYFUNCTION("""COMPUTED_VALUE"""),"Národní muzeum, Archiv NM, Sbírka Muzea dělnického hnutí, sbírka Klement Gottwald - kult osobnosti.")</f>
        <v>Národní muzeum, Archiv NM, Sbírka Muzea dělnického hnutí, sbírka Klement Gottwald - kult osobnosti.</v>
      </c>
      <c r="AH145" s="8"/>
      <c r="AI145" s="8"/>
      <c r="AJ145" s="8"/>
      <c r="AK145" s="8"/>
      <c r="AL145" s="8"/>
      <c r="AM145" s="8"/>
      <c r="AN145" s="8"/>
      <c r="AO145" s="8"/>
    </row>
    <row r="146">
      <c r="A146" s="7">
        <f t="shared" si="1"/>
        <v>145</v>
      </c>
      <c r="B146" s="8" t="str">
        <f>IFERROR(__xludf.DUMMYFUNCTION("""COMPUTED_VALUE"""),"14.1067465")</f>
        <v>14.1067465</v>
      </c>
      <c r="C146" s="8" t="str">
        <f>IFERROR(__xludf.DUMMYFUNCTION("""COMPUTED_VALUE"""),"50.1416986")</f>
        <v>50.1416986</v>
      </c>
      <c r="D146" s="8" t="str">
        <f>IFERROR(__xludf.DUMMYFUNCTION("""COMPUTED_VALUE"""),"Kladno, soubor pracovních závazků z celého kraje")</f>
        <v>Kladno, soubor pracovních závazků z celého kraje</v>
      </c>
      <c r="E146" s="8" t="str">
        <f>IFERROR(__xludf.DUMMYFUNCTION("""COMPUTED_VALUE"""),"Závazky organizací Kladenska. Svázáno v rudých koženkových deskách s bílým koženým plátem se zlaceným nápisem ROH, jednotlivé mnohdy bohatě ilustrované čtvrtky se závazky organizací v kraji (56 ks), řazeny podle oborů po úvodním listu se zlato-šedým symbo"&amp;"lem výrobního odvětví, rkp, tisk, různé techniky, 68 ll, 39 x 30 cm.")</f>
        <v>Závazky organizací Kladenska. Svázáno v rudých koženkových deskách s bílým koženým plátem se zlaceným nápisem ROH, jednotlivé mnohdy bohatě ilustrované čtvrtky se závazky organizací v kraji (56 ks), řazeny podle oborů po úvodním listu se zlato-šedým symbolem výrobního odvětví, rkp, tisk, různé techniky, 68 ll, 39 x 30 cm.</v>
      </c>
      <c r="F146" s="8" t="str">
        <f>IFERROR(__xludf.DUMMYFUNCTION("""COMPUTED_VALUE"""),"dokumenty")</f>
        <v>dokumenty</v>
      </c>
      <c r="G146" s="8" t="str">
        <f>IFERROR(__xludf.DUMMYFUNCTION("""COMPUTED_VALUE"""),"Závazky")</f>
        <v>Závazky</v>
      </c>
      <c r="H146" s="8"/>
      <c r="I146" s="9" t="str">
        <f>IFERROR(__xludf.DUMMYFUNCTION("""COMPUTED_VALUE"""),"různá data, říjen 1948")</f>
        <v>různá data, říjen 1948</v>
      </c>
      <c r="J146" s="8"/>
      <c r="K146" s="8" t="str">
        <f>IFERROR(__xludf.DUMMYFUNCTION("""COMPUTED_VALUE"""),"Krajská odborová konference (KOR) + jednotlivé organizace a závody")</f>
        <v>Krajská odborová konference (KOR) + jednotlivé organizace a závody</v>
      </c>
      <c r="L146" s="8" t="str">
        <f>IFERROR(__xludf.DUMMYFUNCTION("""COMPUTED_VALUE"""),"Národní muzeum, Archiv NM, Sbírka Muzea dělnického hnutí, sbírka Klement Gottwald - kult osobnosti.")</f>
        <v>Národní muzeum, Archiv NM, Sbírka Muzea dělnického hnutí, sbírka Klement Gottwald - kult osobnosti.</v>
      </c>
      <c r="M146" s="8"/>
      <c r="N146" s="8" t="str">
        <f>IFERROR(__xludf.DUMMYFUNCTION("""COMPUTED_VALUE"""),"Kladno_zav01.jpg")</f>
        <v>Kladno_zav01.jpg</v>
      </c>
      <c r="O146" s="8"/>
      <c r="P146" s="8" t="str">
        <f>IFERROR(__xludf.DUMMYFUNCTION("""COMPUTED_VALUE"""),"Obrazová dokumentace archiválie.")</f>
        <v>Obrazová dokumentace archiválie.</v>
      </c>
      <c r="Q146" s="8" t="str">
        <f>IFERROR(__xludf.DUMMYFUNCTION("""COMPUTED_VALUE"""),"Národní muzeum, Archiv NM, Sbírka Muzea dělnického hnutí, sbírka Klement Gottwald - kult osobnosti.")</f>
        <v>Národní muzeum, Archiv NM, Sbírka Muzea dělnického hnutí, sbírka Klement Gottwald - kult osobnosti.</v>
      </c>
      <c r="R146" s="8" t="str">
        <f>IFERROR(__xludf.DUMMYFUNCTION("""COMPUTED_VALUE"""),"Kladno_zav02.jpg")</f>
        <v>Kladno_zav02.jpg</v>
      </c>
      <c r="S146" s="8"/>
      <c r="T146" s="8" t="str">
        <f>IFERROR(__xludf.DUMMYFUNCTION("""COMPUTED_VALUE"""),"Obrazová dokumentace archiválie.")</f>
        <v>Obrazová dokumentace archiválie.</v>
      </c>
      <c r="U146" s="8" t="str">
        <f>IFERROR(__xludf.DUMMYFUNCTION("""COMPUTED_VALUE"""),"Národní muzeum, Archiv NM, Sbírka Muzea dělnického hnutí, sbírka Klement Gottwald - kult osobnosti.")</f>
        <v>Národní muzeum, Archiv NM, Sbírka Muzea dělnického hnutí, sbírka Klement Gottwald - kult osobnosti.</v>
      </c>
      <c r="V146" s="8" t="str">
        <f>IFERROR(__xludf.DUMMYFUNCTION("""COMPUTED_VALUE"""),"Kladno_zav04.jpg")</f>
        <v>Kladno_zav04.jpg</v>
      </c>
      <c r="W146" s="8"/>
      <c r="X146" s="8" t="str">
        <f>IFERROR(__xludf.DUMMYFUNCTION("""COMPUTED_VALUE"""),"Obrazová dokumentace archiválie.")</f>
        <v>Obrazová dokumentace archiválie.</v>
      </c>
      <c r="Y146" s="8" t="str">
        <f>IFERROR(__xludf.DUMMYFUNCTION("""COMPUTED_VALUE"""),"Národní muzeum, Archiv NM, Sbírka Muzea dělnického hnutí, sbírka Klement Gottwald - kult osobnosti.")</f>
        <v>Národní muzeum, Archiv NM, Sbírka Muzea dělnického hnutí, sbírka Klement Gottwald - kult osobnosti.</v>
      </c>
      <c r="Z146" s="8" t="str">
        <f>IFERROR(__xludf.DUMMYFUNCTION("""COMPUTED_VALUE"""),"Kladno_zav06.jpg")</f>
        <v>Kladno_zav06.jpg</v>
      </c>
      <c r="AA146" s="8"/>
      <c r="AB146" s="8" t="str">
        <f>IFERROR(__xludf.DUMMYFUNCTION("""COMPUTED_VALUE"""),"Obrazová dokumentace archiválie.")</f>
        <v>Obrazová dokumentace archiválie.</v>
      </c>
      <c r="AC146" s="8" t="str">
        <f>IFERROR(__xludf.DUMMYFUNCTION("""COMPUTED_VALUE"""),"Národní muzeum, Archiv NM, Sbírka Muzea dělnického hnutí, sbírka Klement Gottwald - kult osobnosti.")</f>
        <v>Národní muzeum, Archiv NM, Sbírka Muzea dělnického hnutí, sbírka Klement Gottwald - kult osobnosti.</v>
      </c>
      <c r="AD146" s="8" t="str">
        <f>IFERROR(__xludf.DUMMYFUNCTION("""COMPUTED_VALUE"""),"Kladno_zav07.jpg")</f>
        <v>Kladno_zav07.jpg</v>
      </c>
      <c r="AE146" s="8"/>
      <c r="AF146" s="8" t="str">
        <f>IFERROR(__xludf.DUMMYFUNCTION("""COMPUTED_VALUE"""),"Obrazová dokumentace archiválie.")</f>
        <v>Obrazová dokumentace archiválie.</v>
      </c>
      <c r="AG146" s="8" t="str">
        <f>IFERROR(__xludf.DUMMYFUNCTION("""COMPUTED_VALUE"""),"Národní muzeum, Archiv NM, Sbírka Muzea dělnického hnutí, sbírka Klement Gottwald - kult osobnosti.")</f>
        <v>Národní muzeum, Archiv NM, Sbírka Muzea dělnického hnutí, sbírka Klement Gottwald - kult osobnosti.</v>
      </c>
      <c r="AH146" s="8"/>
      <c r="AI146" s="8"/>
      <c r="AJ146" s="8"/>
      <c r="AK146" s="8"/>
      <c r="AL146" s="8"/>
      <c r="AM146" s="8"/>
      <c r="AN146" s="8"/>
      <c r="AO146" s="8"/>
    </row>
    <row r="147">
      <c r="A147" s="7">
        <f t="shared" si="1"/>
        <v>146</v>
      </c>
      <c r="B147" s="8" t="str">
        <f>IFERROR(__xludf.DUMMYFUNCTION("""COMPUTED_VALUE"""),"15.7811994")</f>
        <v>15.7811994</v>
      </c>
      <c r="C147" s="8" t="str">
        <f>IFERROR(__xludf.DUMMYFUNCTION("""COMPUTED_VALUE"""),"50.0343092")</f>
        <v>50.0343092</v>
      </c>
      <c r="D147" s="8" t="str">
        <f>IFERROR(__xludf.DUMMYFUNCTION("""COMPUTED_VALUE"""),"Pardubice, zpráva o splnění závazku")</f>
        <v>Pardubice, zpráva o splnění závazku</v>
      </c>
      <c r="E147" s="8" t="str">
        <f>IFERROR(__xludf.DUMMYFUNCTION("""COMPUTED_VALUE"""),"Hlášení o tom, že organizace splnila dříve uzavřený závazek ohledně počtu nově získaných. Papírový obal ve tvaru obálky, přírodní ruční papír, svázané listy, titulní ilustrace čeno-červená, motiv koně, podobná ilustrace s motivem ženy s rudou stuhou (auto"&amp;"rská sign. L. Vele), tisk, podpisy, 8 ll, 33 x 27 cm. ")</f>
        <v>Hlášení o tom, že organizace splnila dříve uzavřený závazek ohledně počtu nově získaných. Papírový obal ve tvaru obálky, přírodní ruční papír, svázané listy, titulní ilustrace čeno-červená, motiv koně, podobná ilustrace s motivem ženy s rudou stuhou (autorská sign. L. Vele), tisk, podpisy, 8 ll, 33 x 27 cm. </v>
      </c>
      <c r="F147" s="8" t="str">
        <f>IFERROR(__xludf.DUMMYFUNCTION("""COMPUTED_VALUE"""),"dokumenty")</f>
        <v>dokumenty</v>
      </c>
      <c r="G147" s="8" t="str">
        <f>IFERROR(__xludf.DUMMYFUNCTION("""COMPUTED_VALUE"""),"Závazky")</f>
        <v>Závazky</v>
      </c>
      <c r="H147" s="8"/>
      <c r="I147" s="9" t="str">
        <f>IFERROR(__xludf.DUMMYFUNCTION("""COMPUTED_VALUE"""),"25. březen 1946")</f>
        <v>25. březen 1946</v>
      </c>
      <c r="J147" s="8"/>
      <c r="K147" s="8" t="str">
        <f>IFERROR(__xludf.DUMMYFUNCTION("""COMPUTED_VALUE"""),"Krajská komise žen")</f>
        <v>Krajská komise žen</v>
      </c>
      <c r="L147" s="8" t="str">
        <f>IFERROR(__xludf.DUMMYFUNCTION("""COMPUTED_VALUE"""),"Národní muzeum, Archiv NM, Sbírka Muzea dělnického hnutí, sbírka Klement Gottwald - kult osobnosti.")</f>
        <v>Národní muzeum, Archiv NM, Sbírka Muzea dělnického hnutí, sbírka Klement Gottwald - kult osobnosti.</v>
      </c>
      <c r="M147" s="8"/>
      <c r="N147" s="8" t="str">
        <f>IFERROR(__xludf.DUMMYFUNCTION("""COMPUTED_VALUE"""),"Pardubice_zav01.jpg")</f>
        <v>Pardubice_zav01.jpg</v>
      </c>
      <c r="O147" s="8"/>
      <c r="P147" s="8" t="str">
        <f>IFERROR(__xludf.DUMMYFUNCTION("""COMPUTED_VALUE"""),"Obrazová dokumentace archiválie.")</f>
        <v>Obrazová dokumentace archiválie.</v>
      </c>
      <c r="Q147" s="8" t="str">
        <f>IFERROR(__xludf.DUMMYFUNCTION("""COMPUTED_VALUE"""),"Národní muzeum, Archiv NM, Sbírka Muzea dělnického hnutí, sbírka Klement Gottwald - kult osobnosti.")</f>
        <v>Národní muzeum, Archiv NM, Sbírka Muzea dělnického hnutí, sbírka Klement Gottwald - kult osobnosti.</v>
      </c>
      <c r="R147" s="8" t="str">
        <f>IFERROR(__xludf.DUMMYFUNCTION("""COMPUTED_VALUE"""),"Pardubice_zav02.jpg")</f>
        <v>Pardubice_zav02.jpg</v>
      </c>
      <c r="S147" s="8"/>
      <c r="T147" s="8" t="str">
        <f>IFERROR(__xludf.DUMMYFUNCTION("""COMPUTED_VALUE"""),"Obrazová dokumentace archiválie.")</f>
        <v>Obrazová dokumentace archiválie.</v>
      </c>
      <c r="U147" s="8" t="str">
        <f>IFERROR(__xludf.DUMMYFUNCTION("""COMPUTED_VALUE"""),"Národní muzeum, Archiv NM, Sbírka Muzea dělnického hnutí, sbírka Klement Gottwald - kult osobnosti.")</f>
        <v>Národní muzeum, Archiv NM, Sbírka Muzea dělnického hnutí, sbírka Klement Gottwald - kult osobnosti.</v>
      </c>
      <c r="V147" s="8"/>
      <c r="W147" s="8"/>
      <c r="X147" s="8"/>
      <c r="Y147" s="8"/>
      <c r="Z147" s="8"/>
      <c r="AA147" s="8"/>
      <c r="AB147" s="8"/>
      <c r="AC147" s="8"/>
      <c r="AD147" s="8"/>
      <c r="AE147" s="8"/>
      <c r="AF147" s="8"/>
      <c r="AG147" s="8"/>
      <c r="AH147" s="8"/>
      <c r="AI147" s="8"/>
      <c r="AJ147" s="8"/>
      <c r="AK147" s="8"/>
      <c r="AL147" s="8"/>
      <c r="AM147" s="8"/>
      <c r="AN147" s="8"/>
      <c r="AO147" s="8"/>
    </row>
    <row r="148">
      <c r="A148" s="7">
        <f t="shared" si="1"/>
        <v>147</v>
      </c>
      <c r="B148" s="8" t="str">
        <f>IFERROR(__xludf.DUMMYFUNCTION("""COMPUTED_VALUE"""),"15.825211")</f>
        <v>15.825211</v>
      </c>
      <c r="C148" s="8" t="str">
        <f>IFERROR(__xludf.DUMMYFUNCTION("""COMPUTED_VALUE"""),"50.2103605")</f>
        <v>50.2103605</v>
      </c>
      <c r="D148" s="8" t="str">
        <f>IFERROR(__xludf.DUMMYFUNCTION("""COMPUTED_VALUE"""),"Hradec Králové, zpráva o splnění závazku")</f>
        <v>Hradec Králové, zpráva o splnění závazku</v>
      </c>
      <c r="E148" s="8" t="str">
        <f>IFERROR(__xludf.DUMMYFUNCTION("""COMPUTED_VALUE"""),"Hlášení o splnění závazku získání nových členek, přiložen dopis o schůzi a závazku k VIII. sjezdu KSČ. Závazek datován 16. prosince 1945. Rudé koženkové desky se zlaceným nápisem Krajská komise žen a komunistickým symbolem, uvnitř složený ruční papír, kol"&amp;"orované tušové ilustrace s motivem žen v továrně a zemědělství, znak města, rkp, strojopis, podpisy, razítko, desky A4. Datace hlášení musí být chybná - uvedeno 27. března 1945 (sic!). Další příkla ze série dosvědčující hnutí získávání členů a členek stra"&amp;"ny či jejích speciálních útvarů, např. tzv. Komisí žen.")</f>
        <v>Hlášení o splnění závazku získání nových členek, přiložen dopis o schůzi a závazku k VIII. sjezdu KSČ. Závazek datován 16. prosince 1945. Rudé koženkové desky se zlaceným nápisem Krajská komise žen a komunistickým symbolem, uvnitř složený ruční papír, kolorované tušové ilustrace s motivem žen v továrně a zemědělství, znak města, rkp, strojopis, podpisy, razítko, desky A4. Datace hlášení musí být chybná - uvedeno 27. března 1945 (sic!). Další příkla ze série dosvědčující hnutí získávání členů a členek strany či jejích speciálních útvarů, např. tzv. Komisí žen.</v>
      </c>
      <c r="F148" s="8" t="str">
        <f>IFERROR(__xludf.DUMMYFUNCTION("""COMPUTED_VALUE"""),"dokumenty")</f>
        <v>dokumenty</v>
      </c>
      <c r="G148" s="8" t="str">
        <f>IFERROR(__xludf.DUMMYFUNCTION("""COMPUTED_VALUE"""),"Závazky")</f>
        <v>Závazky</v>
      </c>
      <c r="H148" s="8"/>
      <c r="I148" s="9" t="str">
        <f>IFERROR(__xludf.DUMMYFUNCTION("""COMPUTED_VALUE"""),"27. května 1945 (sic!)")</f>
        <v>27. května 1945 (sic!)</v>
      </c>
      <c r="J148" s="8"/>
      <c r="K148" s="8" t="str">
        <f>IFERROR(__xludf.DUMMYFUNCTION("""COMPUTED_VALUE"""),"Krajská komise žen")</f>
        <v>Krajská komise žen</v>
      </c>
      <c r="L148" s="8" t="str">
        <f>IFERROR(__xludf.DUMMYFUNCTION("""COMPUTED_VALUE"""),"Národní muzeum, Archiv NM, Sbírka Muzea dělnického hnutí, sbírka Klement Gottwald - kult osobnosti.")</f>
        <v>Národní muzeum, Archiv NM, Sbírka Muzea dělnického hnutí, sbírka Klement Gottwald - kult osobnosti.</v>
      </c>
      <c r="M148" s="8"/>
      <c r="N148" s="8" t="str">
        <f>IFERROR(__xludf.DUMMYFUNCTION("""COMPUTED_VALUE"""),"Hradec Králové_zav01.jpg")</f>
        <v>Hradec Králové_zav01.jpg</v>
      </c>
      <c r="O148" s="8"/>
      <c r="P148" s="8" t="str">
        <f>IFERROR(__xludf.DUMMYFUNCTION("""COMPUTED_VALUE"""),"Obrazová dokumentace archiválie.")</f>
        <v>Obrazová dokumentace archiválie.</v>
      </c>
      <c r="Q148" s="8" t="str">
        <f>IFERROR(__xludf.DUMMYFUNCTION("""COMPUTED_VALUE"""),"Národní muzeum, Archiv NM, Sbírka Muzea dělnického hnutí, sbírka Klement Gottwald - kult osobnosti.")</f>
        <v>Národní muzeum, Archiv NM, Sbírka Muzea dělnického hnutí, sbírka Klement Gottwald - kult osobnosti.</v>
      </c>
      <c r="R148" s="8" t="str">
        <f>IFERROR(__xludf.DUMMYFUNCTION("""COMPUTED_VALUE"""),"Hradec Králové_zav02.jpg")</f>
        <v>Hradec Králové_zav02.jpg</v>
      </c>
      <c r="S148" s="8"/>
      <c r="T148" s="8" t="str">
        <f>IFERROR(__xludf.DUMMYFUNCTION("""COMPUTED_VALUE"""),"Obrazová dokumentace archiválie.")</f>
        <v>Obrazová dokumentace archiválie.</v>
      </c>
      <c r="U148" s="8" t="str">
        <f>IFERROR(__xludf.DUMMYFUNCTION("""COMPUTED_VALUE"""),"Národní muzeum, Archiv NM, Sbírka Muzea dělnického hnutí, sbírka Klement Gottwald - kult osobnosti.")</f>
        <v>Národní muzeum, Archiv NM, Sbírka Muzea dělnického hnutí, sbírka Klement Gottwald - kult osobnosti.</v>
      </c>
      <c r="V148" s="8" t="str">
        <f>IFERROR(__xludf.DUMMYFUNCTION("""COMPUTED_VALUE"""),"Hradec Králové_zav03.jpg")</f>
        <v>Hradec Králové_zav03.jpg</v>
      </c>
      <c r="W148" s="8"/>
      <c r="X148" s="8" t="str">
        <f>IFERROR(__xludf.DUMMYFUNCTION("""COMPUTED_VALUE"""),"Obrazová dokumentace archiválie.")</f>
        <v>Obrazová dokumentace archiválie.</v>
      </c>
      <c r="Y148" s="8" t="str">
        <f>IFERROR(__xludf.DUMMYFUNCTION("""COMPUTED_VALUE"""),"Národní muzeum, Archiv NM, Sbírka Muzea dělnického hnutí, sbírka Klement Gottwald - kult osobnosti.")</f>
        <v>Národní muzeum, Archiv NM, Sbírka Muzea dělnického hnutí, sbírka Klement Gottwald - kult osobnosti.</v>
      </c>
      <c r="Z148" s="8" t="str">
        <f>IFERROR(__xludf.DUMMYFUNCTION("""COMPUTED_VALUE"""),"Hradec Králové_zav05.jpg")</f>
        <v>Hradec Králové_zav05.jpg</v>
      </c>
      <c r="AA148" s="8"/>
      <c r="AB148" s="8" t="str">
        <f>IFERROR(__xludf.DUMMYFUNCTION("""COMPUTED_VALUE"""),"Obrazová dokumentace archiválie.")</f>
        <v>Obrazová dokumentace archiválie.</v>
      </c>
      <c r="AC148" s="8" t="str">
        <f>IFERROR(__xludf.DUMMYFUNCTION("""COMPUTED_VALUE"""),"Národní muzeum, Archiv NM, Sbírka Muzea dělnického hnutí, sbírka Klement Gottwald - kult osobnosti.")</f>
        <v>Národní muzeum, Archiv NM, Sbírka Muzea dělnického hnutí, sbírka Klement Gottwald - kult osobnosti.</v>
      </c>
      <c r="AD148" s="8" t="str">
        <f>IFERROR(__xludf.DUMMYFUNCTION("""COMPUTED_VALUE"""),"Hradec Králové_zav05.jpg")</f>
        <v>Hradec Králové_zav05.jpg</v>
      </c>
      <c r="AE148" s="8"/>
      <c r="AF148" s="8" t="str">
        <f>IFERROR(__xludf.DUMMYFUNCTION("""COMPUTED_VALUE"""),"Obrazová dokumentace archiválie.")</f>
        <v>Obrazová dokumentace archiválie.</v>
      </c>
      <c r="AG148" s="8" t="str">
        <f>IFERROR(__xludf.DUMMYFUNCTION("""COMPUTED_VALUE"""),"Národní muzeum, Archiv NM, Sbírka Muzea dělnického hnutí, sbírka Klement Gottwald - kult osobnosti.")</f>
        <v>Národní muzeum, Archiv NM, Sbírka Muzea dělnického hnutí, sbírka Klement Gottwald - kult osobnosti.</v>
      </c>
      <c r="AH148" s="8"/>
      <c r="AI148" s="8"/>
      <c r="AJ148" s="8"/>
      <c r="AK148" s="8"/>
      <c r="AL148" s="8"/>
      <c r="AM148" s="8"/>
      <c r="AN148" s="8"/>
      <c r="AO148" s="8"/>
    </row>
    <row r="149">
      <c r="A149" s="7">
        <f t="shared" si="1"/>
        <v>148</v>
      </c>
      <c r="B149" s="8" t="str">
        <f>IFERROR(__xludf.DUMMYFUNCTION("""COMPUTED_VALUE"""),"15.5796552")</f>
        <v>15.5796552</v>
      </c>
      <c r="C149" s="8" t="str">
        <f>IFERROR(__xludf.DUMMYFUNCTION("""COMPUTED_VALUE"""),"49.6043364")</f>
        <v>49.6043364</v>
      </c>
      <c r="D149" s="8" t="str">
        <f>IFERROR(__xludf.DUMMYFUNCTION("""COMPUTED_VALUE"""),"Havlíčkův Brod, zpráva o splnění závazku")</f>
        <v>Havlíčkův Brod, zpráva o splnění závazku</v>
      </c>
      <c r="E149" s="8" t="str">
        <f>IFERROR(__xludf.DUMMYFUNCTION("""COMPUTED_VALUE"""),"Hlášení o výsledku závazku získat nové členky, uzavřen na konferenci 15. - 16. prosince 1945. Čedé textilní desky s dřevěnou aplikací iniciály, rkp, 6 ll, desky A4.")</f>
        <v>Hlášení o výsledku závazku získat nové členky, uzavřen na konferenci 15. - 16. prosince 1945. Čedé textilní desky s dřevěnou aplikací iniciály, rkp, 6 ll, desky A4.</v>
      </c>
      <c r="F149" s="8" t="str">
        <f>IFERROR(__xludf.DUMMYFUNCTION("""COMPUTED_VALUE"""),"dokumenty")</f>
        <v>dokumenty</v>
      </c>
      <c r="G149" s="8" t="str">
        <f>IFERROR(__xludf.DUMMYFUNCTION("""COMPUTED_VALUE"""),"Závazky")</f>
        <v>Závazky</v>
      </c>
      <c r="H149" s="8"/>
      <c r="I149" s="9" t="str">
        <f>IFERROR(__xludf.DUMMYFUNCTION("""COMPUTED_VALUE"""),"b. d. ")</f>
        <v>b. d. </v>
      </c>
      <c r="J149" s="8"/>
      <c r="K149" s="8" t="str">
        <f>IFERROR(__xludf.DUMMYFUNCTION("""COMPUTED_VALUE"""),"Krajská komise žen")</f>
        <v>Krajská komise žen</v>
      </c>
      <c r="L149" s="8" t="str">
        <f>IFERROR(__xludf.DUMMYFUNCTION("""COMPUTED_VALUE"""),"Národní muzeum, Archiv NM, Sbírka Muzea dělnického hnutí, sbírka Klement Gottwald - kult osobnosti.")</f>
        <v>Národní muzeum, Archiv NM, Sbírka Muzea dělnického hnutí, sbírka Klement Gottwald - kult osobnosti.</v>
      </c>
      <c r="M149" s="8"/>
      <c r="N149" s="8" t="str">
        <f>IFERROR(__xludf.DUMMYFUNCTION("""COMPUTED_VALUE"""),"Havlíčkův Brod_zav01.jpg")</f>
        <v>Havlíčkův Brod_zav01.jpg</v>
      </c>
      <c r="O149" s="8"/>
      <c r="P149" s="8" t="str">
        <f>IFERROR(__xludf.DUMMYFUNCTION("""COMPUTED_VALUE"""),"Obrazová dokumentace archiválie.")</f>
        <v>Obrazová dokumentace archiválie.</v>
      </c>
      <c r="Q149" s="8" t="str">
        <f>IFERROR(__xludf.DUMMYFUNCTION("""COMPUTED_VALUE"""),"Národní muzeum, Archiv NM, Sbírka Muzea dělnického hnutí, sbírka Klement Gottwald - kult osobnosti.")</f>
        <v>Národní muzeum, Archiv NM, Sbírka Muzea dělnického hnutí, sbírka Klement Gottwald - kult osobnosti.</v>
      </c>
      <c r="R149" s="8" t="str">
        <f>IFERROR(__xludf.DUMMYFUNCTION("""COMPUTED_VALUE"""),"Havlíčkův Brod_zav02.jpg")</f>
        <v>Havlíčkův Brod_zav02.jpg</v>
      </c>
      <c r="S149" s="8"/>
      <c r="T149" s="8" t="str">
        <f>IFERROR(__xludf.DUMMYFUNCTION("""COMPUTED_VALUE"""),"Obrazová dokumentace archiválie.")</f>
        <v>Obrazová dokumentace archiválie.</v>
      </c>
      <c r="U149" s="8" t="str">
        <f>IFERROR(__xludf.DUMMYFUNCTION("""COMPUTED_VALUE"""),"Národní muzeum, Archiv NM, Sbírka Muzea dělnického hnutí, sbírka Klement Gottwald - kult osobnosti.")</f>
        <v>Národní muzeum, Archiv NM, Sbírka Muzea dělnického hnutí, sbírka Klement Gottwald - kult osobnosti.</v>
      </c>
      <c r="V149" s="8" t="str">
        <f>IFERROR(__xludf.DUMMYFUNCTION("""COMPUTED_VALUE"""),"Havlíčkův Brod_zav03.jpg")</f>
        <v>Havlíčkův Brod_zav03.jpg</v>
      </c>
      <c r="W149" s="8"/>
      <c r="X149" s="8" t="str">
        <f>IFERROR(__xludf.DUMMYFUNCTION("""COMPUTED_VALUE"""),"Obrazová dokumentace archiválie.")</f>
        <v>Obrazová dokumentace archiválie.</v>
      </c>
      <c r="Y149" s="8" t="str">
        <f>IFERROR(__xludf.DUMMYFUNCTION("""COMPUTED_VALUE"""),"Národní muzeum, Archiv NM, Sbírka Muzea dělnického hnutí, sbírka Klement Gottwald - kult osobnosti.")</f>
        <v>Národní muzeum, Archiv NM, Sbírka Muzea dělnického hnutí, sbírka Klement Gottwald - kult osobnosti.</v>
      </c>
      <c r="Z149" s="8" t="str">
        <f>IFERROR(__xludf.DUMMYFUNCTION("""COMPUTED_VALUE"""),"Havlíčkův Brod_zav04.jpg")</f>
        <v>Havlíčkův Brod_zav04.jpg</v>
      </c>
      <c r="AA149" s="8"/>
      <c r="AB149" s="8" t="str">
        <f>IFERROR(__xludf.DUMMYFUNCTION("""COMPUTED_VALUE"""),"Obrazová dokumentace archiválie.")</f>
        <v>Obrazová dokumentace archiválie.</v>
      </c>
      <c r="AC149" s="8" t="str">
        <f>IFERROR(__xludf.DUMMYFUNCTION("""COMPUTED_VALUE"""),"Národní muzeum, Archiv NM, Sbírka Muzea dělnického hnutí, sbírka Klement Gottwald - kult osobnosti.")</f>
        <v>Národní muzeum, Archiv NM, Sbírka Muzea dělnického hnutí, sbírka Klement Gottwald - kult osobnosti.</v>
      </c>
      <c r="AD149" s="8"/>
      <c r="AE149" s="8"/>
      <c r="AF149" s="8"/>
      <c r="AG149" s="8"/>
      <c r="AH149" s="8"/>
      <c r="AI149" s="8"/>
      <c r="AJ149" s="8"/>
      <c r="AK149" s="8"/>
      <c r="AL149" s="8"/>
      <c r="AM149" s="8"/>
      <c r="AN149" s="8"/>
      <c r="AO149" s="8"/>
    </row>
    <row r="150">
      <c r="A150" s="7">
        <f t="shared" si="1"/>
        <v>149</v>
      </c>
      <c r="B150" s="8" t="str">
        <f>IFERROR(__xludf.DUMMYFUNCTION("""COMPUTED_VALUE"""),"13.032137")</f>
        <v>13.032137</v>
      </c>
      <c r="C150" s="8" t="str">
        <f>IFERROR(__xludf.DUMMYFUNCTION("""COMPUTED_VALUE"""),"50.4923255")</f>
        <v>50.4923255</v>
      </c>
      <c r="D150" s="8" t="str">
        <f>IFERROR(__xludf.DUMMYFUNCTION("""COMPUTED_VALUE"""),"Vejprty, zpráva o splnění pracovního závazku")</f>
        <v>Vejprty, zpráva o splnění pracovního závazku</v>
      </c>
      <c r="E150" s="8" t="str">
        <f>IFERROR(__xludf.DUMMYFUNCTION("""COMPUTED_VALUE"""),"Hlášení splnění dvouletého pracovního plánu a zároveň slib pětiletky. Textilní tvrdé desky s intarzií z barevných dřevěných plátků s motivy postavy držící pětku, státního znaku a továrny, uvnitř další figurální ilustrace k tématu práce a pětiletého prac. "&amp;"plánu, rkp, 2 ll, A4.")</f>
        <v>Hlášení splnění dvouletého pracovního plánu a zároveň slib pětiletky. Textilní tvrdé desky s intarzií z barevných dřevěných plátků s motivy postavy držící pětku, státního znaku a továrny, uvnitř další figurální ilustrace k tématu práce a pětiletého prac. plánu, rkp, 2 ll, A4.</v>
      </c>
      <c r="F150" s="8" t="str">
        <f>IFERROR(__xludf.DUMMYFUNCTION("""COMPUTED_VALUE"""),"dokumenty")</f>
        <v>dokumenty</v>
      </c>
      <c r="G150" s="8" t="str">
        <f>IFERROR(__xludf.DUMMYFUNCTION("""COMPUTED_VALUE"""),"Závazky")</f>
        <v>Závazky</v>
      </c>
      <c r="H150" s="8"/>
      <c r="I150" s="9"/>
      <c r="J150" s="8"/>
      <c r="K150" s="8" t="str">
        <f>IFERROR(__xludf.DUMMYFUNCTION("""COMPUTED_VALUE"""),"Západočeské papírny, n. p. ")</f>
        <v>Západočeské papírny, n. p. </v>
      </c>
      <c r="L150" s="8" t="str">
        <f>IFERROR(__xludf.DUMMYFUNCTION("""COMPUTED_VALUE"""),"Národní muzeum, Archiv NM, Sbírka Muzea dělnického hnutí, sbírka Klement Gottwald - kult osobnosti.")</f>
        <v>Národní muzeum, Archiv NM, Sbírka Muzea dělnického hnutí, sbírka Klement Gottwald - kult osobnosti.</v>
      </c>
      <c r="M150" s="8"/>
      <c r="N150" s="8" t="str">
        <f>IFERROR(__xludf.DUMMYFUNCTION("""COMPUTED_VALUE"""),"Vejprty_zav01.jpg")</f>
        <v>Vejprty_zav01.jpg</v>
      </c>
      <c r="O150" s="8"/>
      <c r="P150" s="8" t="str">
        <f>IFERROR(__xludf.DUMMYFUNCTION("""COMPUTED_VALUE"""),"Obrazová dokumentace archiválie.")</f>
        <v>Obrazová dokumentace archiválie.</v>
      </c>
      <c r="Q150" s="8" t="str">
        <f>IFERROR(__xludf.DUMMYFUNCTION("""COMPUTED_VALUE"""),"Národní muzeum, Archiv NM, Sbírka Muzea dělnického hnutí, sbírka Klement Gottwald - kult osobnosti.")</f>
        <v>Národní muzeum, Archiv NM, Sbírka Muzea dělnického hnutí, sbírka Klement Gottwald - kult osobnosti.</v>
      </c>
      <c r="R150" s="8" t="str">
        <f>IFERROR(__xludf.DUMMYFUNCTION("""COMPUTED_VALUE"""),"Vejprty_zav02.jpg")</f>
        <v>Vejprty_zav02.jpg</v>
      </c>
      <c r="S150" s="8"/>
      <c r="T150" s="8" t="str">
        <f>IFERROR(__xludf.DUMMYFUNCTION("""COMPUTED_VALUE"""),"Obrazová dokumentace archiválie.")</f>
        <v>Obrazová dokumentace archiválie.</v>
      </c>
      <c r="U150" s="8" t="str">
        <f>IFERROR(__xludf.DUMMYFUNCTION("""COMPUTED_VALUE"""),"Národní muzeum, Archiv NM, Sbírka Muzea dělnického hnutí, sbírka Klement Gottwald - kult osobnosti.")</f>
        <v>Národní muzeum, Archiv NM, Sbírka Muzea dělnického hnutí, sbírka Klement Gottwald - kult osobnosti.</v>
      </c>
      <c r="V150" s="8"/>
      <c r="W150" s="8"/>
      <c r="X150" s="8"/>
      <c r="Y150" s="8"/>
      <c r="Z150" s="8"/>
      <c r="AA150" s="8"/>
      <c r="AB150" s="8"/>
      <c r="AC150" s="8"/>
      <c r="AD150" s="8"/>
      <c r="AE150" s="8"/>
      <c r="AF150" s="8"/>
      <c r="AG150" s="8"/>
      <c r="AH150" s="8"/>
      <c r="AI150" s="8"/>
      <c r="AJ150" s="8"/>
      <c r="AK150" s="8"/>
      <c r="AL150" s="8"/>
      <c r="AM150" s="8"/>
      <c r="AN150" s="8"/>
      <c r="AO150" s="8"/>
    </row>
    <row r="151">
      <c r="A151" s="7">
        <f t="shared" si="1"/>
        <v>150</v>
      </c>
      <c r="B151" s="8" t="str">
        <f>IFERROR(__xludf.DUMMYFUNCTION("""COMPUTED_VALUE"""),"14.5555639")</f>
        <v>14.5555639</v>
      </c>
      <c r="C151" s="8" t="str">
        <f>IFERROR(__xludf.DUMMYFUNCTION("""COMPUTED_VALUE"""),"50.7576138")</f>
        <v>50.7576138</v>
      </c>
      <c r="D151" s="8" t="str">
        <f>IFERROR(__xludf.DUMMYFUNCTION("""COMPUTED_VALUE"""),"Nový Bor, pracovní závazek dvouletky")</f>
        <v>Nový Bor, pracovní závazek dvouletky</v>
      </c>
      <c r="E151" s="8" t="str">
        <f>IFERROR(__xludf.DUMMYFUNCTION("""COMPUTED_VALUE"""),"Závazek dvouletky. Béžové kožené desky s hnědým znakem města, skleněná plaketa z černého skla, ryté nápisy a ilustrace, 4,5 kg, A3.")</f>
        <v>Závazek dvouletky. Béžové kožené desky s hnědým znakem města, skleněná plaketa z černého skla, ryté nápisy a ilustrace, 4,5 kg, A3.</v>
      </c>
      <c r="F151" s="8" t="str">
        <f>IFERROR(__xludf.DUMMYFUNCTION("""COMPUTED_VALUE"""),"dokumenty")</f>
        <v>dokumenty</v>
      </c>
      <c r="G151" s="8" t="str">
        <f>IFERROR(__xludf.DUMMYFUNCTION("""COMPUTED_VALUE"""),"Závazky")</f>
        <v>Závazky</v>
      </c>
      <c r="H151" s="8"/>
      <c r="I151" s="9"/>
      <c r="J151" s="8"/>
      <c r="K151" s="8" t="str">
        <f>IFERROR(__xludf.DUMMYFUNCTION("""COMPUTED_VALUE"""),"Sklářský závod ")</f>
        <v>Sklářský závod </v>
      </c>
      <c r="L151" s="8" t="str">
        <f>IFERROR(__xludf.DUMMYFUNCTION("""COMPUTED_VALUE"""),"Národní muzeum, Archiv NM, Sbírka Muzea dělnického hnutí, sbírka Klement Gottwald - kult osobnosti.")</f>
        <v>Národní muzeum, Archiv NM, Sbírka Muzea dělnického hnutí, sbírka Klement Gottwald - kult osobnosti.</v>
      </c>
      <c r="M151" s="8"/>
      <c r="N151" s="8" t="str">
        <f>IFERROR(__xludf.DUMMYFUNCTION("""COMPUTED_VALUE"""),"Bor_zav01.jpg")</f>
        <v>Bor_zav01.jpg</v>
      </c>
      <c r="O151" s="8"/>
      <c r="P151" s="8" t="str">
        <f>IFERROR(__xludf.DUMMYFUNCTION("""COMPUTED_VALUE"""),"Obrazová dokumentace archiválie.")</f>
        <v>Obrazová dokumentace archiválie.</v>
      </c>
      <c r="Q151" s="8" t="str">
        <f>IFERROR(__xludf.DUMMYFUNCTION("""COMPUTED_VALUE"""),"Národní muzeum, Archiv NM, Sbírka Muzea dělnického hnutí, sbírka Klement Gottwald - kult osobnosti.")</f>
        <v>Národní muzeum, Archiv NM, Sbírka Muzea dělnického hnutí, sbírka Klement Gottwald - kult osobnosti.</v>
      </c>
      <c r="R151" s="8" t="str">
        <f>IFERROR(__xludf.DUMMYFUNCTION("""COMPUTED_VALUE"""),"Bor_zav02.jpg")</f>
        <v>Bor_zav02.jpg</v>
      </c>
      <c r="S151" s="8"/>
      <c r="T151" s="8" t="str">
        <f>IFERROR(__xludf.DUMMYFUNCTION("""COMPUTED_VALUE"""),"Obrazová dokumentace archiválie.")</f>
        <v>Obrazová dokumentace archiválie.</v>
      </c>
      <c r="U151" s="8" t="str">
        <f>IFERROR(__xludf.DUMMYFUNCTION("""COMPUTED_VALUE"""),"Národní muzeum, Archiv NM, Sbírka Muzea dělnického hnutí, sbírka Klement Gottwald - kult osobnosti.")</f>
        <v>Národní muzeum, Archiv NM, Sbírka Muzea dělnického hnutí, sbírka Klement Gottwald - kult osobnosti.</v>
      </c>
      <c r="V151" s="8"/>
      <c r="W151" s="8"/>
      <c r="X151" s="8"/>
      <c r="Y151" s="8"/>
      <c r="Z151" s="8"/>
      <c r="AA151" s="8"/>
      <c r="AB151" s="8"/>
      <c r="AC151" s="8"/>
      <c r="AD151" s="8"/>
      <c r="AE151" s="8"/>
      <c r="AF151" s="8"/>
      <c r="AG151" s="8"/>
      <c r="AH151" s="8"/>
      <c r="AI151" s="8"/>
      <c r="AJ151" s="8"/>
      <c r="AK151" s="8"/>
      <c r="AL151" s="8"/>
      <c r="AM151" s="8"/>
      <c r="AN151" s="8"/>
      <c r="AO151" s="8"/>
    </row>
    <row r="152">
      <c r="A152" s="7">
        <f t="shared" si="1"/>
        <v>151</v>
      </c>
      <c r="B152" s="8" t="str">
        <f>IFERROR(__xludf.DUMMYFUNCTION("""COMPUTED_VALUE"""),"18.21079")</f>
        <v>18.21079</v>
      </c>
      <c r="C152" s="8" t="str">
        <f>IFERROR(__xludf.DUMMYFUNCTION("""COMPUTED_VALUE"""),"49.548345")</f>
        <v>49.548345</v>
      </c>
      <c r="D152" s="8" t="str">
        <f>IFERROR(__xludf.DUMMYFUNCTION("""COMPUTED_VALUE"""),"Frenštát pod Radhoštěm, zpráva o průběžném plnění pracovního závazku")</f>
        <v>Frenštát pod Radhoštěm, zpráva o průběžném plnění pracovního závazku</v>
      </c>
      <c r="E152" s="8" t="str">
        <f>IFERROR(__xludf.DUMMYFUNCTION("""COMPUTED_VALUE"""),"Hlášení o plnění pracovního plánu za třetí rok pětiletky, u příležitosti 55. narozenin. Žluté textilní desky s čeveno-bílými aplikacemi a trikolorou, uvnitř akvarelové ilustrace - pohled na továrnu, práce u stroje, symbolický dekor, rkp, 4 ll, 33 x 30 cm.")</f>
        <v>Hlášení o plnění pracovního plánu za třetí rok pětiletky, u příležitosti 55. narozenin. Žluté textilní desky s čeveno-bílými aplikacemi a trikolorou, uvnitř akvarelové ilustrace - pohled na továrnu, práce u stroje, symbolický dekor, rkp, 4 ll, 33 x 30 cm.</v>
      </c>
      <c r="F152" s="8" t="str">
        <f>IFERROR(__xludf.DUMMYFUNCTION("""COMPUTED_VALUE"""),"dokumenty")</f>
        <v>dokumenty</v>
      </c>
      <c r="G152" s="8" t="str">
        <f>IFERROR(__xludf.DUMMYFUNCTION("""COMPUTED_VALUE"""),"Závazky")</f>
        <v>Závazky</v>
      </c>
      <c r="H152" s="8"/>
      <c r="I152" s="9" t="str">
        <f>IFERROR(__xludf.DUMMYFUNCTION("""COMPUTED_VALUE"""),"23. listopad 1951")</f>
        <v>23. listopad 1951</v>
      </c>
      <c r="J152" s="8"/>
      <c r="K152" s="8" t="str">
        <f>IFERROR(__xludf.DUMMYFUNCTION("""COMPUTED_VALUE"""),"MEZ - závodní organizace KSČ.")</f>
        <v>MEZ - závodní organizace KSČ.</v>
      </c>
      <c r="L152" s="8" t="str">
        <f>IFERROR(__xludf.DUMMYFUNCTION("""COMPUTED_VALUE"""),"Národní muzeum, Archiv NM, Sbírka Muzea dělnického hnutí, sbírka Klement Gottwald - kult osobnosti.")</f>
        <v>Národní muzeum, Archiv NM, Sbírka Muzea dělnického hnutí, sbírka Klement Gottwald - kult osobnosti.</v>
      </c>
      <c r="M152" s="8"/>
      <c r="N152" s="8" t="str">
        <f>IFERROR(__xludf.DUMMYFUNCTION("""COMPUTED_VALUE"""),"Frenštát_zav01.jpg")</f>
        <v>Frenštát_zav01.jpg</v>
      </c>
      <c r="O152" s="8"/>
      <c r="P152" s="8" t="str">
        <f>IFERROR(__xludf.DUMMYFUNCTION("""COMPUTED_VALUE"""),"Obrazová dokumentace archiválie.")</f>
        <v>Obrazová dokumentace archiválie.</v>
      </c>
      <c r="Q152" s="8" t="str">
        <f>IFERROR(__xludf.DUMMYFUNCTION("""COMPUTED_VALUE"""),"Národní muzeum, Archiv NM, Sbírka Muzea dělnického hnutí, sbírka Klement Gottwald - kult osobnosti.")</f>
        <v>Národní muzeum, Archiv NM, Sbírka Muzea dělnického hnutí, sbírka Klement Gottwald - kult osobnosti.</v>
      </c>
      <c r="R152" s="8" t="str">
        <f>IFERROR(__xludf.DUMMYFUNCTION("""COMPUTED_VALUE"""),"Frenštát_zav02.jpg")</f>
        <v>Frenštát_zav02.jpg</v>
      </c>
      <c r="S152" s="8"/>
      <c r="T152" s="8" t="str">
        <f>IFERROR(__xludf.DUMMYFUNCTION("""COMPUTED_VALUE"""),"Obrazová dokumentace archiválie.")</f>
        <v>Obrazová dokumentace archiválie.</v>
      </c>
      <c r="U152" s="8" t="str">
        <f>IFERROR(__xludf.DUMMYFUNCTION("""COMPUTED_VALUE"""),"Národní muzeum, Archiv NM, Sbírka Muzea dělnického hnutí, sbírka Klement Gottwald - kult osobnosti.")</f>
        <v>Národní muzeum, Archiv NM, Sbírka Muzea dělnického hnutí, sbírka Klement Gottwald - kult osobnosti.</v>
      </c>
      <c r="V152" s="8" t="str">
        <f>IFERROR(__xludf.DUMMYFUNCTION("""COMPUTED_VALUE"""),"Frenštát_zav03.jpg")</f>
        <v>Frenštát_zav03.jpg</v>
      </c>
      <c r="W152" s="8"/>
      <c r="X152" s="8" t="str">
        <f>IFERROR(__xludf.DUMMYFUNCTION("""COMPUTED_VALUE"""),"Obrazová dokumentace archiválie.")</f>
        <v>Obrazová dokumentace archiválie.</v>
      </c>
      <c r="Y152" s="8" t="str">
        <f>IFERROR(__xludf.DUMMYFUNCTION("""COMPUTED_VALUE"""),"Národní muzeum, Archiv NM, Sbírka Muzea dělnického hnutí, sbírka Klement Gottwald - kult osobnosti.")</f>
        <v>Národní muzeum, Archiv NM, Sbírka Muzea dělnického hnutí, sbírka Klement Gottwald - kult osobnosti.</v>
      </c>
      <c r="Z152" s="8" t="str">
        <f>IFERROR(__xludf.DUMMYFUNCTION("""COMPUTED_VALUE"""),"Frenštát_zav04.jpg")</f>
        <v>Frenštát_zav04.jpg</v>
      </c>
      <c r="AA152" s="8"/>
      <c r="AB152" s="8" t="str">
        <f>IFERROR(__xludf.DUMMYFUNCTION("""COMPUTED_VALUE"""),"Obrazová dokumentace archiválie.")</f>
        <v>Obrazová dokumentace archiválie.</v>
      </c>
      <c r="AC152" s="8" t="str">
        <f>IFERROR(__xludf.DUMMYFUNCTION("""COMPUTED_VALUE"""),"Národní muzeum, Archiv NM, Sbírka Muzea dělnického hnutí, sbírka Klement Gottwald - kult osobnosti.")</f>
        <v>Národní muzeum, Archiv NM, Sbírka Muzea dělnického hnutí, sbírka Klement Gottwald - kult osobnosti.</v>
      </c>
      <c r="AD152" s="8"/>
      <c r="AE152" s="8"/>
      <c r="AF152" s="8"/>
      <c r="AG152" s="8"/>
      <c r="AH152" s="8"/>
      <c r="AI152" s="8"/>
      <c r="AJ152" s="8"/>
      <c r="AK152" s="8"/>
      <c r="AL152" s="8"/>
      <c r="AM152" s="8"/>
      <c r="AN152" s="8"/>
      <c r="AO152" s="8"/>
    </row>
    <row r="153">
      <c r="A153" s="7">
        <f t="shared" si="1"/>
        <v>152</v>
      </c>
      <c r="B153" s="8" t="str">
        <f>IFERROR(__xludf.DUMMYFUNCTION("""COMPUTED_VALUE"""),"14.2604647")</f>
        <v>14.2604647</v>
      </c>
      <c r="C153" s="8" t="str">
        <f>IFERROR(__xludf.DUMMYFUNCTION("""COMPUTED_VALUE"""),"50.4252048")</f>
        <v>50.4252048</v>
      </c>
      <c r="D153" s="8" t="str">
        <f>IFERROR(__xludf.DUMMYFUNCTION("""COMPUTED_VALUE"""),"Roudnice nad Labem, závazek ""Do dolů""")</f>
        <v>Roudnice nad Labem, závazek "Do dolů"</v>
      </c>
      <c r="E153" s="8" t="str">
        <f>IFERROR(__xludf.DUMMYFUNCTION("""COMPUTED_VALUE"""),"Pracovní závazek mladých dělníků s proklamací ""do dolů"". Ruční papír, kolorovaná akvarelová ilustrace oslavující práci, podpisy, razítko, A3. Adresa v rámci hnutí učňů, studentů a mladých pracovníků odcházet pracovat do dolů ač jakékoli kvalifikace.")</f>
        <v>Pracovní závazek mladých dělníků s proklamací "do dolů". Ruční papír, kolorovaná akvarelová ilustrace oslavující práci, podpisy, razítko, A3. Adresa v rámci hnutí učňů, studentů a mladých pracovníků odcházet pracovat do dolů ač jakékoli kvalifikace.</v>
      </c>
      <c r="F153" s="8" t="str">
        <f>IFERROR(__xludf.DUMMYFUNCTION("""COMPUTED_VALUE"""),"dokumenty")</f>
        <v>dokumenty</v>
      </c>
      <c r="G153" s="8" t="str">
        <f>IFERROR(__xludf.DUMMYFUNCTION("""COMPUTED_VALUE"""),"Závazky")</f>
        <v>Závazky</v>
      </c>
      <c r="H153" s="8"/>
      <c r="I153" s="9" t="str">
        <f>IFERROR(__xludf.DUMMYFUNCTION("""COMPUTED_VALUE"""),"b. d. (po červnu 1948)")</f>
        <v>b. d. (po červnu 1948)</v>
      </c>
      <c r="J153" s="8"/>
      <c r="K153" s="8" t="str">
        <f>IFERROR(__xludf.DUMMYFUNCTION("""COMPUTED_VALUE"""),"Český svaz mládeže.")</f>
        <v>Český svaz mládeže.</v>
      </c>
      <c r="L153" s="8" t="str">
        <f>IFERROR(__xludf.DUMMYFUNCTION("""COMPUTED_VALUE"""),"Národní muzeum, Archiv NM, Sbírka Muzea dělnického hnutí, sbírka Klement Gottwald - kult osobnosti.")</f>
        <v>Národní muzeum, Archiv NM, Sbírka Muzea dělnického hnutí, sbírka Klement Gottwald - kult osobnosti.</v>
      </c>
      <c r="M153" s="8"/>
      <c r="N153" s="8" t="str">
        <f>IFERROR(__xludf.DUMMYFUNCTION("""COMPUTED_VALUE"""),"Roudnice_zav.jpg")</f>
        <v>Roudnice_zav.jpg</v>
      </c>
      <c r="O153" s="8"/>
      <c r="P153" s="8" t="str">
        <f>IFERROR(__xludf.DUMMYFUNCTION("""COMPUTED_VALUE"""),"Obrazová dokumentace archiválie.")</f>
        <v>Obrazová dokumentace archiválie.</v>
      </c>
      <c r="Q153" s="8" t="str">
        <f>IFERROR(__xludf.DUMMYFUNCTION("""COMPUTED_VALUE"""),"Národní muzeum, Archiv NM, Sbírka Muzea dělnického hnutí, sbírka Klement Gottwald - kult osobnosti.")</f>
        <v>Národní muzeum, Archiv NM, Sbírka Muzea dělnického hnutí, sbírka Klement Gottwald - kult osobnosti.</v>
      </c>
      <c r="R153" s="8"/>
      <c r="S153" s="8"/>
      <c r="T153" s="8"/>
      <c r="U153" s="8"/>
      <c r="V153" s="8"/>
      <c r="W153" s="8"/>
      <c r="X153" s="8" t="str">
        <f>IFERROR(__xludf.DUMMYFUNCTION("""COMPUTED_VALUE"""),"Obrazová dokumentace archiválie.")</f>
        <v>Obrazová dokumentace archiválie.</v>
      </c>
      <c r="Y153" s="8"/>
      <c r="Z153" s="8"/>
      <c r="AA153" s="8"/>
      <c r="AB153" s="8"/>
      <c r="AC153" s="8"/>
      <c r="AD153" s="8"/>
      <c r="AE153" s="8"/>
      <c r="AF153" s="8"/>
      <c r="AG153" s="8"/>
      <c r="AH153" s="8"/>
      <c r="AI153" s="8"/>
      <c r="AJ153" s="8"/>
      <c r="AK153" s="8"/>
      <c r="AL153" s="8"/>
      <c r="AM153" s="8"/>
      <c r="AN153" s="8"/>
      <c r="AO153" s="8"/>
    </row>
    <row r="154">
      <c r="A154" s="7">
        <f t="shared" si="1"/>
        <v>153</v>
      </c>
      <c r="B154" s="8" t="str">
        <f>IFERROR(__xludf.DUMMYFUNCTION("""COMPUTED_VALUE"""),"16.1148022")</f>
        <v>16.1148022</v>
      </c>
      <c r="C154" s="8" t="str">
        <f>IFERROR(__xludf.DUMMYFUNCTION("""COMPUTED_VALUE"""),"50.2674147")</f>
        <v>50.2674147</v>
      </c>
      <c r="D154" s="8" t="str">
        <f>IFERROR(__xludf.DUMMYFUNCTION("""COMPUTED_VALUE"""),"Opočno, pracovní závazek dvouletky")</f>
        <v>Opočno, pracovní závazek dvouletky</v>
      </c>
      <c r="E154" s="8" t="str">
        <f>IFERROR(__xludf.DUMMYFUNCTION("""COMPUTED_VALUE"""),"Závazek plnění dvouletého pracovního plánu u příležitosti 50. narozenin. Hnědo-rudé koženkové desky, vložen strojopisný dopis, diplom s ilustrací - perokresba pohledu na zámek, strojopis, 2 ll, 37 x 30 cm.")</f>
        <v>Závazek plnění dvouletého pracovního plánu u příležitosti 50. narozenin. Hnědo-rudé koženkové desky, vložen strojopisný dopis, diplom s ilustrací - perokresba pohledu na zámek, strojopis, 2 ll, 37 x 30 cm.</v>
      </c>
      <c r="F154" s="8" t="str">
        <f>IFERROR(__xludf.DUMMYFUNCTION("""COMPUTED_VALUE"""),"dokumenty")</f>
        <v>dokumenty</v>
      </c>
      <c r="G154" s="8" t="str">
        <f>IFERROR(__xludf.DUMMYFUNCTION("""COMPUTED_VALUE"""),"Závazky")</f>
        <v>Závazky</v>
      </c>
      <c r="H154" s="8"/>
      <c r="I154" s="9" t="str">
        <f>IFERROR(__xludf.DUMMYFUNCTION("""COMPUTED_VALUE"""),"27. listopad 1946")</f>
        <v>27. listopad 1946</v>
      </c>
      <c r="J154" s="8"/>
      <c r="K154" s="8" t="str">
        <f>IFERROR(__xludf.DUMMYFUNCTION("""COMPUTED_VALUE"""),"Místní organizace KSČ.")</f>
        <v>Místní organizace KSČ.</v>
      </c>
      <c r="L154" s="8" t="str">
        <f>IFERROR(__xludf.DUMMYFUNCTION("""COMPUTED_VALUE"""),"Národní muzeum, Archiv NM, Sbírka Muzea dělnického hnutí, sbírka Klement Gottwald - kult osobnosti.")</f>
        <v>Národní muzeum, Archiv NM, Sbírka Muzea dělnického hnutí, sbírka Klement Gottwald - kult osobnosti.</v>
      </c>
      <c r="M154" s="8"/>
      <c r="N154" s="8" t="str">
        <f>IFERROR(__xludf.DUMMYFUNCTION("""COMPUTED_VALUE"""),"Opočno_zav01.jpg")</f>
        <v>Opočno_zav01.jpg</v>
      </c>
      <c r="O154" s="8"/>
      <c r="P154" s="8" t="str">
        <f>IFERROR(__xludf.DUMMYFUNCTION("""COMPUTED_VALUE"""),"Obrazová dokumentace archiválie.")</f>
        <v>Obrazová dokumentace archiválie.</v>
      </c>
      <c r="Q154" s="8" t="str">
        <f>IFERROR(__xludf.DUMMYFUNCTION("""COMPUTED_VALUE"""),"Národní muzeum, Archiv NM, Sbírka Muzea dělnického hnutí, sbírka Klement Gottwald - kult osobnosti.")</f>
        <v>Národní muzeum, Archiv NM, Sbírka Muzea dělnického hnutí, sbírka Klement Gottwald - kult osobnosti.</v>
      </c>
      <c r="R154" s="8" t="str">
        <f>IFERROR(__xludf.DUMMYFUNCTION("""COMPUTED_VALUE"""),"Opočno_zav02.jpg")</f>
        <v>Opočno_zav02.jpg</v>
      </c>
      <c r="S154" s="8"/>
      <c r="T154" s="8" t="str">
        <f>IFERROR(__xludf.DUMMYFUNCTION("""COMPUTED_VALUE"""),"Obrazová dokumentace archiválie.")</f>
        <v>Obrazová dokumentace archiválie.</v>
      </c>
      <c r="U154" s="8" t="str">
        <f>IFERROR(__xludf.DUMMYFUNCTION("""COMPUTED_VALUE"""),"Národní muzeum, Archiv NM, Sbírka Muzea dělnického hnutí, sbírka Klement Gottwald - kult osobnosti.")</f>
        <v>Národní muzeum, Archiv NM, Sbírka Muzea dělnického hnutí, sbírka Klement Gottwald - kult osobnosti.</v>
      </c>
      <c r="V154" s="8" t="str">
        <f>IFERROR(__xludf.DUMMYFUNCTION("""COMPUTED_VALUE"""),"Opočno_zav03.jpg")</f>
        <v>Opočno_zav03.jpg</v>
      </c>
      <c r="W154" s="8"/>
      <c r="X154" s="8" t="str">
        <f>IFERROR(__xludf.DUMMYFUNCTION("""COMPUTED_VALUE"""),"Obrazová dokumentace archiválie.")</f>
        <v>Obrazová dokumentace archiválie.</v>
      </c>
      <c r="Y154" s="8" t="str">
        <f>IFERROR(__xludf.DUMMYFUNCTION("""COMPUTED_VALUE"""),"Národní muzeum, Archiv NM, Sbírka Muzea dělnického hnutí, sbírka Klement Gottwald - kult osobnosti.")</f>
        <v>Národní muzeum, Archiv NM, Sbírka Muzea dělnického hnutí, sbírka Klement Gottwald - kult osobnosti.</v>
      </c>
      <c r="Z154" s="8"/>
      <c r="AA154" s="8"/>
      <c r="AB154" s="8"/>
      <c r="AC154" s="8"/>
      <c r="AD154" s="8"/>
      <c r="AE154" s="8"/>
      <c r="AF154" s="8"/>
      <c r="AG154" s="8"/>
      <c r="AH154" s="8"/>
      <c r="AI154" s="8"/>
      <c r="AJ154" s="8"/>
      <c r="AK154" s="8"/>
      <c r="AL154" s="8"/>
      <c r="AM154" s="8"/>
      <c r="AN154" s="8"/>
      <c r="AO154" s="8"/>
    </row>
    <row r="155">
      <c r="A155" s="7">
        <f t="shared" si="1"/>
        <v>154</v>
      </c>
      <c r="B155" s="8" t="str">
        <f>IFERROR(__xludf.DUMMYFUNCTION("""COMPUTED_VALUE"""),"15.4908263")</f>
        <v>15.4908263</v>
      </c>
      <c r="C155" s="8" t="str">
        <f>IFERROR(__xludf.DUMMYFUNCTION("""COMPUTED_VALUE"""),"50.2415017")</f>
        <v>50.2415017</v>
      </c>
      <c r="D155" s="8" t="str">
        <f>IFERROR(__xludf.DUMMYFUNCTION("""COMPUTED_VALUE"""),"Nový Bydžov, vyhlášení pracovní soutěže")</f>
        <v>Nový Bydžov, vyhlášení pracovní soutěže</v>
      </c>
      <c r="E155" s="8" t="str">
        <f>IFERROR(__xludf.DUMMYFUNCTION("""COMPUTED_VALUE"""),"Oznámení o vyhlášení zemědělské soutěže na okrese o nejrychlejší zdolání žní v prvním roce pětiletky. Modrošedá krabice z mačkaného papíru, album s hnědými deskami z mačkaného papíru, červený tisk, podpisy, razítka, 4 ll, 35 x 22 cm.")</f>
        <v>Oznámení o vyhlášení zemědělské soutěže na okrese o nejrychlejší zdolání žní v prvním roce pětiletky. Modrošedá krabice z mačkaného papíru, album s hnědými deskami z mačkaného papíru, červený tisk, podpisy, razítka, 4 ll, 35 x 22 cm.</v>
      </c>
      <c r="F155" s="8" t="str">
        <f>IFERROR(__xludf.DUMMYFUNCTION("""COMPUTED_VALUE"""),"dokumenty")</f>
        <v>dokumenty</v>
      </c>
      <c r="G155" s="8" t="str">
        <f>IFERROR(__xludf.DUMMYFUNCTION("""COMPUTED_VALUE"""),"Závazky")</f>
        <v>Závazky</v>
      </c>
      <c r="H155" s="8"/>
      <c r="I155" s="9" t="str">
        <f>IFERROR(__xludf.DUMMYFUNCTION("""COMPUTED_VALUE"""),"b. d.")</f>
        <v>b. d.</v>
      </c>
      <c r="J155" s="8"/>
      <c r="K155" s="8" t="str">
        <f>IFERROR(__xludf.DUMMYFUNCTION("""COMPUTED_VALUE"""),"Okresní národní výbor a další organizace ve městě.")</f>
        <v>Okresní národní výbor a další organizace ve městě.</v>
      </c>
      <c r="L155" s="8" t="str">
        <f>IFERROR(__xludf.DUMMYFUNCTION("""COMPUTED_VALUE"""),"Národní muzeum, Archiv NM, Sbírka Muzea dělnického hnutí, sbírka Klement Gottwald - kult osobnosti.")</f>
        <v>Národní muzeum, Archiv NM, Sbírka Muzea dělnického hnutí, sbírka Klement Gottwald - kult osobnosti.</v>
      </c>
      <c r="M155" s="8"/>
      <c r="N155" s="8" t="str">
        <f>IFERROR(__xludf.DUMMYFUNCTION("""COMPUTED_VALUE"""),"Nový Bydžov_zav02.jpg")</f>
        <v>Nový Bydžov_zav02.jpg</v>
      </c>
      <c r="O155" s="8"/>
      <c r="P155" s="8" t="str">
        <f>IFERROR(__xludf.DUMMYFUNCTION("""COMPUTED_VALUE"""),"Obrazová dokumentace archiválie.")</f>
        <v>Obrazová dokumentace archiválie.</v>
      </c>
      <c r="Q155" s="8" t="str">
        <f>IFERROR(__xludf.DUMMYFUNCTION("""COMPUTED_VALUE"""),"Národní muzeum, Archiv NM, Sbírka Muzea dělnického hnutí, sbírka Klement Gottwald - kult osobnosti.")</f>
        <v>Národní muzeum, Archiv NM, Sbírka Muzea dělnického hnutí, sbírka Klement Gottwald - kult osobnosti.</v>
      </c>
      <c r="R155" s="8" t="str">
        <f>IFERROR(__xludf.DUMMYFUNCTION("""COMPUTED_VALUE"""),"Nový Bydžov_zav03.jpg")</f>
        <v>Nový Bydžov_zav03.jpg</v>
      </c>
      <c r="S155" s="8"/>
      <c r="T155" s="8" t="str">
        <f>IFERROR(__xludf.DUMMYFUNCTION("""COMPUTED_VALUE"""),"Obrazová dokumentace archiválie.")</f>
        <v>Obrazová dokumentace archiválie.</v>
      </c>
      <c r="U155" s="8" t="str">
        <f>IFERROR(__xludf.DUMMYFUNCTION("""COMPUTED_VALUE"""),"Národní muzeum, Archiv NM, Sbírka Muzea dělnického hnutí, sbírka Klement Gottwald - kult osobnosti.")</f>
        <v>Národní muzeum, Archiv NM, Sbírka Muzea dělnického hnutí, sbírka Klement Gottwald - kult osobnosti.</v>
      </c>
      <c r="V155" s="8" t="str">
        <f>IFERROR(__xludf.DUMMYFUNCTION("""COMPUTED_VALUE"""),"Nový Bydžov_zav04.jpg")</f>
        <v>Nový Bydžov_zav04.jpg</v>
      </c>
      <c r="W155" s="8"/>
      <c r="X155" s="8" t="str">
        <f>IFERROR(__xludf.DUMMYFUNCTION("""COMPUTED_VALUE"""),"Obrazová dokumentace archiválie.")</f>
        <v>Obrazová dokumentace archiválie.</v>
      </c>
      <c r="Y155" s="8" t="str">
        <f>IFERROR(__xludf.DUMMYFUNCTION("""COMPUTED_VALUE"""),"Národní muzeum, Archiv NM, Sbírka Muzea dělnického hnutí, sbírka Klement Gottwald - kult osobnosti.")</f>
        <v>Národní muzeum, Archiv NM, Sbírka Muzea dělnického hnutí, sbírka Klement Gottwald - kult osobnosti.</v>
      </c>
      <c r="Z155" s="8" t="str">
        <f>IFERROR(__xludf.DUMMYFUNCTION("""COMPUTED_VALUE"""),"Nový Bydžov_zav.jpg")</f>
        <v>Nový Bydžov_zav.jpg</v>
      </c>
      <c r="AA155" s="8"/>
      <c r="AB155" s="8" t="str">
        <f>IFERROR(__xludf.DUMMYFUNCTION("""COMPUTED_VALUE"""),"Obrazová dokumentace archiválie.")</f>
        <v>Obrazová dokumentace archiválie.</v>
      </c>
      <c r="AC155" s="8" t="str">
        <f>IFERROR(__xludf.DUMMYFUNCTION("""COMPUTED_VALUE"""),"Národní muzeum, Archiv NM, Sbírka Muzea dělnického hnutí, sbírka Klement Gottwald - kult osobnosti.")</f>
        <v>Národní muzeum, Archiv NM, Sbírka Muzea dělnického hnutí, sbírka Klement Gottwald - kult osobnosti.</v>
      </c>
      <c r="AD155" s="8"/>
      <c r="AE155" s="8"/>
      <c r="AF155" s="8"/>
      <c r="AG155" s="8"/>
      <c r="AH155" s="8"/>
      <c r="AI155" s="8"/>
      <c r="AJ155" s="8"/>
      <c r="AK155" s="8"/>
      <c r="AL155" s="8"/>
      <c r="AM155" s="8"/>
      <c r="AN155" s="8"/>
      <c r="AO155" s="8"/>
    </row>
    <row r="156">
      <c r="A156" s="7">
        <f t="shared" si="1"/>
        <v>155</v>
      </c>
      <c r="B156" s="8" t="str">
        <f>IFERROR(__xludf.DUMMYFUNCTION("""COMPUTED_VALUE"""),"15.996554")</f>
        <v>15.996554</v>
      </c>
      <c r="C156" s="8" t="str">
        <f>IFERROR(__xludf.DUMMYFUNCTION("""COMPUTED_VALUE"""),"49.8434674")</f>
        <v>49.8434674</v>
      </c>
      <c r="D156" s="8" t="str">
        <f>IFERROR(__xludf.DUMMYFUNCTION("""COMPUTED_VALUE"""),"Skuteč, zpráva o plnění pracovních závazků")</f>
        <v>Skuteč, zpráva o plnění pracovních závazků</v>
      </c>
      <c r="E156" s="8" t="str">
        <f>IFERROR(__xludf.DUMMYFUNCTION("""COMPUTED_VALUE"""),"Hlášení jednotlivých pracovních závazků, které mají být splněny do 28.10.1948. Bílá papírová krabice, Černé koženkové album svázaných diplomů se závazky, řazeno podle jednotlivých obcí okresu (51), na každém listě je ilustrace tužkou s motivem veduty obce"&amp;" (signovány Gustav Porš), rkp, podpisy, 55 ll, 35 x 37 cm.")</f>
        <v>Hlášení jednotlivých pracovních závazků, které mají být splněny do 28.10.1948. Bílá papírová krabice, Černé koženkové album svázaných diplomů se závazky, řazeno podle jednotlivých obcí okresu (51), na každém listě je ilustrace tužkou s motivem veduty obce (signovány Gustav Porš), rkp, podpisy, 55 ll, 35 x 37 cm.</v>
      </c>
      <c r="F156" s="8" t="str">
        <f>IFERROR(__xludf.DUMMYFUNCTION("""COMPUTED_VALUE"""),"dokumenty")</f>
        <v>dokumenty</v>
      </c>
      <c r="G156" s="8" t="str">
        <f>IFERROR(__xludf.DUMMYFUNCTION("""COMPUTED_VALUE"""),"Závazky")</f>
        <v>Závazky</v>
      </c>
      <c r="H156" s="8"/>
      <c r="I156" s="9" t="str">
        <f>IFERROR(__xludf.DUMMYFUNCTION("""COMPUTED_VALUE"""),"1948")</f>
        <v>1948</v>
      </c>
      <c r="J156" s="8"/>
      <c r="K156" s="8" t="str">
        <f>IFERROR(__xludf.DUMMYFUNCTION("""COMPUTED_VALUE"""),"Okres Skuteč, jednotlivé obce.")</f>
        <v>Okres Skuteč, jednotlivé obce.</v>
      </c>
      <c r="L156" s="8" t="str">
        <f>IFERROR(__xludf.DUMMYFUNCTION("""COMPUTED_VALUE"""),"Národní muzeum, Archiv NM, Sbírka Muzea dělnického hnutí, sbírka Klement Gottwald - kult osobnosti.")</f>
        <v>Národní muzeum, Archiv NM, Sbírka Muzea dělnického hnutí, sbírka Klement Gottwald - kult osobnosti.</v>
      </c>
      <c r="M156" s="8"/>
      <c r="N156" s="8" t="str">
        <f>IFERROR(__xludf.DUMMYFUNCTION("""COMPUTED_VALUE"""),"Skuteč_zav01.jpg")</f>
        <v>Skuteč_zav01.jpg</v>
      </c>
      <c r="O156" s="8"/>
      <c r="P156" s="8" t="str">
        <f>IFERROR(__xludf.DUMMYFUNCTION("""COMPUTED_VALUE"""),"Obrazová dokumentace archiválie.")</f>
        <v>Obrazová dokumentace archiválie.</v>
      </c>
      <c r="Q156" s="8" t="str">
        <f>IFERROR(__xludf.DUMMYFUNCTION("""COMPUTED_VALUE"""),"Národní muzeum, Archiv NM, Sbírka Muzea dělnického hnutí, sbírka Klement Gottwald - kult osobnosti.")</f>
        <v>Národní muzeum, Archiv NM, Sbírka Muzea dělnického hnutí, sbírka Klement Gottwald - kult osobnosti.</v>
      </c>
      <c r="R156" s="8" t="str">
        <f>IFERROR(__xludf.DUMMYFUNCTION("""COMPUTED_VALUE"""),"Skuteč_zav02.jpg")</f>
        <v>Skuteč_zav02.jpg</v>
      </c>
      <c r="S156" s="8"/>
      <c r="T156" s="8" t="str">
        <f>IFERROR(__xludf.DUMMYFUNCTION("""COMPUTED_VALUE"""),"Obrazová dokumentace archiválie.")</f>
        <v>Obrazová dokumentace archiválie.</v>
      </c>
      <c r="U156" s="8" t="str">
        <f>IFERROR(__xludf.DUMMYFUNCTION("""COMPUTED_VALUE"""),"Národní muzeum, Archiv NM, Sbírka Muzea dělnického hnutí, sbírka Klement Gottwald - kult osobnosti.")</f>
        <v>Národní muzeum, Archiv NM, Sbírka Muzea dělnického hnutí, sbírka Klement Gottwald - kult osobnosti.</v>
      </c>
      <c r="V156" s="8" t="str">
        <f>IFERROR(__xludf.DUMMYFUNCTION("""COMPUTED_VALUE"""),"Skuteč_zav03.jpg")</f>
        <v>Skuteč_zav03.jpg</v>
      </c>
      <c r="W156" s="8"/>
      <c r="X156" s="8" t="str">
        <f>IFERROR(__xludf.DUMMYFUNCTION("""COMPUTED_VALUE"""),"Obrazová dokumentace archiválie.")</f>
        <v>Obrazová dokumentace archiválie.</v>
      </c>
      <c r="Y156" s="8" t="str">
        <f>IFERROR(__xludf.DUMMYFUNCTION("""COMPUTED_VALUE"""),"Národní muzeum, Archiv NM, Sbírka Muzea dělnického hnutí, sbírka Klement Gottwald - kult osobnosti.")</f>
        <v>Národní muzeum, Archiv NM, Sbírka Muzea dělnického hnutí, sbírka Klement Gottwald - kult osobnosti.</v>
      </c>
      <c r="Z156" s="8" t="str">
        <f>IFERROR(__xludf.DUMMYFUNCTION("""COMPUTED_VALUE"""),"Skuteč_zav04.jpg")</f>
        <v>Skuteč_zav04.jpg</v>
      </c>
      <c r="AA156" s="8"/>
      <c r="AB156" s="8" t="str">
        <f>IFERROR(__xludf.DUMMYFUNCTION("""COMPUTED_VALUE"""),"Obrazová dokumentace archiválie.")</f>
        <v>Obrazová dokumentace archiválie.</v>
      </c>
      <c r="AC156" s="8" t="str">
        <f>IFERROR(__xludf.DUMMYFUNCTION("""COMPUTED_VALUE"""),"Národní muzeum, Archiv NM, Sbírka Muzea dělnického hnutí, sbírka Klement Gottwald - kult osobnosti.")</f>
        <v>Národní muzeum, Archiv NM, Sbírka Muzea dělnického hnutí, sbírka Klement Gottwald - kult osobnosti.</v>
      </c>
      <c r="AD156" s="8" t="str">
        <f>IFERROR(__xludf.DUMMYFUNCTION("""COMPUTED_VALUE"""),"Skuteč_zav05.jpg")</f>
        <v>Skuteč_zav05.jpg</v>
      </c>
      <c r="AE156" s="8"/>
      <c r="AF156" s="8" t="str">
        <f>IFERROR(__xludf.DUMMYFUNCTION("""COMPUTED_VALUE"""),"Obrazová dokumentace archiválie.")</f>
        <v>Obrazová dokumentace archiválie.</v>
      </c>
      <c r="AG156" s="8" t="str">
        <f>IFERROR(__xludf.DUMMYFUNCTION("""COMPUTED_VALUE"""),"Národní muzeum, Archiv NM, Sbírka Muzea dělnického hnutí, sbírka Klement Gottwald - kult osobnosti.")</f>
        <v>Národní muzeum, Archiv NM, Sbírka Muzea dělnického hnutí, sbírka Klement Gottwald - kult osobnosti.</v>
      </c>
      <c r="AH156" s="8"/>
      <c r="AI156" s="8"/>
      <c r="AJ156" s="8"/>
      <c r="AK156" s="8"/>
      <c r="AL156" s="8"/>
      <c r="AM156" s="8"/>
      <c r="AN156" s="8"/>
      <c r="AO156" s="8"/>
    </row>
    <row r="157">
      <c r="A157" s="7">
        <f t="shared" si="1"/>
        <v>156</v>
      </c>
      <c r="B157" s="10" t="str">
        <f>IFERROR(__xludf.DUMMYFUNCTION("""COMPUTED_VALUE"""),"13.8678757")</f>
        <v>13.8678757</v>
      </c>
      <c r="C157" s="10" t="str">
        <f>IFERROR(__xludf.DUMMYFUNCTION("""COMPUTED_VALUE"""),"50.0267197")</f>
        <v>50.0267197</v>
      </c>
      <c r="D157" s="10" t="str">
        <f>IFERROR(__xludf.DUMMYFUNCTION("""COMPUTED_VALUE"""),"Roztoky na Křivoklátsku, pracovní závazek")</f>
        <v>Roztoky na Křivoklátsku, pracovní závazek</v>
      </c>
      <c r="E157" s="10" t="str">
        <f>IFERROR(__xludf.DUMMYFUNCTION("""COMPUTED_VALUE"""),"Jmenování čestným předsedou závodní rady u příležitosti 50. narozenin a vyhlášení dvouletky. Hnědá papírová krabice, červené koženkové album se zlaceným orámováním a komunistickými symboly, stříkaná ilustrace s motivem podnikového znaku, dvojky, siluety h"&amp;"radu a trikolorovou duhou, symbol lipových ratolestí, rkp, podpisy, razítka, 2 ll, A4.  ")</f>
        <v>Jmenování čestným předsedou závodní rady u příležitosti 50. narozenin a vyhlášení dvouletky. Hnědá papírová krabice, červené koženkové album se zlaceným orámováním a komunistickými symboly, stříkaná ilustrace s motivem podnikového znaku, dvojky, siluety hradu a trikolorovou duhou, symbol lipových ratolestí, rkp, podpisy, razítka, 2 ll, A4.  </v>
      </c>
      <c r="F157" s="10" t="str">
        <f>IFERROR(__xludf.DUMMYFUNCTION("""COMPUTED_VALUE"""),"dokumenty")</f>
        <v>dokumenty</v>
      </c>
      <c r="G157" s="10" t="str">
        <f>IFERROR(__xludf.DUMMYFUNCTION("""COMPUTED_VALUE"""),"Závazky")</f>
        <v>Závazky</v>
      </c>
      <c r="H157" s="10"/>
      <c r="I157" s="11" t="str">
        <f>IFERROR(__xludf.DUMMYFUNCTION("""COMPUTED_VALUE"""),"23. listopad 1946")</f>
        <v>23. listopad 1946</v>
      </c>
      <c r="J157" s="10"/>
      <c r="K157" s="10" t="str">
        <f>IFERROR(__xludf.DUMMYFUNCTION("""COMPUTED_VALUE"""),"Závodní rada podniku Transporta.")</f>
        <v>Závodní rada podniku Transporta.</v>
      </c>
      <c r="L157" s="10" t="str">
        <f>IFERROR(__xludf.DUMMYFUNCTION("""COMPUTED_VALUE"""),"Národní muzeum, Archiv NM, Sbírka Muzea dělnického hnutí, sbírka Klement Gottwald - kult osobnosti.")</f>
        <v>Národní muzeum, Archiv NM, Sbírka Muzea dělnického hnutí, sbírka Klement Gottwald - kult osobnosti.</v>
      </c>
      <c r="M157" s="10"/>
      <c r="N157" s="10" t="str">
        <f>IFERROR(__xludf.DUMMYFUNCTION("""COMPUTED_VALUE"""),"Roztoky_zav.jpg")</f>
        <v>Roztoky_zav.jpg</v>
      </c>
      <c r="O157" s="10"/>
      <c r="P157" s="10" t="str">
        <f>IFERROR(__xludf.DUMMYFUNCTION("""COMPUTED_VALUE"""),"Obrazová dokumentace archiválie.")</f>
        <v>Obrazová dokumentace archiválie.</v>
      </c>
      <c r="Q157" s="10" t="str">
        <f>IFERROR(__xludf.DUMMYFUNCTION("""COMPUTED_VALUE"""),"Národní muzeum, Archiv NM, Sbírka Muzea dělnického hnutí, sbírka Klement Gottwald - kult osobnosti.")</f>
        <v>Národní muzeum, Archiv NM, Sbírka Muzea dělnického hnutí, sbírka Klement Gottwald - kult osobnosti.</v>
      </c>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row>
    <row r="158">
      <c r="A158" s="12"/>
      <c r="I158" s="11"/>
    </row>
    <row r="159">
      <c r="A159" s="12"/>
      <c r="I159" s="11"/>
    </row>
    <row r="160">
      <c r="A160" s="12"/>
      <c r="I160" s="11"/>
    </row>
    <row r="161">
      <c r="A161" s="12"/>
      <c r="I161" s="11"/>
    </row>
    <row r="162">
      <c r="A162" s="12"/>
      <c r="I162" s="11"/>
    </row>
    <row r="163">
      <c r="A163" s="12"/>
      <c r="I163" s="11"/>
    </row>
    <row r="164">
      <c r="I164" s="11"/>
    </row>
    <row r="165">
      <c r="I165" s="11"/>
    </row>
    <row r="166">
      <c r="I166" s="11"/>
    </row>
    <row r="167">
      <c r="I167" s="11"/>
    </row>
    <row r="168">
      <c r="I168" s="11"/>
    </row>
    <row r="169">
      <c r="I169" s="11"/>
    </row>
    <row r="170">
      <c r="I170" s="11"/>
    </row>
    <row r="171">
      <c r="I171" s="11"/>
    </row>
    <row r="172">
      <c r="I172" s="11"/>
    </row>
    <row r="173">
      <c r="I173" s="11"/>
    </row>
    <row r="174">
      <c r="I174" s="11"/>
    </row>
    <row r="175">
      <c r="I175" s="11"/>
    </row>
    <row r="176">
      <c r="I176" s="11"/>
    </row>
    <row r="177">
      <c r="I177" s="11"/>
    </row>
    <row r="178">
      <c r="I178" s="11"/>
    </row>
    <row r="179">
      <c r="I179" s="11"/>
    </row>
    <row r="180">
      <c r="I180" s="11"/>
    </row>
    <row r="181">
      <c r="I181" s="11"/>
    </row>
    <row r="182">
      <c r="I182" s="11"/>
    </row>
    <row r="183">
      <c r="I183" s="11"/>
    </row>
    <row r="184">
      <c r="I184" s="11"/>
    </row>
    <row r="185">
      <c r="I185" s="11"/>
    </row>
    <row r="186">
      <c r="I186" s="11"/>
    </row>
    <row r="187">
      <c r="I187" s="11"/>
    </row>
    <row r="188">
      <c r="I188" s="11"/>
    </row>
    <row r="189">
      <c r="I189" s="11"/>
    </row>
    <row r="190">
      <c r="I190" s="11"/>
    </row>
    <row r="191">
      <c r="I191" s="11"/>
    </row>
    <row r="192">
      <c r="I192" s="11"/>
    </row>
    <row r="193">
      <c r="I193" s="11"/>
    </row>
    <row r="194">
      <c r="I194" s="11"/>
    </row>
    <row r="195">
      <c r="I195" s="11"/>
    </row>
    <row r="196">
      <c r="I196" s="11"/>
    </row>
    <row r="197">
      <c r="I197" s="11"/>
    </row>
    <row r="198">
      <c r="I198" s="11"/>
    </row>
    <row r="199">
      <c r="I199" s="11"/>
    </row>
    <row r="200">
      <c r="I200" s="11"/>
    </row>
    <row r="201">
      <c r="I201" s="11"/>
    </row>
    <row r="202">
      <c r="I202" s="11"/>
    </row>
    <row r="203">
      <c r="I203" s="11"/>
    </row>
    <row r="204">
      <c r="I204" s="11"/>
    </row>
    <row r="205">
      <c r="I205" s="11"/>
    </row>
    <row r="206">
      <c r="I206" s="11"/>
    </row>
    <row r="207">
      <c r="I207" s="11"/>
    </row>
    <row r="208">
      <c r="I208" s="11"/>
    </row>
    <row r="209">
      <c r="I209" s="11"/>
    </row>
    <row r="210">
      <c r="I210" s="11"/>
    </row>
    <row r="211">
      <c r="I211" s="11"/>
    </row>
    <row r="212">
      <c r="I212" s="11"/>
    </row>
    <row r="213">
      <c r="I213" s="11"/>
    </row>
    <row r="214">
      <c r="I214" s="11"/>
    </row>
    <row r="215">
      <c r="I215" s="11"/>
    </row>
    <row r="216">
      <c r="I216" s="11"/>
    </row>
    <row r="217">
      <c r="I217" s="11"/>
    </row>
    <row r="218">
      <c r="I218" s="11"/>
    </row>
    <row r="219">
      <c r="I219" s="11"/>
    </row>
    <row r="220">
      <c r="I220" s="11"/>
    </row>
    <row r="221">
      <c r="I221" s="11"/>
    </row>
    <row r="222">
      <c r="I222" s="11"/>
    </row>
    <row r="223">
      <c r="I223" s="11"/>
    </row>
    <row r="224">
      <c r="I224" s="11"/>
    </row>
    <row r="225">
      <c r="I225" s="11"/>
    </row>
    <row r="226">
      <c r="I226" s="11"/>
    </row>
    <row r="227">
      <c r="I227" s="11"/>
    </row>
    <row r="228">
      <c r="I228" s="11"/>
    </row>
    <row r="229">
      <c r="I229" s="11"/>
    </row>
    <row r="230">
      <c r="I230" s="11"/>
    </row>
    <row r="231">
      <c r="I231" s="11"/>
    </row>
    <row r="232">
      <c r="I232" s="11"/>
    </row>
    <row r="233">
      <c r="I233" s="11"/>
    </row>
    <row r="234">
      <c r="I234" s="11"/>
    </row>
    <row r="235">
      <c r="I235" s="11"/>
    </row>
    <row r="236">
      <c r="I236" s="11"/>
    </row>
    <row r="237">
      <c r="I237" s="11"/>
    </row>
    <row r="238">
      <c r="I238" s="11"/>
    </row>
    <row r="239">
      <c r="I239" s="11"/>
    </row>
    <row r="240">
      <c r="I240" s="11"/>
    </row>
    <row r="241">
      <c r="I241" s="11"/>
    </row>
    <row r="242">
      <c r="I242" s="11"/>
    </row>
    <row r="243">
      <c r="I243" s="11"/>
    </row>
    <row r="244">
      <c r="I244" s="11"/>
    </row>
    <row r="245">
      <c r="I245" s="11"/>
    </row>
    <row r="246">
      <c r="I246" s="11"/>
    </row>
    <row r="247">
      <c r="I247" s="11"/>
    </row>
    <row r="248">
      <c r="I248" s="11"/>
    </row>
    <row r="249">
      <c r="I249" s="11"/>
    </row>
    <row r="250">
      <c r="I250" s="11"/>
    </row>
    <row r="251">
      <c r="I251" s="11"/>
    </row>
    <row r="252">
      <c r="I252" s="11"/>
    </row>
    <row r="253">
      <c r="I253" s="11"/>
    </row>
    <row r="254">
      <c r="I254" s="11"/>
    </row>
    <row r="255">
      <c r="I255" s="11"/>
    </row>
    <row r="256">
      <c r="I256" s="11"/>
    </row>
    <row r="257">
      <c r="I257" s="11"/>
    </row>
    <row r="258">
      <c r="I258" s="11"/>
    </row>
    <row r="259">
      <c r="I259" s="11"/>
    </row>
    <row r="260">
      <c r="I260" s="11"/>
    </row>
    <row r="261">
      <c r="I261" s="11"/>
    </row>
    <row r="262">
      <c r="I262" s="11"/>
    </row>
    <row r="263">
      <c r="I263" s="11"/>
    </row>
    <row r="264">
      <c r="I264" s="11"/>
    </row>
    <row r="265">
      <c r="I265" s="11"/>
    </row>
    <row r="266">
      <c r="I266" s="11"/>
    </row>
    <row r="267">
      <c r="I267" s="11"/>
    </row>
    <row r="268">
      <c r="I268" s="11"/>
    </row>
    <row r="269">
      <c r="I269" s="11"/>
    </row>
    <row r="270">
      <c r="I270" s="11"/>
    </row>
    <row r="271">
      <c r="I271" s="11"/>
    </row>
    <row r="272">
      <c r="I272" s="11"/>
    </row>
    <row r="273">
      <c r="I273" s="11"/>
    </row>
    <row r="274">
      <c r="I274" s="11"/>
    </row>
    <row r="275">
      <c r="I275" s="11"/>
    </row>
    <row r="276">
      <c r="I276" s="11"/>
    </row>
    <row r="277">
      <c r="I277" s="11"/>
    </row>
    <row r="278">
      <c r="I278" s="11"/>
    </row>
    <row r="279">
      <c r="I279" s="11"/>
    </row>
    <row r="280">
      <c r="I280" s="11"/>
    </row>
    <row r="281">
      <c r="I281" s="11"/>
    </row>
    <row r="282">
      <c r="I282" s="11"/>
    </row>
    <row r="283">
      <c r="I283" s="11"/>
    </row>
    <row r="284">
      <c r="I284" s="11"/>
    </row>
    <row r="285">
      <c r="I285" s="11"/>
    </row>
    <row r="286">
      <c r="I286" s="11"/>
    </row>
    <row r="287">
      <c r="I287" s="11"/>
    </row>
    <row r="288">
      <c r="I288" s="11"/>
    </row>
    <row r="289">
      <c r="I289" s="11"/>
    </row>
    <row r="290">
      <c r="I290" s="11"/>
    </row>
    <row r="291">
      <c r="I291" s="11"/>
    </row>
    <row r="292">
      <c r="I292" s="11"/>
    </row>
    <row r="293">
      <c r="I293" s="11"/>
    </row>
    <row r="294">
      <c r="I294" s="11"/>
    </row>
    <row r="295">
      <c r="I295" s="11"/>
    </row>
    <row r="296">
      <c r="I296" s="11"/>
    </row>
    <row r="297">
      <c r="I297" s="11"/>
    </row>
    <row r="298">
      <c r="I298" s="11"/>
    </row>
    <row r="299">
      <c r="I299" s="11"/>
    </row>
    <row r="300">
      <c r="I300" s="11"/>
    </row>
    <row r="301">
      <c r="I301" s="11"/>
    </row>
    <row r="302">
      <c r="I302" s="11"/>
    </row>
    <row r="303">
      <c r="I303" s="11"/>
    </row>
    <row r="304">
      <c r="I304" s="11"/>
    </row>
    <row r="305">
      <c r="I305" s="11"/>
    </row>
    <row r="306">
      <c r="I306" s="11"/>
    </row>
    <row r="307">
      <c r="I307" s="11"/>
    </row>
    <row r="308">
      <c r="I308" s="11"/>
    </row>
    <row r="309">
      <c r="I309" s="11"/>
    </row>
    <row r="310">
      <c r="I310" s="11"/>
    </row>
    <row r="311">
      <c r="I311" s="11"/>
    </row>
    <row r="312">
      <c r="I312" s="11"/>
    </row>
    <row r="313">
      <c r="I313" s="11"/>
    </row>
    <row r="314">
      <c r="I314" s="11"/>
    </row>
    <row r="315">
      <c r="I315" s="11"/>
    </row>
    <row r="316">
      <c r="I316" s="11"/>
    </row>
    <row r="317">
      <c r="I317" s="11"/>
    </row>
    <row r="318">
      <c r="I318" s="11"/>
    </row>
    <row r="319">
      <c r="I319" s="11"/>
    </row>
    <row r="320">
      <c r="I320" s="11"/>
    </row>
    <row r="321">
      <c r="I321" s="11"/>
    </row>
    <row r="322">
      <c r="I322" s="11"/>
    </row>
    <row r="323">
      <c r="I323" s="11"/>
    </row>
    <row r="324">
      <c r="I324" s="11"/>
    </row>
    <row r="325">
      <c r="I325" s="11"/>
    </row>
    <row r="326">
      <c r="I326" s="11"/>
    </row>
    <row r="327">
      <c r="I327" s="11"/>
    </row>
    <row r="328">
      <c r="I328" s="11"/>
    </row>
    <row r="329">
      <c r="I329" s="11"/>
    </row>
    <row r="330">
      <c r="I330" s="11"/>
    </row>
    <row r="331">
      <c r="I331" s="11"/>
    </row>
    <row r="332">
      <c r="I332" s="11"/>
    </row>
    <row r="333">
      <c r="I333" s="11"/>
    </row>
    <row r="334">
      <c r="I334" s="11"/>
    </row>
    <row r="335">
      <c r="I335" s="11"/>
    </row>
    <row r="336">
      <c r="I336" s="11"/>
    </row>
    <row r="337">
      <c r="I337" s="11"/>
    </row>
    <row r="338">
      <c r="I338" s="11"/>
    </row>
    <row r="339">
      <c r="I339" s="11"/>
    </row>
    <row r="340">
      <c r="I340" s="11"/>
    </row>
    <row r="341">
      <c r="I341" s="11"/>
    </row>
    <row r="342">
      <c r="I342" s="11"/>
    </row>
    <row r="343">
      <c r="I343" s="11"/>
    </row>
    <row r="344">
      <c r="I344" s="11"/>
    </row>
    <row r="345">
      <c r="I345" s="11"/>
    </row>
    <row r="346">
      <c r="I346" s="11"/>
    </row>
    <row r="347">
      <c r="I347" s="11"/>
    </row>
    <row r="348">
      <c r="I348" s="11"/>
    </row>
    <row r="349">
      <c r="I349" s="11"/>
    </row>
    <row r="350">
      <c r="I350" s="11"/>
    </row>
    <row r="351">
      <c r="I351" s="11"/>
    </row>
    <row r="352">
      <c r="I352" s="11"/>
    </row>
    <row r="353">
      <c r="I353" s="11"/>
    </row>
    <row r="354">
      <c r="I354" s="11"/>
    </row>
    <row r="355">
      <c r="I355" s="11"/>
    </row>
    <row r="356">
      <c r="I356" s="11"/>
    </row>
    <row r="357">
      <c r="I357" s="11"/>
    </row>
    <row r="358">
      <c r="I358" s="11"/>
    </row>
    <row r="359">
      <c r="I359" s="11"/>
    </row>
    <row r="360">
      <c r="I360" s="11"/>
    </row>
    <row r="361">
      <c r="I361" s="11"/>
    </row>
    <row r="362">
      <c r="I362" s="11"/>
    </row>
    <row r="363">
      <c r="I363" s="11"/>
    </row>
    <row r="364">
      <c r="I364" s="11"/>
    </row>
    <row r="365">
      <c r="I365" s="11"/>
    </row>
    <row r="366">
      <c r="I366" s="11"/>
    </row>
    <row r="367">
      <c r="I367" s="11"/>
    </row>
    <row r="368">
      <c r="I368" s="11"/>
    </row>
    <row r="369">
      <c r="I369" s="11"/>
    </row>
    <row r="370">
      <c r="I370" s="11"/>
    </row>
    <row r="371">
      <c r="I371" s="11"/>
    </row>
    <row r="372">
      <c r="I372" s="11"/>
    </row>
    <row r="373">
      <c r="I373" s="11"/>
    </row>
    <row r="374">
      <c r="I374" s="11"/>
    </row>
    <row r="375">
      <c r="I375" s="11"/>
    </row>
    <row r="376">
      <c r="I376" s="11"/>
    </row>
    <row r="377">
      <c r="I377" s="11"/>
    </row>
    <row r="378">
      <c r="I378" s="11"/>
    </row>
    <row r="379">
      <c r="I379" s="11"/>
    </row>
    <row r="380">
      <c r="I380" s="11"/>
    </row>
    <row r="381">
      <c r="I381" s="11"/>
    </row>
    <row r="382">
      <c r="I382" s="11"/>
    </row>
    <row r="383">
      <c r="I383" s="11"/>
    </row>
    <row r="384">
      <c r="I384" s="11"/>
    </row>
    <row r="385">
      <c r="I385" s="11"/>
    </row>
    <row r="386">
      <c r="I386" s="11"/>
    </row>
    <row r="387">
      <c r="I387" s="11"/>
    </row>
    <row r="388">
      <c r="I388" s="11"/>
    </row>
    <row r="389">
      <c r="I389" s="11"/>
    </row>
    <row r="390">
      <c r="I390" s="11"/>
    </row>
    <row r="391">
      <c r="I391" s="11"/>
    </row>
    <row r="392">
      <c r="I392" s="11"/>
    </row>
    <row r="393">
      <c r="I393" s="11"/>
    </row>
    <row r="394">
      <c r="I394" s="11"/>
    </row>
    <row r="395">
      <c r="I395" s="11"/>
    </row>
    <row r="396">
      <c r="I396" s="11"/>
    </row>
    <row r="397">
      <c r="I397" s="11"/>
    </row>
    <row r="398">
      <c r="I398" s="11"/>
    </row>
    <row r="399">
      <c r="I399" s="11"/>
    </row>
    <row r="400">
      <c r="I400" s="11"/>
    </row>
    <row r="401">
      <c r="I401" s="11"/>
    </row>
    <row r="402">
      <c r="I402" s="11"/>
    </row>
    <row r="403">
      <c r="I403" s="11"/>
    </row>
    <row r="404">
      <c r="I404" s="11"/>
    </row>
    <row r="405">
      <c r="I405" s="11"/>
    </row>
    <row r="406">
      <c r="I406" s="11"/>
    </row>
    <row r="407">
      <c r="I407" s="11"/>
    </row>
    <row r="408">
      <c r="I408" s="11"/>
    </row>
    <row r="409">
      <c r="I409" s="11"/>
    </row>
    <row r="410">
      <c r="I410" s="11"/>
    </row>
    <row r="411">
      <c r="I411" s="11"/>
    </row>
    <row r="412">
      <c r="I412" s="11"/>
    </row>
    <row r="413">
      <c r="I413" s="11"/>
    </row>
    <row r="414">
      <c r="I414" s="11"/>
    </row>
    <row r="415">
      <c r="I415" s="11"/>
    </row>
    <row r="416">
      <c r="I416" s="11"/>
    </row>
    <row r="417">
      <c r="I417" s="11"/>
    </row>
    <row r="418">
      <c r="I418" s="11"/>
    </row>
    <row r="419">
      <c r="I419" s="11"/>
    </row>
    <row r="420">
      <c r="I420" s="11"/>
    </row>
    <row r="421">
      <c r="I421" s="11"/>
    </row>
    <row r="422">
      <c r="I422" s="11"/>
    </row>
    <row r="423">
      <c r="I423" s="11"/>
    </row>
    <row r="424">
      <c r="I424" s="11"/>
    </row>
    <row r="425">
      <c r="I425" s="11"/>
    </row>
    <row r="426">
      <c r="I426" s="11"/>
    </row>
    <row r="427">
      <c r="I427" s="11"/>
    </row>
    <row r="428">
      <c r="I428" s="11"/>
    </row>
    <row r="429">
      <c r="I429" s="11"/>
    </row>
    <row r="430">
      <c r="I430" s="11"/>
    </row>
    <row r="431">
      <c r="I431" s="11"/>
    </row>
    <row r="432">
      <c r="I432" s="11"/>
    </row>
    <row r="433">
      <c r="I433" s="11"/>
    </row>
    <row r="434">
      <c r="I434" s="11"/>
    </row>
    <row r="435">
      <c r="I435" s="11"/>
    </row>
    <row r="436">
      <c r="I436" s="11"/>
    </row>
    <row r="437">
      <c r="I437" s="11"/>
    </row>
    <row r="438">
      <c r="I438" s="11"/>
    </row>
    <row r="439">
      <c r="I439" s="11"/>
    </row>
    <row r="440">
      <c r="I440" s="11"/>
    </row>
    <row r="441">
      <c r="I441" s="11"/>
    </row>
    <row r="442">
      <c r="I442" s="11"/>
    </row>
    <row r="443">
      <c r="I443" s="11"/>
    </row>
    <row r="444">
      <c r="I444" s="11"/>
    </row>
    <row r="445">
      <c r="I445" s="11"/>
    </row>
    <row r="446">
      <c r="I446" s="11"/>
    </row>
    <row r="447">
      <c r="I447" s="11"/>
    </row>
    <row r="448">
      <c r="I448" s="11"/>
    </row>
    <row r="449">
      <c r="I449" s="11"/>
    </row>
    <row r="450">
      <c r="I450" s="11"/>
    </row>
    <row r="451">
      <c r="I451" s="11"/>
    </row>
    <row r="452">
      <c r="I452" s="11"/>
    </row>
    <row r="453">
      <c r="I453" s="11"/>
    </row>
    <row r="454">
      <c r="I454" s="11"/>
    </row>
    <row r="455">
      <c r="I455" s="11"/>
    </row>
    <row r="456">
      <c r="I456" s="11"/>
    </row>
    <row r="457">
      <c r="I457" s="11"/>
    </row>
    <row r="458">
      <c r="I458" s="11"/>
    </row>
    <row r="459">
      <c r="I459" s="11"/>
    </row>
    <row r="460">
      <c r="I460" s="11"/>
    </row>
    <row r="461">
      <c r="I461" s="11"/>
    </row>
    <row r="462">
      <c r="I462" s="11"/>
    </row>
    <row r="463">
      <c r="I463" s="11"/>
    </row>
    <row r="464">
      <c r="I464" s="11"/>
    </row>
    <row r="465">
      <c r="I465" s="11"/>
    </row>
    <row r="466">
      <c r="I466" s="11"/>
    </row>
    <row r="467">
      <c r="I467" s="11"/>
    </row>
    <row r="468">
      <c r="I468" s="11"/>
    </row>
    <row r="469">
      <c r="I469" s="11"/>
    </row>
    <row r="470">
      <c r="I470" s="11"/>
    </row>
    <row r="471">
      <c r="I471" s="11"/>
    </row>
    <row r="472">
      <c r="I472" s="11"/>
    </row>
    <row r="473">
      <c r="I473" s="11"/>
    </row>
    <row r="474">
      <c r="I474" s="11"/>
    </row>
    <row r="475">
      <c r="I475" s="11"/>
    </row>
    <row r="476">
      <c r="I476" s="11"/>
    </row>
    <row r="477">
      <c r="I477" s="11"/>
    </row>
    <row r="478">
      <c r="I478" s="11"/>
    </row>
    <row r="479">
      <c r="I479" s="11"/>
    </row>
    <row r="480">
      <c r="I480" s="11"/>
    </row>
    <row r="481">
      <c r="I481" s="11"/>
    </row>
    <row r="482">
      <c r="I482" s="11"/>
    </row>
    <row r="483">
      <c r="I483" s="11"/>
    </row>
    <row r="484">
      <c r="I484" s="11"/>
    </row>
    <row r="485">
      <c r="I485" s="11"/>
    </row>
    <row r="486">
      <c r="I486" s="11"/>
    </row>
    <row r="487">
      <c r="I487" s="11"/>
    </row>
    <row r="488">
      <c r="I488" s="11"/>
    </row>
    <row r="489">
      <c r="I489" s="11"/>
    </row>
    <row r="490">
      <c r="I490" s="11"/>
    </row>
    <row r="491">
      <c r="I491" s="11"/>
    </row>
    <row r="492">
      <c r="I492" s="11"/>
    </row>
    <row r="493">
      <c r="I493" s="11"/>
    </row>
    <row r="494">
      <c r="I494" s="11"/>
    </row>
    <row r="495">
      <c r="I495" s="11"/>
    </row>
    <row r="496">
      <c r="I496" s="11"/>
    </row>
    <row r="497">
      <c r="I497" s="11"/>
    </row>
    <row r="498">
      <c r="I498" s="11"/>
    </row>
    <row r="499">
      <c r="I499" s="11"/>
    </row>
    <row r="500">
      <c r="I500" s="11"/>
    </row>
    <row r="501">
      <c r="I501" s="11"/>
    </row>
    <row r="502">
      <c r="I502" s="11"/>
    </row>
    <row r="503">
      <c r="I503" s="11"/>
    </row>
    <row r="504">
      <c r="I504" s="11"/>
    </row>
    <row r="505">
      <c r="I505" s="11"/>
    </row>
    <row r="506">
      <c r="I506" s="11"/>
    </row>
    <row r="507">
      <c r="I507" s="11"/>
    </row>
    <row r="508">
      <c r="I508" s="11"/>
    </row>
    <row r="509">
      <c r="I509" s="11"/>
    </row>
    <row r="510">
      <c r="I510" s="11"/>
    </row>
    <row r="511">
      <c r="I511" s="11"/>
    </row>
    <row r="512">
      <c r="I512" s="11"/>
    </row>
    <row r="513">
      <c r="I513" s="11"/>
    </row>
    <row r="514">
      <c r="I514" s="11"/>
    </row>
    <row r="515">
      <c r="I515" s="11"/>
    </row>
    <row r="516">
      <c r="I516" s="11"/>
    </row>
    <row r="517">
      <c r="I517" s="11"/>
    </row>
    <row r="518">
      <c r="I518" s="11"/>
    </row>
    <row r="519">
      <c r="I519" s="11"/>
    </row>
    <row r="520">
      <c r="I520" s="11"/>
    </row>
    <row r="521">
      <c r="I521" s="11"/>
    </row>
    <row r="522">
      <c r="I522" s="11"/>
    </row>
    <row r="523">
      <c r="I523" s="11"/>
    </row>
    <row r="524">
      <c r="I524" s="11"/>
    </row>
    <row r="525">
      <c r="I525" s="11"/>
    </row>
    <row r="526">
      <c r="I526" s="11"/>
    </row>
    <row r="527">
      <c r="I527" s="11"/>
    </row>
    <row r="528">
      <c r="I528" s="11"/>
    </row>
    <row r="529">
      <c r="I529" s="11"/>
    </row>
    <row r="530">
      <c r="I530" s="11"/>
    </row>
    <row r="531">
      <c r="I531" s="11"/>
    </row>
    <row r="532">
      <c r="I532" s="11"/>
    </row>
    <row r="533">
      <c r="I533" s="11"/>
    </row>
    <row r="534">
      <c r="I534" s="11"/>
    </row>
    <row r="535">
      <c r="I535" s="11"/>
    </row>
    <row r="536">
      <c r="I536" s="11"/>
    </row>
    <row r="537">
      <c r="I537" s="11"/>
    </row>
    <row r="538">
      <c r="I538" s="11"/>
    </row>
    <row r="539">
      <c r="I539" s="11"/>
    </row>
    <row r="540">
      <c r="I540" s="11"/>
    </row>
    <row r="541">
      <c r="I541" s="11"/>
    </row>
    <row r="542">
      <c r="I542" s="11"/>
    </row>
    <row r="543">
      <c r="I543" s="11"/>
    </row>
    <row r="544">
      <c r="I544" s="11"/>
    </row>
    <row r="545">
      <c r="I545" s="11"/>
    </row>
    <row r="546">
      <c r="I546" s="11"/>
    </row>
    <row r="547">
      <c r="I547" s="11"/>
    </row>
    <row r="548">
      <c r="I548" s="11"/>
    </row>
    <row r="549">
      <c r="I549" s="11"/>
    </row>
    <row r="550">
      <c r="I550" s="11"/>
    </row>
    <row r="551">
      <c r="I551" s="11"/>
    </row>
    <row r="552">
      <c r="I552" s="11"/>
    </row>
    <row r="553">
      <c r="I553" s="11"/>
    </row>
    <row r="554">
      <c r="I554" s="11"/>
    </row>
    <row r="555">
      <c r="I555" s="11"/>
    </row>
    <row r="556">
      <c r="I556" s="11"/>
    </row>
    <row r="557">
      <c r="I557" s="11"/>
    </row>
    <row r="558">
      <c r="I558" s="11"/>
    </row>
    <row r="559">
      <c r="I559" s="11"/>
    </row>
    <row r="560">
      <c r="I560" s="11"/>
    </row>
    <row r="561">
      <c r="I561" s="11"/>
    </row>
    <row r="562">
      <c r="I562" s="11"/>
    </row>
    <row r="563">
      <c r="I563" s="11"/>
    </row>
    <row r="564">
      <c r="I564" s="11"/>
    </row>
    <row r="565">
      <c r="I565" s="11"/>
    </row>
    <row r="566">
      <c r="I566" s="11"/>
    </row>
    <row r="567">
      <c r="I567" s="11"/>
    </row>
    <row r="568">
      <c r="I568" s="11"/>
    </row>
    <row r="569">
      <c r="I569" s="11"/>
    </row>
    <row r="570">
      <c r="I570" s="11"/>
    </row>
    <row r="571">
      <c r="I571" s="11"/>
    </row>
    <row r="572">
      <c r="I572" s="11"/>
    </row>
    <row r="573">
      <c r="I573" s="11"/>
    </row>
    <row r="574">
      <c r="I574" s="11"/>
    </row>
    <row r="575">
      <c r="I575" s="11"/>
    </row>
    <row r="576">
      <c r="I576" s="11"/>
    </row>
    <row r="577">
      <c r="I577" s="11"/>
    </row>
    <row r="578">
      <c r="I578" s="11"/>
    </row>
    <row r="579">
      <c r="I579" s="11"/>
    </row>
    <row r="580">
      <c r="I580" s="11"/>
    </row>
    <row r="581">
      <c r="I581" s="11"/>
    </row>
    <row r="582">
      <c r="I582" s="11"/>
    </row>
    <row r="583">
      <c r="I583" s="11"/>
    </row>
    <row r="584">
      <c r="I584" s="11"/>
    </row>
    <row r="585">
      <c r="I585" s="11"/>
    </row>
    <row r="586">
      <c r="I586" s="11"/>
    </row>
    <row r="587">
      <c r="I587" s="11"/>
    </row>
    <row r="588">
      <c r="I588" s="11"/>
    </row>
    <row r="589">
      <c r="I589" s="11"/>
    </row>
    <row r="590">
      <c r="I590" s="11"/>
    </row>
    <row r="591">
      <c r="I591" s="11"/>
    </row>
    <row r="592">
      <c r="I592" s="11"/>
    </row>
    <row r="593">
      <c r="I593" s="11"/>
    </row>
    <row r="594">
      <c r="I594" s="11"/>
    </row>
    <row r="595">
      <c r="I595" s="11"/>
    </row>
    <row r="596">
      <c r="I596" s="11"/>
    </row>
    <row r="597">
      <c r="I597" s="11"/>
    </row>
    <row r="598">
      <c r="I598" s="11"/>
    </row>
    <row r="599">
      <c r="I599" s="11"/>
    </row>
    <row r="600">
      <c r="I600" s="11"/>
    </row>
    <row r="601">
      <c r="I601" s="11"/>
    </row>
    <row r="602">
      <c r="I602" s="11"/>
    </row>
    <row r="603">
      <c r="I603" s="11"/>
    </row>
    <row r="604">
      <c r="I604" s="11"/>
    </row>
    <row r="605">
      <c r="I605" s="11"/>
    </row>
    <row r="606">
      <c r="I606" s="11"/>
    </row>
    <row r="607">
      <c r="I607" s="11"/>
    </row>
    <row r="608">
      <c r="I608" s="11"/>
    </row>
    <row r="609">
      <c r="I609" s="11"/>
    </row>
    <row r="610">
      <c r="I610" s="11"/>
    </row>
    <row r="611">
      <c r="I611" s="11"/>
    </row>
    <row r="612">
      <c r="I612" s="11"/>
    </row>
    <row r="613">
      <c r="I613" s="11"/>
    </row>
    <row r="614">
      <c r="I614" s="11"/>
    </row>
    <row r="615">
      <c r="I615" s="11"/>
    </row>
    <row r="616">
      <c r="I616" s="11"/>
    </row>
    <row r="617">
      <c r="I617" s="11"/>
    </row>
    <row r="618">
      <c r="I618" s="11"/>
    </row>
    <row r="619">
      <c r="I619" s="11"/>
    </row>
    <row r="620">
      <c r="I620" s="11"/>
    </row>
    <row r="621">
      <c r="I621" s="11"/>
    </row>
    <row r="622">
      <c r="I622" s="11"/>
    </row>
    <row r="623">
      <c r="I623" s="11"/>
    </row>
    <row r="624">
      <c r="I624" s="11"/>
    </row>
    <row r="625">
      <c r="I625" s="11"/>
    </row>
    <row r="626">
      <c r="I626" s="11"/>
    </row>
    <row r="627">
      <c r="I627" s="11"/>
    </row>
    <row r="628">
      <c r="I628" s="11"/>
    </row>
    <row r="629">
      <c r="I629" s="11"/>
    </row>
    <row r="630">
      <c r="I630" s="11"/>
    </row>
    <row r="631">
      <c r="I631" s="11"/>
    </row>
    <row r="632">
      <c r="I632" s="11"/>
    </row>
    <row r="633">
      <c r="I633" s="11"/>
    </row>
    <row r="634">
      <c r="I634" s="11"/>
    </row>
    <row r="635">
      <c r="I635" s="11"/>
    </row>
    <row r="636">
      <c r="I636" s="11"/>
    </row>
    <row r="637">
      <c r="I637" s="11"/>
    </row>
    <row r="638">
      <c r="I638" s="11"/>
    </row>
    <row r="639">
      <c r="I639" s="11"/>
    </row>
    <row r="640">
      <c r="I640" s="11"/>
    </row>
    <row r="641">
      <c r="I641" s="11"/>
    </row>
    <row r="642">
      <c r="I642" s="11"/>
    </row>
    <row r="643">
      <c r="I643" s="11"/>
    </row>
    <row r="644">
      <c r="I644" s="11"/>
    </row>
    <row r="645">
      <c r="I645" s="11"/>
    </row>
    <row r="646">
      <c r="I646" s="11"/>
    </row>
    <row r="647">
      <c r="I647" s="11"/>
    </row>
    <row r="648">
      <c r="I648" s="11"/>
    </row>
    <row r="649">
      <c r="I649" s="11"/>
    </row>
    <row r="650">
      <c r="I650" s="11"/>
    </row>
    <row r="651">
      <c r="I651" s="11"/>
    </row>
    <row r="652">
      <c r="I652" s="11"/>
    </row>
    <row r="653">
      <c r="I653" s="11"/>
    </row>
    <row r="654">
      <c r="I654" s="11"/>
    </row>
    <row r="655">
      <c r="I655" s="11"/>
    </row>
    <row r="656">
      <c r="I656" s="11"/>
    </row>
    <row r="657">
      <c r="I657" s="11"/>
    </row>
    <row r="658">
      <c r="I658" s="11"/>
    </row>
    <row r="659">
      <c r="I659" s="11"/>
    </row>
    <row r="660">
      <c r="I660" s="11"/>
    </row>
    <row r="661">
      <c r="I661" s="11"/>
    </row>
    <row r="662">
      <c r="I662" s="11"/>
    </row>
    <row r="663">
      <c r="I663" s="11"/>
    </row>
    <row r="664">
      <c r="I664" s="11"/>
    </row>
    <row r="665">
      <c r="I665" s="11"/>
    </row>
    <row r="666">
      <c r="I666" s="11"/>
    </row>
    <row r="667">
      <c r="I667" s="11"/>
    </row>
    <row r="668">
      <c r="I668" s="11"/>
    </row>
    <row r="669">
      <c r="I669" s="11"/>
    </row>
    <row r="670">
      <c r="I670" s="11"/>
    </row>
    <row r="671">
      <c r="I671" s="11"/>
    </row>
    <row r="672">
      <c r="I672" s="11"/>
    </row>
    <row r="673">
      <c r="I673" s="11"/>
    </row>
    <row r="674">
      <c r="I674" s="11"/>
    </row>
    <row r="675">
      <c r="I675" s="11"/>
    </row>
    <row r="676">
      <c r="I676" s="11"/>
    </row>
    <row r="677">
      <c r="I677" s="11"/>
    </row>
    <row r="678">
      <c r="I678" s="11"/>
    </row>
    <row r="679">
      <c r="I679" s="11"/>
    </row>
    <row r="680">
      <c r="I680" s="11"/>
    </row>
    <row r="681">
      <c r="I681" s="11"/>
    </row>
    <row r="682">
      <c r="I682" s="11"/>
    </row>
    <row r="683">
      <c r="I683" s="11"/>
    </row>
    <row r="684">
      <c r="I684" s="11"/>
    </row>
    <row r="685">
      <c r="I685" s="11"/>
    </row>
    <row r="686">
      <c r="I686" s="11"/>
    </row>
    <row r="687">
      <c r="I687" s="11"/>
    </row>
    <row r="688">
      <c r="I688" s="11"/>
    </row>
    <row r="689">
      <c r="I689" s="11"/>
    </row>
    <row r="690">
      <c r="I690" s="11"/>
    </row>
    <row r="691">
      <c r="I691" s="11"/>
    </row>
    <row r="692">
      <c r="I692" s="11"/>
    </row>
    <row r="693">
      <c r="I693" s="11"/>
    </row>
    <row r="694">
      <c r="I694" s="11"/>
    </row>
    <row r="695">
      <c r="I695" s="11"/>
    </row>
    <row r="696">
      <c r="I696" s="11"/>
    </row>
    <row r="697">
      <c r="I697" s="11"/>
    </row>
    <row r="698">
      <c r="I698" s="11"/>
    </row>
    <row r="699">
      <c r="I699" s="11"/>
    </row>
    <row r="700">
      <c r="I700" s="11"/>
    </row>
    <row r="701">
      <c r="I701" s="11"/>
    </row>
    <row r="702">
      <c r="I702" s="11"/>
    </row>
    <row r="703">
      <c r="I703" s="11"/>
    </row>
    <row r="704">
      <c r="I704" s="11"/>
    </row>
    <row r="705">
      <c r="I705" s="11"/>
    </row>
    <row r="706">
      <c r="I706" s="11"/>
    </row>
    <row r="707">
      <c r="I707" s="11"/>
    </row>
    <row r="708">
      <c r="I708" s="11"/>
    </row>
    <row r="709">
      <c r="I709" s="11"/>
    </row>
    <row r="710">
      <c r="I710" s="11"/>
    </row>
    <row r="711">
      <c r="I711" s="11"/>
    </row>
    <row r="712">
      <c r="I712" s="11"/>
    </row>
    <row r="713">
      <c r="I713" s="11"/>
    </row>
    <row r="714">
      <c r="I714" s="11"/>
    </row>
    <row r="715">
      <c r="I715" s="11"/>
    </row>
    <row r="716">
      <c r="I716" s="11"/>
    </row>
    <row r="717">
      <c r="I717" s="11"/>
    </row>
    <row r="718">
      <c r="I718" s="11"/>
    </row>
    <row r="719">
      <c r="I719" s="11"/>
    </row>
    <row r="720">
      <c r="I720" s="11"/>
    </row>
    <row r="721">
      <c r="I721" s="11"/>
    </row>
    <row r="722">
      <c r="I722" s="11"/>
    </row>
    <row r="723">
      <c r="I723" s="11"/>
    </row>
    <row r="724">
      <c r="I724" s="11"/>
    </row>
    <row r="725">
      <c r="I725" s="11"/>
    </row>
    <row r="726">
      <c r="I726" s="11"/>
    </row>
    <row r="727">
      <c r="I727" s="11"/>
    </row>
    <row r="728">
      <c r="I728" s="11"/>
    </row>
    <row r="729">
      <c r="I729" s="11"/>
    </row>
    <row r="730">
      <c r="I730" s="11"/>
    </row>
    <row r="731">
      <c r="I731" s="11"/>
    </row>
    <row r="732">
      <c r="I732" s="11"/>
    </row>
    <row r="733">
      <c r="I733" s="11"/>
    </row>
    <row r="734">
      <c r="I734" s="11"/>
    </row>
    <row r="735">
      <c r="I735" s="11"/>
    </row>
    <row r="736">
      <c r="I736" s="11"/>
    </row>
    <row r="737">
      <c r="I737" s="11"/>
    </row>
    <row r="738">
      <c r="I738" s="11"/>
    </row>
    <row r="739">
      <c r="I739" s="11"/>
    </row>
    <row r="740">
      <c r="I740" s="11"/>
    </row>
    <row r="741">
      <c r="I741" s="11"/>
    </row>
    <row r="742">
      <c r="I742" s="11"/>
    </row>
    <row r="743">
      <c r="I743" s="11"/>
    </row>
    <row r="744">
      <c r="I744" s="11"/>
    </row>
    <row r="745">
      <c r="I745" s="11"/>
    </row>
    <row r="746">
      <c r="I746" s="11"/>
    </row>
    <row r="747">
      <c r="I747" s="11"/>
    </row>
    <row r="748">
      <c r="I748" s="11"/>
    </row>
    <row r="749">
      <c r="I749" s="11"/>
    </row>
    <row r="750">
      <c r="I750" s="11"/>
    </row>
    <row r="751">
      <c r="I751" s="11"/>
    </row>
    <row r="752">
      <c r="I752" s="11"/>
    </row>
    <row r="753">
      <c r="I753" s="11"/>
    </row>
    <row r="754">
      <c r="I754" s="11"/>
    </row>
    <row r="755">
      <c r="I755" s="11"/>
    </row>
    <row r="756">
      <c r="I756" s="11"/>
    </row>
    <row r="757">
      <c r="I757" s="11"/>
    </row>
    <row r="758">
      <c r="I758" s="11"/>
    </row>
    <row r="759">
      <c r="I759" s="11"/>
    </row>
    <row r="760">
      <c r="I760" s="11"/>
    </row>
    <row r="761">
      <c r="I761" s="11"/>
    </row>
    <row r="762">
      <c r="I762" s="11"/>
    </row>
    <row r="763">
      <c r="I763" s="11"/>
    </row>
    <row r="764">
      <c r="I764" s="11"/>
    </row>
    <row r="765">
      <c r="I765" s="11"/>
    </row>
    <row r="766">
      <c r="I766" s="11"/>
    </row>
    <row r="767">
      <c r="I767" s="11"/>
    </row>
    <row r="768">
      <c r="I768" s="11"/>
    </row>
    <row r="769">
      <c r="I769" s="11"/>
    </row>
    <row r="770">
      <c r="I770" s="11"/>
    </row>
    <row r="771">
      <c r="I771" s="11"/>
    </row>
    <row r="772">
      <c r="I772" s="11"/>
    </row>
    <row r="773">
      <c r="I773" s="11"/>
    </row>
    <row r="774">
      <c r="I774" s="11"/>
    </row>
    <row r="775">
      <c r="I775" s="11"/>
    </row>
    <row r="776">
      <c r="I776" s="11"/>
    </row>
    <row r="777">
      <c r="I777" s="11"/>
    </row>
    <row r="778">
      <c r="I778" s="11"/>
    </row>
    <row r="779">
      <c r="I779" s="11"/>
    </row>
    <row r="780">
      <c r="I780" s="11"/>
    </row>
    <row r="781">
      <c r="I781" s="11"/>
    </row>
    <row r="782">
      <c r="I782" s="11"/>
    </row>
    <row r="783">
      <c r="I783" s="11"/>
    </row>
    <row r="784">
      <c r="I784" s="11"/>
    </row>
    <row r="785">
      <c r="I785" s="11"/>
    </row>
    <row r="786">
      <c r="I786" s="11"/>
    </row>
    <row r="787">
      <c r="I787" s="11"/>
    </row>
    <row r="788">
      <c r="I788" s="11"/>
    </row>
    <row r="789">
      <c r="I789" s="11"/>
    </row>
    <row r="790">
      <c r="I790" s="11"/>
    </row>
    <row r="791">
      <c r="I791" s="11"/>
    </row>
    <row r="792">
      <c r="I792" s="11"/>
    </row>
    <row r="793">
      <c r="I793" s="11"/>
    </row>
    <row r="794">
      <c r="I794" s="11"/>
    </row>
    <row r="795">
      <c r="I795" s="11"/>
    </row>
    <row r="796">
      <c r="I796" s="11"/>
    </row>
    <row r="797">
      <c r="I797" s="11"/>
    </row>
    <row r="798">
      <c r="I798" s="11"/>
    </row>
    <row r="799">
      <c r="I799" s="11"/>
    </row>
    <row r="800">
      <c r="I800" s="11"/>
    </row>
    <row r="801">
      <c r="I801" s="11"/>
    </row>
    <row r="802">
      <c r="I802" s="11"/>
    </row>
    <row r="803">
      <c r="I803" s="11"/>
    </row>
    <row r="804">
      <c r="I804" s="11"/>
    </row>
    <row r="805">
      <c r="I805" s="11"/>
    </row>
    <row r="806">
      <c r="I806" s="11"/>
    </row>
    <row r="807">
      <c r="I807" s="11"/>
    </row>
    <row r="808">
      <c r="I808" s="11"/>
    </row>
    <row r="809">
      <c r="I809" s="11"/>
    </row>
    <row r="810">
      <c r="I810" s="11"/>
    </row>
    <row r="811">
      <c r="I811" s="11"/>
    </row>
    <row r="812">
      <c r="I812" s="11"/>
    </row>
    <row r="813">
      <c r="I813" s="11"/>
    </row>
    <row r="814">
      <c r="I814" s="11"/>
    </row>
    <row r="815">
      <c r="I815" s="11"/>
    </row>
    <row r="816">
      <c r="I816" s="11"/>
    </row>
    <row r="817">
      <c r="I817" s="11"/>
    </row>
    <row r="818">
      <c r="I818" s="11"/>
    </row>
    <row r="819">
      <c r="I819" s="11"/>
    </row>
    <row r="820">
      <c r="I820" s="11"/>
    </row>
    <row r="821">
      <c r="I821" s="11"/>
    </row>
    <row r="822">
      <c r="I822" s="11"/>
    </row>
    <row r="823">
      <c r="I823" s="11"/>
    </row>
    <row r="824">
      <c r="I824" s="11"/>
    </row>
    <row r="825">
      <c r="I825" s="11"/>
    </row>
    <row r="826">
      <c r="I826" s="11"/>
    </row>
    <row r="827">
      <c r="I827" s="11"/>
    </row>
    <row r="828">
      <c r="I828" s="11"/>
    </row>
    <row r="829">
      <c r="I829" s="11"/>
    </row>
    <row r="830">
      <c r="I830" s="11"/>
    </row>
    <row r="831">
      <c r="I831" s="11"/>
    </row>
    <row r="832">
      <c r="I832" s="11"/>
    </row>
    <row r="833">
      <c r="I833" s="11"/>
    </row>
    <row r="834">
      <c r="I834" s="11"/>
    </row>
    <row r="835">
      <c r="I835" s="11"/>
    </row>
    <row r="836">
      <c r="I836" s="11"/>
    </row>
    <row r="837">
      <c r="I837" s="11"/>
    </row>
    <row r="838">
      <c r="I838" s="11"/>
    </row>
    <row r="839">
      <c r="I839" s="11"/>
    </row>
    <row r="840">
      <c r="I840" s="11"/>
    </row>
    <row r="841">
      <c r="I841" s="11"/>
    </row>
    <row r="842">
      <c r="I842" s="11"/>
    </row>
    <row r="843">
      <c r="I843" s="11"/>
    </row>
    <row r="844">
      <c r="I844" s="11"/>
    </row>
    <row r="845">
      <c r="I845" s="11"/>
    </row>
    <row r="846">
      <c r="I846" s="11"/>
    </row>
    <row r="847">
      <c r="I847" s="11"/>
    </row>
    <row r="848">
      <c r="I848" s="11"/>
    </row>
    <row r="849">
      <c r="I849" s="11"/>
    </row>
    <row r="850">
      <c r="I850" s="11"/>
    </row>
    <row r="851">
      <c r="I851" s="11"/>
    </row>
    <row r="852">
      <c r="I852" s="11"/>
    </row>
    <row r="853">
      <c r="I853" s="11"/>
    </row>
    <row r="854">
      <c r="I854" s="11"/>
    </row>
    <row r="855">
      <c r="I855" s="11"/>
    </row>
    <row r="856">
      <c r="I856" s="11"/>
    </row>
    <row r="857">
      <c r="I857" s="11"/>
    </row>
    <row r="858">
      <c r="I858" s="11"/>
    </row>
    <row r="859">
      <c r="I859" s="11"/>
    </row>
    <row r="860">
      <c r="I860" s="11"/>
    </row>
    <row r="861">
      <c r="I861" s="11"/>
    </row>
    <row r="862">
      <c r="I862" s="11"/>
    </row>
    <row r="863">
      <c r="I863" s="11"/>
    </row>
    <row r="864">
      <c r="I864" s="11"/>
    </row>
    <row r="865">
      <c r="I865" s="11"/>
    </row>
    <row r="866">
      <c r="I866" s="11"/>
    </row>
    <row r="867">
      <c r="I867" s="11"/>
    </row>
    <row r="868">
      <c r="I868" s="11"/>
    </row>
    <row r="869">
      <c r="I869" s="11"/>
    </row>
    <row r="870">
      <c r="I870" s="11"/>
    </row>
    <row r="871">
      <c r="I871" s="11"/>
    </row>
    <row r="872">
      <c r="I872" s="11"/>
    </row>
    <row r="873">
      <c r="I873" s="11"/>
    </row>
    <row r="874">
      <c r="I874" s="11"/>
    </row>
    <row r="875">
      <c r="I875" s="11"/>
    </row>
    <row r="876">
      <c r="I876" s="11"/>
    </row>
    <row r="877">
      <c r="I877" s="11"/>
    </row>
    <row r="878">
      <c r="I878" s="11"/>
    </row>
    <row r="879">
      <c r="I879" s="11"/>
    </row>
    <row r="880">
      <c r="I880" s="11"/>
    </row>
    <row r="881">
      <c r="I881" s="11"/>
    </row>
    <row r="882">
      <c r="I882" s="11"/>
    </row>
    <row r="883">
      <c r="I883" s="11"/>
    </row>
    <row r="884">
      <c r="I884" s="11"/>
    </row>
    <row r="885">
      <c r="I885" s="11"/>
    </row>
    <row r="886">
      <c r="I886" s="11"/>
    </row>
    <row r="887">
      <c r="I887" s="11"/>
    </row>
    <row r="888">
      <c r="I888" s="11"/>
    </row>
    <row r="889">
      <c r="I889" s="11"/>
    </row>
    <row r="890">
      <c r="I890" s="11"/>
    </row>
    <row r="891">
      <c r="I891" s="11"/>
    </row>
    <row r="892">
      <c r="I892" s="11"/>
    </row>
    <row r="893">
      <c r="I893" s="11"/>
    </row>
    <row r="894">
      <c r="I894" s="11"/>
    </row>
    <row r="895">
      <c r="I895" s="11"/>
    </row>
    <row r="896">
      <c r="I896" s="11"/>
    </row>
    <row r="897">
      <c r="I897" s="11"/>
    </row>
    <row r="898">
      <c r="I898" s="11"/>
    </row>
    <row r="899">
      <c r="I899" s="11"/>
    </row>
    <row r="900">
      <c r="I900" s="11"/>
    </row>
    <row r="901">
      <c r="I901" s="11"/>
    </row>
    <row r="902">
      <c r="I902" s="11"/>
    </row>
    <row r="903">
      <c r="I903" s="11"/>
    </row>
    <row r="904">
      <c r="I904" s="11"/>
    </row>
    <row r="905">
      <c r="I905" s="11"/>
    </row>
    <row r="906">
      <c r="I906" s="11"/>
    </row>
    <row r="907">
      <c r="I907" s="11"/>
    </row>
    <row r="908">
      <c r="I908" s="11"/>
    </row>
    <row r="909">
      <c r="I909" s="11"/>
    </row>
    <row r="910">
      <c r="I910" s="11"/>
    </row>
    <row r="911">
      <c r="I911" s="11"/>
    </row>
    <row r="912">
      <c r="I912" s="11"/>
    </row>
    <row r="913">
      <c r="I913" s="11"/>
    </row>
    <row r="914">
      <c r="I914" s="11"/>
    </row>
    <row r="915">
      <c r="I915" s="11"/>
    </row>
    <row r="916">
      <c r="I916" s="11"/>
    </row>
    <row r="917">
      <c r="I917" s="11"/>
    </row>
    <row r="918">
      <c r="I918" s="11"/>
    </row>
    <row r="919">
      <c r="I919" s="11"/>
    </row>
    <row r="920">
      <c r="I920" s="11"/>
    </row>
    <row r="921">
      <c r="I921" s="11"/>
    </row>
    <row r="922">
      <c r="I922" s="11"/>
    </row>
    <row r="923">
      <c r="I923" s="11"/>
    </row>
    <row r="924">
      <c r="I924" s="11"/>
    </row>
    <row r="925">
      <c r="I925" s="11"/>
    </row>
    <row r="926">
      <c r="I926" s="11"/>
    </row>
    <row r="927">
      <c r="I927" s="11"/>
    </row>
    <row r="928">
      <c r="I928" s="11"/>
    </row>
    <row r="929">
      <c r="I929" s="11"/>
    </row>
    <row r="930">
      <c r="I930" s="11"/>
    </row>
    <row r="931">
      <c r="I931" s="11"/>
    </row>
    <row r="932">
      <c r="I932" s="11"/>
    </row>
    <row r="933">
      <c r="I933" s="11"/>
    </row>
    <row r="934">
      <c r="I934" s="11"/>
    </row>
    <row r="935">
      <c r="I935" s="11"/>
    </row>
    <row r="936">
      <c r="I936" s="11"/>
    </row>
    <row r="937">
      <c r="I937" s="11"/>
    </row>
    <row r="938">
      <c r="I938" s="11"/>
    </row>
    <row r="939">
      <c r="I939" s="11"/>
    </row>
    <row r="940">
      <c r="I940" s="11"/>
    </row>
    <row r="941">
      <c r="I941" s="11"/>
    </row>
    <row r="942">
      <c r="I942" s="11"/>
    </row>
    <row r="943">
      <c r="I943" s="11"/>
    </row>
    <row r="944">
      <c r="I944" s="11"/>
    </row>
    <row r="945">
      <c r="I945" s="11"/>
    </row>
    <row r="946">
      <c r="I946" s="11"/>
    </row>
    <row r="947">
      <c r="I947" s="11"/>
    </row>
    <row r="948">
      <c r="I948" s="11"/>
    </row>
    <row r="949">
      <c r="I949" s="11"/>
    </row>
    <row r="950">
      <c r="I950" s="11"/>
    </row>
    <row r="951">
      <c r="I951" s="11"/>
    </row>
    <row r="952">
      <c r="I952" s="11"/>
    </row>
    <row r="953">
      <c r="I953" s="11"/>
    </row>
    <row r="954">
      <c r="I954" s="11"/>
    </row>
    <row r="955">
      <c r="I955" s="11"/>
    </row>
    <row r="956">
      <c r="I956" s="11"/>
    </row>
    <row r="957">
      <c r="I957" s="11"/>
    </row>
    <row r="958">
      <c r="I958" s="11"/>
    </row>
    <row r="959">
      <c r="I959" s="11"/>
    </row>
    <row r="960">
      <c r="I960" s="11"/>
    </row>
    <row r="961">
      <c r="I961" s="11"/>
    </row>
    <row r="962">
      <c r="I962" s="11"/>
    </row>
    <row r="963">
      <c r="I963" s="11"/>
    </row>
    <row r="964">
      <c r="I964" s="11"/>
    </row>
    <row r="965">
      <c r="I965" s="11"/>
    </row>
    <row r="966">
      <c r="I966" s="11"/>
    </row>
    <row r="967">
      <c r="I967" s="11"/>
    </row>
    <row r="968">
      <c r="I968" s="11"/>
    </row>
    <row r="969">
      <c r="I969" s="11"/>
    </row>
    <row r="970">
      <c r="I970" s="11"/>
    </row>
    <row r="971">
      <c r="I971" s="11"/>
    </row>
    <row r="972">
      <c r="I972" s="11"/>
    </row>
    <row r="973">
      <c r="I973" s="11"/>
    </row>
    <row r="974">
      <c r="I974" s="11"/>
    </row>
    <row r="975">
      <c r="I975" s="11"/>
    </row>
    <row r="976">
      <c r="I976" s="11"/>
    </row>
    <row r="977">
      <c r="I977" s="11"/>
    </row>
    <row r="978">
      <c r="I978" s="11"/>
    </row>
    <row r="979">
      <c r="I979" s="11"/>
    </row>
    <row r="980">
      <c r="I980" s="11"/>
    </row>
    <row r="981">
      <c r="I981" s="11"/>
    </row>
    <row r="982">
      <c r="I982" s="11"/>
    </row>
    <row r="983">
      <c r="I983" s="11"/>
    </row>
    <row r="984">
      <c r="I984" s="11"/>
    </row>
    <row r="985">
      <c r="I985" s="11"/>
    </row>
    <row r="986">
      <c r="I986" s="11"/>
    </row>
    <row r="987">
      <c r="I987" s="11"/>
    </row>
    <row r="988">
      <c r="I988" s="11"/>
    </row>
    <row r="989">
      <c r="I989" s="11"/>
    </row>
    <row r="990">
      <c r="I990" s="11"/>
    </row>
    <row r="991">
      <c r="I991" s="11"/>
    </row>
    <row r="992">
      <c r="I992" s="11"/>
    </row>
    <row r="993">
      <c r="I993" s="11"/>
    </row>
    <row r="994">
      <c r="I994" s="11"/>
    </row>
    <row r="995">
      <c r="I995" s="11"/>
    </row>
    <row r="996">
      <c r="I996" s="11"/>
    </row>
    <row r="997">
      <c r="I997" s="11"/>
    </row>
    <row r="998">
      <c r="I998" s="11"/>
    </row>
    <row r="999">
      <c r="I999" s="11"/>
    </row>
    <row r="1000">
      <c r="I1000" s="11"/>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8.86"/>
    <col customWidth="1" min="4" max="4" width="86.57"/>
    <col customWidth="1" min="5" max="5" width="17.57"/>
    <col customWidth="1" min="6" max="6" width="16.0"/>
    <col customWidth="1" min="7" max="7" width="10.71"/>
    <col customWidth="1" min="8" max="8" width="19.14"/>
    <col customWidth="1" min="9" max="9" width="11.0"/>
    <col customWidth="1" min="10" max="10" width="25.14"/>
    <col customWidth="1" min="11" max="11" width="69.29"/>
    <col customWidth="1" min="13" max="13" width="26.0"/>
    <col customWidth="1" min="14" max="14" width="26.86"/>
    <col customWidth="1" min="15" max="15" width="51.0"/>
    <col customWidth="1" min="16" max="16" width="28.0"/>
    <col customWidth="1" min="17" max="17" width="25.43"/>
    <col customWidth="1" min="18" max="18" width="25.29"/>
    <col customWidth="1" min="19" max="19" width="37.71"/>
    <col customWidth="1" min="20" max="20" width="39.29"/>
    <col customWidth="1" min="21" max="21" width="30.71"/>
    <col customWidth="1" min="22" max="23" width="29.14"/>
    <col customWidth="1" min="24" max="24" width="34.0"/>
    <col customWidth="1" min="25" max="25" width="26.0"/>
    <col customWidth="1" min="26" max="26" width="29.29"/>
    <col customWidth="1" min="27" max="27" width="39.29"/>
    <col customWidth="1" min="28" max="28" width="36.43"/>
    <col customWidth="1" min="29" max="30" width="25.43"/>
    <col customWidth="1" min="31" max="31" width="30.0"/>
    <col customWidth="1" min="32" max="32" width="26.57"/>
    <col customWidth="1" min="33" max="34" width="29.71"/>
    <col customWidth="1" min="35" max="35" width="50.86"/>
    <col customWidth="1" min="36" max="36" width="35.71"/>
    <col customWidth="1" min="37" max="37" width="29.14"/>
    <col customWidth="1" min="38" max="38" width="42.14"/>
    <col customWidth="1" min="39" max="39" width="35.71"/>
    <col customWidth="1" min="40" max="40" width="29.29"/>
    <col customWidth="1" min="41" max="41" width="29.43"/>
    <col customWidth="1" min="42" max="44" width="29.29"/>
  </cols>
  <sheetData>
    <row r="1">
      <c r="A1" s="13" t="s">
        <v>1</v>
      </c>
      <c r="B1" s="13" t="s">
        <v>2</v>
      </c>
      <c r="C1" s="13" t="s">
        <v>3</v>
      </c>
      <c r="D1" s="1" t="s">
        <v>4</v>
      </c>
      <c r="E1" s="1" t="s">
        <v>5</v>
      </c>
      <c r="F1" s="1" t="s">
        <v>6</v>
      </c>
      <c r="G1" s="1" t="s">
        <v>7</v>
      </c>
      <c r="H1" s="3"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41</v>
      </c>
      <c r="AK1" s="1" t="s">
        <v>37</v>
      </c>
      <c r="AL1" s="1" t="s">
        <v>38</v>
      </c>
      <c r="AM1" s="1" t="s">
        <v>39</v>
      </c>
      <c r="AN1" s="1" t="s">
        <v>40</v>
      </c>
      <c r="AO1" s="6" t="s">
        <v>42</v>
      </c>
      <c r="AP1" s="6" t="s">
        <v>43</v>
      </c>
      <c r="AQ1" s="6" t="s">
        <v>44</v>
      </c>
      <c r="AR1" s="6" t="s">
        <v>45</v>
      </c>
    </row>
    <row r="2">
      <c r="A2" s="14" t="s">
        <v>46</v>
      </c>
      <c r="B2" s="14" t="s">
        <v>47</v>
      </c>
      <c r="C2" s="14" t="s">
        <v>48</v>
      </c>
      <c r="D2" s="14" t="s">
        <v>49</v>
      </c>
      <c r="E2" s="14" t="s">
        <v>50</v>
      </c>
      <c r="F2" s="14" t="s">
        <v>51</v>
      </c>
      <c r="G2" s="14"/>
      <c r="H2" s="15" t="s">
        <v>52</v>
      </c>
      <c r="I2" s="14"/>
      <c r="J2" s="14" t="s">
        <v>53</v>
      </c>
      <c r="K2" s="14" t="s">
        <v>54</v>
      </c>
      <c r="L2" s="8"/>
      <c r="M2" s="14" t="s">
        <v>55</v>
      </c>
      <c r="N2" s="8"/>
      <c r="O2" s="14" t="s">
        <v>56</v>
      </c>
      <c r="P2" s="14" t="s">
        <v>54</v>
      </c>
      <c r="Q2" s="14" t="s">
        <v>57</v>
      </c>
      <c r="R2" s="8"/>
      <c r="S2" s="14" t="s">
        <v>56</v>
      </c>
      <c r="T2" s="16" t="s">
        <v>54</v>
      </c>
      <c r="U2" s="8"/>
      <c r="V2" s="8"/>
      <c r="W2" s="8"/>
      <c r="X2" s="8"/>
      <c r="Y2" s="8"/>
      <c r="Z2" s="8"/>
      <c r="AA2" s="8"/>
      <c r="AB2" s="8"/>
      <c r="AC2" s="8"/>
      <c r="AD2" s="8"/>
      <c r="AE2" s="8"/>
      <c r="AF2" s="8"/>
      <c r="AG2" s="8"/>
      <c r="AH2" s="8"/>
      <c r="AI2" s="8"/>
      <c r="AJ2" s="8"/>
      <c r="AK2" s="8"/>
      <c r="AL2" s="8"/>
      <c r="AM2" s="8"/>
      <c r="AN2" s="8"/>
      <c r="AO2" s="8"/>
      <c r="AP2" s="8"/>
      <c r="AQ2" s="8"/>
      <c r="AR2" s="8"/>
    </row>
    <row r="3">
      <c r="A3" s="14" t="s">
        <v>58</v>
      </c>
      <c r="B3" s="14" t="s">
        <v>59</v>
      </c>
      <c r="C3" s="14" t="s">
        <v>60</v>
      </c>
      <c r="D3" s="14" t="s">
        <v>61</v>
      </c>
      <c r="E3" s="16" t="s">
        <v>50</v>
      </c>
      <c r="F3" s="14" t="s">
        <v>51</v>
      </c>
      <c r="G3" s="14"/>
      <c r="H3" s="15" t="s">
        <v>62</v>
      </c>
      <c r="I3" s="14"/>
      <c r="J3" s="14" t="s">
        <v>63</v>
      </c>
      <c r="K3" s="14" t="s">
        <v>54</v>
      </c>
      <c r="L3" s="8"/>
      <c r="M3" s="14" t="s">
        <v>64</v>
      </c>
      <c r="N3" s="16"/>
      <c r="O3" s="16" t="s">
        <v>56</v>
      </c>
      <c r="P3" s="16" t="s">
        <v>54</v>
      </c>
      <c r="Q3" s="8"/>
      <c r="R3" s="8"/>
      <c r="S3" s="8"/>
      <c r="T3" s="8"/>
      <c r="U3" s="8"/>
      <c r="V3" s="8"/>
      <c r="W3" s="8"/>
      <c r="X3" s="8"/>
      <c r="Y3" s="8"/>
      <c r="Z3" s="8"/>
      <c r="AA3" s="8"/>
      <c r="AB3" s="8"/>
      <c r="AC3" s="8"/>
      <c r="AD3" s="8"/>
      <c r="AE3" s="8"/>
      <c r="AF3" s="8"/>
      <c r="AG3" s="8"/>
      <c r="AH3" s="8"/>
      <c r="AI3" s="8"/>
      <c r="AJ3" s="8"/>
      <c r="AK3" s="8"/>
      <c r="AL3" s="8"/>
      <c r="AM3" s="8"/>
      <c r="AN3" s="8"/>
      <c r="AO3" s="8"/>
      <c r="AP3" s="8"/>
      <c r="AQ3" s="8"/>
      <c r="AR3" s="8"/>
    </row>
    <row r="4">
      <c r="A4" s="14" t="s">
        <v>65</v>
      </c>
      <c r="B4" s="14" t="s">
        <v>66</v>
      </c>
      <c r="C4" s="14" t="s">
        <v>67</v>
      </c>
      <c r="D4" s="14" t="s">
        <v>68</v>
      </c>
      <c r="E4" s="16" t="s">
        <v>50</v>
      </c>
      <c r="F4" s="14" t="s">
        <v>51</v>
      </c>
      <c r="G4" s="14"/>
      <c r="H4" s="15" t="s">
        <v>69</v>
      </c>
      <c r="I4" s="14"/>
      <c r="J4" s="14" t="s">
        <v>70</v>
      </c>
      <c r="K4" s="16" t="s">
        <v>54</v>
      </c>
      <c r="L4" s="8"/>
      <c r="M4" s="14" t="s">
        <v>71</v>
      </c>
      <c r="N4" s="8"/>
      <c r="O4" s="16" t="s">
        <v>56</v>
      </c>
      <c r="P4" s="16" t="s">
        <v>54</v>
      </c>
      <c r="Q4" s="8"/>
      <c r="R4" s="8"/>
      <c r="S4" s="8"/>
      <c r="T4" s="8"/>
      <c r="U4" s="8"/>
      <c r="V4" s="8"/>
      <c r="W4" s="8"/>
      <c r="X4" s="8"/>
      <c r="Y4" s="8"/>
      <c r="Z4" s="8"/>
      <c r="AA4" s="8"/>
      <c r="AB4" s="8"/>
      <c r="AC4" s="8"/>
      <c r="AD4" s="8"/>
      <c r="AE4" s="8"/>
      <c r="AF4" s="8"/>
      <c r="AG4" s="8"/>
      <c r="AH4" s="8"/>
      <c r="AI4" s="8"/>
      <c r="AJ4" s="8"/>
      <c r="AK4" s="8"/>
      <c r="AL4" s="8"/>
      <c r="AM4" s="8"/>
      <c r="AN4" s="8"/>
      <c r="AO4" s="8"/>
      <c r="AP4" s="8"/>
      <c r="AQ4" s="8"/>
      <c r="AR4" s="8"/>
    </row>
    <row r="5">
      <c r="A5" s="14" t="s">
        <v>72</v>
      </c>
      <c r="B5" s="14" t="s">
        <v>73</v>
      </c>
      <c r="C5" s="14" t="s">
        <v>74</v>
      </c>
      <c r="D5" s="14" t="s">
        <v>75</v>
      </c>
      <c r="E5" s="16" t="s">
        <v>50</v>
      </c>
      <c r="F5" s="14" t="s">
        <v>51</v>
      </c>
      <c r="G5" s="14"/>
      <c r="H5" s="15" t="s">
        <v>76</v>
      </c>
      <c r="I5" s="14"/>
      <c r="J5" s="14" t="s">
        <v>77</v>
      </c>
      <c r="K5" s="16" t="s">
        <v>54</v>
      </c>
      <c r="L5" s="8"/>
      <c r="M5" s="14" t="s">
        <v>78</v>
      </c>
      <c r="N5" s="8"/>
      <c r="O5" s="16" t="s">
        <v>56</v>
      </c>
      <c r="P5" s="16" t="s">
        <v>54</v>
      </c>
      <c r="Q5" s="8"/>
      <c r="R5" s="8"/>
      <c r="S5" s="8"/>
      <c r="T5" s="8"/>
      <c r="U5" s="8"/>
      <c r="V5" s="8"/>
      <c r="W5" s="8"/>
      <c r="X5" s="8"/>
      <c r="Y5" s="8"/>
      <c r="Z5" s="8"/>
      <c r="AA5" s="8"/>
      <c r="AB5" s="8"/>
      <c r="AC5" s="8"/>
      <c r="AD5" s="8"/>
      <c r="AE5" s="8"/>
      <c r="AF5" s="8"/>
      <c r="AG5" s="8"/>
      <c r="AH5" s="8"/>
      <c r="AI5" s="8"/>
      <c r="AJ5" s="8"/>
      <c r="AK5" s="8"/>
      <c r="AL5" s="8"/>
      <c r="AM5" s="8"/>
      <c r="AN5" s="8"/>
      <c r="AO5" s="8"/>
      <c r="AP5" s="8"/>
      <c r="AQ5" s="8"/>
      <c r="AR5" s="8"/>
    </row>
    <row r="6">
      <c r="A6" s="14" t="s">
        <v>79</v>
      </c>
      <c r="B6" s="14" t="s">
        <v>80</v>
      </c>
      <c r="C6" s="14" t="s">
        <v>81</v>
      </c>
      <c r="D6" s="14" t="s">
        <v>82</v>
      </c>
      <c r="E6" s="16" t="s">
        <v>50</v>
      </c>
      <c r="F6" s="14" t="s">
        <v>51</v>
      </c>
      <c r="G6" s="14"/>
      <c r="H6" s="15" t="s">
        <v>83</v>
      </c>
      <c r="I6" s="14"/>
      <c r="J6" s="14" t="s">
        <v>84</v>
      </c>
      <c r="K6" s="14" t="s">
        <v>54</v>
      </c>
      <c r="L6" s="8"/>
      <c r="M6" s="14" t="s">
        <v>85</v>
      </c>
      <c r="N6" s="8"/>
      <c r="O6" s="16" t="s">
        <v>56</v>
      </c>
      <c r="P6" s="16" t="s">
        <v>54</v>
      </c>
      <c r="Q6" s="16" t="s">
        <v>86</v>
      </c>
      <c r="R6" s="8"/>
      <c r="S6" s="16" t="s">
        <v>56</v>
      </c>
      <c r="T6" s="16" t="s">
        <v>54</v>
      </c>
      <c r="U6" s="16" t="s">
        <v>87</v>
      </c>
      <c r="V6" s="8"/>
      <c r="W6" s="16" t="s">
        <v>56</v>
      </c>
      <c r="X6" s="16" t="s">
        <v>54</v>
      </c>
      <c r="AA6" s="8"/>
      <c r="AB6" s="8"/>
      <c r="AC6" s="8"/>
      <c r="AD6" s="8"/>
      <c r="AE6" s="8"/>
      <c r="AF6" s="8"/>
      <c r="AG6" s="8"/>
      <c r="AH6" s="8"/>
      <c r="AI6" s="8"/>
      <c r="AJ6" s="8"/>
      <c r="AK6" s="8"/>
      <c r="AL6" s="8"/>
      <c r="AM6" s="8"/>
      <c r="AN6" s="8"/>
      <c r="AO6" s="8"/>
      <c r="AP6" s="8"/>
      <c r="AQ6" s="8"/>
      <c r="AR6" s="8"/>
    </row>
    <row r="7">
      <c r="A7" s="14" t="s">
        <v>88</v>
      </c>
      <c r="B7" s="14" t="s">
        <v>89</v>
      </c>
      <c r="C7" s="14" t="s">
        <v>90</v>
      </c>
      <c r="D7" s="14" t="s">
        <v>91</v>
      </c>
      <c r="E7" s="16" t="s">
        <v>50</v>
      </c>
      <c r="F7" s="14" t="s">
        <v>51</v>
      </c>
      <c r="G7" s="14"/>
      <c r="H7" s="15" t="s">
        <v>83</v>
      </c>
      <c r="I7" s="14"/>
      <c r="J7" s="14" t="s">
        <v>92</v>
      </c>
      <c r="K7" s="14" t="s">
        <v>54</v>
      </c>
      <c r="L7" s="8"/>
      <c r="M7" s="14" t="s">
        <v>93</v>
      </c>
      <c r="N7" s="8"/>
      <c r="O7" s="16" t="s">
        <v>56</v>
      </c>
      <c r="P7" s="16" t="s">
        <v>54</v>
      </c>
      <c r="Q7" s="14" t="s">
        <v>94</v>
      </c>
      <c r="R7" s="8"/>
      <c r="S7" s="16" t="s">
        <v>56</v>
      </c>
      <c r="T7" s="16" t="s">
        <v>54</v>
      </c>
      <c r="U7" s="8"/>
      <c r="V7" s="8"/>
      <c r="W7" s="8"/>
      <c r="X7" s="8"/>
      <c r="AA7" s="8"/>
      <c r="AB7" s="8"/>
      <c r="AC7" s="8"/>
      <c r="AD7" s="8"/>
      <c r="AE7" s="8"/>
      <c r="AF7" s="8"/>
      <c r="AG7" s="8"/>
      <c r="AH7" s="8"/>
      <c r="AI7" s="8"/>
      <c r="AJ7" s="8"/>
      <c r="AK7" s="8"/>
      <c r="AL7" s="8"/>
      <c r="AM7" s="8"/>
      <c r="AN7" s="8"/>
      <c r="AO7" s="8"/>
      <c r="AP7" s="8"/>
      <c r="AQ7" s="8"/>
      <c r="AR7" s="8"/>
    </row>
    <row r="8">
      <c r="A8" s="14" t="s">
        <v>95</v>
      </c>
      <c r="B8" s="14" t="s">
        <v>96</v>
      </c>
      <c r="C8" s="14" t="s">
        <v>97</v>
      </c>
      <c r="D8" s="14" t="s">
        <v>98</v>
      </c>
      <c r="E8" s="16" t="s">
        <v>50</v>
      </c>
      <c r="F8" s="14" t="s">
        <v>51</v>
      </c>
      <c r="G8" s="14"/>
      <c r="H8" s="15" t="s">
        <v>99</v>
      </c>
      <c r="I8" s="14"/>
      <c r="J8" s="14" t="s">
        <v>100</v>
      </c>
      <c r="K8" s="16" t="s">
        <v>54</v>
      </c>
      <c r="L8" s="8"/>
      <c r="M8" s="14" t="s">
        <v>101</v>
      </c>
      <c r="N8" s="8"/>
      <c r="O8" s="16" t="s">
        <v>56</v>
      </c>
      <c r="P8" s="16" t="s">
        <v>54</v>
      </c>
      <c r="Q8" s="16" t="s">
        <v>102</v>
      </c>
      <c r="R8" s="8"/>
      <c r="S8" s="16" t="s">
        <v>56</v>
      </c>
      <c r="T8" s="16" t="s">
        <v>54</v>
      </c>
      <c r="U8" s="14" t="s">
        <v>103</v>
      </c>
      <c r="V8" s="8"/>
      <c r="W8" s="16" t="s">
        <v>56</v>
      </c>
      <c r="X8" s="16" t="s">
        <v>54</v>
      </c>
      <c r="Y8" s="14" t="s">
        <v>104</v>
      </c>
      <c r="Z8" s="14"/>
      <c r="AA8" s="16" t="s">
        <v>56</v>
      </c>
      <c r="AB8" s="16" t="s">
        <v>54</v>
      </c>
      <c r="AC8" s="14" t="s">
        <v>105</v>
      </c>
      <c r="AE8" s="16" t="s">
        <v>56</v>
      </c>
      <c r="AF8" s="16" t="s">
        <v>54</v>
      </c>
      <c r="AL8" s="8"/>
      <c r="AM8" s="8"/>
      <c r="AN8" s="8"/>
      <c r="AO8" s="8"/>
      <c r="AP8" s="8"/>
      <c r="AQ8" s="8"/>
      <c r="AR8" s="8"/>
    </row>
    <row r="9">
      <c r="A9" s="14" t="s">
        <v>106</v>
      </c>
      <c r="B9" s="14" t="s">
        <v>107</v>
      </c>
      <c r="C9" s="14" t="s">
        <v>108</v>
      </c>
      <c r="D9" s="14" t="s">
        <v>109</v>
      </c>
      <c r="E9" s="16" t="s">
        <v>50</v>
      </c>
      <c r="F9" s="14" t="s">
        <v>51</v>
      </c>
      <c r="G9" s="14"/>
      <c r="H9" s="15" t="s">
        <v>110</v>
      </c>
      <c r="I9" s="14"/>
      <c r="J9" s="14" t="s">
        <v>111</v>
      </c>
      <c r="K9" s="14" t="s">
        <v>54</v>
      </c>
      <c r="L9" s="8"/>
      <c r="M9" s="14" t="s">
        <v>112</v>
      </c>
      <c r="N9" s="8"/>
      <c r="O9" s="16" t="s">
        <v>56</v>
      </c>
      <c r="P9" s="16" t="s">
        <v>54</v>
      </c>
      <c r="Q9" s="8"/>
      <c r="R9" s="8"/>
      <c r="S9" s="8"/>
      <c r="T9" s="8"/>
      <c r="U9" s="8"/>
      <c r="V9" s="8"/>
      <c r="W9" s="8"/>
      <c r="X9" s="8"/>
      <c r="Y9" s="8"/>
      <c r="Z9" s="8"/>
      <c r="AA9" s="8"/>
      <c r="AB9" s="8"/>
      <c r="AC9" s="8"/>
      <c r="AE9" s="8"/>
      <c r="AF9" s="8"/>
      <c r="AL9" s="8"/>
      <c r="AM9" s="8"/>
      <c r="AN9" s="8"/>
      <c r="AO9" s="8"/>
      <c r="AP9" s="8"/>
      <c r="AQ9" s="8"/>
      <c r="AR9" s="8"/>
    </row>
    <row r="10">
      <c r="A10" s="14" t="s">
        <v>113</v>
      </c>
      <c r="B10" s="14" t="s">
        <v>114</v>
      </c>
      <c r="C10" s="14" t="s">
        <v>115</v>
      </c>
      <c r="D10" s="14" t="s">
        <v>116</v>
      </c>
      <c r="E10" s="16" t="s">
        <v>50</v>
      </c>
      <c r="F10" s="14" t="s">
        <v>51</v>
      </c>
      <c r="G10" s="14"/>
      <c r="H10" s="15" t="s">
        <v>117</v>
      </c>
      <c r="I10" s="14"/>
      <c r="J10" s="14" t="s">
        <v>70</v>
      </c>
      <c r="K10" s="14" t="s">
        <v>54</v>
      </c>
      <c r="L10" s="8"/>
      <c r="M10" s="14" t="s">
        <v>118</v>
      </c>
      <c r="N10" s="8"/>
      <c r="O10" s="16" t="s">
        <v>56</v>
      </c>
      <c r="P10" s="16" t="s">
        <v>54</v>
      </c>
      <c r="Q10" s="14" t="s">
        <v>119</v>
      </c>
      <c r="R10" s="8"/>
      <c r="S10" s="16" t="s">
        <v>56</v>
      </c>
      <c r="T10" s="16" t="s">
        <v>54</v>
      </c>
      <c r="U10" s="14" t="s">
        <v>120</v>
      </c>
      <c r="V10" s="8"/>
      <c r="W10" s="16" t="s">
        <v>56</v>
      </c>
      <c r="X10" s="16" t="s">
        <v>54</v>
      </c>
      <c r="Y10" s="8"/>
      <c r="Z10" s="8"/>
      <c r="AA10" s="8"/>
      <c r="AB10" s="8"/>
      <c r="AC10" s="8"/>
      <c r="AE10" s="8"/>
      <c r="AF10" s="8"/>
      <c r="AL10" s="8"/>
      <c r="AM10" s="8"/>
      <c r="AN10" s="8"/>
      <c r="AO10" s="8"/>
      <c r="AP10" s="8"/>
      <c r="AQ10" s="8"/>
      <c r="AR10" s="8"/>
    </row>
    <row r="11">
      <c r="A11" s="14" t="s">
        <v>121</v>
      </c>
      <c r="B11" s="14" t="s">
        <v>122</v>
      </c>
      <c r="C11" s="14" t="s">
        <v>123</v>
      </c>
      <c r="D11" s="14" t="s">
        <v>124</v>
      </c>
      <c r="E11" s="16" t="s">
        <v>50</v>
      </c>
      <c r="F11" s="14" t="s">
        <v>51</v>
      </c>
      <c r="G11" s="14"/>
      <c r="H11" s="15" t="s">
        <v>83</v>
      </c>
      <c r="I11" s="14"/>
      <c r="J11" s="14" t="s">
        <v>125</v>
      </c>
      <c r="K11" s="14" t="s">
        <v>54</v>
      </c>
      <c r="L11" s="8"/>
      <c r="M11" s="14" t="s">
        <v>126</v>
      </c>
      <c r="N11" s="8"/>
      <c r="O11" s="16" t="s">
        <v>56</v>
      </c>
      <c r="P11" s="16" t="s">
        <v>54</v>
      </c>
      <c r="Q11" s="8"/>
      <c r="R11" s="8"/>
      <c r="S11" s="8"/>
      <c r="T11" s="8"/>
      <c r="U11" s="8"/>
      <c r="V11" s="8"/>
      <c r="W11" s="8"/>
      <c r="X11" s="8"/>
      <c r="Y11" s="8"/>
      <c r="Z11" s="8"/>
      <c r="AA11" s="8"/>
      <c r="AB11" s="8"/>
      <c r="AC11" s="8"/>
      <c r="AE11" s="8"/>
      <c r="AF11" s="8"/>
      <c r="AL11" s="8"/>
      <c r="AM11" s="8"/>
      <c r="AN11" s="8"/>
      <c r="AO11" s="8"/>
      <c r="AP11" s="8"/>
      <c r="AQ11" s="8"/>
      <c r="AR11" s="8"/>
    </row>
    <row r="12">
      <c r="A12" s="14" t="s">
        <v>127</v>
      </c>
      <c r="B12" s="14" t="s">
        <v>128</v>
      </c>
      <c r="C12" s="14" t="s">
        <v>129</v>
      </c>
      <c r="D12" s="14" t="s">
        <v>130</v>
      </c>
      <c r="E12" s="16" t="s">
        <v>50</v>
      </c>
      <c r="F12" s="14" t="s">
        <v>51</v>
      </c>
      <c r="G12" s="14"/>
      <c r="H12" s="15" t="s">
        <v>117</v>
      </c>
      <c r="I12" s="14"/>
      <c r="J12" s="14" t="s">
        <v>131</v>
      </c>
      <c r="K12" s="14" t="s">
        <v>54</v>
      </c>
      <c r="L12" s="8"/>
      <c r="M12" s="14" t="s">
        <v>132</v>
      </c>
      <c r="N12" s="8"/>
      <c r="O12" s="16" t="s">
        <v>56</v>
      </c>
      <c r="P12" s="16" t="s">
        <v>54</v>
      </c>
      <c r="Q12" s="8"/>
      <c r="R12" s="8"/>
      <c r="S12" s="8"/>
      <c r="T12" s="8"/>
      <c r="U12" s="8"/>
      <c r="V12" s="8"/>
      <c r="W12" s="8"/>
      <c r="X12" s="8"/>
      <c r="Y12" s="8"/>
      <c r="Z12" s="8"/>
      <c r="AA12" s="8"/>
      <c r="AB12" s="8"/>
      <c r="AC12" s="8"/>
      <c r="AE12" s="8"/>
      <c r="AF12" s="8"/>
      <c r="AL12" s="8"/>
      <c r="AM12" s="8"/>
      <c r="AN12" s="8"/>
      <c r="AO12" s="8"/>
      <c r="AP12" s="8"/>
      <c r="AQ12" s="8"/>
      <c r="AR12" s="8"/>
    </row>
    <row r="13">
      <c r="A13" s="14" t="s">
        <v>133</v>
      </c>
      <c r="B13" s="14" t="s">
        <v>134</v>
      </c>
      <c r="C13" s="14" t="s">
        <v>135</v>
      </c>
      <c r="D13" s="14" t="s">
        <v>136</v>
      </c>
      <c r="E13" s="16" t="s">
        <v>50</v>
      </c>
      <c r="F13" s="14" t="s">
        <v>51</v>
      </c>
      <c r="G13" s="14"/>
      <c r="H13" s="15" t="s">
        <v>117</v>
      </c>
      <c r="I13" s="14"/>
      <c r="J13" s="14" t="s">
        <v>137</v>
      </c>
      <c r="K13" s="14" t="s">
        <v>54</v>
      </c>
      <c r="L13" s="8"/>
      <c r="M13" s="14" t="s">
        <v>138</v>
      </c>
      <c r="N13" s="8"/>
      <c r="O13" s="16" t="s">
        <v>56</v>
      </c>
      <c r="P13" s="16" t="s">
        <v>54</v>
      </c>
      <c r="Q13" s="8"/>
      <c r="R13" s="8"/>
      <c r="S13" s="8"/>
      <c r="T13" s="8"/>
      <c r="U13" s="8"/>
      <c r="V13" s="8"/>
      <c r="W13" s="8"/>
      <c r="X13" s="8"/>
      <c r="Y13" s="8"/>
      <c r="Z13" s="8"/>
      <c r="AA13" s="8"/>
      <c r="AB13" s="8"/>
      <c r="AC13" s="8"/>
      <c r="AE13" s="8"/>
      <c r="AF13" s="8"/>
      <c r="AL13" s="8"/>
      <c r="AM13" s="8"/>
      <c r="AN13" s="8"/>
      <c r="AO13" s="8"/>
      <c r="AP13" s="8"/>
      <c r="AQ13" s="8"/>
      <c r="AR13" s="8"/>
    </row>
    <row r="14">
      <c r="A14" s="14" t="s">
        <v>139</v>
      </c>
      <c r="B14" s="14" t="s">
        <v>140</v>
      </c>
      <c r="C14" s="14" t="s">
        <v>141</v>
      </c>
      <c r="D14" s="14" t="s">
        <v>142</v>
      </c>
      <c r="E14" s="16" t="s">
        <v>50</v>
      </c>
      <c r="F14" s="14" t="s">
        <v>51</v>
      </c>
      <c r="G14" s="14"/>
      <c r="H14" s="15" t="s">
        <v>143</v>
      </c>
      <c r="I14" s="14"/>
      <c r="J14" s="14" t="s">
        <v>144</v>
      </c>
      <c r="K14" s="14" t="s">
        <v>54</v>
      </c>
      <c r="L14" s="8"/>
      <c r="M14" s="14" t="s">
        <v>145</v>
      </c>
      <c r="N14" s="8"/>
      <c r="O14" s="16" t="s">
        <v>56</v>
      </c>
      <c r="P14" s="16" t="s">
        <v>54</v>
      </c>
      <c r="Q14" s="14" t="s">
        <v>146</v>
      </c>
      <c r="R14" s="8"/>
      <c r="S14" s="16" t="s">
        <v>56</v>
      </c>
      <c r="T14" s="16" t="s">
        <v>54</v>
      </c>
      <c r="U14" s="14" t="s">
        <v>147</v>
      </c>
      <c r="V14" s="8"/>
      <c r="W14" s="16" t="s">
        <v>56</v>
      </c>
      <c r="X14" s="16" t="s">
        <v>54</v>
      </c>
      <c r="Y14" s="14" t="s">
        <v>148</v>
      </c>
      <c r="Z14" s="14"/>
      <c r="AA14" s="16" t="s">
        <v>56</v>
      </c>
      <c r="AB14" s="16" t="s">
        <v>54</v>
      </c>
      <c r="AC14" s="14" t="s">
        <v>149</v>
      </c>
      <c r="AE14" s="16" t="s">
        <v>56</v>
      </c>
      <c r="AF14" s="16" t="s">
        <v>54</v>
      </c>
      <c r="AL14" s="8"/>
      <c r="AM14" s="8"/>
      <c r="AN14" s="8"/>
      <c r="AO14" s="8"/>
      <c r="AP14" s="8"/>
      <c r="AQ14" s="8"/>
      <c r="AR14" s="8"/>
    </row>
    <row r="15">
      <c r="A15" s="14" t="s">
        <v>150</v>
      </c>
      <c r="B15" s="14" t="s">
        <v>151</v>
      </c>
      <c r="C15" s="14" t="s">
        <v>152</v>
      </c>
      <c r="D15" s="14" t="s">
        <v>153</v>
      </c>
      <c r="E15" s="16" t="s">
        <v>50</v>
      </c>
      <c r="F15" s="14" t="s">
        <v>51</v>
      </c>
      <c r="G15" s="14"/>
      <c r="H15" s="15" t="s">
        <v>117</v>
      </c>
      <c r="I15" s="14"/>
      <c r="J15" s="14" t="s">
        <v>154</v>
      </c>
      <c r="K15" s="14" t="s">
        <v>54</v>
      </c>
      <c r="L15" s="8"/>
      <c r="M15" s="14" t="s">
        <v>155</v>
      </c>
      <c r="N15" s="8"/>
      <c r="O15" s="16" t="s">
        <v>56</v>
      </c>
      <c r="P15" s="16" t="s">
        <v>54</v>
      </c>
      <c r="Q15" s="14" t="s">
        <v>156</v>
      </c>
      <c r="R15" s="8"/>
      <c r="S15" s="16" t="s">
        <v>56</v>
      </c>
      <c r="T15" s="16" t="s">
        <v>54</v>
      </c>
      <c r="U15" s="14" t="s">
        <v>157</v>
      </c>
      <c r="V15" s="8"/>
      <c r="W15" s="16" t="s">
        <v>56</v>
      </c>
      <c r="X15" s="16" t="s">
        <v>54</v>
      </c>
      <c r="Y15" s="8"/>
      <c r="Z15" s="8"/>
      <c r="AA15" s="8"/>
      <c r="AB15" s="8"/>
      <c r="AC15" s="8"/>
      <c r="AE15" s="8"/>
      <c r="AF15" s="8"/>
      <c r="AL15" s="8"/>
      <c r="AM15" s="8"/>
      <c r="AN15" s="8"/>
      <c r="AO15" s="8"/>
      <c r="AP15" s="8"/>
      <c r="AQ15" s="8"/>
      <c r="AR15" s="8"/>
    </row>
    <row r="16">
      <c r="A16" s="14" t="s">
        <v>158</v>
      </c>
      <c r="B16" s="14" t="s">
        <v>159</v>
      </c>
      <c r="C16" s="14" t="s">
        <v>160</v>
      </c>
      <c r="D16" s="14" t="s">
        <v>161</v>
      </c>
      <c r="E16" s="16" t="s">
        <v>162</v>
      </c>
      <c r="F16" s="14" t="s">
        <v>51</v>
      </c>
      <c r="G16" s="14"/>
      <c r="H16" s="15" t="s">
        <v>163</v>
      </c>
      <c r="I16" s="14"/>
      <c r="J16" s="14" t="s">
        <v>164</v>
      </c>
      <c r="K16" s="14" t="s">
        <v>54</v>
      </c>
      <c r="L16" s="8"/>
      <c r="M16" s="14" t="s">
        <v>165</v>
      </c>
      <c r="N16" s="8"/>
      <c r="O16" s="16" t="s">
        <v>56</v>
      </c>
      <c r="P16" s="16" t="s">
        <v>54</v>
      </c>
      <c r="Q16" s="14" t="s">
        <v>166</v>
      </c>
      <c r="R16" s="8"/>
      <c r="S16" s="16" t="s">
        <v>56</v>
      </c>
      <c r="T16" s="16" t="s">
        <v>54</v>
      </c>
      <c r="U16" s="14" t="s">
        <v>167</v>
      </c>
      <c r="V16" s="8"/>
      <c r="W16" s="16" t="s">
        <v>56</v>
      </c>
      <c r="X16" s="16" t="s">
        <v>54</v>
      </c>
      <c r="Y16" s="14" t="s">
        <v>168</v>
      </c>
      <c r="Z16" s="14"/>
      <c r="AA16" s="16" t="s">
        <v>56</v>
      </c>
      <c r="AB16" s="16" t="s">
        <v>54</v>
      </c>
      <c r="AC16" s="14" t="s">
        <v>169</v>
      </c>
      <c r="AE16" s="16" t="s">
        <v>56</v>
      </c>
      <c r="AF16" s="16" t="s">
        <v>54</v>
      </c>
      <c r="AL16" s="8"/>
      <c r="AM16" s="8"/>
      <c r="AN16" s="8"/>
      <c r="AO16" s="8"/>
      <c r="AP16" s="8"/>
      <c r="AQ16" s="8"/>
      <c r="AR16" s="8"/>
    </row>
    <row r="17">
      <c r="A17" s="17" t="s">
        <v>170</v>
      </c>
      <c r="B17" s="14" t="s">
        <v>171</v>
      </c>
      <c r="C17" s="14" t="s">
        <v>172</v>
      </c>
      <c r="D17" s="14" t="s">
        <v>173</v>
      </c>
      <c r="E17" s="16" t="s">
        <v>50</v>
      </c>
      <c r="F17" s="14" t="s">
        <v>51</v>
      </c>
      <c r="G17" s="14"/>
      <c r="H17" s="15" t="s">
        <v>83</v>
      </c>
      <c r="I17" s="14"/>
      <c r="J17" s="14" t="s">
        <v>174</v>
      </c>
      <c r="K17" s="14" t="s">
        <v>54</v>
      </c>
      <c r="L17" s="8"/>
      <c r="M17" s="14" t="s">
        <v>175</v>
      </c>
      <c r="N17" s="8"/>
      <c r="O17" s="16" t="s">
        <v>56</v>
      </c>
      <c r="P17" s="16" t="s">
        <v>54</v>
      </c>
      <c r="Q17" s="14" t="s">
        <v>176</v>
      </c>
      <c r="R17" s="8"/>
      <c r="S17" s="16" t="s">
        <v>56</v>
      </c>
      <c r="T17" s="16" t="s">
        <v>54</v>
      </c>
      <c r="U17" s="8"/>
      <c r="V17" s="8"/>
      <c r="W17" s="8"/>
      <c r="X17" s="8"/>
      <c r="Y17" s="8"/>
      <c r="Z17" s="8"/>
      <c r="AA17" s="8"/>
      <c r="AB17" s="8"/>
      <c r="AC17" s="8"/>
      <c r="AE17" s="8"/>
      <c r="AF17" s="8"/>
      <c r="AL17" s="8"/>
      <c r="AM17" s="8"/>
      <c r="AN17" s="8"/>
      <c r="AO17" s="8"/>
      <c r="AP17" s="8"/>
      <c r="AQ17" s="8"/>
      <c r="AR17" s="8"/>
    </row>
    <row r="18">
      <c r="A18" s="14" t="s">
        <v>177</v>
      </c>
      <c r="B18" s="14" t="s">
        <v>178</v>
      </c>
      <c r="C18" s="14" t="s">
        <v>179</v>
      </c>
      <c r="D18" s="14" t="s">
        <v>180</v>
      </c>
      <c r="E18" s="16" t="s">
        <v>50</v>
      </c>
      <c r="F18" s="14" t="s">
        <v>51</v>
      </c>
      <c r="G18" s="14"/>
      <c r="H18" s="15" t="s">
        <v>181</v>
      </c>
      <c r="I18" s="14"/>
      <c r="J18" s="14" t="s">
        <v>182</v>
      </c>
      <c r="K18" s="16" t="s">
        <v>54</v>
      </c>
      <c r="L18" s="8"/>
      <c r="M18" s="14" t="s">
        <v>183</v>
      </c>
      <c r="N18" s="8"/>
      <c r="O18" s="16" t="s">
        <v>56</v>
      </c>
      <c r="P18" s="16" t="s">
        <v>54</v>
      </c>
      <c r="Q18" s="14" t="s">
        <v>184</v>
      </c>
      <c r="R18" s="8"/>
      <c r="S18" s="16" t="s">
        <v>56</v>
      </c>
      <c r="T18" s="16" t="s">
        <v>54</v>
      </c>
      <c r="U18" s="14" t="s">
        <v>185</v>
      </c>
      <c r="V18" s="8"/>
      <c r="W18" s="16" t="s">
        <v>56</v>
      </c>
      <c r="X18" s="16" t="s">
        <v>54</v>
      </c>
      <c r="Y18" s="8"/>
      <c r="Z18" s="8"/>
      <c r="AA18" s="8"/>
      <c r="AB18" s="8"/>
      <c r="AC18" s="8"/>
      <c r="AE18" s="8"/>
      <c r="AF18" s="8"/>
      <c r="AL18" s="8"/>
      <c r="AM18" s="8"/>
      <c r="AN18" s="8"/>
      <c r="AO18" s="8"/>
      <c r="AP18" s="8"/>
      <c r="AQ18" s="8"/>
      <c r="AR18" s="8"/>
    </row>
    <row r="19">
      <c r="A19" s="14" t="s">
        <v>186</v>
      </c>
      <c r="B19" s="14" t="s">
        <v>187</v>
      </c>
      <c r="C19" s="14" t="s">
        <v>188</v>
      </c>
      <c r="D19" s="14" t="s">
        <v>189</v>
      </c>
      <c r="E19" s="16" t="s">
        <v>50</v>
      </c>
      <c r="F19" s="14" t="s">
        <v>51</v>
      </c>
      <c r="G19" s="14"/>
      <c r="H19" s="15" t="s">
        <v>190</v>
      </c>
      <c r="I19" s="14"/>
      <c r="J19" s="14" t="s">
        <v>191</v>
      </c>
      <c r="K19" s="16" t="s">
        <v>54</v>
      </c>
      <c r="L19" s="8"/>
      <c r="M19" s="14" t="s">
        <v>192</v>
      </c>
      <c r="N19" s="8"/>
      <c r="O19" s="16" t="s">
        <v>56</v>
      </c>
      <c r="P19" s="16" t="s">
        <v>54</v>
      </c>
      <c r="Q19" s="14" t="s">
        <v>193</v>
      </c>
      <c r="R19" s="8"/>
      <c r="S19" s="16" t="s">
        <v>56</v>
      </c>
      <c r="T19" s="16" t="s">
        <v>54</v>
      </c>
      <c r="U19" s="14" t="s">
        <v>194</v>
      </c>
      <c r="V19" s="8"/>
      <c r="W19" s="16" t="s">
        <v>56</v>
      </c>
      <c r="X19" s="16" t="s">
        <v>54</v>
      </c>
      <c r="Y19" s="14" t="s">
        <v>195</v>
      </c>
      <c r="Z19" s="14"/>
      <c r="AA19" s="16" t="s">
        <v>56</v>
      </c>
      <c r="AB19" s="16" t="s">
        <v>54</v>
      </c>
      <c r="AC19" s="14" t="s">
        <v>196</v>
      </c>
      <c r="AE19" s="16" t="s">
        <v>56</v>
      </c>
      <c r="AF19" s="16" t="s">
        <v>54</v>
      </c>
      <c r="AL19" s="8"/>
      <c r="AM19" s="8"/>
      <c r="AN19" s="8"/>
      <c r="AO19" s="8"/>
      <c r="AP19" s="8"/>
      <c r="AQ19" s="8"/>
      <c r="AR19" s="8"/>
    </row>
    <row r="20">
      <c r="A20" s="14" t="s">
        <v>197</v>
      </c>
      <c r="B20" s="14" t="s">
        <v>198</v>
      </c>
      <c r="C20" s="14" t="s">
        <v>199</v>
      </c>
      <c r="D20" s="14" t="s">
        <v>200</v>
      </c>
      <c r="E20" s="16" t="s">
        <v>50</v>
      </c>
      <c r="F20" s="14" t="s">
        <v>51</v>
      </c>
      <c r="G20" s="14"/>
      <c r="H20" s="15" t="s">
        <v>83</v>
      </c>
      <c r="I20" s="14"/>
      <c r="J20" s="14" t="s">
        <v>201</v>
      </c>
      <c r="K20" s="16" t="s">
        <v>54</v>
      </c>
      <c r="L20" s="8"/>
      <c r="M20" s="14" t="s">
        <v>202</v>
      </c>
      <c r="N20" s="8"/>
      <c r="O20" s="16" t="s">
        <v>56</v>
      </c>
      <c r="P20" s="16" t="s">
        <v>54</v>
      </c>
      <c r="Q20" s="14" t="s">
        <v>203</v>
      </c>
      <c r="R20" s="8"/>
      <c r="S20" s="16" t="s">
        <v>56</v>
      </c>
      <c r="T20" s="16" t="s">
        <v>54</v>
      </c>
      <c r="U20" s="14" t="s">
        <v>204</v>
      </c>
      <c r="V20" s="8"/>
      <c r="W20" s="16" t="s">
        <v>56</v>
      </c>
      <c r="X20" s="16" t="s">
        <v>54</v>
      </c>
      <c r="Y20" s="14" t="s">
        <v>205</v>
      </c>
      <c r="Z20" s="14"/>
      <c r="AA20" s="16" t="s">
        <v>56</v>
      </c>
      <c r="AB20" s="16" t="s">
        <v>54</v>
      </c>
      <c r="AC20" s="14" t="s">
        <v>206</v>
      </c>
      <c r="AE20" s="16" t="s">
        <v>56</v>
      </c>
      <c r="AF20" s="16" t="s">
        <v>54</v>
      </c>
      <c r="AL20" s="8"/>
      <c r="AM20" s="8"/>
      <c r="AN20" s="8"/>
      <c r="AO20" s="8"/>
      <c r="AP20" s="8"/>
      <c r="AQ20" s="8"/>
      <c r="AR20" s="8"/>
    </row>
    <row r="21">
      <c r="A21" s="14" t="s">
        <v>207</v>
      </c>
      <c r="B21" s="14" t="s">
        <v>208</v>
      </c>
      <c r="C21" s="14" t="s">
        <v>209</v>
      </c>
      <c r="D21" s="14" t="s">
        <v>210</v>
      </c>
      <c r="E21" s="16" t="s">
        <v>50</v>
      </c>
      <c r="F21" s="14" t="s">
        <v>51</v>
      </c>
      <c r="G21" s="14"/>
      <c r="H21" s="15" t="s">
        <v>211</v>
      </c>
      <c r="I21" s="14"/>
      <c r="J21" s="14" t="s">
        <v>212</v>
      </c>
      <c r="K21" s="16" t="s">
        <v>54</v>
      </c>
      <c r="L21" s="8"/>
      <c r="M21" s="16" t="s">
        <v>213</v>
      </c>
      <c r="N21" s="8"/>
      <c r="O21" s="16" t="s">
        <v>56</v>
      </c>
      <c r="P21" s="16" t="s">
        <v>54</v>
      </c>
      <c r="Q21" s="16" t="s">
        <v>214</v>
      </c>
      <c r="R21" s="8"/>
      <c r="S21" s="16" t="s">
        <v>56</v>
      </c>
      <c r="T21" s="16" t="s">
        <v>54</v>
      </c>
      <c r="U21" s="14"/>
      <c r="V21" s="8"/>
      <c r="W21" s="8"/>
      <c r="X21" s="8"/>
      <c r="Y21" s="8"/>
      <c r="Z21" s="8"/>
      <c r="AA21" s="8"/>
      <c r="AB21" s="8"/>
      <c r="AC21" s="8"/>
      <c r="AD21" s="8"/>
      <c r="AE21" s="8"/>
      <c r="AF21" s="8"/>
      <c r="AG21" s="8"/>
      <c r="AH21" s="8"/>
      <c r="AI21" s="8"/>
      <c r="AJ21" s="8"/>
      <c r="AK21" s="8"/>
      <c r="AL21" s="8"/>
      <c r="AM21" s="8"/>
      <c r="AN21" s="8"/>
      <c r="AO21" s="8"/>
      <c r="AP21" s="8"/>
      <c r="AQ21" s="8"/>
      <c r="AR21" s="8"/>
    </row>
    <row r="22">
      <c r="A22" s="8"/>
      <c r="B22" s="8"/>
      <c r="C22" s="8"/>
      <c r="D22" s="8"/>
      <c r="E22" s="8"/>
      <c r="F22" s="8"/>
      <c r="G22" s="8"/>
      <c r="H22" s="8"/>
      <c r="I22" s="8"/>
      <c r="J22" s="8"/>
      <c r="K22" s="16"/>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row>
    <row r="23">
      <c r="A23" s="8"/>
      <c r="B23" s="8"/>
      <c r="C23" s="8"/>
      <c r="D23" s="8"/>
      <c r="E23" s="8"/>
      <c r="F23" s="8"/>
      <c r="G23" s="8"/>
      <c r="H23" s="8"/>
      <c r="I23" s="8"/>
      <c r="J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row>
    <row r="24">
      <c r="A24" s="8"/>
      <c r="B24" s="8"/>
      <c r="C24" s="8"/>
      <c r="D24" s="8"/>
      <c r="E24" s="8"/>
      <c r="F24" s="8"/>
      <c r="G24" s="8"/>
      <c r="H24" s="8"/>
      <c r="I24" s="8"/>
      <c r="J24" s="8"/>
      <c r="K24" s="16"/>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row>
    <row r="26">
      <c r="A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0.43"/>
    <col customWidth="1" min="4" max="4" width="54.0"/>
    <col customWidth="1" min="5" max="5" width="15.43"/>
    <col customWidth="1" min="6" max="6" width="19.86"/>
    <col customWidth="1" min="7" max="7" width="13.71"/>
    <col customWidth="1" min="8" max="8" width="44.57"/>
    <col customWidth="1" min="9" max="9" width="10.71"/>
    <col customWidth="1" min="13" max="13" width="53.57"/>
    <col customWidth="1" min="14" max="14" width="29.43"/>
    <col customWidth="1" min="15" max="15" width="30.29"/>
    <col customWidth="1" min="16" max="16" width="40.0"/>
    <col customWidth="1" min="17" max="17" width="24.43"/>
    <col customWidth="1" min="19" max="19" width="29.57"/>
    <col customWidth="1" min="20" max="20" width="29.43"/>
    <col customWidth="1" min="21" max="21" width="38.71"/>
    <col customWidth="1" min="22" max="22" width="29.86"/>
    <col customWidth="1" min="23" max="23" width="33.86"/>
    <col customWidth="1" min="24" max="24" width="41.43"/>
    <col customWidth="1" min="25" max="28" width="29.29"/>
    <col customWidth="1" min="29" max="29" width="28.0"/>
    <col customWidth="1" min="30" max="30" width="37.43"/>
    <col customWidth="1" min="31" max="31" width="29.29"/>
    <col customWidth="1" min="32" max="32" width="31.43"/>
    <col customWidth="1" min="33" max="34" width="38.57"/>
    <col customWidth="1" min="35" max="35" width="40.14"/>
    <col customWidth="1" min="36" max="36" width="32.71"/>
    <col customWidth="1" min="37" max="37" width="40.29"/>
    <col customWidth="1" min="38" max="38" width="40.57"/>
    <col customWidth="1" min="39" max="39" width="36.86"/>
    <col customWidth="1" min="40" max="40" width="32.43"/>
    <col customWidth="1" min="41" max="41" width="30.43"/>
    <col customWidth="1" min="42" max="42" width="32.86"/>
    <col customWidth="1" min="43" max="43" width="28.86"/>
    <col customWidth="1" min="44" max="44" width="27.43"/>
  </cols>
  <sheetData>
    <row r="1">
      <c r="A1" s="13" t="s">
        <v>1</v>
      </c>
      <c r="B1" s="13" t="s">
        <v>2</v>
      </c>
      <c r="C1" s="13" t="s">
        <v>3</v>
      </c>
      <c r="D1" s="1" t="s">
        <v>4</v>
      </c>
      <c r="E1" s="1" t="s">
        <v>5</v>
      </c>
      <c r="F1" s="1" t="s">
        <v>6</v>
      </c>
      <c r="G1" s="1" t="s">
        <v>7</v>
      </c>
      <c r="H1" s="3"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41</v>
      </c>
      <c r="AK1" s="1" t="s">
        <v>37</v>
      </c>
      <c r="AL1" s="1" t="s">
        <v>38</v>
      </c>
      <c r="AM1" s="1" t="s">
        <v>39</v>
      </c>
      <c r="AN1" s="1" t="s">
        <v>40</v>
      </c>
      <c r="AO1" s="6" t="s">
        <v>42</v>
      </c>
      <c r="AP1" s="6" t="s">
        <v>43</v>
      </c>
      <c r="AQ1" s="6" t="s">
        <v>44</v>
      </c>
      <c r="AR1" s="6" t="s">
        <v>45</v>
      </c>
    </row>
    <row r="2">
      <c r="A2" s="14" t="s">
        <v>215</v>
      </c>
      <c r="B2" s="14" t="s">
        <v>216</v>
      </c>
      <c r="C2" s="14" t="s">
        <v>217</v>
      </c>
      <c r="D2" s="14" t="s">
        <v>218</v>
      </c>
      <c r="E2" s="14" t="s">
        <v>50</v>
      </c>
      <c r="F2" s="18" t="s">
        <v>219</v>
      </c>
      <c r="G2" s="8"/>
      <c r="H2" s="15" t="s">
        <v>220</v>
      </c>
      <c r="I2" s="8"/>
      <c r="J2" s="14" t="s">
        <v>221</v>
      </c>
      <c r="K2" s="16" t="s">
        <v>54</v>
      </c>
      <c r="L2" s="8"/>
      <c r="M2" s="14" t="s">
        <v>222</v>
      </c>
      <c r="N2" s="8"/>
      <c r="O2" s="16" t="s">
        <v>56</v>
      </c>
      <c r="P2" s="14" t="s">
        <v>54</v>
      </c>
      <c r="Q2" s="14" t="s">
        <v>223</v>
      </c>
      <c r="R2" s="8"/>
      <c r="S2" s="16" t="s">
        <v>56</v>
      </c>
      <c r="T2" s="16" t="s">
        <v>54</v>
      </c>
      <c r="U2" s="14" t="s">
        <v>224</v>
      </c>
      <c r="W2" s="16" t="s">
        <v>56</v>
      </c>
      <c r="X2" s="16" t="s">
        <v>54</v>
      </c>
      <c r="Y2" s="8"/>
      <c r="Z2" s="8"/>
      <c r="AA2" s="8"/>
      <c r="AB2" s="8"/>
      <c r="AC2" s="8"/>
      <c r="AD2" s="8"/>
      <c r="AE2" s="8"/>
      <c r="AF2" s="8"/>
      <c r="AG2" s="8"/>
      <c r="AH2" s="8"/>
      <c r="AI2" s="8"/>
      <c r="AJ2" s="8"/>
      <c r="AK2" s="8"/>
      <c r="AL2" s="8"/>
      <c r="AM2" s="8"/>
      <c r="AN2" s="8"/>
      <c r="AO2" s="8"/>
      <c r="AP2" s="8"/>
      <c r="AQ2" s="8"/>
      <c r="AR2" s="8"/>
    </row>
    <row r="3">
      <c r="A3" s="14" t="s">
        <v>225</v>
      </c>
      <c r="B3" s="14" t="s">
        <v>226</v>
      </c>
      <c r="C3" s="14" t="s">
        <v>227</v>
      </c>
      <c r="D3" s="14" t="s">
        <v>228</v>
      </c>
      <c r="E3" s="16" t="s">
        <v>50</v>
      </c>
      <c r="F3" s="18" t="s">
        <v>219</v>
      </c>
      <c r="G3" s="8"/>
      <c r="H3" s="15" t="s">
        <v>229</v>
      </c>
      <c r="I3" s="8"/>
      <c r="J3" s="14" t="s">
        <v>230</v>
      </c>
      <c r="K3" s="14" t="s">
        <v>54</v>
      </c>
      <c r="L3" s="8"/>
      <c r="M3" s="14" t="s">
        <v>231</v>
      </c>
      <c r="N3" s="8"/>
      <c r="O3" s="16" t="s">
        <v>56</v>
      </c>
      <c r="P3" s="16" t="s">
        <v>54</v>
      </c>
      <c r="Q3" s="14" t="s">
        <v>232</v>
      </c>
      <c r="R3" s="8"/>
      <c r="S3" s="16" t="s">
        <v>56</v>
      </c>
      <c r="T3" s="16" t="s">
        <v>54</v>
      </c>
      <c r="U3" s="8"/>
      <c r="W3" s="8"/>
      <c r="X3" s="8"/>
      <c r="Y3" s="8"/>
      <c r="Z3" s="8"/>
      <c r="AA3" s="8"/>
      <c r="AB3" s="8"/>
      <c r="AC3" s="8"/>
      <c r="AD3" s="8"/>
      <c r="AE3" s="8"/>
      <c r="AF3" s="8"/>
      <c r="AG3" s="8"/>
      <c r="AH3" s="8"/>
      <c r="AI3" s="8"/>
      <c r="AJ3" s="8"/>
      <c r="AK3" s="8"/>
      <c r="AL3" s="8"/>
      <c r="AM3" s="8"/>
      <c r="AN3" s="8"/>
      <c r="AO3" s="8"/>
      <c r="AP3" s="8"/>
      <c r="AQ3" s="8"/>
      <c r="AR3" s="8"/>
    </row>
    <row r="4">
      <c r="A4" s="14" t="s">
        <v>158</v>
      </c>
      <c r="B4" s="14" t="s">
        <v>159</v>
      </c>
      <c r="C4" s="14" t="s">
        <v>233</v>
      </c>
      <c r="D4" s="14" t="s">
        <v>234</v>
      </c>
      <c r="E4" s="16" t="s">
        <v>50</v>
      </c>
      <c r="F4" s="18" t="s">
        <v>219</v>
      </c>
      <c r="G4" s="8"/>
      <c r="H4" s="15" t="s">
        <v>235</v>
      </c>
      <c r="I4" s="8"/>
      <c r="J4" s="14" t="s">
        <v>236</v>
      </c>
      <c r="K4" s="14" t="s">
        <v>54</v>
      </c>
      <c r="L4" s="8"/>
      <c r="M4" s="14" t="s">
        <v>237</v>
      </c>
      <c r="N4" s="8"/>
      <c r="O4" s="16" t="s">
        <v>56</v>
      </c>
      <c r="P4" s="16" t="s">
        <v>54</v>
      </c>
      <c r="Q4" s="14" t="s">
        <v>238</v>
      </c>
      <c r="R4" s="8"/>
      <c r="S4" s="16" t="s">
        <v>56</v>
      </c>
      <c r="T4" s="16" t="s">
        <v>54</v>
      </c>
      <c r="U4" s="14" t="s">
        <v>239</v>
      </c>
      <c r="W4" s="16" t="s">
        <v>56</v>
      </c>
      <c r="X4" s="16" t="s">
        <v>54</v>
      </c>
      <c r="Y4" s="14" t="s">
        <v>240</v>
      </c>
      <c r="AA4" s="16" t="s">
        <v>56</v>
      </c>
      <c r="AB4" s="16" t="s">
        <v>54</v>
      </c>
      <c r="AC4" s="8"/>
      <c r="AD4" s="8"/>
      <c r="AE4" s="8"/>
      <c r="AF4" s="8"/>
      <c r="AG4" s="8"/>
      <c r="AH4" s="8"/>
      <c r="AI4" s="8"/>
      <c r="AJ4" s="8"/>
      <c r="AK4" s="8"/>
      <c r="AL4" s="8"/>
      <c r="AM4" s="8"/>
      <c r="AN4" s="8"/>
      <c r="AO4" s="8"/>
      <c r="AP4" s="8"/>
      <c r="AQ4" s="8"/>
      <c r="AR4" s="8"/>
    </row>
    <row r="5">
      <c r="A5" s="14" t="s">
        <v>241</v>
      </c>
      <c r="B5" s="14" t="s">
        <v>242</v>
      </c>
      <c r="C5" s="14" t="s">
        <v>243</v>
      </c>
      <c r="D5" s="14" t="s">
        <v>244</v>
      </c>
      <c r="E5" s="16" t="s">
        <v>50</v>
      </c>
      <c r="F5" s="18" t="s">
        <v>219</v>
      </c>
      <c r="G5" s="8"/>
      <c r="H5" s="15" t="s">
        <v>245</v>
      </c>
      <c r="I5" s="8"/>
      <c r="J5" s="14" t="s">
        <v>246</v>
      </c>
      <c r="K5" s="14" t="s">
        <v>54</v>
      </c>
      <c r="L5" s="8"/>
      <c r="M5" s="14" t="s">
        <v>247</v>
      </c>
      <c r="N5" s="8"/>
      <c r="O5" s="16" t="s">
        <v>56</v>
      </c>
      <c r="P5" s="16" t="s">
        <v>54</v>
      </c>
      <c r="Q5" s="14" t="s">
        <v>248</v>
      </c>
      <c r="R5" s="8"/>
      <c r="S5" s="16" t="s">
        <v>56</v>
      </c>
      <c r="T5" s="16" t="s">
        <v>54</v>
      </c>
      <c r="U5" s="14" t="s">
        <v>249</v>
      </c>
      <c r="W5" s="16" t="s">
        <v>56</v>
      </c>
      <c r="X5" s="16" t="s">
        <v>54</v>
      </c>
      <c r="Y5" s="14" t="s">
        <v>250</v>
      </c>
      <c r="AA5" s="16" t="s">
        <v>56</v>
      </c>
      <c r="AB5" s="16" t="s">
        <v>54</v>
      </c>
      <c r="AC5" s="14" t="s">
        <v>251</v>
      </c>
      <c r="AD5" s="8"/>
      <c r="AE5" s="16" t="s">
        <v>56</v>
      </c>
      <c r="AF5" s="16" t="s">
        <v>54</v>
      </c>
      <c r="AG5" s="14" t="s">
        <v>252</v>
      </c>
      <c r="AH5" s="14"/>
      <c r="AI5" s="16" t="s">
        <v>56</v>
      </c>
      <c r="AJ5" s="16" t="s">
        <v>54</v>
      </c>
      <c r="AL5" s="8"/>
      <c r="AM5" s="8"/>
      <c r="AN5" s="8"/>
      <c r="AO5" s="8"/>
      <c r="AP5" s="8"/>
      <c r="AQ5" s="8"/>
      <c r="AR5" s="8"/>
    </row>
    <row r="6">
      <c r="A6" s="14" t="s">
        <v>253</v>
      </c>
      <c r="B6" s="14" t="s">
        <v>254</v>
      </c>
      <c r="C6" s="14" t="s">
        <v>255</v>
      </c>
      <c r="D6" s="14" t="s">
        <v>256</v>
      </c>
      <c r="E6" s="16" t="s">
        <v>50</v>
      </c>
      <c r="F6" s="18" t="s">
        <v>219</v>
      </c>
      <c r="G6" s="8"/>
      <c r="H6" s="15" t="s">
        <v>257</v>
      </c>
      <c r="I6" s="8"/>
      <c r="J6" s="14" t="s">
        <v>221</v>
      </c>
      <c r="K6" s="14" t="s">
        <v>54</v>
      </c>
      <c r="L6" s="8"/>
      <c r="M6" s="14" t="s">
        <v>258</v>
      </c>
      <c r="N6" s="8"/>
      <c r="O6" s="16" t="s">
        <v>56</v>
      </c>
      <c r="P6" s="16" t="s">
        <v>54</v>
      </c>
      <c r="Q6" s="8"/>
      <c r="R6" s="8"/>
      <c r="S6" s="8"/>
      <c r="T6" s="8"/>
      <c r="U6" s="8"/>
      <c r="W6" s="8"/>
      <c r="X6" s="8"/>
      <c r="Y6" s="8"/>
      <c r="AA6" s="8"/>
      <c r="AB6" s="8"/>
      <c r="AC6" s="8"/>
      <c r="AD6" s="8"/>
      <c r="AE6" s="8"/>
      <c r="AF6" s="8"/>
      <c r="AG6" s="8"/>
      <c r="AH6" s="8"/>
      <c r="AI6" s="8"/>
      <c r="AJ6" s="8"/>
      <c r="AK6" s="8"/>
      <c r="AL6" s="8"/>
      <c r="AM6" s="8"/>
      <c r="AN6" s="8"/>
      <c r="AO6" s="8"/>
      <c r="AP6" s="8"/>
      <c r="AQ6" s="8"/>
      <c r="AR6" s="8"/>
    </row>
    <row r="7">
      <c r="A7" s="14" t="s">
        <v>259</v>
      </c>
      <c r="B7" s="14" t="s">
        <v>260</v>
      </c>
      <c r="C7" s="14" t="s">
        <v>261</v>
      </c>
      <c r="D7" s="14" t="s">
        <v>262</v>
      </c>
      <c r="E7" s="16" t="s">
        <v>50</v>
      </c>
      <c r="F7" s="18" t="s">
        <v>219</v>
      </c>
      <c r="G7" s="8"/>
      <c r="H7" s="15" t="s">
        <v>263</v>
      </c>
      <c r="I7" s="8"/>
      <c r="J7" s="14" t="s">
        <v>70</v>
      </c>
      <c r="K7" s="14" t="s">
        <v>54</v>
      </c>
      <c r="L7" s="8"/>
      <c r="M7" s="14" t="s">
        <v>264</v>
      </c>
      <c r="N7" s="8"/>
      <c r="O7" s="16" t="s">
        <v>56</v>
      </c>
      <c r="P7" s="16" t="s">
        <v>54</v>
      </c>
      <c r="Q7" s="14" t="s">
        <v>265</v>
      </c>
      <c r="R7" s="8"/>
      <c r="S7" s="16" t="s">
        <v>56</v>
      </c>
      <c r="T7" s="16" t="s">
        <v>54</v>
      </c>
      <c r="U7" s="14" t="s">
        <v>266</v>
      </c>
      <c r="W7" s="16" t="s">
        <v>56</v>
      </c>
      <c r="X7" s="16" t="s">
        <v>54</v>
      </c>
      <c r="Y7" s="14" t="s">
        <v>267</v>
      </c>
      <c r="AA7" s="16" t="s">
        <v>56</v>
      </c>
      <c r="AB7" s="16" t="s">
        <v>54</v>
      </c>
      <c r="AC7" s="14" t="s">
        <v>268</v>
      </c>
      <c r="AD7" s="8"/>
      <c r="AE7" s="16" t="s">
        <v>56</v>
      </c>
      <c r="AF7" s="16" t="s">
        <v>54</v>
      </c>
      <c r="AG7" s="8"/>
      <c r="AH7" s="8"/>
      <c r="AI7" s="8"/>
      <c r="AJ7" s="8"/>
      <c r="AK7" s="8"/>
      <c r="AL7" s="8"/>
      <c r="AM7" s="8"/>
      <c r="AN7" s="8"/>
      <c r="AO7" s="8"/>
      <c r="AP7" s="8"/>
      <c r="AQ7" s="8"/>
      <c r="AR7" s="8"/>
    </row>
    <row r="8">
      <c r="A8" s="14" t="s">
        <v>269</v>
      </c>
      <c r="B8" s="14" t="s">
        <v>270</v>
      </c>
      <c r="C8" s="14" t="s">
        <v>271</v>
      </c>
      <c r="D8" s="14" t="s">
        <v>272</v>
      </c>
      <c r="E8" s="16" t="s">
        <v>50</v>
      </c>
      <c r="F8" s="18" t="s">
        <v>219</v>
      </c>
      <c r="G8" s="8"/>
      <c r="H8" s="15" t="s">
        <v>273</v>
      </c>
      <c r="I8" s="8"/>
      <c r="J8" s="14" t="s">
        <v>221</v>
      </c>
      <c r="K8" s="16" t="s">
        <v>54</v>
      </c>
      <c r="L8" s="8"/>
      <c r="M8" s="14" t="s">
        <v>274</v>
      </c>
      <c r="N8" s="8"/>
      <c r="O8" s="16" t="s">
        <v>56</v>
      </c>
      <c r="P8" s="16" t="s">
        <v>54</v>
      </c>
      <c r="Q8" s="14" t="s">
        <v>275</v>
      </c>
      <c r="R8" s="8"/>
      <c r="S8" s="16" t="s">
        <v>56</v>
      </c>
      <c r="T8" s="16" t="s">
        <v>54</v>
      </c>
      <c r="U8" s="8"/>
      <c r="W8" s="8"/>
      <c r="X8" s="8"/>
      <c r="Y8" s="8"/>
      <c r="AA8" s="8"/>
      <c r="AB8" s="8"/>
      <c r="AC8" s="8"/>
      <c r="AD8" s="8"/>
      <c r="AE8" s="8"/>
      <c r="AF8" s="8"/>
      <c r="AG8" s="8"/>
      <c r="AH8" s="8"/>
      <c r="AI8" s="8"/>
      <c r="AJ8" s="8"/>
      <c r="AK8" s="8"/>
      <c r="AL8" s="8"/>
      <c r="AM8" s="8"/>
      <c r="AN8" s="8"/>
      <c r="AO8" s="8"/>
      <c r="AP8" s="8"/>
      <c r="AQ8" s="8"/>
      <c r="AR8" s="8"/>
    </row>
    <row r="9">
      <c r="A9" s="14" t="s">
        <v>276</v>
      </c>
      <c r="B9" s="14" t="s">
        <v>277</v>
      </c>
      <c r="C9" s="14" t="s">
        <v>278</v>
      </c>
      <c r="D9" s="14" t="s">
        <v>279</v>
      </c>
      <c r="E9" s="16" t="s">
        <v>50</v>
      </c>
      <c r="F9" s="18" t="s">
        <v>219</v>
      </c>
      <c r="G9" s="8"/>
      <c r="H9" s="15" t="s">
        <v>76</v>
      </c>
      <c r="I9" s="8"/>
      <c r="J9" s="14" t="s">
        <v>221</v>
      </c>
      <c r="K9" s="16" t="s">
        <v>54</v>
      </c>
      <c r="L9" s="8"/>
      <c r="M9" s="14" t="s">
        <v>280</v>
      </c>
      <c r="N9" s="8"/>
      <c r="O9" s="16" t="s">
        <v>56</v>
      </c>
      <c r="P9" s="16" t="s">
        <v>54</v>
      </c>
      <c r="Q9" s="8"/>
      <c r="R9" s="8"/>
      <c r="S9" s="8"/>
      <c r="T9" s="8"/>
      <c r="U9" s="8"/>
      <c r="W9" s="8"/>
      <c r="X9" s="8"/>
      <c r="Y9" s="8"/>
      <c r="AA9" s="8"/>
      <c r="AB9" s="8"/>
      <c r="AC9" s="8"/>
      <c r="AD9" s="8"/>
      <c r="AE9" s="8"/>
      <c r="AF9" s="8"/>
      <c r="AG9" s="8"/>
      <c r="AH9" s="8"/>
      <c r="AI9" s="8"/>
      <c r="AJ9" s="8"/>
      <c r="AK9" s="8"/>
      <c r="AL9" s="8"/>
      <c r="AM9" s="8"/>
      <c r="AN9" s="8"/>
      <c r="AO9" s="8"/>
      <c r="AP9" s="8"/>
      <c r="AQ9" s="8"/>
      <c r="AR9" s="8"/>
    </row>
    <row r="10">
      <c r="A10" s="14" t="s">
        <v>281</v>
      </c>
      <c r="B10" s="14" t="s">
        <v>282</v>
      </c>
      <c r="C10" s="14" t="s">
        <v>283</v>
      </c>
      <c r="D10" s="14" t="s">
        <v>284</v>
      </c>
      <c r="E10" s="16" t="s">
        <v>50</v>
      </c>
      <c r="F10" s="18" t="s">
        <v>219</v>
      </c>
      <c r="G10" s="8"/>
      <c r="H10" s="15" t="s">
        <v>76</v>
      </c>
      <c r="I10" s="8"/>
      <c r="J10" s="14" t="s">
        <v>285</v>
      </c>
      <c r="K10" s="16" t="s">
        <v>54</v>
      </c>
      <c r="L10" s="8"/>
      <c r="M10" s="14" t="s">
        <v>286</v>
      </c>
      <c r="N10" s="8"/>
      <c r="O10" s="16" t="s">
        <v>56</v>
      </c>
      <c r="P10" s="16" t="s">
        <v>54</v>
      </c>
      <c r="Q10" s="8"/>
      <c r="R10" s="8"/>
      <c r="S10" s="8"/>
      <c r="T10" s="8"/>
      <c r="U10" s="8"/>
      <c r="W10" s="8"/>
      <c r="X10" s="8"/>
      <c r="Y10" s="8"/>
      <c r="AA10" s="8"/>
      <c r="AB10" s="8"/>
      <c r="AC10" s="8"/>
      <c r="AD10" s="8"/>
      <c r="AE10" s="8"/>
      <c r="AF10" s="8"/>
      <c r="AG10" s="8"/>
      <c r="AH10" s="8"/>
      <c r="AI10" s="8"/>
      <c r="AJ10" s="8"/>
      <c r="AK10" s="8"/>
      <c r="AL10" s="8"/>
      <c r="AM10" s="8"/>
      <c r="AN10" s="8"/>
      <c r="AO10" s="8"/>
      <c r="AP10" s="8"/>
      <c r="AQ10" s="8"/>
      <c r="AR10" s="8"/>
    </row>
    <row r="11">
      <c r="A11" s="14" t="s">
        <v>287</v>
      </c>
      <c r="B11" s="14" t="s">
        <v>288</v>
      </c>
      <c r="C11" s="14" t="s">
        <v>289</v>
      </c>
      <c r="D11" s="14" t="s">
        <v>290</v>
      </c>
      <c r="E11" s="16" t="s">
        <v>50</v>
      </c>
      <c r="F11" s="18" t="s">
        <v>219</v>
      </c>
      <c r="G11" s="8"/>
      <c r="H11" s="15" t="s">
        <v>99</v>
      </c>
      <c r="I11" s="8"/>
      <c r="J11" s="14" t="s">
        <v>221</v>
      </c>
      <c r="K11" s="16" t="s">
        <v>54</v>
      </c>
      <c r="L11" s="8"/>
      <c r="M11" s="14" t="s">
        <v>291</v>
      </c>
      <c r="N11" s="8"/>
      <c r="O11" s="16" t="s">
        <v>56</v>
      </c>
      <c r="P11" s="16" t="s">
        <v>54</v>
      </c>
      <c r="Q11" s="8"/>
      <c r="R11" s="8"/>
      <c r="S11" s="8"/>
      <c r="T11" s="8"/>
      <c r="U11" s="8"/>
      <c r="W11" s="8"/>
      <c r="X11" s="8"/>
      <c r="Y11" s="8"/>
      <c r="AA11" s="8"/>
      <c r="AB11" s="8"/>
      <c r="AC11" s="8"/>
      <c r="AD11" s="8"/>
      <c r="AE11" s="8"/>
      <c r="AF11" s="8"/>
      <c r="AG11" s="8"/>
      <c r="AH11" s="8"/>
      <c r="AI11" s="8"/>
      <c r="AJ11" s="8"/>
      <c r="AK11" s="8"/>
      <c r="AL11" s="8"/>
      <c r="AM11" s="8"/>
      <c r="AN11" s="8"/>
      <c r="AO11" s="8"/>
      <c r="AP11" s="8"/>
      <c r="AQ11" s="8"/>
      <c r="AR11" s="8"/>
    </row>
    <row r="12">
      <c r="A12" s="14" t="s">
        <v>292</v>
      </c>
      <c r="B12" s="14" t="s">
        <v>293</v>
      </c>
      <c r="C12" s="14" t="s">
        <v>294</v>
      </c>
      <c r="D12" s="14" t="s">
        <v>295</v>
      </c>
      <c r="E12" s="16" t="s">
        <v>50</v>
      </c>
      <c r="F12" s="18" t="s">
        <v>219</v>
      </c>
      <c r="G12" s="8"/>
      <c r="H12" s="15" t="s">
        <v>296</v>
      </c>
      <c r="I12" s="8"/>
      <c r="J12" s="14" t="s">
        <v>221</v>
      </c>
      <c r="K12" s="16" t="s">
        <v>54</v>
      </c>
      <c r="L12" s="8"/>
      <c r="M12" s="14" t="s">
        <v>297</v>
      </c>
      <c r="N12" s="8"/>
      <c r="O12" s="16" t="s">
        <v>56</v>
      </c>
      <c r="P12" s="16" t="s">
        <v>54</v>
      </c>
      <c r="Q12" s="8"/>
      <c r="R12" s="8"/>
      <c r="S12" s="8"/>
      <c r="T12" s="8"/>
      <c r="U12" s="8"/>
      <c r="W12" s="8"/>
      <c r="X12" s="8"/>
      <c r="Y12" s="8"/>
      <c r="AA12" s="8"/>
      <c r="AB12" s="8"/>
      <c r="AC12" s="8"/>
      <c r="AD12" s="8"/>
      <c r="AE12" s="8"/>
      <c r="AF12" s="8"/>
      <c r="AG12" s="8"/>
      <c r="AH12" s="8"/>
      <c r="AI12" s="8"/>
      <c r="AJ12" s="8"/>
      <c r="AK12" s="8"/>
      <c r="AL12" s="8"/>
      <c r="AM12" s="8"/>
      <c r="AN12" s="8"/>
      <c r="AO12" s="8"/>
      <c r="AP12" s="8"/>
      <c r="AQ12" s="8"/>
      <c r="AR12" s="8"/>
    </row>
    <row r="13">
      <c r="A13" s="14" t="s">
        <v>298</v>
      </c>
      <c r="B13" s="14" t="s">
        <v>299</v>
      </c>
      <c r="C13" s="14" t="s">
        <v>300</v>
      </c>
      <c r="D13" s="14" t="s">
        <v>301</v>
      </c>
      <c r="E13" s="16" t="s">
        <v>50</v>
      </c>
      <c r="F13" s="18" t="s">
        <v>219</v>
      </c>
      <c r="G13" s="8"/>
      <c r="H13" s="15" t="s">
        <v>302</v>
      </c>
      <c r="I13" s="8"/>
      <c r="J13" s="14" t="s">
        <v>303</v>
      </c>
      <c r="K13" s="16" t="s">
        <v>54</v>
      </c>
      <c r="L13" s="8"/>
      <c r="M13" s="14" t="s">
        <v>304</v>
      </c>
      <c r="N13" s="8"/>
      <c r="O13" s="16" t="s">
        <v>56</v>
      </c>
      <c r="P13" s="16" t="s">
        <v>54</v>
      </c>
      <c r="Q13" s="14" t="s">
        <v>305</v>
      </c>
      <c r="R13" s="8"/>
      <c r="S13" s="16" t="s">
        <v>56</v>
      </c>
      <c r="T13" s="16" t="s">
        <v>54</v>
      </c>
      <c r="U13" s="14" t="s">
        <v>306</v>
      </c>
      <c r="W13" s="16" t="s">
        <v>56</v>
      </c>
      <c r="X13" s="16" t="s">
        <v>54</v>
      </c>
      <c r="Y13" s="8"/>
      <c r="AA13" s="8"/>
      <c r="AB13" s="8"/>
      <c r="AC13" s="8"/>
      <c r="AD13" s="8"/>
      <c r="AE13" s="8"/>
      <c r="AF13" s="8"/>
      <c r="AG13" s="8"/>
      <c r="AH13" s="8"/>
      <c r="AI13" s="8"/>
      <c r="AJ13" s="8"/>
      <c r="AK13" s="8"/>
      <c r="AL13" s="8"/>
      <c r="AM13" s="8"/>
      <c r="AN13" s="8"/>
      <c r="AO13" s="8"/>
      <c r="AP13" s="8"/>
      <c r="AQ13" s="8"/>
      <c r="AR13" s="8"/>
    </row>
    <row r="14">
      <c r="A14" s="14" t="s">
        <v>307</v>
      </c>
      <c r="B14" s="14" t="s">
        <v>308</v>
      </c>
      <c r="C14" s="14" t="s">
        <v>309</v>
      </c>
      <c r="D14" s="14" t="s">
        <v>310</v>
      </c>
      <c r="E14" s="16" t="s">
        <v>50</v>
      </c>
      <c r="F14" s="18" t="s">
        <v>219</v>
      </c>
      <c r="G14" s="8"/>
      <c r="H14" s="15" t="s">
        <v>99</v>
      </c>
      <c r="I14" s="8"/>
      <c r="J14" s="14" t="s">
        <v>221</v>
      </c>
      <c r="K14" s="16" t="s">
        <v>54</v>
      </c>
      <c r="L14" s="8"/>
      <c r="M14" s="14" t="s">
        <v>311</v>
      </c>
      <c r="N14" s="8"/>
      <c r="O14" s="16" t="s">
        <v>56</v>
      </c>
      <c r="P14" s="16" t="s">
        <v>54</v>
      </c>
      <c r="Q14" s="8"/>
      <c r="R14" s="8"/>
      <c r="S14" s="8"/>
      <c r="T14" s="8"/>
      <c r="U14" s="8"/>
      <c r="W14" s="8"/>
      <c r="X14" s="8"/>
      <c r="Y14" s="8"/>
      <c r="AA14" s="8"/>
      <c r="AB14" s="8"/>
      <c r="AC14" s="8"/>
      <c r="AD14" s="8"/>
      <c r="AE14" s="8"/>
      <c r="AF14" s="8"/>
      <c r="AG14" s="8"/>
      <c r="AH14" s="8"/>
      <c r="AI14" s="8"/>
      <c r="AJ14" s="8"/>
      <c r="AK14" s="8"/>
      <c r="AL14" s="8"/>
      <c r="AM14" s="8"/>
      <c r="AN14" s="8"/>
      <c r="AO14" s="8"/>
      <c r="AP14" s="8"/>
      <c r="AQ14" s="8"/>
      <c r="AR14" s="8"/>
    </row>
    <row r="15">
      <c r="A15" s="14" t="s">
        <v>79</v>
      </c>
      <c r="B15" s="14" t="s">
        <v>80</v>
      </c>
      <c r="C15" s="14" t="s">
        <v>312</v>
      </c>
      <c r="D15" s="14" t="s">
        <v>313</v>
      </c>
      <c r="E15" s="16" t="s">
        <v>50</v>
      </c>
      <c r="F15" s="18" t="s">
        <v>219</v>
      </c>
      <c r="G15" s="8"/>
      <c r="H15" s="15" t="s">
        <v>314</v>
      </c>
      <c r="I15" s="8"/>
      <c r="J15" s="14" t="s">
        <v>315</v>
      </c>
      <c r="K15" s="16" t="s">
        <v>54</v>
      </c>
      <c r="L15" s="8"/>
      <c r="M15" s="14" t="s">
        <v>316</v>
      </c>
      <c r="N15" s="8"/>
      <c r="O15" s="16" t="s">
        <v>56</v>
      </c>
      <c r="P15" s="16" t="s">
        <v>54</v>
      </c>
      <c r="Q15" s="14" t="s">
        <v>317</v>
      </c>
      <c r="R15" s="8"/>
      <c r="S15" s="16" t="s">
        <v>56</v>
      </c>
      <c r="T15" s="16" t="s">
        <v>54</v>
      </c>
      <c r="U15" s="8"/>
      <c r="W15" s="8"/>
      <c r="X15" s="8"/>
      <c r="Y15" s="8"/>
      <c r="AA15" s="8"/>
      <c r="AB15" s="8"/>
      <c r="AC15" s="8"/>
      <c r="AD15" s="8"/>
      <c r="AE15" s="8"/>
      <c r="AF15" s="8"/>
      <c r="AG15" s="8"/>
      <c r="AH15" s="8"/>
      <c r="AI15" s="8"/>
      <c r="AJ15" s="8"/>
      <c r="AK15" s="8"/>
      <c r="AL15" s="8"/>
      <c r="AM15" s="8"/>
      <c r="AN15" s="8"/>
      <c r="AO15" s="8"/>
      <c r="AP15" s="8"/>
      <c r="AQ15" s="8"/>
      <c r="AR15" s="8"/>
    </row>
    <row r="16">
      <c r="A16" s="14" t="s">
        <v>318</v>
      </c>
      <c r="B16" s="14" t="s">
        <v>319</v>
      </c>
      <c r="C16" s="14" t="s">
        <v>320</v>
      </c>
      <c r="D16" s="14" t="s">
        <v>321</v>
      </c>
      <c r="E16" s="16" t="s">
        <v>50</v>
      </c>
      <c r="F16" s="18" t="s">
        <v>219</v>
      </c>
      <c r="G16" s="8"/>
      <c r="H16" s="15" t="s">
        <v>322</v>
      </c>
      <c r="I16" s="8"/>
      <c r="J16" s="14" t="s">
        <v>221</v>
      </c>
      <c r="K16" s="16" t="s">
        <v>54</v>
      </c>
      <c r="L16" s="8"/>
      <c r="M16" s="14" t="s">
        <v>323</v>
      </c>
      <c r="N16" s="8"/>
      <c r="O16" s="16" t="s">
        <v>56</v>
      </c>
      <c r="P16" s="16" t="s">
        <v>54</v>
      </c>
      <c r="Q16" s="8"/>
      <c r="R16" s="8"/>
      <c r="S16" s="8"/>
      <c r="T16" s="8"/>
      <c r="U16" s="8"/>
      <c r="W16" s="8"/>
      <c r="X16" s="8"/>
      <c r="Y16" s="8"/>
      <c r="AA16" s="8"/>
      <c r="AB16" s="8"/>
      <c r="AC16" s="8"/>
      <c r="AD16" s="8"/>
      <c r="AE16" s="8"/>
      <c r="AF16" s="8"/>
      <c r="AG16" s="8"/>
      <c r="AH16" s="8"/>
      <c r="AI16" s="8"/>
      <c r="AJ16" s="8"/>
      <c r="AK16" s="8"/>
      <c r="AL16" s="8"/>
      <c r="AM16" s="8"/>
      <c r="AN16" s="8"/>
      <c r="AO16" s="8"/>
      <c r="AP16" s="8"/>
      <c r="AQ16" s="8"/>
      <c r="AR16" s="8"/>
    </row>
    <row r="17">
      <c r="A17" s="14" t="s">
        <v>324</v>
      </c>
      <c r="B17" s="14" t="s">
        <v>325</v>
      </c>
      <c r="C17" s="14" t="s">
        <v>326</v>
      </c>
      <c r="D17" s="14" t="s">
        <v>327</v>
      </c>
      <c r="E17" s="16" t="s">
        <v>50</v>
      </c>
      <c r="F17" s="18" t="s">
        <v>219</v>
      </c>
      <c r="G17" s="8"/>
      <c r="H17" s="15" t="s">
        <v>328</v>
      </c>
      <c r="I17" s="8"/>
      <c r="J17" s="14" t="s">
        <v>329</v>
      </c>
      <c r="K17" s="16" t="s">
        <v>54</v>
      </c>
      <c r="L17" s="8"/>
      <c r="M17" s="14" t="s">
        <v>330</v>
      </c>
      <c r="N17" s="8"/>
      <c r="O17" s="16" t="s">
        <v>56</v>
      </c>
      <c r="P17" s="16" t="s">
        <v>54</v>
      </c>
      <c r="Q17" s="14" t="s">
        <v>331</v>
      </c>
      <c r="R17" s="8"/>
      <c r="S17" s="16" t="s">
        <v>56</v>
      </c>
      <c r="T17" s="16" t="s">
        <v>54</v>
      </c>
      <c r="U17" s="14" t="s">
        <v>332</v>
      </c>
      <c r="W17" s="16" t="s">
        <v>56</v>
      </c>
      <c r="X17" s="16" t="s">
        <v>54</v>
      </c>
      <c r="Y17" s="14" t="s">
        <v>333</v>
      </c>
      <c r="AA17" s="16" t="s">
        <v>56</v>
      </c>
      <c r="AB17" s="16" t="s">
        <v>54</v>
      </c>
      <c r="AC17" s="8"/>
      <c r="AD17" s="8"/>
      <c r="AE17" s="8"/>
      <c r="AF17" s="8"/>
      <c r="AG17" s="8"/>
      <c r="AH17" s="8"/>
      <c r="AI17" s="8"/>
      <c r="AJ17" s="8"/>
      <c r="AK17" s="8"/>
      <c r="AL17" s="8"/>
      <c r="AM17" s="8"/>
      <c r="AN17" s="8"/>
      <c r="AO17" s="8"/>
      <c r="AP17" s="8"/>
      <c r="AQ17" s="8"/>
      <c r="AR17" s="8"/>
    </row>
    <row r="18">
      <c r="A18" s="14" t="s">
        <v>334</v>
      </c>
      <c r="B18" s="14" t="s">
        <v>335</v>
      </c>
      <c r="C18" s="14" t="s">
        <v>336</v>
      </c>
      <c r="D18" s="14" t="s">
        <v>337</v>
      </c>
      <c r="E18" s="16" t="s">
        <v>50</v>
      </c>
      <c r="F18" s="18" t="s">
        <v>219</v>
      </c>
      <c r="G18" s="8"/>
      <c r="H18" s="15" t="s">
        <v>338</v>
      </c>
      <c r="I18" s="8"/>
      <c r="J18" s="14" t="s">
        <v>339</v>
      </c>
      <c r="K18" s="16" t="s">
        <v>54</v>
      </c>
      <c r="L18" s="8"/>
      <c r="M18" s="14" t="s">
        <v>340</v>
      </c>
      <c r="N18" s="8"/>
      <c r="O18" s="16" t="s">
        <v>56</v>
      </c>
      <c r="P18" s="16" t="s">
        <v>54</v>
      </c>
      <c r="Q18" s="14" t="s">
        <v>341</v>
      </c>
      <c r="R18" s="8"/>
      <c r="S18" s="16" t="s">
        <v>56</v>
      </c>
      <c r="T18" s="16" t="s">
        <v>54</v>
      </c>
      <c r="U18" s="8"/>
      <c r="W18" s="8"/>
      <c r="X18" s="8"/>
      <c r="Y18" s="8"/>
      <c r="AA18" s="8"/>
      <c r="AB18" s="8"/>
      <c r="AC18" s="8"/>
      <c r="AD18" s="8"/>
      <c r="AE18" s="8"/>
      <c r="AF18" s="8"/>
      <c r="AG18" s="8"/>
      <c r="AH18" s="8"/>
      <c r="AI18" s="8"/>
      <c r="AJ18" s="8"/>
      <c r="AK18" s="8"/>
      <c r="AL18" s="8"/>
      <c r="AM18" s="8"/>
      <c r="AN18" s="8"/>
      <c r="AO18" s="8"/>
      <c r="AP18" s="8"/>
      <c r="AQ18" s="8"/>
      <c r="AR18" s="8"/>
    </row>
    <row r="19">
      <c r="A19" s="14" t="s">
        <v>342</v>
      </c>
      <c r="B19" s="14" t="s">
        <v>343</v>
      </c>
      <c r="C19" s="14" t="s">
        <v>344</v>
      </c>
      <c r="D19" s="14" t="s">
        <v>345</v>
      </c>
      <c r="E19" s="16" t="s">
        <v>50</v>
      </c>
      <c r="F19" s="18" t="s">
        <v>219</v>
      </c>
      <c r="G19" s="8"/>
      <c r="H19" s="15" t="s">
        <v>346</v>
      </c>
      <c r="I19" s="8"/>
      <c r="J19" s="14" t="s">
        <v>347</v>
      </c>
      <c r="K19" s="16" t="s">
        <v>54</v>
      </c>
      <c r="L19" s="8"/>
      <c r="M19" s="14" t="s">
        <v>348</v>
      </c>
      <c r="N19" s="8"/>
      <c r="O19" s="16" t="s">
        <v>56</v>
      </c>
      <c r="P19" s="16" t="s">
        <v>54</v>
      </c>
      <c r="Q19" s="14" t="s">
        <v>349</v>
      </c>
      <c r="R19" s="8"/>
      <c r="S19" s="16" t="s">
        <v>56</v>
      </c>
      <c r="T19" s="16" t="s">
        <v>54</v>
      </c>
      <c r="U19" s="14" t="s">
        <v>350</v>
      </c>
      <c r="W19" s="16" t="s">
        <v>56</v>
      </c>
      <c r="X19" s="16" t="s">
        <v>54</v>
      </c>
      <c r="Y19" s="14" t="s">
        <v>351</v>
      </c>
      <c r="AA19" s="16" t="s">
        <v>56</v>
      </c>
      <c r="AB19" s="16" t="s">
        <v>54</v>
      </c>
      <c r="AC19" s="14" t="s">
        <v>352</v>
      </c>
      <c r="AD19" s="8"/>
      <c r="AE19" s="16" t="s">
        <v>56</v>
      </c>
      <c r="AF19" s="16" t="s">
        <v>54</v>
      </c>
      <c r="AG19" s="8"/>
      <c r="AH19" s="8"/>
      <c r="AI19" s="8"/>
      <c r="AJ19" s="8"/>
      <c r="AK19" s="8"/>
      <c r="AL19" s="8"/>
      <c r="AM19" s="8"/>
      <c r="AN19" s="8"/>
      <c r="AO19" s="8"/>
      <c r="AP19" s="8"/>
      <c r="AQ19" s="8"/>
      <c r="AR19" s="8"/>
    </row>
    <row r="20">
      <c r="A20" s="14" t="s">
        <v>353</v>
      </c>
      <c r="B20" s="14" t="s">
        <v>354</v>
      </c>
      <c r="C20" s="14" t="s">
        <v>355</v>
      </c>
      <c r="D20" s="14" t="s">
        <v>356</v>
      </c>
      <c r="E20" s="16" t="s">
        <v>50</v>
      </c>
      <c r="F20" s="18" t="s">
        <v>219</v>
      </c>
      <c r="G20" s="8"/>
      <c r="H20" s="15" t="s">
        <v>357</v>
      </c>
      <c r="I20" s="8"/>
      <c r="J20" s="14" t="s">
        <v>358</v>
      </c>
      <c r="K20" s="16" t="s">
        <v>54</v>
      </c>
      <c r="L20" s="8"/>
      <c r="M20" s="14" t="s">
        <v>359</v>
      </c>
      <c r="N20" s="8"/>
      <c r="O20" s="16" t="s">
        <v>56</v>
      </c>
      <c r="P20" s="14" t="s">
        <v>54</v>
      </c>
      <c r="Q20" s="14" t="s">
        <v>360</v>
      </c>
      <c r="R20" s="8"/>
      <c r="S20" s="16" t="s">
        <v>56</v>
      </c>
      <c r="T20" s="16" t="s">
        <v>54</v>
      </c>
      <c r="U20" s="14" t="s">
        <v>361</v>
      </c>
      <c r="W20" s="16" t="s">
        <v>56</v>
      </c>
      <c r="X20" s="16" t="s">
        <v>54</v>
      </c>
      <c r="Y20" s="14" t="s">
        <v>362</v>
      </c>
      <c r="AA20" s="16" t="s">
        <v>56</v>
      </c>
      <c r="AB20" s="16" t="s">
        <v>54</v>
      </c>
      <c r="AC20" s="8"/>
      <c r="AD20" s="8"/>
      <c r="AE20" s="8"/>
      <c r="AF20" s="8"/>
      <c r="AG20" s="8"/>
      <c r="AH20" s="8"/>
      <c r="AI20" s="8"/>
      <c r="AJ20" s="8"/>
      <c r="AK20" s="8"/>
      <c r="AL20" s="8"/>
      <c r="AM20" s="8"/>
      <c r="AN20" s="8"/>
      <c r="AO20" s="8"/>
      <c r="AP20" s="8"/>
      <c r="AQ20" s="8"/>
      <c r="AR20" s="8"/>
    </row>
    <row r="21">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row>
    <row r="22">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row>
    <row r="2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row>
    <row r="24">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row>
    <row r="26">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0.43"/>
    <col customWidth="1" min="4" max="4" width="74.14"/>
    <col customWidth="1" min="5" max="5" width="15.86"/>
    <col customWidth="1" min="6" max="6" width="48.14"/>
    <col customWidth="1" min="7" max="7" width="8.0"/>
    <col customWidth="1" min="8" max="8" width="25.0"/>
    <col customWidth="1" min="9" max="9" width="11.14"/>
    <col customWidth="1" min="10" max="10" width="25.0"/>
    <col customWidth="1" min="11" max="11" width="30.86"/>
    <col customWidth="1" min="13" max="13" width="29.43"/>
    <col customWidth="1" min="14" max="14" width="28.0"/>
    <col customWidth="1" min="15" max="15" width="32.71"/>
    <col customWidth="1" min="16" max="16" width="47.29"/>
    <col customWidth="1" min="17" max="17" width="39.14"/>
    <col customWidth="1" min="18" max="18" width="28.57"/>
    <col customWidth="1" min="19" max="19" width="37.43"/>
    <col customWidth="1" min="20" max="23" width="34.71"/>
    <col customWidth="1" min="24" max="24" width="46.86"/>
    <col customWidth="1" min="25" max="27" width="41.71"/>
    <col customWidth="1" min="28" max="28" width="52.86"/>
    <col customWidth="1" min="29" max="29" width="30.29"/>
    <col customWidth="1" min="30" max="32" width="30.0"/>
    <col customWidth="1" min="33" max="34" width="25.86"/>
    <col customWidth="1" min="35" max="35" width="42.86"/>
    <col customWidth="1" min="36" max="36" width="38.43"/>
    <col customWidth="1" min="37" max="38" width="37.71"/>
    <col customWidth="1" min="39" max="39" width="42.57"/>
    <col customWidth="1" min="40" max="40" width="36.29"/>
    <col customWidth="1" min="41" max="41" width="26.71"/>
    <col customWidth="1" min="42" max="42" width="31.0"/>
    <col customWidth="1" min="43" max="43" width="34.29"/>
    <col customWidth="1" min="44" max="44" width="26.29"/>
  </cols>
  <sheetData>
    <row r="1">
      <c r="A1" s="13" t="s">
        <v>1</v>
      </c>
      <c r="B1" s="13" t="s">
        <v>2</v>
      </c>
      <c r="C1" s="13" t="s">
        <v>3</v>
      </c>
      <c r="D1" s="1" t="s">
        <v>4</v>
      </c>
      <c r="E1" s="1" t="s">
        <v>5</v>
      </c>
      <c r="F1" s="1" t="s">
        <v>6</v>
      </c>
      <c r="G1" s="1" t="s">
        <v>7</v>
      </c>
      <c r="H1" s="3"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41</v>
      </c>
      <c r="AK1" s="1" t="s">
        <v>37</v>
      </c>
      <c r="AL1" s="1" t="s">
        <v>38</v>
      </c>
      <c r="AM1" s="1" t="s">
        <v>39</v>
      </c>
      <c r="AN1" s="1" t="s">
        <v>40</v>
      </c>
      <c r="AO1" s="6" t="s">
        <v>42</v>
      </c>
      <c r="AP1" s="6" t="s">
        <v>43</v>
      </c>
      <c r="AQ1" s="6" t="s">
        <v>44</v>
      </c>
      <c r="AR1" s="6" t="s">
        <v>45</v>
      </c>
    </row>
    <row r="2">
      <c r="A2" s="14" t="s">
        <v>363</v>
      </c>
      <c r="B2" s="14" t="s">
        <v>364</v>
      </c>
      <c r="C2" s="14" t="s">
        <v>365</v>
      </c>
      <c r="D2" s="14" t="s">
        <v>366</v>
      </c>
      <c r="E2" s="16" t="s">
        <v>50</v>
      </c>
      <c r="F2" s="16" t="s">
        <v>367</v>
      </c>
      <c r="G2" s="14"/>
      <c r="H2" s="15" t="s">
        <v>368</v>
      </c>
      <c r="I2" s="8"/>
      <c r="J2" s="14" t="s">
        <v>369</v>
      </c>
      <c r="K2" s="19" t="s">
        <v>54</v>
      </c>
      <c r="L2" s="8"/>
      <c r="M2" s="14" t="s">
        <v>370</v>
      </c>
      <c r="N2" s="8"/>
      <c r="O2" s="16" t="s">
        <v>56</v>
      </c>
      <c r="P2" s="16" t="s">
        <v>54</v>
      </c>
      <c r="Q2" s="14" t="s">
        <v>371</v>
      </c>
      <c r="R2" s="8"/>
      <c r="S2" s="16" t="s">
        <v>56</v>
      </c>
      <c r="T2" s="16" t="s">
        <v>54</v>
      </c>
      <c r="U2" s="14" t="s">
        <v>372</v>
      </c>
      <c r="V2" s="14"/>
      <c r="W2" s="16" t="s">
        <v>56</v>
      </c>
      <c r="X2" s="16" t="s">
        <v>54</v>
      </c>
      <c r="Y2" s="14" t="s">
        <v>373</v>
      </c>
      <c r="Z2" s="20"/>
      <c r="AA2" s="20" t="s">
        <v>56</v>
      </c>
      <c r="AB2" s="16" t="s">
        <v>54</v>
      </c>
      <c r="AC2" s="8"/>
      <c r="AD2" s="8"/>
      <c r="AE2" s="8"/>
      <c r="AF2" s="8"/>
      <c r="AG2" s="8"/>
      <c r="AH2" s="8"/>
      <c r="AI2" s="16"/>
      <c r="AJ2" s="8"/>
      <c r="AK2" s="8"/>
      <c r="AL2" s="8"/>
      <c r="AM2" s="8"/>
      <c r="AN2" s="8"/>
    </row>
    <row r="3">
      <c r="A3" s="14" t="s">
        <v>363</v>
      </c>
      <c r="B3" s="14" t="s">
        <v>364</v>
      </c>
      <c r="C3" s="14" t="s">
        <v>374</v>
      </c>
      <c r="D3" s="14" t="s">
        <v>375</v>
      </c>
      <c r="E3" s="16" t="s">
        <v>50</v>
      </c>
      <c r="F3" s="16" t="s">
        <v>367</v>
      </c>
      <c r="G3" s="14"/>
      <c r="H3" s="15" t="s">
        <v>376</v>
      </c>
      <c r="I3" s="8"/>
      <c r="J3" s="14" t="s">
        <v>377</v>
      </c>
      <c r="K3" s="14" t="s">
        <v>54</v>
      </c>
      <c r="L3" s="8"/>
      <c r="M3" s="14" t="s">
        <v>378</v>
      </c>
      <c r="N3" s="8"/>
      <c r="O3" s="16" t="s">
        <v>56</v>
      </c>
      <c r="P3" s="16" t="s">
        <v>54</v>
      </c>
      <c r="Q3" s="14" t="s">
        <v>379</v>
      </c>
      <c r="R3" s="8"/>
      <c r="S3" s="16" t="s">
        <v>56</v>
      </c>
      <c r="T3" s="16" t="s">
        <v>54</v>
      </c>
      <c r="U3" s="14" t="s">
        <v>380</v>
      </c>
      <c r="V3" s="14"/>
      <c r="W3" s="16" t="s">
        <v>56</v>
      </c>
      <c r="X3" s="16" t="s">
        <v>54</v>
      </c>
      <c r="Y3" s="14" t="s">
        <v>381</v>
      </c>
      <c r="Z3" s="20"/>
      <c r="AA3" s="20" t="s">
        <v>56</v>
      </c>
      <c r="AB3" s="16" t="s">
        <v>54</v>
      </c>
      <c r="AC3" s="14" t="s">
        <v>382</v>
      </c>
      <c r="AE3" s="16" t="s">
        <v>383</v>
      </c>
      <c r="AF3" s="16"/>
      <c r="AG3" s="14" t="s">
        <v>384</v>
      </c>
      <c r="AH3" s="14"/>
      <c r="AI3" s="16" t="s">
        <v>56</v>
      </c>
      <c r="AJ3" s="16" t="s">
        <v>54</v>
      </c>
      <c r="AK3" s="14" t="s">
        <v>385</v>
      </c>
      <c r="AL3" s="14"/>
      <c r="AM3" s="16" t="s">
        <v>56</v>
      </c>
      <c r="AN3" s="14" t="s">
        <v>54</v>
      </c>
    </row>
    <row r="4">
      <c r="A4" s="14" t="s">
        <v>386</v>
      </c>
      <c r="B4" s="14" t="s">
        <v>387</v>
      </c>
      <c r="C4" s="14" t="s">
        <v>388</v>
      </c>
      <c r="D4" s="14" t="s">
        <v>389</v>
      </c>
      <c r="E4" s="16" t="s">
        <v>50</v>
      </c>
      <c r="F4" s="16" t="s">
        <v>367</v>
      </c>
      <c r="G4" s="14"/>
      <c r="H4" s="15" t="s">
        <v>52</v>
      </c>
      <c r="I4" s="8"/>
      <c r="J4" s="14" t="s">
        <v>390</v>
      </c>
      <c r="K4" s="16" t="s">
        <v>391</v>
      </c>
      <c r="L4" s="8"/>
      <c r="M4" s="14" t="s">
        <v>392</v>
      </c>
      <c r="N4" s="8"/>
      <c r="O4" s="16" t="s">
        <v>56</v>
      </c>
      <c r="P4" s="16" t="s">
        <v>54</v>
      </c>
      <c r="Q4" s="8"/>
      <c r="R4" s="8"/>
      <c r="S4" s="8"/>
      <c r="T4" s="8"/>
      <c r="U4" s="8"/>
      <c r="V4" s="8"/>
      <c r="W4" s="8"/>
      <c r="X4" s="8"/>
      <c r="Y4" s="8"/>
      <c r="Z4" s="8"/>
      <c r="AA4" s="8"/>
      <c r="AB4" s="8"/>
      <c r="AC4" s="8"/>
      <c r="AE4" s="8"/>
      <c r="AF4" s="8"/>
      <c r="AG4" s="8"/>
      <c r="AH4" s="8"/>
      <c r="AI4" s="8"/>
      <c r="AJ4" s="8"/>
      <c r="AK4" s="8"/>
      <c r="AL4" s="8"/>
      <c r="AM4" s="8"/>
      <c r="AN4" s="8"/>
      <c r="AP4" s="8"/>
      <c r="AQ4" s="8"/>
      <c r="AR4" s="8"/>
    </row>
    <row r="5">
      <c r="A5" s="14" t="s">
        <v>393</v>
      </c>
      <c r="B5" s="14" t="s">
        <v>394</v>
      </c>
      <c r="C5" s="14" t="s">
        <v>395</v>
      </c>
      <c r="D5" s="14" t="s">
        <v>396</v>
      </c>
      <c r="E5" s="16" t="s">
        <v>50</v>
      </c>
      <c r="F5" s="16" t="s">
        <v>367</v>
      </c>
      <c r="G5" s="14"/>
      <c r="H5" s="15" t="s">
        <v>397</v>
      </c>
      <c r="I5" s="8"/>
      <c r="J5" s="14" t="s">
        <v>221</v>
      </c>
      <c r="K5" s="16" t="s">
        <v>54</v>
      </c>
      <c r="L5" s="8"/>
      <c r="M5" s="14" t="s">
        <v>398</v>
      </c>
      <c r="N5" s="8"/>
      <c r="O5" s="16" t="s">
        <v>56</v>
      </c>
      <c r="P5" s="16" t="s">
        <v>54</v>
      </c>
      <c r="Q5" s="14" t="s">
        <v>399</v>
      </c>
      <c r="R5" s="8"/>
      <c r="S5" s="16" t="s">
        <v>56</v>
      </c>
      <c r="T5" s="16" t="s">
        <v>54</v>
      </c>
      <c r="U5" s="8"/>
      <c r="V5" s="8"/>
      <c r="W5" s="8"/>
      <c r="X5" s="8"/>
      <c r="Y5" s="8"/>
      <c r="Z5" s="8"/>
      <c r="AA5" s="8"/>
      <c r="AB5" s="8"/>
      <c r="AC5" s="8"/>
      <c r="AE5" s="8"/>
      <c r="AF5" s="8"/>
      <c r="AG5" s="8"/>
      <c r="AH5" s="8"/>
      <c r="AI5" s="8"/>
      <c r="AJ5" s="8"/>
      <c r="AK5" s="8"/>
      <c r="AL5" s="8"/>
      <c r="AM5" s="8"/>
      <c r="AN5" s="8"/>
      <c r="AP5" s="8"/>
      <c r="AQ5" s="8"/>
      <c r="AR5" s="8"/>
    </row>
    <row r="6">
      <c r="A6" s="14" t="s">
        <v>400</v>
      </c>
      <c r="B6" s="14" t="s">
        <v>401</v>
      </c>
      <c r="C6" s="14" t="s">
        <v>402</v>
      </c>
      <c r="D6" s="14" t="s">
        <v>403</v>
      </c>
      <c r="E6" s="16" t="s">
        <v>50</v>
      </c>
      <c r="F6" s="16" t="s">
        <v>367</v>
      </c>
      <c r="G6" s="14"/>
      <c r="H6" s="15" t="s">
        <v>404</v>
      </c>
      <c r="I6" s="8"/>
      <c r="J6" s="14" t="s">
        <v>405</v>
      </c>
      <c r="K6" s="14" t="s">
        <v>54</v>
      </c>
      <c r="L6" s="8"/>
      <c r="M6" s="14" t="s">
        <v>406</v>
      </c>
      <c r="N6" s="8"/>
      <c r="O6" s="16" t="s">
        <v>56</v>
      </c>
      <c r="P6" s="16" t="s">
        <v>54</v>
      </c>
      <c r="Q6" s="14" t="s">
        <v>407</v>
      </c>
      <c r="R6" s="8"/>
      <c r="S6" s="16" t="s">
        <v>56</v>
      </c>
      <c r="T6" s="16" t="s">
        <v>54</v>
      </c>
      <c r="U6" s="8"/>
      <c r="V6" s="8"/>
      <c r="W6" s="8"/>
      <c r="X6" s="8"/>
      <c r="Y6" s="8"/>
      <c r="Z6" s="8"/>
      <c r="AA6" s="8"/>
      <c r="AB6" s="8"/>
      <c r="AC6" s="8"/>
      <c r="AE6" s="8"/>
      <c r="AF6" s="8"/>
      <c r="AG6" s="8"/>
      <c r="AH6" s="8"/>
      <c r="AI6" s="8"/>
      <c r="AJ6" s="8"/>
      <c r="AK6" s="8"/>
      <c r="AL6" s="8"/>
      <c r="AM6" s="8"/>
      <c r="AN6" s="8"/>
      <c r="AP6" s="8"/>
      <c r="AQ6" s="8"/>
      <c r="AR6" s="8"/>
    </row>
    <row r="7">
      <c r="A7" s="14" t="s">
        <v>408</v>
      </c>
      <c r="B7" s="14" t="s">
        <v>409</v>
      </c>
      <c r="C7" s="14" t="s">
        <v>410</v>
      </c>
      <c r="D7" s="14" t="s">
        <v>411</v>
      </c>
      <c r="E7" s="16" t="s">
        <v>50</v>
      </c>
      <c r="F7" s="16" t="s">
        <v>367</v>
      </c>
      <c r="G7" s="14"/>
      <c r="H7" s="15" t="s">
        <v>117</v>
      </c>
      <c r="I7" s="8"/>
      <c r="J7" s="14" t="s">
        <v>221</v>
      </c>
      <c r="K7" s="19" t="s">
        <v>54</v>
      </c>
      <c r="L7" s="8"/>
      <c r="M7" s="14" t="s">
        <v>412</v>
      </c>
      <c r="N7" s="8"/>
      <c r="O7" s="16" t="s">
        <v>56</v>
      </c>
      <c r="P7" s="16" t="s">
        <v>54</v>
      </c>
      <c r="Q7" s="14" t="s">
        <v>413</v>
      </c>
      <c r="R7" s="8"/>
      <c r="S7" s="16" t="s">
        <v>56</v>
      </c>
      <c r="T7" s="16" t="s">
        <v>54</v>
      </c>
      <c r="U7" s="14" t="s">
        <v>414</v>
      </c>
      <c r="V7" s="14"/>
      <c r="W7" s="20" t="s">
        <v>56</v>
      </c>
      <c r="X7" s="16" t="s">
        <v>54</v>
      </c>
      <c r="Y7" s="14" t="s">
        <v>415</v>
      </c>
      <c r="Z7" s="20"/>
      <c r="AA7" s="20" t="s">
        <v>56</v>
      </c>
      <c r="AB7" s="16" t="s">
        <v>54</v>
      </c>
      <c r="AC7" s="14" t="s">
        <v>416</v>
      </c>
      <c r="AE7" s="16" t="s">
        <v>383</v>
      </c>
      <c r="AF7" s="16"/>
      <c r="AG7" s="14" t="s">
        <v>417</v>
      </c>
      <c r="AH7" s="14"/>
      <c r="AI7" s="16" t="s">
        <v>56</v>
      </c>
      <c r="AJ7" s="16" t="s">
        <v>54</v>
      </c>
      <c r="AK7" s="8"/>
      <c r="AL7" s="8"/>
      <c r="AM7" s="8"/>
      <c r="AN7" s="8"/>
      <c r="AP7" s="8"/>
    </row>
    <row r="9">
      <c r="A9" s="8"/>
      <c r="B9" s="8"/>
      <c r="C9" s="8"/>
      <c r="D9" s="8"/>
      <c r="E9" s="8"/>
      <c r="F9" s="8"/>
      <c r="G9" s="8"/>
      <c r="H9" s="8"/>
      <c r="I9" s="8"/>
      <c r="J9" s="8"/>
      <c r="K9" s="20"/>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row>
    <row r="10">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row>
    <row r="11">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row>
    <row r="12">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row>
    <row r="1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row>
    <row r="14">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row>
    <row r="15">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row>
    <row r="16">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row>
    <row r="17">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row>
    <row r="18">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row>
    <row r="19">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row>
    <row r="20">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row>
    <row r="21">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row>
    <row r="22">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row>
    <row r="2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row>
    <row r="24">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row>
    <row r="26">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c r="AO1001" s="8"/>
      <c r="AP1001" s="8"/>
      <c r="AQ1001" s="8"/>
      <c r="AR1001"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1.14"/>
    <col customWidth="1" min="4" max="4" width="55.86"/>
    <col customWidth="1" min="5" max="5" width="17.29"/>
    <col customWidth="1" min="6" max="7" width="7.29"/>
    <col customWidth="1" min="8" max="8" width="14.43"/>
    <col customWidth="1" min="9" max="9" width="9.43"/>
    <col customWidth="1" min="10" max="10" width="34.86"/>
    <col customWidth="1" min="11" max="11" width="29.57"/>
    <col customWidth="1" min="12" max="12" width="13.86"/>
    <col customWidth="1" min="13" max="13" width="36.57"/>
    <col customWidth="1" min="14" max="16" width="29.43"/>
    <col customWidth="1" min="17" max="17" width="33.0"/>
    <col customWidth="1" min="18" max="18" width="29.57"/>
    <col customWidth="1" min="19" max="19" width="44.14"/>
    <col customWidth="1" min="20" max="20" width="47.43"/>
    <col customWidth="1" min="21" max="21" width="33.29"/>
    <col customWidth="1" min="22" max="22" width="26.86"/>
    <col customWidth="1" min="23" max="23" width="35.57"/>
    <col customWidth="1" min="24" max="24" width="29.0"/>
    <col customWidth="1" min="25" max="25" width="38.71"/>
    <col customWidth="1" min="26" max="26" width="28.86"/>
    <col customWidth="1" min="27" max="27" width="41.43"/>
    <col customWidth="1" min="28" max="28" width="34.29"/>
    <col customWidth="1" min="29" max="29" width="29.0"/>
    <col customWidth="1" min="31" max="31" width="35.0"/>
    <col customWidth="1" min="32" max="32" width="33.0"/>
  </cols>
  <sheetData>
    <row r="1">
      <c r="A1" s="13" t="s">
        <v>1</v>
      </c>
      <c r="B1" s="13" t="s">
        <v>2</v>
      </c>
      <c r="C1" s="13" t="s">
        <v>3</v>
      </c>
      <c r="D1" s="1" t="s">
        <v>4</v>
      </c>
      <c r="E1" s="1" t="s">
        <v>5</v>
      </c>
      <c r="F1" s="1" t="s">
        <v>6</v>
      </c>
      <c r="G1" s="1" t="s">
        <v>7</v>
      </c>
      <c r="H1" s="3"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41</v>
      </c>
      <c r="AK1" s="1" t="s">
        <v>37</v>
      </c>
      <c r="AL1" s="1" t="s">
        <v>38</v>
      </c>
      <c r="AM1" s="1" t="s">
        <v>39</v>
      </c>
      <c r="AN1" s="1" t="s">
        <v>40</v>
      </c>
      <c r="AO1" s="6" t="s">
        <v>42</v>
      </c>
      <c r="AP1" s="6" t="s">
        <v>43</v>
      </c>
      <c r="AQ1" s="6" t="s">
        <v>44</v>
      </c>
      <c r="AR1" s="6" t="s">
        <v>45</v>
      </c>
    </row>
    <row r="2">
      <c r="A2" s="14" t="s">
        <v>418</v>
      </c>
      <c r="B2" s="14" t="s">
        <v>419</v>
      </c>
      <c r="C2" s="14" t="s">
        <v>420</v>
      </c>
      <c r="D2" s="16" t="s">
        <v>421</v>
      </c>
      <c r="E2" s="14" t="s">
        <v>50</v>
      </c>
      <c r="F2" s="14" t="s">
        <v>422</v>
      </c>
      <c r="G2" s="14"/>
      <c r="H2" s="15" t="s">
        <v>423</v>
      </c>
      <c r="I2" s="8"/>
      <c r="J2" s="14" t="s">
        <v>424</v>
      </c>
      <c r="K2" s="14" t="s">
        <v>54</v>
      </c>
      <c r="L2" s="14"/>
      <c r="M2" s="14" t="s">
        <v>425</v>
      </c>
      <c r="N2" s="8"/>
      <c r="O2" s="16" t="s">
        <v>56</v>
      </c>
      <c r="P2" s="16" t="s">
        <v>54</v>
      </c>
      <c r="Q2" s="14" t="s">
        <v>426</v>
      </c>
      <c r="R2" s="8"/>
      <c r="S2" s="16" t="s">
        <v>56</v>
      </c>
      <c r="T2" s="16" t="s">
        <v>54</v>
      </c>
      <c r="U2" s="14" t="s">
        <v>427</v>
      </c>
      <c r="V2" s="8"/>
      <c r="W2" s="16" t="s">
        <v>56</v>
      </c>
      <c r="X2" s="16" t="s">
        <v>54</v>
      </c>
      <c r="Y2" s="14" t="s">
        <v>428</v>
      </c>
      <c r="Z2" s="8"/>
      <c r="AA2" s="16" t="s">
        <v>56</v>
      </c>
      <c r="AB2" s="16" t="s">
        <v>54</v>
      </c>
      <c r="AC2" s="8"/>
      <c r="AD2" s="8"/>
      <c r="AE2" s="8"/>
      <c r="AF2" s="8"/>
      <c r="AG2" s="8"/>
      <c r="AH2" s="8"/>
      <c r="AI2" s="8"/>
      <c r="AJ2" s="8"/>
      <c r="AK2" s="8"/>
      <c r="AL2" s="8"/>
      <c r="AM2" s="8"/>
      <c r="AN2" s="8"/>
      <c r="AO2" s="8"/>
      <c r="AP2" s="8"/>
      <c r="AQ2" s="8"/>
      <c r="AR2" s="8"/>
    </row>
    <row r="3">
      <c r="A3" s="14" t="s">
        <v>429</v>
      </c>
      <c r="B3" s="14" t="s">
        <v>430</v>
      </c>
      <c r="C3" s="14" t="s">
        <v>431</v>
      </c>
      <c r="D3" s="14" t="s">
        <v>432</v>
      </c>
      <c r="E3" s="14" t="s">
        <v>50</v>
      </c>
      <c r="F3" s="14" t="s">
        <v>422</v>
      </c>
      <c r="G3" s="14"/>
      <c r="H3" s="15" t="s">
        <v>433</v>
      </c>
      <c r="I3" s="8"/>
      <c r="J3" s="14" t="s">
        <v>53</v>
      </c>
      <c r="K3" s="14" t="s">
        <v>54</v>
      </c>
      <c r="L3" s="14"/>
      <c r="M3" s="14" t="s">
        <v>434</v>
      </c>
      <c r="N3" s="8"/>
      <c r="O3" s="16" t="s">
        <v>56</v>
      </c>
      <c r="P3" s="16" t="s">
        <v>54</v>
      </c>
      <c r="Q3" s="14" t="s">
        <v>435</v>
      </c>
      <c r="R3" s="8"/>
      <c r="S3" s="16" t="s">
        <v>56</v>
      </c>
      <c r="T3" s="16" t="s">
        <v>54</v>
      </c>
      <c r="U3" s="14" t="s">
        <v>436</v>
      </c>
      <c r="V3" s="8"/>
      <c r="W3" s="16" t="s">
        <v>56</v>
      </c>
      <c r="X3" s="16" t="s">
        <v>54</v>
      </c>
      <c r="Y3" s="14"/>
      <c r="Z3" s="8"/>
      <c r="AA3" s="8"/>
      <c r="AB3" s="8"/>
      <c r="AC3" s="8"/>
      <c r="AD3" s="8"/>
      <c r="AE3" s="8"/>
      <c r="AF3" s="8"/>
      <c r="AG3" s="8"/>
      <c r="AH3" s="8"/>
      <c r="AI3" s="8"/>
      <c r="AJ3" s="8"/>
      <c r="AK3" s="8"/>
      <c r="AL3" s="8"/>
      <c r="AM3" s="8"/>
      <c r="AN3" s="8"/>
      <c r="AO3" s="8"/>
      <c r="AP3" s="8"/>
      <c r="AQ3" s="8"/>
      <c r="AR3" s="8"/>
    </row>
    <row r="4">
      <c r="A4" s="14" t="s">
        <v>437</v>
      </c>
      <c r="B4" s="14" t="s">
        <v>438</v>
      </c>
      <c r="C4" s="14" t="s">
        <v>439</v>
      </c>
      <c r="D4" s="14" t="s">
        <v>440</v>
      </c>
      <c r="E4" s="16" t="s">
        <v>50</v>
      </c>
      <c r="F4" s="16" t="s">
        <v>422</v>
      </c>
      <c r="G4" s="16"/>
      <c r="H4" s="9"/>
      <c r="I4" s="8"/>
      <c r="J4" s="16" t="s">
        <v>441</v>
      </c>
      <c r="K4" s="16" t="s">
        <v>54</v>
      </c>
      <c r="L4" s="16"/>
      <c r="M4" s="16" t="s">
        <v>442</v>
      </c>
      <c r="N4" s="8"/>
      <c r="O4" s="16" t="s">
        <v>56</v>
      </c>
      <c r="P4" s="16" t="s">
        <v>54</v>
      </c>
      <c r="Q4" s="14" t="s">
        <v>443</v>
      </c>
      <c r="R4" s="8"/>
      <c r="S4" s="16" t="s">
        <v>56</v>
      </c>
      <c r="T4" s="16" t="s">
        <v>54</v>
      </c>
      <c r="U4" s="14" t="s">
        <v>444</v>
      </c>
      <c r="V4" s="8"/>
      <c r="W4" s="16" t="s">
        <v>56</v>
      </c>
      <c r="X4" s="16" t="s">
        <v>54</v>
      </c>
      <c r="Y4" s="14" t="s">
        <v>445</v>
      </c>
      <c r="Z4" s="8"/>
      <c r="AA4" s="16" t="s">
        <v>56</v>
      </c>
      <c r="AB4" s="16" t="s">
        <v>54</v>
      </c>
      <c r="AC4" s="8"/>
      <c r="AD4" s="8"/>
      <c r="AE4" s="8"/>
      <c r="AF4" s="8"/>
      <c r="AG4" s="8"/>
      <c r="AH4" s="8"/>
      <c r="AI4" s="8"/>
      <c r="AJ4" s="8"/>
      <c r="AK4" s="8"/>
      <c r="AL4" s="8"/>
      <c r="AM4" s="8"/>
      <c r="AN4" s="8"/>
      <c r="AO4" s="8"/>
      <c r="AP4" s="8"/>
      <c r="AQ4" s="8"/>
      <c r="AR4" s="8"/>
    </row>
    <row r="5">
      <c r="A5" s="14" t="s">
        <v>446</v>
      </c>
      <c r="B5" s="14" t="s">
        <v>447</v>
      </c>
      <c r="C5" s="14" t="s">
        <v>448</v>
      </c>
      <c r="D5" s="14" t="s">
        <v>449</v>
      </c>
      <c r="E5" s="16" t="s">
        <v>50</v>
      </c>
      <c r="F5" s="16" t="s">
        <v>422</v>
      </c>
      <c r="G5" s="14"/>
      <c r="H5" s="15" t="s">
        <v>450</v>
      </c>
      <c r="I5" s="8"/>
      <c r="J5" s="14" t="s">
        <v>451</v>
      </c>
      <c r="K5" s="16" t="s">
        <v>54</v>
      </c>
      <c r="L5" s="16"/>
      <c r="M5" s="16" t="s">
        <v>452</v>
      </c>
      <c r="N5" s="8"/>
      <c r="O5" s="16" t="s">
        <v>56</v>
      </c>
      <c r="P5" s="16" t="s">
        <v>54</v>
      </c>
      <c r="Q5" s="14" t="s">
        <v>453</v>
      </c>
      <c r="R5" s="8"/>
      <c r="S5" s="16" t="s">
        <v>56</v>
      </c>
      <c r="T5" s="16" t="s">
        <v>54</v>
      </c>
      <c r="U5" s="14" t="s">
        <v>454</v>
      </c>
      <c r="V5" s="8"/>
      <c r="W5" s="16" t="s">
        <v>56</v>
      </c>
      <c r="X5" s="16" t="s">
        <v>54</v>
      </c>
      <c r="Y5" s="8"/>
      <c r="Z5" s="8"/>
      <c r="AA5" s="8"/>
      <c r="AB5" s="8"/>
      <c r="AC5" s="8"/>
      <c r="AD5" s="8"/>
      <c r="AE5" s="8"/>
      <c r="AF5" s="8"/>
      <c r="AG5" s="8"/>
      <c r="AH5" s="8"/>
      <c r="AI5" s="8"/>
      <c r="AJ5" s="8"/>
      <c r="AK5" s="8"/>
      <c r="AL5" s="8"/>
      <c r="AM5" s="8"/>
      <c r="AN5" s="8"/>
      <c r="AO5" s="8"/>
      <c r="AP5" s="8"/>
      <c r="AQ5" s="8"/>
      <c r="AR5" s="8"/>
    </row>
    <row r="6">
      <c r="A6" s="14" t="s">
        <v>455</v>
      </c>
      <c r="B6" s="14" t="s">
        <v>456</v>
      </c>
      <c r="C6" s="14" t="s">
        <v>457</v>
      </c>
      <c r="D6" s="16" t="s">
        <v>458</v>
      </c>
      <c r="E6" s="14" t="s">
        <v>162</v>
      </c>
      <c r="F6" s="16" t="s">
        <v>422</v>
      </c>
      <c r="G6" s="14"/>
      <c r="H6" s="15" t="s">
        <v>459</v>
      </c>
      <c r="I6" s="8"/>
      <c r="J6" s="14" t="s">
        <v>460</v>
      </c>
      <c r="K6" s="16" t="s">
        <v>54</v>
      </c>
      <c r="L6" s="16"/>
      <c r="M6" s="16" t="s">
        <v>461</v>
      </c>
      <c r="N6" s="8"/>
      <c r="O6" s="16" t="s">
        <v>56</v>
      </c>
      <c r="P6" s="16" t="s">
        <v>54</v>
      </c>
      <c r="Q6" s="14" t="s">
        <v>462</v>
      </c>
      <c r="R6" s="8"/>
      <c r="S6" s="16" t="s">
        <v>56</v>
      </c>
      <c r="T6" s="16" t="s">
        <v>54</v>
      </c>
      <c r="U6" s="14" t="s">
        <v>463</v>
      </c>
      <c r="V6" s="8"/>
      <c r="W6" s="16" t="s">
        <v>56</v>
      </c>
      <c r="X6" s="16" t="s">
        <v>54</v>
      </c>
      <c r="Y6" s="14" t="s">
        <v>464</v>
      </c>
      <c r="Z6" s="8"/>
      <c r="AA6" s="16" t="s">
        <v>56</v>
      </c>
      <c r="AB6" s="16" t="s">
        <v>54</v>
      </c>
      <c r="AC6" s="16" t="s">
        <v>465</v>
      </c>
      <c r="AD6" s="8"/>
      <c r="AE6" s="16" t="s">
        <v>56</v>
      </c>
      <c r="AF6" s="16" t="s">
        <v>54</v>
      </c>
      <c r="AG6" s="16"/>
      <c r="AH6" s="16"/>
      <c r="AI6" s="16"/>
      <c r="AJ6" s="16"/>
      <c r="AK6" s="16"/>
      <c r="AL6" s="16"/>
      <c r="AM6" s="16"/>
      <c r="AN6" s="16"/>
      <c r="AO6" s="16"/>
      <c r="AP6" s="16"/>
      <c r="AQ6" s="16"/>
      <c r="AR6" s="16"/>
    </row>
    <row r="7">
      <c r="A7" s="14" t="s">
        <v>466</v>
      </c>
      <c r="B7" s="14" t="s">
        <v>467</v>
      </c>
      <c r="C7" s="14" t="s">
        <v>468</v>
      </c>
      <c r="D7" s="14" t="s">
        <v>469</v>
      </c>
      <c r="E7" s="16" t="s">
        <v>50</v>
      </c>
      <c r="F7" s="16" t="s">
        <v>422</v>
      </c>
      <c r="G7" s="16"/>
      <c r="H7" s="15" t="s">
        <v>470</v>
      </c>
      <c r="I7" s="8"/>
      <c r="J7" s="16" t="s">
        <v>471</v>
      </c>
      <c r="K7" s="16" t="s">
        <v>54</v>
      </c>
      <c r="L7" s="16"/>
      <c r="M7" s="16" t="s">
        <v>472</v>
      </c>
      <c r="N7" s="8"/>
      <c r="O7" s="16" t="s">
        <v>56</v>
      </c>
      <c r="P7" s="16" t="s">
        <v>54</v>
      </c>
      <c r="Q7" s="14" t="s">
        <v>473</v>
      </c>
      <c r="R7" s="8"/>
      <c r="S7" s="16" t="s">
        <v>56</v>
      </c>
      <c r="T7" s="16" t="s">
        <v>54</v>
      </c>
      <c r="U7" s="14" t="s">
        <v>474</v>
      </c>
      <c r="V7" s="8"/>
      <c r="W7" s="16" t="s">
        <v>56</v>
      </c>
      <c r="X7" s="16" t="s">
        <v>54</v>
      </c>
      <c r="Y7" s="14" t="s">
        <v>475</v>
      </c>
      <c r="Z7" s="8"/>
      <c r="AA7" s="16" t="s">
        <v>56</v>
      </c>
      <c r="AB7" s="16" t="s">
        <v>54</v>
      </c>
      <c r="AC7" s="14" t="s">
        <v>476</v>
      </c>
      <c r="AD7" s="8"/>
      <c r="AE7" s="16" t="s">
        <v>56</v>
      </c>
      <c r="AF7" s="16" t="s">
        <v>54</v>
      </c>
      <c r="AG7" s="16"/>
      <c r="AH7" s="16"/>
      <c r="AI7" s="16"/>
      <c r="AJ7" s="16"/>
      <c r="AK7" s="16"/>
      <c r="AL7" s="16"/>
      <c r="AM7" s="16"/>
      <c r="AN7" s="16"/>
      <c r="AO7" s="16"/>
      <c r="AP7" s="16"/>
      <c r="AQ7" s="16"/>
      <c r="AR7" s="16"/>
    </row>
    <row r="8">
      <c r="A8" s="14" t="s">
        <v>477</v>
      </c>
      <c r="B8" s="14" t="s">
        <v>478</v>
      </c>
      <c r="C8" s="14" t="s">
        <v>479</v>
      </c>
      <c r="D8" s="14" t="s">
        <v>480</v>
      </c>
      <c r="E8" s="14" t="s">
        <v>162</v>
      </c>
      <c r="F8" s="16" t="s">
        <v>422</v>
      </c>
      <c r="G8" s="14"/>
      <c r="H8" s="15" t="s">
        <v>481</v>
      </c>
      <c r="I8" s="8"/>
      <c r="J8" s="14" t="s">
        <v>482</v>
      </c>
      <c r="K8" s="16" t="s">
        <v>54</v>
      </c>
      <c r="L8" s="16"/>
      <c r="M8" s="16" t="s">
        <v>483</v>
      </c>
      <c r="N8" s="8"/>
      <c r="O8" s="16" t="s">
        <v>56</v>
      </c>
      <c r="P8" s="16" t="s">
        <v>54</v>
      </c>
      <c r="Q8" s="14" t="s">
        <v>484</v>
      </c>
      <c r="R8" s="8"/>
      <c r="S8" s="16" t="s">
        <v>56</v>
      </c>
      <c r="T8" s="16" t="s">
        <v>54</v>
      </c>
      <c r="U8" s="14" t="s">
        <v>485</v>
      </c>
      <c r="V8" s="8"/>
      <c r="W8" s="16" t="s">
        <v>56</v>
      </c>
      <c r="X8" s="16" t="s">
        <v>54</v>
      </c>
      <c r="Y8" s="14" t="s">
        <v>486</v>
      </c>
      <c r="Z8" s="8"/>
      <c r="AA8" s="16" t="s">
        <v>56</v>
      </c>
      <c r="AB8" s="16" t="s">
        <v>54</v>
      </c>
      <c r="AC8" s="14" t="s">
        <v>487</v>
      </c>
      <c r="AD8" s="8"/>
      <c r="AE8" s="16" t="s">
        <v>56</v>
      </c>
      <c r="AF8" s="16" t="s">
        <v>54</v>
      </c>
      <c r="AG8" s="16"/>
      <c r="AH8" s="16"/>
      <c r="AI8" s="16"/>
      <c r="AJ8" s="16"/>
      <c r="AK8" s="16"/>
      <c r="AL8" s="16"/>
      <c r="AM8" s="16"/>
      <c r="AN8" s="16"/>
      <c r="AO8" s="16"/>
      <c r="AP8" s="16"/>
      <c r="AQ8" s="16"/>
      <c r="AR8" s="16"/>
    </row>
    <row r="9">
      <c r="A9" s="14" t="s">
        <v>488</v>
      </c>
      <c r="B9" s="14" t="s">
        <v>489</v>
      </c>
      <c r="C9" s="14" t="s">
        <v>490</v>
      </c>
      <c r="D9" s="14" t="s">
        <v>491</v>
      </c>
      <c r="E9" s="14" t="s">
        <v>162</v>
      </c>
      <c r="F9" s="16" t="s">
        <v>422</v>
      </c>
      <c r="G9" s="16"/>
      <c r="H9" s="15" t="s">
        <v>492</v>
      </c>
      <c r="I9" s="16"/>
      <c r="J9" s="16" t="s">
        <v>493</v>
      </c>
      <c r="K9" s="20" t="s">
        <v>54</v>
      </c>
      <c r="L9" s="8"/>
      <c r="M9" s="14" t="s">
        <v>494</v>
      </c>
      <c r="N9" s="8"/>
      <c r="O9" s="16" t="s">
        <v>56</v>
      </c>
      <c r="P9" s="16" t="s">
        <v>54</v>
      </c>
      <c r="Q9" s="14" t="s">
        <v>495</v>
      </c>
      <c r="R9" s="8"/>
      <c r="S9" s="16" t="s">
        <v>56</v>
      </c>
      <c r="T9" s="16" t="s">
        <v>54</v>
      </c>
      <c r="U9" s="14" t="s">
        <v>496</v>
      </c>
      <c r="V9" s="8"/>
      <c r="W9" s="16" t="s">
        <v>56</v>
      </c>
      <c r="X9" s="16" t="s">
        <v>54</v>
      </c>
      <c r="Y9" s="14" t="s">
        <v>497</v>
      </c>
      <c r="Z9" s="8"/>
      <c r="AA9" s="16" t="s">
        <v>56</v>
      </c>
      <c r="AB9" s="16" t="s">
        <v>54</v>
      </c>
      <c r="AC9" s="14" t="s">
        <v>498</v>
      </c>
      <c r="AD9" s="8"/>
      <c r="AE9" s="16" t="s">
        <v>56</v>
      </c>
      <c r="AF9" s="16" t="s">
        <v>54</v>
      </c>
      <c r="AG9" s="16"/>
      <c r="AH9" s="16"/>
      <c r="AI9" s="16"/>
      <c r="AJ9" s="16"/>
      <c r="AK9" s="16"/>
      <c r="AL9" s="16"/>
      <c r="AM9" s="16"/>
      <c r="AN9" s="16"/>
      <c r="AO9" s="16"/>
      <c r="AP9" s="16"/>
      <c r="AQ9" s="16"/>
      <c r="AR9" s="16"/>
    </row>
    <row r="10">
      <c r="A10" s="8"/>
      <c r="B10" s="8"/>
      <c r="C10" s="8"/>
      <c r="D10" s="8"/>
      <c r="E10" s="8"/>
      <c r="F10" s="8"/>
      <c r="G10" s="8"/>
      <c r="H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row>
    <row r="11">
      <c r="A11" s="8"/>
      <c r="B11" s="8"/>
      <c r="C11" s="8"/>
      <c r="D11" s="8"/>
      <c r="E11" s="8"/>
      <c r="F11" s="8"/>
      <c r="G11" s="8"/>
      <c r="H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row>
    <row r="12">
      <c r="A12" s="8"/>
      <c r="B12" s="8"/>
      <c r="C12" s="8"/>
      <c r="D12" s="8"/>
      <c r="E12" s="8"/>
      <c r="F12" s="8"/>
      <c r="G12" s="8"/>
      <c r="H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row>
    <row r="13">
      <c r="A13" s="8"/>
      <c r="B13" s="8"/>
      <c r="C13" s="8"/>
      <c r="D13" s="8"/>
      <c r="E13" s="8"/>
      <c r="F13" s="8"/>
      <c r="G13" s="8"/>
      <c r="H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row>
    <row r="14">
      <c r="A14" s="8"/>
      <c r="B14" s="8"/>
      <c r="C14" s="8"/>
      <c r="D14" s="8"/>
      <c r="E14" s="8"/>
      <c r="F14" s="8"/>
      <c r="G14" s="8"/>
      <c r="H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row>
    <row r="15">
      <c r="A15" s="8"/>
      <c r="B15" s="8"/>
      <c r="C15" s="8"/>
      <c r="D15" s="8"/>
      <c r="E15" s="8"/>
      <c r="F15" s="8"/>
      <c r="G15" s="8"/>
      <c r="H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row>
    <row r="16">
      <c r="A16" s="8"/>
      <c r="B16" s="8"/>
      <c r="C16" s="8"/>
      <c r="D16" s="8"/>
      <c r="E16" s="8"/>
      <c r="F16" s="8"/>
      <c r="G16" s="8"/>
      <c r="H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row>
    <row r="17">
      <c r="A17" s="8"/>
      <c r="B17" s="8"/>
      <c r="C17" s="8"/>
      <c r="D17" s="8"/>
      <c r="E17" s="8"/>
      <c r="F17" s="8"/>
      <c r="G17" s="8"/>
      <c r="H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row>
    <row r="18">
      <c r="A18" s="8"/>
      <c r="B18" s="8"/>
      <c r="C18" s="8"/>
      <c r="D18" s="8"/>
      <c r="E18" s="8"/>
      <c r="F18" s="8"/>
      <c r="G18" s="8"/>
      <c r="H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row>
    <row r="19">
      <c r="A19" s="8"/>
      <c r="B19" s="8"/>
      <c r="C19" s="8"/>
      <c r="D19" s="8"/>
      <c r="E19" s="8"/>
      <c r="F19" s="8"/>
      <c r="G19" s="8"/>
      <c r="H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row>
    <row r="20">
      <c r="A20" s="8"/>
      <c r="B20" s="8"/>
      <c r="C20" s="8"/>
      <c r="D20" s="8"/>
      <c r="E20" s="8"/>
      <c r="F20" s="8"/>
      <c r="G20" s="8"/>
      <c r="H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row>
    <row r="21">
      <c r="A21" s="8"/>
      <c r="B21" s="8"/>
      <c r="C21" s="8"/>
      <c r="D21" s="8"/>
      <c r="E21" s="8"/>
      <c r="F21" s="8"/>
      <c r="G21" s="8"/>
      <c r="H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row>
    <row r="22">
      <c r="A22" s="8"/>
      <c r="B22" s="8"/>
      <c r="C22" s="8"/>
      <c r="D22" s="8"/>
      <c r="E22" s="8"/>
      <c r="F22" s="8"/>
      <c r="G22" s="8"/>
      <c r="H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row>
    <row r="23">
      <c r="A23" s="8"/>
      <c r="B23" s="8"/>
      <c r="C23" s="8"/>
      <c r="D23" s="8"/>
      <c r="E23" s="8"/>
      <c r="F23" s="8"/>
      <c r="G23" s="8"/>
      <c r="H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row>
    <row r="24">
      <c r="A24" s="8"/>
      <c r="B24" s="8"/>
      <c r="C24" s="8"/>
      <c r="D24" s="8"/>
      <c r="E24" s="8"/>
      <c r="F24" s="8"/>
      <c r="G24" s="8"/>
      <c r="H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row>
    <row r="25">
      <c r="A25" s="8"/>
      <c r="B25" s="8"/>
      <c r="C25" s="8"/>
      <c r="D25" s="8"/>
      <c r="E25" s="8"/>
      <c r="F25" s="8"/>
      <c r="G25" s="8"/>
      <c r="H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row>
    <row r="26">
      <c r="A26" s="8"/>
      <c r="B26" s="8"/>
      <c r="C26" s="8"/>
      <c r="D26" s="8"/>
      <c r="E26" s="8"/>
      <c r="F26" s="8"/>
      <c r="G26" s="8"/>
      <c r="H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row>
    <row r="27">
      <c r="A27" s="8"/>
      <c r="B27" s="8"/>
      <c r="C27" s="8"/>
      <c r="D27" s="8"/>
      <c r="E27" s="8"/>
      <c r="F27" s="8"/>
      <c r="G27" s="8"/>
      <c r="H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row>
    <row r="28">
      <c r="A28" s="8"/>
      <c r="B28" s="8"/>
      <c r="C28" s="8"/>
      <c r="D28" s="8"/>
      <c r="E28" s="8"/>
      <c r="F28" s="8"/>
      <c r="G28" s="8"/>
      <c r="H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row>
    <row r="29">
      <c r="A29" s="8"/>
      <c r="B29" s="8"/>
      <c r="C29" s="8"/>
      <c r="D29" s="8"/>
      <c r="E29" s="8"/>
      <c r="F29" s="8"/>
      <c r="G29" s="8"/>
      <c r="H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row>
    <row r="30">
      <c r="A30" s="8"/>
      <c r="B30" s="8"/>
      <c r="C30" s="8"/>
      <c r="D30" s="8"/>
      <c r="E30" s="8"/>
      <c r="F30" s="8"/>
      <c r="G30" s="8"/>
      <c r="H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row>
    <row r="31">
      <c r="A31" s="8"/>
      <c r="B31" s="8"/>
      <c r="C31" s="8"/>
      <c r="D31" s="8"/>
      <c r="E31" s="8"/>
      <c r="F31" s="8"/>
      <c r="G31" s="8"/>
      <c r="H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row>
    <row r="32">
      <c r="A32" s="8"/>
      <c r="B32" s="8"/>
      <c r="C32" s="8"/>
      <c r="D32" s="8"/>
      <c r="E32" s="8"/>
      <c r="F32" s="8"/>
      <c r="G32" s="8"/>
      <c r="H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row>
    <row r="33">
      <c r="A33" s="8"/>
      <c r="B33" s="8"/>
      <c r="C33" s="8"/>
      <c r="D33" s="8"/>
      <c r="E33" s="8"/>
      <c r="F33" s="8"/>
      <c r="G33" s="8"/>
      <c r="H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row>
    <row r="34">
      <c r="A34" s="8"/>
      <c r="B34" s="8"/>
      <c r="C34" s="8"/>
      <c r="D34" s="8"/>
      <c r="E34" s="8"/>
      <c r="F34" s="8"/>
      <c r="G34" s="8"/>
      <c r="H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row>
    <row r="35">
      <c r="A35" s="8"/>
      <c r="B35" s="8"/>
      <c r="C35" s="8"/>
      <c r="D35" s="8"/>
      <c r="E35" s="8"/>
      <c r="F35" s="8"/>
      <c r="G35" s="8"/>
      <c r="H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row>
    <row r="36">
      <c r="A36" s="8"/>
      <c r="B36" s="8"/>
      <c r="C36" s="8"/>
      <c r="D36" s="8"/>
      <c r="E36" s="8"/>
      <c r="F36" s="8"/>
      <c r="G36" s="8"/>
      <c r="H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row>
    <row r="37">
      <c r="A37" s="8"/>
      <c r="B37" s="8"/>
      <c r="C37" s="8"/>
      <c r="D37" s="8"/>
      <c r="E37" s="8"/>
      <c r="F37" s="8"/>
      <c r="G37" s="8"/>
      <c r="H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row>
    <row r="38">
      <c r="A38" s="8"/>
      <c r="B38" s="8"/>
      <c r="C38" s="8"/>
      <c r="D38" s="8"/>
      <c r="E38" s="8"/>
      <c r="F38" s="8"/>
      <c r="G38" s="8"/>
      <c r="H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row>
    <row r="39">
      <c r="A39" s="8"/>
      <c r="B39" s="8"/>
      <c r="C39" s="8"/>
      <c r="D39" s="8"/>
      <c r="E39" s="8"/>
      <c r="F39" s="8"/>
      <c r="G39" s="8"/>
      <c r="H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row>
    <row r="40">
      <c r="A40" s="8"/>
      <c r="B40" s="8"/>
      <c r="C40" s="8"/>
      <c r="D40" s="8"/>
      <c r="E40" s="8"/>
      <c r="F40" s="8"/>
      <c r="G40" s="8"/>
      <c r="H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row>
    <row r="41">
      <c r="A41" s="8"/>
      <c r="B41" s="8"/>
      <c r="C41" s="8"/>
      <c r="D41" s="8"/>
      <c r="E41" s="8"/>
      <c r="F41" s="8"/>
      <c r="G41" s="8"/>
      <c r="H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row>
    <row r="42">
      <c r="A42" s="8"/>
      <c r="B42" s="8"/>
      <c r="C42" s="8"/>
      <c r="D42" s="8"/>
      <c r="E42" s="8"/>
      <c r="F42" s="8"/>
      <c r="G42" s="8"/>
      <c r="H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row>
    <row r="43">
      <c r="A43" s="8"/>
      <c r="B43" s="8"/>
      <c r="C43" s="8"/>
      <c r="D43" s="8"/>
      <c r="E43" s="8"/>
      <c r="F43" s="8"/>
      <c r="G43" s="8"/>
      <c r="H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row>
    <row r="44">
      <c r="A44" s="8"/>
      <c r="B44" s="8"/>
      <c r="C44" s="8"/>
      <c r="D44" s="8"/>
      <c r="E44" s="8"/>
      <c r="F44" s="8"/>
      <c r="G44" s="8"/>
      <c r="H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row>
    <row r="45">
      <c r="A45" s="8"/>
      <c r="B45" s="8"/>
      <c r="C45" s="8"/>
      <c r="D45" s="8"/>
      <c r="E45" s="8"/>
      <c r="F45" s="8"/>
      <c r="G45" s="8"/>
      <c r="H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row>
    <row r="46">
      <c r="A46" s="8"/>
      <c r="B46" s="8"/>
      <c r="C46" s="8"/>
      <c r="D46" s="8"/>
      <c r="E46" s="8"/>
      <c r="F46" s="8"/>
      <c r="G46" s="8"/>
      <c r="H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row>
    <row r="47">
      <c r="A47" s="8"/>
      <c r="B47" s="8"/>
      <c r="C47" s="8"/>
      <c r="D47" s="8"/>
      <c r="E47" s="8"/>
      <c r="F47" s="8"/>
      <c r="G47" s="8"/>
      <c r="H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row>
    <row r="48">
      <c r="A48" s="8"/>
      <c r="B48" s="8"/>
      <c r="C48" s="8"/>
      <c r="D48" s="8"/>
      <c r="E48" s="8"/>
      <c r="F48" s="8"/>
      <c r="G48" s="8"/>
      <c r="H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row>
    <row r="49">
      <c r="A49" s="8"/>
      <c r="B49" s="8"/>
      <c r="C49" s="8"/>
      <c r="D49" s="8"/>
      <c r="E49" s="8"/>
      <c r="F49" s="8"/>
      <c r="G49" s="8"/>
      <c r="H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row>
    <row r="50">
      <c r="A50" s="8"/>
      <c r="B50" s="8"/>
      <c r="C50" s="8"/>
      <c r="D50" s="8"/>
      <c r="E50" s="8"/>
      <c r="F50" s="8"/>
      <c r="G50" s="8"/>
      <c r="H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row>
    <row r="51">
      <c r="A51" s="8"/>
      <c r="B51" s="8"/>
      <c r="C51" s="8"/>
      <c r="D51" s="8"/>
      <c r="E51" s="8"/>
      <c r="F51" s="8"/>
      <c r="G51" s="8"/>
      <c r="H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row>
    <row r="52">
      <c r="A52" s="8"/>
      <c r="B52" s="8"/>
      <c r="C52" s="8"/>
      <c r="D52" s="8"/>
      <c r="E52" s="8"/>
      <c r="F52" s="8"/>
      <c r="G52" s="8"/>
      <c r="H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row>
    <row r="53">
      <c r="A53" s="8"/>
      <c r="B53" s="8"/>
      <c r="C53" s="8"/>
      <c r="D53" s="8"/>
      <c r="E53" s="8"/>
      <c r="F53" s="8"/>
      <c r="G53" s="8"/>
      <c r="H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row>
    <row r="54">
      <c r="A54" s="8"/>
      <c r="B54" s="8"/>
      <c r="C54" s="8"/>
      <c r="D54" s="8"/>
      <c r="E54" s="8"/>
      <c r="F54" s="8"/>
      <c r="G54" s="8"/>
      <c r="H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row>
    <row r="55">
      <c r="A55" s="8"/>
      <c r="B55" s="8"/>
      <c r="C55" s="8"/>
      <c r="D55" s="8"/>
      <c r="E55" s="8"/>
      <c r="F55" s="8"/>
      <c r="G55" s="8"/>
      <c r="H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row>
    <row r="56">
      <c r="A56" s="8"/>
      <c r="B56" s="8"/>
      <c r="C56" s="8"/>
      <c r="D56" s="8"/>
      <c r="E56" s="8"/>
      <c r="F56" s="8"/>
      <c r="G56" s="8"/>
      <c r="H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row>
    <row r="57">
      <c r="A57" s="8"/>
      <c r="B57" s="8"/>
      <c r="C57" s="8"/>
      <c r="D57" s="8"/>
      <c r="E57" s="8"/>
      <c r="F57" s="8"/>
      <c r="G57" s="8"/>
      <c r="H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row>
    <row r="58">
      <c r="A58" s="8"/>
      <c r="B58" s="8"/>
      <c r="C58" s="8"/>
      <c r="D58" s="8"/>
      <c r="E58" s="8"/>
      <c r="F58" s="8"/>
      <c r="G58" s="8"/>
      <c r="H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row>
    <row r="59">
      <c r="A59" s="8"/>
      <c r="B59" s="8"/>
      <c r="C59" s="8"/>
      <c r="D59" s="8"/>
      <c r="E59" s="8"/>
      <c r="F59" s="8"/>
      <c r="G59" s="8"/>
      <c r="H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row>
    <row r="60">
      <c r="A60" s="8"/>
      <c r="B60" s="8"/>
      <c r="C60" s="8"/>
      <c r="D60" s="8"/>
      <c r="E60" s="8"/>
      <c r="F60" s="8"/>
      <c r="G60" s="8"/>
      <c r="H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row>
    <row r="61">
      <c r="A61" s="8"/>
      <c r="B61" s="8"/>
      <c r="C61" s="8"/>
      <c r="D61" s="8"/>
      <c r="E61" s="8"/>
      <c r="F61" s="8"/>
      <c r="G61" s="8"/>
      <c r="H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row>
    <row r="62">
      <c r="A62" s="8"/>
      <c r="B62" s="8"/>
      <c r="C62" s="8"/>
      <c r="D62" s="8"/>
      <c r="E62" s="8"/>
      <c r="F62" s="8"/>
      <c r="G62" s="8"/>
      <c r="H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row>
    <row r="63">
      <c r="A63" s="8"/>
      <c r="B63" s="8"/>
      <c r="C63" s="8"/>
      <c r="D63" s="8"/>
      <c r="E63" s="8"/>
      <c r="F63" s="8"/>
      <c r="G63" s="8"/>
      <c r="H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row>
    <row r="64">
      <c r="A64" s="8"/>
      <c r="B64" s="8"/>
      <c r="C64" s="8"/>
      <c r="D64" s="8"/>
      <c r="E64" s="8"/>
      <c r="F64" s="8"/>
      <c r="G64" s="8"/>
      <c r="H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row>
    <row r="65">
      <c r="A65" s="8"/>
      <c r="B65" s="8"/>
      <c r="C65" s="8"/>
      <c r="D65" s="8"/>
      <c r="E65" s="8"/>
      <c r="F65" s="8"/>
      <c r="G65" s="8"/>
      <c r="H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row>
    <row r="66">
      <c r="A66" s="8"/>
      <c r="B66" s="8"/>
      <c r="C66" s="8"/>
      <c r="D66" s="8"/>
      <c r="E66" s="8"/>
      <c r="F66" s="8"/>
      <c r="G66" s="8"/>
      <c r="H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row>
    <row r="67">
      <c r="A67" s="8"/>
      <c r="B67" s="8"/>
      <c r="C67" s="8"/>
      <c r="D67" s="8"/>
      <c r="E67" s="8"/>
      <c r="F67" s="8"/>
      <c r="G67" s="8"/>
      <c r="H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row>
    <row r="68">
      <c r="A68" s="8"/>
      <c r="B68" s="8"/>
      <c r="C68" s="8"/>
      <c r="D68" s="8"/>
      <c r="E68" s="8"/>
      <c r="F68" s="8"/>
      <c r="G68" s="8"/>
      <c r="H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row>
    <row r="69">
      <c r="A69" s="8"/>
      <c r="B69" s="8"/>
      <c r="C69" s="8"/>
      <c r="D69" s="8"/>
      <c r="E69" s="8"/>
      <c r="F69" s="8"/>
      <c r="G69" s="8"/>
      <c r="H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row>
    <row r="70">
      <c r="A70" s="8"/>
      <c r="B70" s="8"/>
      <c r="C70" s="8"/>
      <c r="D70" s="8"/>
      <c r="E70" s="8"/>
      <c r="F70" s="8"/>
      <c r="G70" s="8"/>
      <c r="H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row>
    <row r="71">
      <c r="A71" s="8"/>
      <c r="B71" s="8"/>
      <c r="C71" s="8"/>
      <c r="D71" s="8"/>
      <c r="E71" s="8"/>
      <c r="F71" s="8"/>
      <c r="G71" s="8"/>
      <c r="H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row>
    <row r="72">
      <c r="A72" s="8"/>
      <c r="B72" s="8"/>
      <c r="C72" s="8"/>
      <c r="D72" s="8"/>
      <c r="E72" s="8"/>
      <c r="F72" s="8"/>
      <c r="G72" s="8"/>
      <c r="H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row>
    <row r="73">
      <c r="A73" s="8"/>
      <c r="B73" s="8"/>
      <c r="C73" s="8"/>
      <c r="D73" s="8"/>
      <c r="E73" s="8"/>
      <c r="F73" s="8"/>
      <c r="G73" s="8"/>
      <c r="H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row>
    <row r="74">
      <c r="A74" s="8"/>
      <c r="B74" s="8"/>
      <c r="C74" s="8"/>
      <c r="D74" s="8"/>
      <c r="E74" s="8"/>
      <c r="F74" s="8"/>
      <c r="G74" s="8"/>
      <c r="H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row>
    <row r="75">
      <c r="A75" s="8"/>
      <c r="B75" s="8"/>
      <c r="C75" s="8"/>
      <c r="D75" s="8"/>
      <c r="E75" s="8"/>
      <c r="F75" s="8"/>
      <c r="G75" s="8"/>
      <c r="H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row>
    <row r="76">
      <c r="A76" s="8"/>
      <c r="B76" s="8"/>
      <c r="C76" s="8"/>
      <c r="D76" s="8"/>
      <c r="E76" s="8"/>
      <c r="F76" s="8"/>
      <c r="G76" s="8"/>
      <c r="H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row>
    <row r="77">
      <c r="A77" s="8"/>
      <c r="B77" s="8"/>
      <c r="C77" s="8"/>
      <c r="D77" s="8"/>
      <c r="E77" s="8"/>
      <c r="F77" s="8"/>
      <c r="G77" s="8"/>
      <c r="H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row>
    <row r="78">
      <c r="A78" s="8"/>
      <c r="B78" s="8"/>
      <c r="C78" s="8"/>
      <c r="D78" s="8"/>
      <c r="E78" s="8"/>
      <c r="F78" s="8"/>
      <c r="G78" s="8"/>
      <c r="H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row>
    <row r="79">
      <c r="A79" s="8"/>
      <c r="B79" s="8"/>
      <c r="C79" s="8"/>
      <c r="D79" s="8"/>
      <c r="E79" s="8"/>
      <c r="F79" s="8"/>
      <c r="G79" s="8"/>
      <c r="H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row>
    <row r="80">
      <c r="A80" s="8"/>
      <c r="B80" s="8"/>
      <c r="C80" s="8"/>
      <c r="D80" s="8"/>
      <c r="E80" s="8"/>
      <c r="F80" s="8"/>
      <c r="G80" s="8"/>
      <c r="H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row>
    <row r="81">
      <c r="A81" s="8"/>
      <c r="B81" s="8"/>
      <c r="C81" s="8"/>
      <c r="D81" s="8"/>
      <c r="E81" s="8"/>
      <c r="F81" s="8"/>
      <c r="G81" s="8"/>
      <c r="H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row>
    <row r="82">
      <c r="A82" s="8"/>
      <c r="B82" s="8"/>
      <c r="C82" s="8"/>
      <c r="D82" s="8"/>
      <c r="E82" s="8"/>
      <c r="F82" s="8"/>
      <c r="G82" s="8"/>
      <c r="H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row>
    <row r="83">
      <c r="A83" s="8"/>
      <c r="B83" s="8"/>
      <c r="C83" s="8"/>
      <c r="D83" s="8"/>
      <c r="E83" s="8"/>
      <c r="F83" s="8"/>
      <c r="G83" s="8"/>
      <c r="H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row>
    <row r="84">
      <c r="A84" s="8"/>
      <c r="B84" s="8"/>
      <c r="C84" s="8"/>
      <c r="D84" s="8"/>
      <c r="E84" s="8"/>
      <c r="F84" s="8"/>
      <c r="G84" s="8"/>
      <c r="H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row>
    <row r="85">
      <c r="A85" s="8"/>
      <c r="B85" s="8"/>
      <c r="C85" s="8"/>
      <c r="D85" s="8"/>
      <c r="E85" s="8"/>
      <c r="F85" s="8"/>
      <c r="G85" s="8"/>
      <c r="H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row>
    <row r="86">
      <c r="A86" s="8"/>
      <c r="B86" s="8"/>
      <c r="C86" s="8"/>
      <c r="D86" s="8"/>
      <c r="E86" s="8"/>
      <c r="F86" s="8"/>
      <c r="G86" s="8"/>
      <c r="H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row>
    <row r="87">
      <c r="A87" s="8"/>
      <c r="B87" s="8"/>
      <c r="C87" s="8"/>
      <c r="D87" s="8"/>
      <c r="E87" s="8"/>
      <c r="F87" s="8"/>
      <c r="G87" s="8"/>
      <c r="H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row>
    <row r="88">
      <c r="A88" s="8"/>
      <c r="B88" s="8"/>
      <c r="C88" s="8"/>
      <c r="D88" s="8"/>
      <c r="E88" s="8"/>
      <c r="F88" s="8"/>
      <c r="G88" s="8"/>
      <c r="H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row>
    <row r="89">
      <c r="A89" s="8"/>
      <c r="B89" s="8"/>
      <c r="C89" s="8"/>
      <c r="D89" s="8"/>
      <c r="E89" s="8"/>
      <c r="F89" s="8"/>
      <c r="G89" s="8"/>
      <c r="H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row>
    <row r="90">
      <c r="A90" s="8"/>
      <c r="B90" s="8"/>
      <c r="C90" s="8"/>
      <c r="D90" s="8"/>
      <c r="E90" s="8"/>
      <c r="F90" s="8"/>
      <c r="G90" s="8"/>
      <c r="H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row>
    <row r="91">
      <c r="A91" s="8"/>
      <c r="B91" s="8"/>
      <c r="C91" s="8"/>
      <c r="D91" s="8"/>
      <c r="E91" s="8"/>
      <c r="F91" s="8"/>
      <c r="G91" s="8"/>
      <c r="H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row>
    <row r="92">
      <c r="A92" s="8"/>
      <c r="B92" s="8"/>
      <c r="C92" s="8"/>
      <c r="D92" s="8"/>
      <c r="E92" s="8"/>
      <c r="F92" s="8"/>
      <c r="G92" s="8"/>
      <c r="H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row>
    <row r="93">
      <c r="A93" s="8"/>
      <c r="B93" s="8"/>
      <c r="C93" s="8"/>
      <c r="D93" s="8"/>
      <c r="E93" s="8"/>
      <c r="F93" s="8"/>
      <c r="G93" s="8"/>
      <c r="H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row>
    <row r="94">
      <c r="A94" s="8"/>
      <c r="B94" s="8"/>
      <c r="C94" s="8"/>
      <c r="D94" s="8"/>
      <c r="E94" s="8"/>
      <c r="F94" s="8"/>
      <c r="G94" s="8"/>
      <c r="H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row>
    <row r="95">
      <c r="A95" s="8"/>
      <c r="B95" s="8"/>
      <c r="C95" s="8"/>
      <c r="D95" s="8"/>
      <c r="E95" s="8"/>
      <c r="F95" s="8"/>
      <c r="G95" s="8"/>
      <c r="H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row>
    <row r="96">
      <c r="A96" s="8"/>
      <c r="B96" s="8"/>
      <c r="C96" s="8"/>
      <c r="D96" s="8"/>
      <c r="E96" s="8"/>
      <c r="F96" s="8"/>
      <c r="G96" s="8"/>
      <c r="H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row>
    <row r="97">
      <c r="A97" s="8"/>
      <c r="B97" s="8"/>
      <c r="C97" s="8"/>
      <c r="D97" s="8"/>
      <c r="E97" s="8"/>
      <c r="F97" s="8"/>
      <c r="G97" s="8"/>
      <c r="H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row>
    <row r="98">
      <c r="A98" s="8"/>
      <c r="B98" s="8"/>
      <c r="C98" s="8"/>
      <c r="D98" s="8"/>
      <c r="E98" s="8"/>
      <c r="F98" s="8"/>
      <c r="G98" s="8"/>
      <c r="H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row>
    <row r="99">
      <c r="A99" s="8"/>
      <c r="B99" s="8"/>
      <c r="C99" s="8"/>
      <c r="D99" s="8"/>
      <c r="E99" s="8"/>
      <c r="F99" s="8"/>
      <c r="G99" s="8"/>
      <c r="H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row>
    <row r="100">
      <c r="A100" s="8"/>
      <c r="B100" s="8"/>
      <c r="C100" s="8"/>
      <c r="D100" s="8"/>
      <c r="E100" s="8"/>
      <c r="F100" s="8"/>
      <c r="G100" s="8"/>
      <c r="H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row>
    <row r="101">
      <c r="A101" s="8"/>
      <c r="B101" s="8"/>
      <c r="C101" s="8"/>
      <c r="D101" s="8"/>
      <c r="E101" s="8"/>
      <c r="F101" s="8"/>
      <c r="G101" s="8"/>
      <c r="H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row>
    <row r="102">
      <c r="A102" s="8"/>
      <c r="B102" s="8"/>
      <c r="C102" s="8"/>
      <c r="D102" s="8"/>
      <c r="E102" s="8"/>
      <c r="F102" s="8"/>
      <c r="G102" s="8"/>
      <c r="H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row>
    <row r="103">
      <c r="A103" s="8"/>
      <c r="B103" s="8"/>
      <c r="C103" s="8"/>
      <c r="D103" s="8"/>
      <c r="E103" s="8"/>
      <c r="F103" s="8"/>
      <c r="G103" s="8"/>
      <c r="H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row>
    <row r="104">
      <c r="A104" s="8"/>
      <c r="B104" s="8"/>
      <c r="C104" s="8"/>
      <c r="D104" s="8"/>
      <c r="E104" s="8"/>
      <c r="F104" s="8"/>
      <c r="G104" s="8"/>
      <c r="H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row>
    <row r="105">
      <c r="A105" s="8"/>
      <c r="B105" s="8"/>
      <c r="C105" s="8"/>
      <c r="D105" s="8"/>
      <c r="E105" s="8"/>
      <c r="F105" s="8"/>
      <c r="G105" s="8"/>
      <c r="H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row>
    <row r="106">
      <c r="A106" s="8"/>
      <c r="B106" s="8"/>
      <c r="C106" s="8"/>
      <c r="D106" s="8"/>
      <c r="E106" s="8"/>
      <c r="F106" s="8"/>
      <c r="G106" s="8"/>
      <c r="H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row>
    <row r="107">
      <c r="A107" s="8"/>
      <c r="B107" s="8"/>
      <c r="C107" s="8"/>
      <c r="D107" s="8"/>
      <c r="E107" s="8"/>
      <c r="F107" s="8"/>
      <c r="G107" s="8"/>
      <c r="H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row>
    <row r="108">
      <c r="A108" s="8"/>
      <c r="B108" s="8"/>
      <c r="C108" s="8"/>
      <c r="D108" s="8"/>
      <c r="E108" s="8"/>
      <c r="F108" s="8"/>
      <c r="G108" s="8"/>
      <c r="H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row>
    <row r="109">
      <c r="A109" s="8"/>
      <c r="B109" s="8"/>
      <c r="C109" s="8"/>
      <c r="D109" s="8"/>
      <c r="E109" s="8"/>
      <c r="F109" s="8"/>
      <c r="G109" s="8"/>
      <c r="H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row>
    <row r="110">
      <c r="A110" s="8"/>
      <c r="B110" s="8"/>
      <c r="C110" s="8"/>
      <c r="D110" s="8"/>
      <c r="E110" s="8"/>
      <c r="F110" s="8"/>
      <c r="G110" s="8"/>
      <c r="H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row>
    <row r="111">
      <c r="A111" s="8"/>
      <c r="B111" s="8"/>
      <c r="C111" s="8"/>
      <c r="D111" s="8"/>
      <c r="E111" s="8"/>
      <c r="F111" s="8"/>
      <c r="G111" s="8"/>
      <c r="H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row>
    <row r="112">
      <c r="A112" s="8"/>
      <c r="B112" s="8"/>
      <c r="C112" s="8"/>
      <c r="D112" s="8"/>
      <c r="E112" s="8"/>
      <c r="F112" s="8"/>
      <c r="G112" s="8"/>
      <c r="H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row>
    <row r="113">
      <c r="A113" s="8"/>
      <c r="B113" s="8"/>
      <c r="C113" s="8"/>
      <c r="D113" s="8"/>
      <c r="E113" s="8"/>
      <c r="F113" s="8"/>
      <c r="G113" s="8"/>
      <c r="H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row>
    <row r="114">
      <c r="A114" s="8"/>
      <c r="B114" s="8"/>
      <c r="C114" s="8"/>
      <c r="D114" s="8"/>
      <c r="E114" s="8"/>
      <c r="F114" s="8"/>
      <c r="G114" s="8"/>
      <c r="H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row>
    <row r="115">
      <c r="A115" s="8"/>
      <c r="B115" s="8"/>
      <c r="C115" s="8"/>
      <c r="D115" s="8"/>
      <c r="E115" s="8"/>
      <c r="F115" s="8"/>
      <c r="G115" s="8"/>
      <c r="H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row>
    <row r="116">
      <c r="A116" s="8"/>
      <c r="B116" s="8"/>
      <c r="C116" s="8"/>
      <c r="D116" s="8"/>
      <c r="E116" s="8"/>
      <c r="F116" s="8"/>
      <c r="G116" s="8"/>
      <c r="H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row>
    <row r="117">
      <c r="A117" s="8"/>
      <c r="B117" s="8"/>
      <c r="C117" s="8"/>
      <c r="D117" s="8"/>
      <c r="E117" s="8"/>
      <c r="F117" s="8"/>
      <c r="G117" s="8"/>
      <c r="H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row>
    <row r="118">
      <c r="A118" s="8"/>
      <c r="B118" s="8"/>
      <c r="C118" s="8"/>
      <c r="D118" s="8"/>
      <c r="E118" s="8"/>
      <c r="F118" s="8"/>
      <c r="G118" s="8"/>
      <c r="H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row>
    <row r="119">
      <c r="A119" s="8"/>
      <c r="B119" s="8"/>
      <c r="C119" s="8"/>
      <c r="D119" s="8"/>
      <c r="E119" s="8"/>
      <c r="F119" s="8"/>
      <c r="G119" s="8"/>
      <c r="H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row>
    <row r="120">
      <c r="A120" s="8"/>
      <c r="B120" s="8"/>
      <c r="C120" s="8"/>
      <c r="D120" s="8"/>
      <c r="E120" s="8"/>
      <c r="F120" s="8"/>
      <c r="G120" s="8"/>
      <c r="H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row>
    <row r="121">
      <c r="A121" s="8"/>
      <c r="B121" s="8"/>
      <c r="C121" s="8"/>
      <c r="D121" s="8"/>
      <c r="E121" s="8"/>
      <c r="F121" s="8"/>
      <c r="G121" s="8"/>
      <c r="H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row>
    <row r="122">
      <c r="A122" s="8"/>
      <c r="B122" s="8"/>
      <c r="C122" s="8"/>
      <c r="D122" s="8"/>
      <c r="E122" s="8"/>
      <c r="F122" s="8"/>
      <c r="G122" s="8"/>
      <c r="H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row>
    <row r="123">
      <c r="A123" s="8"/>
      <c r="B123" s="8"/>
      <c r="C123" s="8"/>
      <c r="D123" s="8"/>
      <c r="E123" s="8"/>
      <c r="F123" s="8"/>
      <c r="G123" s="8"/>
      <c r="H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row>
    <row r="124">
      <c r="A124" s="8"/>
      <c r="B124" s="8"/>
      <c r="C124" s="8"/>
      <c r="D124" s="8"/>
      <c r="E124" s="8"/>
      <c r="F124" s="8"/>
      <c r="G124" s="8"/>
      <c r="H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row>
    <row r="125">
      <c r="A125" s="8"/>
      <c r="B125" s="8"/>
      <c r="C125" s="8"/>
      <c r="D125" s="8"/>
      <c r="E125" s="8"/>
      <c r="F125" s="8"/>
      <c r="G125" s="8"/>
      <c r="H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row>
    <row r="126">
      <c r="A126" s="8"/>
      <c r="B126" s="8"/>
      <c r="C126" s="8"/>
      <c r="D126" s="8"/>
      <c r="E126" s="8"/>
      <c r="F126" s="8"/>
      <c r="G126" s="8"/>
      <c r="H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row>
    <row r="127">
      <c r="A127" s="8"/>
      <c r="B127" s="8"/>
      <c r="C127" s="8"/>
      <c r="D127" s="8"/>
      <c r="E127" s="8"/>
      <c r="F127" s="8"/>
      <c r="G127" s="8"/>
      <c r="H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row>
    <row r="128">
      <c r="A128" s="8"/>
      <c r="B128" s="8"/>
      <c r="C128" s="8"/>
      <c r="D128" s="8"/>
      <c r="E128" s="8"/>
      <c r="F128" s="8"/>
      <c r="G128" s="8"/>
      <c r="H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row>
    <row r="129">
      <c r="A129" s="8"/>
      <c r="B129" s="8"/>
      <c r="C129" s="8"/>
      <c r="D129" s="8"/>
      <c r="E129" s="8"/>
      <c r="F129" s="8"/>
      <c r="G129" s="8"/>
      <c r="H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row>
    <row r="130">
      <c r="A130" s="8"/>
      <c r="B130" s="8"/>
      <c r="C130" s="8"/>
      <c r="D130" s="8"/>
      <c r="E130" s="8"/>
      <c r="F130" s="8"/>
      <c r="G130" s="8"/>
      <c r="H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row>
    <row r="131">
      <c r="A131" s="8"/>
      <c r="B131" s="8"/>
      <c r="C131" s="8"/>
      <c r="D131" s="8"/>
      <c r="E131" s="8"/>
      <c r="F131" s="8"/>
      <c r="G131" s="8"/>
      <c r="H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row>
    <row r="132">
      <c r="A132" s="8"/>
      <c r="B132" s="8"/>
      <c r="C132" s="8"/>
      <c r="D132" s="8"/>
      <c r="E132" s="8"/>
      <c r="F132" s="8"/>
      <c r="G132" s="8"/>
      <c r="H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row>
    <row r="133">
      <c r="A133" s="8"/>
      <c r="B133" s="8"/>
      <c r="C133" s="8"/>
      <c r="D133" s="8"/>
      <c r="E133" s="8"/>
      <c r="F133" s="8"/>
      <c r="G133" s="8"/>
      <c r="H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row>
    <row r="134">
      <c r="A134" s="8"/>
      <c r="B134" s="8"/>
      <c r="C134" s="8"/>
      <c r="D134" s="8"/>
      <c r="E134" s="8"/>
      <c r="F134" s="8"/>
      <c r="G134" s="8"/>
      <c r="H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row>
    <row r="135">
      <c r="A135" s="8"/>
      <c r="B135" s="8"/>
      <c r="C135" s="8"/>
      <c r="D135" s="8"/>
      <c r="E135" s="8"/>
      <c r="F135" s="8"/>
      <c r="G135" s="8"/>
      <c r="H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row>
    <row r="136">
      <c r="A136" s="8"/>
      <c r="B136" s="8"/>
      <c r="C136" s="8"/>
      <c r="D136" s="8"/>
      <c r="E136" s="8"/>
      <c r="F136" s="8"/>
      <c r="G136" s="8"/>
      <c r="H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row>
    <row r="137">
      <c r="A137" s="8"/>
      <c r="B137" s="8"/>
      <c r="C137" s="8"/>
      <c r="D137" s="8"/>
      <c r="E137" s="8"/>
      <c r="F137" s="8"/>
      <c r="G137" s="8"/>
      <c r="H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row>
    <row r="138">
      <c r="A138" s="8"/>
      <c r="B138" s="8"/>
      <c r="C138" s="8"/>
      <c r="D138" s="8"/>
      <c r="E138" s="8"/>
      <c r="F138" s="8"/>
      <c r="G138" s="8"/>
      <c r="H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row>
    <row r="139">
      <c r="A139" s="8"/>
      <c r="B139" s="8"/>
      <c r="C139" s="8"/>
      <c r="D139" s="8"/>
      <c r="E139" s="8"/>
      <c r="F139" s="8"/>
      <c r="G139" s="8"/>
      <c r="H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row>
    <row r="140">
      <c r="A140" s="8"/>
      <c r="B140" s="8"/>
      <c r="C140" s="8"/>
      <c r="D140" s="8"/>
      <c r="E140" s="8"/>
      <c r="F140" s="8"/>
      <c r="G140" s="8"/>
      <c r="H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row>
    <row r="141">
      <c r="A141" s="8"/>
      <c r="B141" s="8"/>
      <c r="C141" s="8"/>
      <c r="D141" s="8"/>
      <c r="E141" s="8"/>
      <c r="F141" s="8"/>
      <c r="G141" s="8"/>
      <c r="H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row>
    <row r="142">
      <c r="A142" s="8"/>
      <c r="B142" s="8"/>
      <c r="C142" s="8"/>
      <c r="D142" s="8"/>
      <c r="E142" s="8"/>
      <c r="F142" s="8"/>
      <c r="G142" s="8"/>
      <c r="H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row>
    <row r="143">
      <c r="A143" s="8"/>
      <c r="B143" s="8"/>
      <c r="C143" s="8"/>
      <c r="D143" s="8"/>
      <c r="E143" s="8"/>
      <c r="F143" s="8"/>
      <c r="G143" s="8"/>
      <c r="H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row>
    <row r="144">
      <c r="A144" s="8"/>
      <c r="B144" s="8"/>
      <c r="C144" s="8"/>
      <c r="D144" s="8"/>
      <c r="E144" s="8"/>
      <c r="F144" s="8"/>
      <c r="G144" s="8"/>
      <c r="H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row>
    <row r="145">
      <c r="A145" s="8"/>
      <c r="B145" s="8"/>
      <c r="C145" s="8"/>
      <c r="D145" s="8"/>
      <c r="E145" s="8"/>
      <c r="F145" s="8"/>
      <c r="G145" s="8"/>
      <c r="H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row>
    <row r="146">
      <c r="A146" s="8"/>
      <c r="B146" s="8"/>
      <c r="C146" s="8"/>
      <c r="D146" s="8"/>
      <c r="E146" s="8"/>
      <c r="F146" s="8"/>
      <c r="G146" s="8"/>
      <c r="H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row>
    <row r="147">
      <c r="A147" s="8"/>
      <c r="B147" s="8"/>
      <c r="C147" s="8"/>
      <c r="D147" s="8"/>
      <c r="E147" s="8"/>
      <c r="F147" s="8"/>
      <c r="G147" s="8"/>
      <c r="H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row>
    <row r="148">
      <c r="A148" s="8"/>
      <c r="B148" s="8"/>
      <c r="C148" s="8"/>
      <c r="D148" s="8"/>
      <c r="E148" s="8"/>
      <c r="F148" s="8"/>
      <c r="G148" s="8"/>
      <c r="H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row>
    <row r="149">
      <c r="A149" s="8"/>
      <c r="B149" s="8"/>
      <c r="C149" s="8"/>
      <c r="D149" s="8"/>
      <c r="E149" s="8"/>
      <c r="F149" s="8"/>
      <c r="G149" s="8"/>
      <c r="H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row>
    <row r="150">
      <c r="A150" s="8"/>
      <c r="B150" s="8"/>
      <c r="C150" s="8"/>
      <c r="D150" s="8"/>
      <c r="E150" s="8"/>
      <c r="F150" s="8"/>
      <c r="G150" s="8"/>
      <c r="H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row>
    <row r="151">
      <c r="A151" s="8"/>
      <c r="B151" s="8"/>
      <c r="C151" s="8"/>
      <c r="D151" s="8"/>
      <c r="E151" s="8"/>
      <c r="F151" s="8"/>
      <c r="G151" s="8"/>
      <c r="H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row>
    <row r="152">
      <c r="A152" s="8"/>
      <c r="B152" s="8"/>
      <c r="C152" s="8"/>
      <c r="D152" s="8"/>
      <c r="E152" s="8"/>
      <c r="F152" s="8"/>
      <c r="G152" s="8"/>
      <c r="H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row>
    <row r="153">
      <c r="A153" s="8"/>
      <c r="B153" s="8"/>
      <c r="C153" s="8"/>
      <c r="D153" s="8"/>
      <c r="E153" s="8"/>
      <c r="F153" s="8"/>
      <c r="G153" s="8"/>
      <c r="H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row>
    <row r="154">
      <c r="A154" s="8"/>
      <c r="B154" s="8"/>
      <c r="C154" s="8"/>
      <c r="D154" s="8"/>
      <c r="E154" s="8"/>
      <c r="F154" s="8"/>
      <c r="G154" s="8"/>
      <c r="H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row>
    <row r="155">
      <c r="A155" s="8"/>
      <c r="B155" s="8"/>
      <c r="C155" s="8"/>
      <c r="D155" s="8"/>
      <c r="E155" s="8"/>
      <c r="F155" s="8"/>
      <c r="G155" s="8"/>
      <c r="H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row>
    <row r="156">
      <c r="A156" s="8"/>
      <c r="B156" s="8"/>
      <c r="C156" s="8"/>
      <c r="D156" s="8"/>
      <c r="E156" s="8"/>
      <c r="F156" s="8"/>
      <c r="G156" s="8"/>
      <c r="H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row>
    <row r="157">
      <c r="A157" s="8"/>
      <c r="B157" s="8"/>
      <c r="C157" s="8"/>
      <c r="D157" s="8"/>
      <c r="E157" s="8"/>
      <c r="F157" s="8"/>
      <c r="G157" s="8"/>
      <c r="H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row>
    <row r="158">
      <c r="A158" s="8"/>
      <c r="B158" s="8"/>
      <c r="C158" s="8"/>
      <c r="D158" s="8"/>
      <c r="E158" s="8"/>
      <c r="F158" s="8"/>
      <c r="G158" s="8"/>
      <c r="H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row>
    <row r="159">
      <c r="A159" s="8"/>
      <c r="B159" s="8"/>
      <c r="C159" s="8"/>
      <c r="D159" s="8"/>
      <c r="E159" s="8"/>
      <c r="F159" s="8"/>
      <c r="G159" s="8"/>
      <c r="H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row>
    <row r="160">
      <c r="A160" s="8"/>
      <c r="B160" s="8"/>
      <c r="C160" s="8"/>
      <c r="D160" s="8"/>
      <c r="E160" s="8"/>
      <c r="F160" s="8"/>
      <c r="G160" s="8"/>
      <c r="H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row>
    <row r="161">
      <c r="A161" s="8"/>
      <c r="B161" s="8"/>
      <c r="C161" s="8"/>
      <c r="D161" s="8"/>
      <c r="E161" s="8"/>
      <c r="F161" s="8"/>
      <c r="G161" s="8"/>
      <c r="H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row>
    <row r="162">
      <c r="A162" s="8"/>
      <c r="B162" s="8"/>
      <c r="C162" s="8"/>
      <c r="D162" s="8"/>
      <c r="E162" s="8"/>
      <c r="F162" s="8"/>
      <c r="G162" s="8"/>
      <c r="H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row>
    <row r="163">
      <c r="A163" s="8"/>
      <c r="B163" s="8"/>
      <c r="C163" s="8"/>
      <c r="D163" s="8"/>
      <c r="E163" s="8"/>
      <c r="F163" s="8"/>
      <c r="G163" s="8"/>
      <c r="H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row>
    <row r="164">
      <c r="A164" s="8"/>
      <c r="B164" s="8"/>
      <c r="C164" s="8"/>
      <c r="D164" s="8"/>
      <c r="E164" s="8"/>
      <c r="F164" s="8"/>
      <c r="G164" s="8"/>
      <c r="H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row>
    <row r="165">
      <c r="A165" s="8"/>
      <c r="B165" s="8"/>
      <c r="C165" s="8"/>
      <c r="D165" s="8"/>
      <c r="E165" s="8"/>
      <c r="F165" s="8"/>
      <c r="G165" s="8"/>
      <c r="H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row>
    <row r="166">
      <c r="A166" s="8"/>
      <c r="B166" s="8"/>
      <c r="C166" s="8"/>
      <c r="D166" s="8"/>
      <c r="E166" s="8"/>
      <c r="F166" s="8"/>
      <c r="G166" s="8"/>
      <c r="H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row>
    <row r="167">
      <c r="A167" s="8"/>
      <c r="B167" s="8"/>
      <c r="C167" s="8"/>
      <c r="D167" s="8"/>
      <c r="E167" s="8"/>
      <c r="F167" s="8"/>
      <c r="G167" s="8"/>
      <c r="H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row>
    <row r="168">
      <c r="A168" s="8"/>
      <c r="B168" s="8"/>
      <c r="C168" s="8"/>
      <c r="D168" s="8"/>
      <c r="E168" s="8"/>
      <c r="F168" s="8"/>
      <c r="G168" s="8"/>
      <c r="H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row>
    <row r="169">
      <c r="A169" s="8"/>
      <c r="B169" s="8"/>
      <c r="C169" s="8"/>
      <c r="D169" s="8"/>
      <c r="E169" s="8"/>
      <c r="F169" s="8"/>
      <c r="G169" s="8"/>
      <c r="H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row>
    <row r="170">
      <c r="A170" s="8"/>
      <c r="B170" s="8"/>
      <c r="C170" s="8"/>
      <c r="D170" s="8"/>
      <c r="E170" s="8"/>
      <c r="F170" s="8"/>
      <c r="G170" s="8"/>
      <c r="H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row>
    <row r="171">
      <c r="A171" s="8"/>
      <c r="B171" s="8"/>
      <c r="C171" s="8"/>
      <c r="D171" s="8"/>
      <c r="E171" s="8"/>
      <c r="F171" s="8"/>
      <c r="G171" s="8"/>
      <c r="H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row>
    <row r="172">
      <c r="A172" s="8"/>
      <c r="B172" s="8"/>
      <c r="C172" s="8"/>
      <c r="D172" s="8"/>
      <c r="E172" s="8"/>
      <c r="F172" s="8"/>
      <c r="G172" s="8"/>
      <c r="H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row>
    <row r="173">
      <c r="A173" s="8"/>
      <c r="B173" s="8"/>
      <c r="C173" s="8"/>
      <c r="D173" s="8"/>
      <c r="E173" s="8"/>
      <c r="F173" s="8"/>
      <c r="G173" s="8"/>
      <c r="H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row>
    <row r="174">
      <c r="A174" s="8"/>
      <c r="B174" s="8"/>
      <c r="C174" s="8"/>
      <c r="D174" s="8"/>
      <c r="E174" s="8"/>
      <c r="F174" s="8"/>
      <c r="G174" s="8"/>
      <c r="H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row>
    <row r="175">
      <c r="A175" s="8"/>
      <c r="B175" s="8"/>
      <c r="C175" s="8"/>
      <c r="D175" s="8"/>
      <c r="E175" s="8"/>
      <c r="F175" s="8"/>
      <c r="G175" s="8"/>
      <c r="H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row>
    <row r="176">
      <c r="A176" s="8"/>
      <c r="B176" s="8"/>
      <c r="C176" s="8"/>
      <c r="D176" s="8"/>
      <c r="E176" s="8"/>
      <c r="F176" s="8"/>
      <c r="G176" s="8"/>
      <c r="H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row>
    <row r="177">
      <c r="A177" s="8"/>
      <c r="B177" s="8"/>
      <c r="C177" s="8"/>
      <c r="D177" s="8"/>
      <c r="E177" s="8"/>
      <c r="F177" s="8"/>
      <c r="G177" s="8"/>
      <c r="H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row>
    <row r="178">
      <c r="A178" s="8"/>
      <c r="B178" s="8"/>
      <c r="C178" s="8"/>
      <c r="D178" s="8"/>
      <c r="E178" s="8"/>
      <c r="F178" s="8"/>
      <c r="G178" s="8"/>
      <c r="H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row>
    <row r="179">
      <c r="A179" s="8"/>
      <c r="B179" s="8"/>
      <c r="C179" s="8"/>
      <c r="D179" s="8"/>
      <c r="E179" s="8"/>
      <c r="F179" s="8"/>
      <c r="G179" s="8"/>
      <c r="H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row>
    <row r="180">
      <c r="A180" s="8"/>
      <c r="B180" s="8"/>
      <c r="C180" s="8"/>
      <c r="D180" s="8"/>
      <c r="E180" s="8"/>
      <c r="F180" s="8"/>
      <c r="G180" s="8"/>
      <c r="H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row>
    <row r="181">
      <c r="A181" s="8"/>
      <c r="B181" s="8"/>
      <c r="C181" s="8"/>
      <c r="D181" s="8"/>
      <c r="E181" s="8"/>
      <c r="F181" s="8"/>
      <c r="G181" s="8"/>
      <c r="H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row>
    <row r="182">
      <c r="A182" s="8"/>
      <c r="B182" s="8"/>
      <c r="C182" s="8"/>
      <c r="D182" s="8"/>
      <c r="E182" s="8"/>
      <c r="F182" s="8"/>
      <c r="G182" s="8"/>
      <c r="H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row>
    <row r="183">
      <c r="A183" s="8"/>
      <c r="B183" s="8"/>
      <c r="C183" s="8"/>
      <c r="D183" s="8"/>
      <c r="E183" s="8"/>
      <c r="F183" s="8"/>
      <c r="G183" s="8"/>
      <c r="H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row>
    <row r="184">
      <c r="A184" s="8"/>
      <c r="B184" s="8"/>
      <c r="C184" s="8"/>
      <c r="D184" s="8"/>
      <c r="E184" s="8"/>
      <c r="F184" s="8"/>
      <c r="G184" s="8"/>
      <c r="H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row>
    <row r="185">
      <c r="A185" s="8"/>
      <c r="B185" s="8"/>
      <c r="C185" s="8"/>
      <c r="D185" s="8"/>
      <c r="E185" s="8"/>
      <c r="F185" s="8"/>
      <c r="G185" s="8"/>
      <c r="H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row>
    <row r="186">
      <c r="A186" s="8"/>
      <c r="B186" s="8"/>
      <c r="C186" s="8"/>
      <c r="D186" s="8"/>
      <c r="E186" s="8"/>
      <c r="F186" s="8"/>
      <c r="G186" s="8"/>
      <c r="H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row>
    <row r="187">
      <c r="A187" s="8"/>
      <c r="B187" s="8"/>
      <c r="C187" s="8"/>
      <c r="D187" s="8"/>
      <c r="E187" s="8"/>
      <c r="F187" s="8"/>
      <c r="G187" s="8"/>
      <c r="H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row>
    <row r="188">
      <c r="A188" s="8"/>
      <c r="B188" s="8"/>
      <c r="C188" s="8"/>
      <c r="D188" s="8"/>
      <c r="E188" s="8"/>
      <c r="F188" s="8"/>
      <c r="G188" s="8"/>
      <c r="H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row>
    <row r="189">
      <c r="A189" s="8"/>
      <c r="B189" s="8"/>
      <c r="C189" s="8"/>
      <c r="D189" s="8"/>
      <c r="E189" s="8"/>
      <c r="F189" s="8"/>
      <c r="G189" s="8"/>
      <c r="H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row>
    <row r="190">
      <c r="A190" s="8"/>
      <c r="B190" s="8"/>
      <c r="C190" s="8"/>
      <c r="D190" s="8"/>
      <c r="E190" s="8"/>
      <c r="F190" s="8"/>
      <c r="G190" s="8"/>
      <c r="H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row>
    <row r="191">
      <c r="A191" s="8"/>
      <c r="B191" s="8"/>
      <c r="C191" s="8"/>
      <c r="D191" s="8"/>
      <c r="E191" s="8"/>
      <c r="F191" s="8"/>
      <c r="G191" s="8"/>
      <c r="H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row>
    <row r="192">
      <c r="A192" s="8"/>
      <c r="B192" s="8"/>
      <c r="C192" s="8"/>
      <c r="D192" s="8"/>
      <c r="E192" s="8"/>
      <c r="F192" s="8"/>
      <c r="G192" s="8"/>
      <c r="H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row>
    <row r="193">
      <c r="A193" s="8"/>
      <c r="B193" s="8"/>
      <c r="C193" s="8"/>
      <c r="D193" s="8"/>
      <c r="E193" s="8"/>
      <c r="F193" s="8"/>
      <c r="G193" s="8"/>
      <c r="H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row>
    <row r="194">
      <c r="A194" s="8"/>
      <c r="B194" s="8"/>
      <c r="C194" s="8"/>
      <c r="D194" s="8"/>
      <c r="E194" s="8"/>
      <c r="F194" s="8"/>
      <c r="G194" s="8"/>
      <c r="H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row>
    <row r="195">
      <c r="A195" s="8"/>
      <c r="B195" s="8"/>
      <c r="C195" s="8"/>
      <c r="D195" s="8"/>
      <c r="E195" s="8"/>
      <c r="F195" s="8"/>
      <c r="G195" s="8"/>
      <c r="H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row>
    <row r="196">
      <c r="A196" s="8"/>
      <c r="B196" s="8"/>
      <c r="C196" s="8"/>
      <c r="D196" s="8"/>
      <c r="E196" s="8"/>
      <c r="F196" s="8"/>
      <c r="G196" s="8"/>
      <c r="H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row>
    <row r="197">
      <c r="A197" s="8"/>
      <c r="B197" s="8"/>
      <c r="C197" s="8"/>
      <c r="D197" s="8"/>
      <c r="E197" s="8"/>
      <c r="F197" s="8"/>
      <c r="G197" s="8"/>
      <c r="H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row>
    <row r="198">
      <c r="A198" s="8"/>
      <c r="B198" s="8"/>
      <c r="C198" s="8"/>
      <c r="D198" s="8"/>
      <c r="E198" s="8"/>
      <c r="F198" s="8"/>
      <c r="G198" s="8"/>
      <c r="H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row>
    <row r="199">
      <c r="A199" s="8"/>
      <c r="B199" s="8"/>
      <c r="C199" s="8"/>
      <c r="D199" s="8"/>
      <c r="E199" s="8"/>
      <c r="F199" s="8"/>
      <c r="G199" s="8"/>
      <c r="H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row>
    <row r="200">
      <c r="A200" s="8"/>
      <c r="B200" s="8"/>
      <c r="C200" s="8"/>
      <c r="D200" s="8"/>
      <c r="E200" s="8"/>
      <c r="F200" s="8"/>
      <c r="G200" s="8"/>
      <c r="H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row>
    <row r="201">
      <c r="A201" s="8"/>
      <c r="B201" s="8"/>
      <c r="C201" s="8"/>
      <c r="D201" s="8"/>
      <c r="E201" s="8"/>
      <c r="F201" s="8"/>
      <c r="G201" s="8"/>
      <c r="H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row>
    <row r="202">
      <c r="A202" s="8"/>
      <c r="B202" s="8"/>
      <c r="C202" s="8"/>
      <c r="D202" s="8"/>
      <c r="E202" s="8"/>
      <c r="F202" s="8"/>
      <c r="G202" s="8"/>
      <c r="H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row>
    <row r="203">
      <c r="A203" s="8"/>
      <c r="B203" s="8"/>
      <c r="C203" s="8"/>
      <c r="D203" s="8"/>
      <c r="E203" s="8"/>
      <c r="F203" s="8"/>
      <c r="G203" s="8"/>
      <c r="H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row>
    <row r="204">
      <c r="A204" s="8"/>
      <c r="B204" s="8"/>
      <c r="C204" s="8"/>
      <c r="D204" s="8"/>
      <c r="E204" s="8"/>
      <c r="F204" s="8"/>
      <c r="G204" s="8"/>
      <c r="H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row>
    <row r="205">
      <c r="A205" s="8"/>
      <c r="B205" s="8"/>
      <c r="C205" s="8"/>
      <c r="D205" s="8"/>
      <c r="E205" s="8"/>
      <c r="F205" s="8"/>
      <c r="G205" s="8"/>
      <c r="H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row>
    <row r="206">
      <c r="A206" s="8"/>
      <c r="B206" s="8"/>
      <c r="C206" s="8"/>
      <c r="D206" s="8"/>
      <c r="E206" s="8"/>
      <c r="F206" s="8"/>
      <c r="G206" s="8"/>
      <c r="H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row>
    <row r="207">
      <c r="A207" s="8"/>
      <c r="B207" s="8"/>
      <c r="C207" s="8"/>
      <c r="D207" s="8"/>
      <c r="E207" s="8"/>
      <c r="F207" s="8"/>
      <c r="G207" s="8"/>
      <c r="H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row>
    <row r="208">
      <c r="A208" s="8"/>
      <c r="B208" s="8"/>
      <c r="C208" s="8"/>
      <c r="D208" s="8"/>
      <c r="E208" s="8"/>
      <c r="F208" s="8"/>
      <c r="G208" s="8"/>
      <c r="H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row>
    <row r="209">
      <c r="A209" s="8"/>
      <c r="B209" s="8"/>
      <c r="C209" s="8"/>
      <c r="D209" s="8"/>
      <c r="E209" s="8"/>
      <c r="F209" s="8"/>
      <c r="G209" s="8"/>
      <c r="H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row>
    <row r="210">
      <c r="A210" s="8"/>
      <c r="B210" s="8"/>
      <c r="C210" s="8"/>
      <c r="D210" s="8"/>
      <c r="E210" s="8"/>
      <c r="F210" s="8"/>
      <c r="G210" s="8"/>
      <c r="H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row>
    <row r="211">
      <c r="A211" s="8"/>
      <c r="B211" s="8"/>
      <c r="C211" s="8"/>
      <c r="D211" s="8"/>
      <c r="E211" s="8"/>
      <c r="F211" s="8"/>
      <c r="G211" s="8"/>
      <c r="H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row>
    <row r="212">
      <c r="A212" s="8"/>
      <c r="B212" s="8"/>
      <c r="C212" s="8"/>
      <c r="D212" s="8"/>
      <c r="E212" s="8"/>
      <c r="F212" s="8"/>
      <c r="G212" s="8"/>
      <c r="H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row>
    <row r="213">
      <c r="A213" s="8"/>
      <c r="B213" s="8"/>
      <c r="C213" s="8"/>
      <c r="D213" s="8"/>
      <c r="E213" s="8"/>
      <c r="F213" s="8"/>
      <c r="G213" s="8"/>
      <c r="H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row>
    <row r="214">
      <c r="A214" s="8"/>
      <c r="B214" s="8"/>
      <c r="C214" s="8"/>
      <c r="D214" s="8"/>
      <c r="E214" s="8"/>
      <c r="F214" s="8"/>
      <c r="G214" s="8"/>
      <c r="H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row>
    <row r="215">
      <c r="A215" s="8"/>
      <c r="B215" s="8"/>
      <c r="C215" s="8"/>
      <c r="D215" s="8"/>
      <c r="E215" s="8"/>
      <c r="F215" s="8"/>
      <c r="G215" s="8"/>
      <c r="H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row>
    <row r="216">
      <c r="A216" s="8"/>
      <c r="B216" s="8"/>
      <c r="C216" s="8"/>
      <c r="D216" s="8"/>
      <c r="E216" s="8"/>
      <c r="F216" s="8"/>
      <c r="G216" s="8"/>
      <c r="H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row>
    <row r="217">
      <c r="A217" s="8"/>
      <c r="B217" s="8"/>
      <c r="C217" s="8"/>
      <c r="D217" s="8"/>
      <c r="E217" s="8"/>
      <c r="F217" s="8"/>
      <c r="G217" s="8"/>
      <c r="H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row>
    <row r="218">
      <c r="A218" s="8"/>
      <c r="B218" s="8"/>
      <c r="C218" s="8"/>
      <c r="D218" s="8"/>
      <c r="E218" s="8"/>
      <c r="F218" s="8"/>
      <c r="G218" s="8"/>
      <c r="H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row>
    <row r="219">
      <c r="A219" s="8"/>
      <c r="B219" s="8"/>
      <c r="C219" s="8"/>
      <c r="D219" s="8"/>
      <c r="E219" s="8"/>
      <c r="F219" s="8"/>
      <c r="G219" s="8"/>
      <c r="H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row>
    <row r="220">
      <c r="A220" s="8"/>
      <c r="B220" s="8"/>
      <c r="C220" s="8"/>
      <c r="D220" s="8"/>
      <c r="E220" s="8"/>
      <c r="F220" s="8"/>
      <c r="G220" s="8"/>
      <c r="H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row>
    <row r="221">
      <c r="A221" s="8"/>
      <c r="B221" s="8"/>
      <c r="C221" s="8"/>
      <c r="D221" s="8"/>
      <c r="E221" s="8"/>
      <c r="F221" s="8"/>
      <c r="G221" s="8"/>
      <c r="H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row>
    <row r="222">
      <c r="A222" s="8"/>
      <c r="B222" s="8"/>
      <c r="C222" s="8"/>
      <c r="D222" s="8"/>
      <c r="E222" s="8"/>
      <c r="F222" s="8"/>
      <c r="G222" s="8"/>
      <c r="H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row>
    <row r="223">
      <c r="A223" s="8"/>
      <c r="B223" s="8"/>
      <c r="C223" s="8"/>
      <c r="D223" s="8"/>
      <c r="E223" s="8"/>
      <c r="F223" s="8"/>
      <c r="G223" s="8"/>
      <c r="H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row>
    <row r="224">
      <c r="A224" s="8"/>
      <c r="B224" s="8"/>
      <c r="C224" s="8"/>
      <c r="D224" s="8"/>
      <c r="E224" s="8"/>
      <c r="F224" s="8"/>
      <c r="G224" s="8"/>
      <c r="H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row>
    <row r="225">
      <c r="A225" s="8"/>
      <c r="B225" s="8"/>
      <c r="C225" s="8"/>
      <c r="D225" s="8"/>
      <c r="E225" s="8"/>
      <c r="F225" s="8"/>
      <c r="G225" s="8"/>
      <c r="H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row>
    <row r="226">
      <c r="A226" s="8"/>
      <c r="B226" s="8"/>
      <c r="C226" s="8"/>
      <c r="D226" s="8"/>
      <c r="E226" s="8"/>
      <c r="F226" s="8"/>
      <c r="G226" s="8"/>
      <c r="H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row>
    <row r="227">
      <c r="A227" s="8"/>
      <c r="B227" s="8"/>
      <c r="C227" s="8"/>
      <c r="D227" s="8"/>
      <c r="E227" s="8"/>
      <c r="F227" s="8"/>
      <c r="G227" s="8"/>
      <c r="H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row>
    <row r="228">
      <c r="A228" s="8"/>
      <c r="B228" s="8"/>
      <c r="C228" s="8"/>
      <c r="D228" s="8"/>
      <c r="E228" s="8"/>
      <c r="F228" s="8"/>
      <c r="G228" s="8"/>
      <c r="H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row>
    <row r="229">
      <c r="A229" s="8"/>
      <c r="B229" s="8"/>
      <c r="C229" s="8"/>
      <c r="D229" s="8"/>
      <c r="E229" s="8"/>
      <c r="F229" s="8"/>
      <c r="G229" s="8"/>
      <c r="H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row>
    <row r="230">
      <c r="A230" s="8"/>
      <c r="B230" s="8"/>
      <c r="C230" s="8"/>
      <c r="D230" s="8"/>
      <c r="E230" s="8"/>
      <c r="F230" s="8"/>
      <c r="G230" s="8"/>
      <c r="H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row>
    <row r="231">
      <c r="A231" s="8"/>
      <c r="B231" s="8"/>
      <c r="C231" s="8"/>
      <c r="D231" s="8"/>
      <c r="E231" s="8"/>
      <c r="F231" s="8"/>
      <c r="G231" s="8"/>
      <c r="H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row>
    <row r="232">
      <c r="A232" s="8"/>
      <c r="B232" s="8"/>
      <c r="C232" s="8"/>
      <c r="D232" s="8"/>
      <c r="E232" s="8"/>
      <c r="F232" s="8"/>
      <c r="G232" s="8"/>
      <c r="H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row>
    <row r="233">
      <c r="A233" s="8"/>
      <c r="B233" s="8"/>
      <c r="C233" s="8"/>
      <c r="D233" s="8"/>
      <c r="E233" s="8"/>
      <c r="F233" s="8"/>
      <c r="G233" s="8"/>
      <c r="H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row>
    <row r="234">
      <c r="A234" s="8"/>
      <c r="B234" s="8"/>
      <c r="C234" s="8"/>
      <c r="D234" s="8"/>
      <c r="E234" s="8"/>
      <c r="F234" s="8"/>
      <c r="G234" s="8"/>
      <c r="H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row>
    <row r="235">
      <c r="A235" s="8"/>
      <c r="B235" s="8"/>
      <c r="C235" s="8"/>
      <c r="D235" s="8"/>
      <c r="E235" s="8"/>
      <c r="F235" s="8"/>
      <c r="G235" s="8"/>
      <c r="H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row>
    <row r="236">
      <c r="A236" s="8"/>
      <c r="B236" s="8"/>
      <c r="C236" s="8"/>
      <c r="D236" s="8"/>
      <c r="E236" s="8"/>
      <c r="F236" s="8"/>
      <c r="G236" s="8"/>
      <c r="H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row>
    <row r="237">
      <c r="A237" s="8"/>
      <c r="B237" s="8"/>
      <c r="C237" s="8"/>
      <c r="D237" s="8"/>
      <c r="E237" s="8"/>
      <c r="F237" s="8"/>
      <c r="G237" s="8"/>
      <c r="H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row>
    <row r="238">
      <c r="A238" s="8"/>
      <c r="B238" s="8"/>
      <c r="C238" s="8"/>
      <c r="D238" s="8"/>
      <c r="E238" s="8"/>
      <c r="F238" s="8"/>
      <c r="G238" s="8"/>
      <c r="H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row>
    <row r="239">
      <c r="A239" s="8"/>
      <c r="B239" s="8"/>
      <c r="C239" s="8"/>
      <c r="D239" s="8"/>
      <c r="E239" s="8"/>
      <c r="F239" s="8"/>
      <c r="G239" s="8"/>
      <c r="H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row>
    <row r="240">
      <c r="A240" s="8"/>
      <c r="B240" s="8"/>
      <c r="C240" s="8"/>
      <c r="D240" s="8"/>
      <c r="E240" s="8"/>
      <c r="F240" s="8"/>
      <c r="G240" s="8"/>
      <c r="H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row>
    <row r="241">
      <c r="A241" s="8"/>
      <c r="B241" s="8"/>
      <c r="C241" s="8"/>
      <c r="D241" s="8"/>
      <c r="E241" s="8"/>
      <c r="F241" s="8"/>
      <c r="G241" s="8"/>
      <c r="H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row>
    <row r="242">
      <c r="A242" s="8"/>
      <c r="B242" s="8"/>
      <c r="C242" s="8"/>
      <c r="D242" s="8"/>
      <c r="E242" s="8"/>
      <c r="F242" s="8"/>
      <c r="G242" s="8"/>
      <c r="H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row>
    <row r="243">
      <c r="A243" s="8"/>
      <c r="B243" s="8"/>
      <c r="C243" s="8"/>
      <c r="D243" s="8"/>
      <c r="E243" s="8"/>
      <c r="F243" s="8"/>
      <c r="G243" s="8"/>
      <c r="H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row>
    <row r="244">
      <c r="A244" s="8"/>
      <c r="B244" s="8"/>
      <c r="C244" s="8"/>
      <c r="D244" s="8"/>
      <c r="E244" s="8"/>
      <c r="F244" s="8"/>
      <c r="G244" s="8"/>
      <c r="H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row>
    <row r="245">
      <c r="A245" s="8"/>
      <c r="B245" s="8"/>
      <c r="C245" s="8"/>
      <c r="D245" s="8"/>
      <c r="E245" s="8"/>
      <c r="F245" s="8"/>
      <c r="G245" s="8"/>
      <c r="H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row>
    <row r="246">
      <c r="A246" s="8"/>
      <c r="B246" s="8"/>
      <c r="C246" s="8"/>
      <c r="D246" s="8"/>
      <c r="E246" s="8"/>
      <c r="F246" s="8"/>
      <c r="G246" s="8"/>
      <c r="H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row>
    <row r="247">
      <c r="A247" s="8"/>
      <c r="B247" s="8"/>
      <c r="C247" s="8"/>
      <c r="D247" s="8"/>
      <c r="E247" s="8"/>
      <c r="F247" s="8"/>
      <c r="G247" s="8"/>
      <c r="H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row>
    <row r="248">
      <c r="A248" s="8"/>
      <c r="B248" s="8"/>
      <c r="C248" s="8"/>
      <c r="D248" s="8"/>
      <c r="E248" s="8"/>
      <c r="F248" s="8"/>
      <c r="G248" s="8"/>
      <c r="H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row>
    <row r="249">
      <c r="A249" s="8"/>
      <c r="B249" s="8"/>
      <c r="C249" s="8"/>
      <c r="D249" s="8"/>
      <c r="E249" s="8"/>
      <c r="F249" s="8"/>
      <c r="G249" s="8"/>
      <c r="H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row>
    <row r="250">
      <c r="A250" s="8"/>
      <c r="B250" s="8"/>
      <c r="C250" s="8"/>
      <c r="D250" s="8"/>
      <c r="E250" s="8"/>
      <c r="F250" s="8"/>
      <c r="G250" s="8"/>
      <c r="H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row>
    <row r="251">
      <c r="A251" s="8"/>
      <c r="B251" s="8"/>
      <c r="C251" s="8"/>
      <c r="D251" s="8"/>
      <c r="E251" s="8"/>
      <c r="F251" s="8"/>
      <c r="G251" s="8"/>
      <c r="H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row>
    <row r="252">
      <c r="A252" s="8"/>
      <c r="B252" s="8"/>
      <c r="C252" s="8"/>
      <c r="D252" s="8"/>
      <c r="E252" s="8"/>
      <c r="F252" s="8"/>
      <c r="G252" s="8"/>
      <c r="H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row>
    <row r="253">
      <c r="A253" s="8"/>
      <c r="B253" s="8"/>
      <c r="C253" s="8"/>
      <c r="D253" s="8"/>
      <c r="E253" s="8"/>
      <c r="F253" s="8"/>
      <c r="G253" s="8"/>
      <c r="H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row>
    <row r="254">
      <c r="A254" s="8"/>
      <c r="B254" s="8"/>
      <c r="C254" s="8"/>
      <c r="D254" s="8"/>
      <c r="E254" s="8"/>
      <c r="F254" s="8"/>
      <c r="G254" s="8"/>
      <c r="H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row>
    <row r="255">
      <c r="A255" s="8"/>
      <c r="B255" s="8"/>
      <c r="C255" s="8"/>
      <c r="D255" s="8"/>
      <c r="E255" s="8"/>
      <c r="F255" s="8"/>
      <c r="G255" s="8"/>
      <c r="H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row>
    <row r="256">
      <c r="A256" s="8"/>
      <c r="B256" s="8"/>
      <c r="C256" s="8"/>
      <c r="D256" s="8"/>
      <c r="E256" s="8"/>
      <c r="F256" s="8"/>
      <c r="G256" s="8"/>
      <c r="H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row>
    <row r="257">
      <c r="A257" s="8"/>
      <c r="B257" s="8"/>
      <c r="C257" s="8"/>
      <c r="D257" s="8"/>
      <c r="E257" s="8"/>
      <c r="F257" s="8"/>
      <c r="G257" s="8"/>
      <c r="H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row>
    <row r="258">
      <c r="A258" s="8"/>
      <c r="B258" s="8"/>
      <c r="C258" s="8"/>
      <c r="D258" s="8"/>
      <c r="E258" s="8"/>
      <c r="F258" s="8"/>
      <c r="G258" s="8"/>
      <c r="H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row>
    <row r="259">
      <c r="A259" s="8"/>
      <c r="B259" s="8"/>
      <c r="C259" s="8"/>
      <c r="D259" s="8"/>
      <c r="E259" s="8"/>
      <c r="F259" s="8"/>
      <c r="G259" s="8"/>
      <c r="H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row>
    <row r="260">
      <c r="A260" s="8"/>
      <c r="B260" s="8"/>
      <c r="C260" s="8"/>
      <c r="D260" s="8"/>
      <c r="E260" s="8"/>
      <c r="F260" s="8"/>
      <c r="G260" s="8"/>
      <c r="H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row>
    <row r="261">
      <c r="A261" s="8"/>
      <c r="B261" s="8"/>
      <c r="C261" s="8"/>
      <c r="D261" s="8"/>
      <c r="E261" s="8"/>
      <c r="F261" s="8"/>
      <c r="G261" s="8"/>
      <c r="H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row>
    <row r="262">
      <c r="A262" s="8"/>
      <c r="B262" s="8"/>
      <c r="C262" s="8"/>
      <c r="D262" s="8"/>
      <c r="E262" s="8"/>
      <c r="F262" s="8"/>
      <c r="G262" s="8"/>
      <c r="H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row>
    <row r="263">
      <c r="A263" s="8"/>
      <c r="B263" s="8"/>
      <c r="C263" s="8"/>
      <c r="D263" s="8"/>
      <c r="E263" s="8"/>
      <c r="F263" s="8"/>
      <c r="G263" s="8"/>
      <c r="H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row>
    <row r="264">
      <c r="A264" s="8"/>
      <c r="B264" s="8"/>
      <c r="C264" s="8"/>
      <c r="D264" s="8"/>
      <c r="E264" s="8"/>
      <c r="F264" s="8"/>
      <c r="G264" s="8"/>
      <c r="H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row>
    <row r="265">
      <c r="A265" s="8"/>
      <c r="B265" s="8"/>
      <c r="C265" s="8"/>
      <c r="D265" s="8"/>
      <c r="E265" s="8"/>
      <c r="F265" s="8"/>
      <c r="G265" s="8"/>
      <c r="H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row>
    <row r="266">
      <c r="A266" s="8"/>
      <c r="B266" s="8"/>
      <c r="C266" s="8"/>
      <c r="D266" s="8"/>
      <c r="E266" s="8"/>
      <c r="F266" s="8"/>
      <c r="G266" s="8"/>
      <c r="H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row>
    <row r="267">
      <c r="A267" s="8"/>
      <c r="B267" s="8"/>
      <c r="C267" s="8"/>
      <c r="D267" s="8"/>
      <c r="E267" s="8"/>
      <c r="F267" s="8"/>
      <c r="G267" s="8"/>
      <c r="H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row>
    <row r="268">
      <c r="A268" s="8"/>
      <c r="B268" s="8"/>
      <c r="C268" s="8"/>
      <c r="D268" s="8"/>
      <c r="E268" s="8"/>
      <c r="F268" s="8"/>
      <c r="G268" s="8"/>
      <c r="H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row>
    <row r="269">
      <c r="A269" s="8"/>
      <c r="B269" s="8"/>
      <c r="C269" s="8"/>
      <c r="D269" s="8"/>
      <c r="E269" s="8"/>
      <c r="F269" s="8"/>
      <c r="G269" s="8"/>
      <c r="H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row>
    <row r="270">
      <c r="A270" s="8"/>
      <c r="B270" s="8"/>
      <c r="C270" s="8"/>
      <c r="D270" s="8"/>
      <c r="E270" s="8"/>
      <c r="F270" s="8"/>
      <c r="G270" s="8"/>
      <c r="H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row>
    <row r="271">
      <c r="A271" s="8"/>
      <c r="B271" s="8"/>
      <c r="C271" s="8"/>
      <c r="D271" s="8"/>
      <c r="E271" s="8"/>
      <c r="F271" s="8"/>
      <c r="G271" s="8"/>
      <c r="H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row>
    <row r="272">
      <c r="A272" s="8"/>
      <c r="B272" s="8"/>
      <c r="C272" s="8"/>
      <c r="D272" s="8"/>
      <c r="E272" s="8"/>
      <c r="F272" s="8"/>
      <c r="G272" s="8"/>
      <c r="H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row>
    <row r="273">
      <c r="A273" s="8"/>
      <c r="B273" s="8"/>
      <c r="C273" s="8"/>
      <c r="D273" s="8"/>
      <c r="E273" s="8"/>
      <c r="F273" s="8"/>
      <c r="G273" s="8"/>
      <c r="H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row>
    <row r="274">
      <c r="A274" s="8"/>
      <c r="B274" s="8"/>
      <c r="C274" s="8"/>
      <c r="D274" s="8"/>
      <c r="E274" s="8"/>
      <c r="F274" s="8"/>
      <c r="G274" s="8"/>
      <c r="H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row>
    <row r="275">
      <c r="A275" s="8"/>
      <c r="B275" s="8"/>
      <c r="C275" s="8"/>
      <c r="D275" s="8"/>
      <c r="E275" s="8"/>
      <c r="F275" s="8"/>
      <c r="G275" s="8"/>
      <c r="H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row>
    <row r="276">
      <c r="A276" s="8"/>
      <c r="B276" s="8"/>
      <c r="C276" s="8"/>
      <c r="D276" s="8"/>
      <c r="E276" s="8"/>
      <c r="F276" s="8"/>
      <c r="G276" s="8"/>
      <c r="H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row>
    <row r="277">
      <c r="A277" s="8"/>
      <c r="B277" s="8"/>
      <c r="C277" s="8"/>
      <c r="D277" s="8"/>
      <c r="E277" s="8"/>
      <c r="F277" s="8"/>
      <c r="G277" s="8"/>
      <c r="H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row>
    <row r="278">
      <c r="A278" s="8"/>
      <c r="B278" s="8"/>
      <c r="C278" s="8"/>
      <c r="D278" s="8"/>
      <c r="E278" s="8"/>
      <c r="F278" s="8"/>
      <c r="G278" s="8"/>
      <c r="H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row>
    <row r="279">
      <c r="A279" s="8"/>
      <c r="B279" s="8"/>
      <c r="C279" s="8"/>
      <c r="D279" s="8"/>
      <c r="E279" s="8"/>
      <c r="F279" s="8"/>
      <c r="G279" s="8"/>
      <c r="H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row>
    <row r="280">
      <c r="A280" s="8"/>
      <c r="B280" s="8"/>
      <c r="C280" s="8"/>
      <c r="D280" s="8"/>
      <c r="E280" s="8"/>
      <c r="F280" s="8"/>
      <c r="G280" s="8"/>
      <c r="H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row>
    <row r="281">
      <c r="A281" s="8"/>
      <c r="B281" s="8"/>
      <c r="C281" s="8"/>
      <c r="D281" s="8"/>
      <c r="E281" s="8"/>
      <c r="F281" s="8"/>
      <c r="G281" s="8"/>
      <c r="H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row>
    <row r="282">
      <c r="A282" s="8"/>
      <c r="B282" s="8"/>
      <c r="C282" s="8"/>
      <c r="D282" s="8"/>
      <c r="E282" s="8"/>
      <c r="F282" s="8"/>
      <c r="G282" s="8"/>
      <c r="H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row>
    <row r="283">
      <c r="A283" s="8"/>
      <c r="B283" s="8"/>
      <c r="C283" s="8"/>
      <c r="D283" s="8"/>
      <c r="E283" s="8"/>
      <c r="F283" s="8"/>
      <c r="G283" s="8"/>
      <c r="H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row>
    <row r="284">
      <c r="A284" s="8"/>
      <c r="B284" s="8"/>
      <c r="C284" s="8"/>
      <c r="D284" s="8"/>
      <c r="E284" s="8"/>
      <c r="F284" s="8"/>
      <c r="G284" s="8"/>
      <c r="H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row>
    <row r="285">
      <c r="A285" s="8"/>
      <c r="B285" s="8"/>
      <c r="C285" s="8"/>
      <c r="D285" s="8"/>
      <c r="E285" s="8"/>
      <c r="F285" s="8"/>
      <c r="G285" s="8"/>
      <c r="H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row>
    <row r="286">
      <c r="A286" s="8"/>
      <c r="B286" s="8"/>
      <c r="C286" s="8"/>
      <c r="D286" s="8"/>
      <c r="E286" s="8"/>
      <c r="F286" s="8"/>
      <c r="G286" s="8"/>
      <c r="H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row>
    <row r="287">
      <c r="A287" s="8"/>
      <c r="B287" s="8"/>
      <c r="C287" s="8"/>
      <c r="D287" s="8"/>
      <c r="E287" s="8"/>
      <c r="F287" s="8"/>
      <c r="G287" s="8"/>
      <c r="H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row>
    <row r="288">
      <c r="A288" s="8"/>
      <c r="B288" s="8"/>
      <c r="C288" s="8"/>
      <c r="D288" s="8"/>
      <c r="E288" s="8"/>
      <c r="F288" s="8"/>
      <c r="G288" s="8"/>
      <c r="H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row>
    <row r="289">
      <c r="A289" s="8"/>
      <c r="B289" s="8"/>
      <c r="C289" s="8"/>
      <c r="D289" s="8"/>
      <c r="E289" s="8"/>
      <c r="F289" s="8"/>
      <c r="G289" s="8"/>
      <c r="H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row>
    <row r="290">
      <c r="A290" s="8"/>
      <c r="B290" s="8"/>
      <c r="C290" s="8"/>
      <c r="D290" s="8"/>
      <c r="E290" s="8"/>
      <c r="F290" s="8"/>
      <c r="G290" s="8"/>
      <c r="H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row>
    <row r="291">
      <c r="A291" s="8"/>
      <c r="B291" s="8"/>
      <c r="C291" s="8"/>
      <c r="D291" s="8"/>
      <c r="E291" s="8"/>
      <c r="F291" s="8"/>
      <c r="G291" s="8"/>
      <c r="H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row>
    <row r="292">
      <c r="A292" s="8"/>
      <c r="B292" s="8"/>
      <c r="C292" s="8"/>
      <c r="D292" s="8"/>
      <c r="E292" s="8"/>
      <c r="F292" s="8"/>
      <c r="G292" s="8"/>
      <c r="H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row>
    <row r="293">
      <c r="A293" s="8"/>
      <c r="B293" s="8"/>
      <c r="C293" s="8"/>
      <c r="D293" s="8"/>
      <c r="E293" s="8"/>
      <c r="F293" s="8"/>
      <c r="G293" s="8"/>
      <c r="H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row>
    <row r="294">
      <c r="A294" s="8"/>
      <c r="B294" s="8"/>
      <c r="C294" s="8"/>
      <c r="D294" s="8"/>
      <c r="E294" s="8"/>
      <c r="F294" s="8"/>
      <c r="G294" s="8"/>
      <c r="H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row>
    <row r="295">
      <c r="A295" s="8"/>
      <c r="B295" s="8"/>
      <c r="C295" s="8"/>
      <c r="D295" s="8"/>
      <c r="E295" s="8"/>
      <c r="F295" s="8"/>
      <c r="G295" s="8"/>
      <c r="H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row>
    <row r="296">
      <c r="A296" s="8"/>
      <c r="B296" s="8"/>
      <c r="C296" s="8"/>
      <c r="D296" s="8"/>
      <c r="E296" s="8"/>
      <c r="F296" s="8"/>
      <c r="G296" s="8"/>
      <c r="H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row>
    <row r="297">
      <c r="A297" s="8"/>
      <c r="B297" s="8"/>
      <c r="C297" s="8"/>
      <c r="D297" s="8"/>
      <c r="E297" s="8"/>
      <c r="F297" s="8"/>
      <c r="G297" s="8"/>
      <c r="H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row>
    <row r="298">
      <c r="A298" s="8"/>
      <c r="B298" s="8"/>
      <c r="C298" s="8"/>
      <c r="D298" s="8"/>
      <c r="E298" s="8"/>
      <c r="F298" s="8"/>
      <c r="G298" s="8"/>
      <c r="H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row>
    <row r="299">
      <c r="A299" s="8"/>
      <c r="B299" s="8"/>
      <c r="C299" s="8"/>
      <c r="D299" s="8"/>
      <c r="E299" s="8"/>
      <c r="F299" s="8"/>
      <c r="G299" s="8"/>
      <c r="H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row>
    <row r="300">
      <c r="A300" s="8"/>
      <c r="B300" s="8"/>
      <c r="C300" s="8"/>
      <c r="D300" s="8"/>
      <c r="E300" s="8"/>
      <c r="F300" s="8"/>
      <c r="G300" s="8"/>
      <c r="H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row>
    <row r="301">
      <c r="A301" s="8"/>
      <c r="B301" s="8"/>
      <c r="C301" s="8"/>
      <c r="D301" s="8"/>
      <c r="E301" s="8"/>
      <c r="F301" s="8"/>
      <c r="G301" s="8"/>
      <c r="H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row>
    <row r="302">
      <c r="A302" s="8"/>
      <c r="B302" s="8"/>
      <c r="C302" s="8"/>
      <c r="D302" s="8"/>
      <c r="E302" s="8"/>
      <c r="F302" s="8"/>
      <c r="G302" s="8"/>
      <c r="H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row>
    <row r="303">
      <c r="A303" s="8"/>
      <c r="B303" s="8"/>
      <c r="C303" s="8"/>
      <c r="D303" s="8"/>
      <c r="E303" s="8"/>
      <c r="F303" s="8"/>
      <c r="G303" s="8"/>
      <c r="H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row>
    <row r="304">
      <c r="A304" s="8"/>
      <c r="B304" s="8"/>
      <c r="C304" s="8"/>
      <c r="D304" s="8"/>
      <c r="E304" s="8"/>
      <c r="F304" s="8"/>
      <c r="G304" s="8"/>
      <c r="H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row>
    <row r="305">
      <c r="A305" s="8"/>
      <c r="B305" s="8"/>
      <c r="C305" s="8"/>
      <c r="D305" s="8"/>
      <c r="E305" s="8"/>
      <c r="F305" s="8"/>
      <c r="G305" s="8"/>
      <c r="H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row>
    <row r="306">
      <c r="A306" s="8"/>
      <c r="B306" s="8"/>
      <c r="C306" s="8"/>
      <c r="D306" s="8"/>
      <c r="E306" s="8"/>
      <c r="F306" s="8"/>
      <c r="G306" s="8"/>
      <c r="H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row>
    <row r="307">
      <c r="A307" s="8"/>
      <c r="B307" s="8"/>
      <c r="C307" s="8"/>
      <c r="D307" s="8"/>
      <c r="E307" s="8"/>
      <c r="F307" s="8"/>
      <c r="G307" s="8"/>
      <c r="H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row>
    <row r="308">
      <c r="A308" s="8"/>
      <c r="B308" s="8"/>
      <c r="C308" s="8"/>
      <c r="D308" s="8"/>
      <c r="E308" s="8"/>
      <c r="F308" s="8"/>
      <c r="G308" s="8"/>
      <c r="H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row>
    <row r="309">
      <c r="A309" s="8"/>
      <c r="B309" s="8"/>
      <c r="C309" s="8"/>
      <c r="D309" s="8"/>
      <c r="E309" s="8"/>
      <c r="F309" s="8"/>
      <c r="G309" s="8"/>
      <c r="H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row>
    <row r="310">
      <c r="A310" s="8"/>
      <c r="B310" s="8"/>
      <c r="C310" s="8"/>
      <c r="D310" s="8"/>
      <c r="E310" s="8"/>
      <c r="F310" s="8"/>
      <c r="G310" s="8"/>
      <c r="H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row>
    <row r="311">
      <c r="A311" s="8"/>
      <c r="B311" s="8"/>
      <c r="C311" s="8"/>
      <c r="D311" s="8"/>
      <c r="E311" s="8"/>
      <c r="F311" s="8"/>
      <c r="G311" s="8"/>
      <c r="H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row>
    <row r="312">
      <c r="A312" s="8"/>
      <c r="B312" s="8"/>
      <c r="C312" s="8"/>
      <c r="D312" s="8"/>
      <c r="E312" s="8"/>
      <c r="F312" s="8"/>
      <c r="G312" s="8"/>
      <c r="H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row>
    <row r="313">
      <c r="A313" s="8"/>
      <c r="B313" s="8"/>
      <c r="C313" s="8"/>
      <c r="D313" s="8"/>
      <c r="E313" s="8"/>
      <c r="F313" s="8"/>
      <c r="G313" s="8"/>
      <c r="H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row>
    <row r="314">
      <c r="A314" s="8"/>
      <c r="B314" s="8"/>
      <c r="C314" s="8"/>
      <c r="D314" s="8"/>
      <c r="E314" s="8"/>
      <c r="F314" s="8"/>
      <c r="G314" s="8"/>
      <c r="H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row>
    <row r="315">
      <c r="A315" s="8"/>
      <c r="B315" s="8"/>
      <c r="C315" s="8"/>
      <c r="D315" s="8"/>
      <c r="E315" s="8"/>
      <c r="F315" s="8"/>
      <c r="G315" s="8"/>
      <c r="H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row>
    <row r="316">
      <c r="A316" s="8"/>
      <c r="B316" s="8"/>
      <c r="C316" s="8"/>
      <c r="D316" s="8"/>
      <c r="E316" s="8"/>
      <c r="F316" s="8"/>
      <c r="G316" s="8"/>
      <c r="H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row>
    <row r="317">
      <c r="A317" s="8"/>
      <c r="B317" s="8"/>
      <c r="C317" s="8"/>
      <c r="D317" s="8"/>
      <c r="E317" s="8"/>
      <c r="F317" s="8"/>
      <c r="G317" s="8"/>
      <c r="H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row>
    <row r="318">
      <c r="A318" s="8"/>
      <c r="B318" s="8"/>
      <c r="C318" s="8"/>
      <c r="D318" s="8"/>
      <c r="E318" s="8"/>
      <c r="F318" s="8"/>
      <c r="G318" s="8"/>
      <c r="H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row>
    <row r="319">
      <c r="A319" s="8"/>
      <c r="B319" s="8"/>
      <c r="C319" s="8"/>
      <c r="D319" s="8"/>
      <c r="E319" s="8"/>
      <c r="F319" s="8"/>
      <c r="G319" s="8"/>
      <c r="H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row>
    <row r="320">
      <c r="A320" s="8"/>
      <c r="B320" s="8"/>
      <c r="C320" s="8"/>
      <c r="D320" s="8"/>
      <c r="E320" s="8"/>
      <c r="F320" s="8"/>
      <c r="G320" s="8"/>
      <c r="H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row>
    <row r="321">
      <c r="A321" s="8"/>
      <c r="B321" s="8"/>
      <c r="C321" s="8"/>
      <c r="D321" s="8"/>
      <c r="E321" s="8"/>
      <c r="F321" s="8"/>
      <c r="G321" s="8"/>
      <c r="H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row>
    <row r="322">
      <c r="A322" s="8"/>
      <c r="B322" s="8"/>
      <c r="C322" s="8"/>
      <c r="D322" s="8"/>
      <c r="E322" s="8"/>
      <c r="F322" s="8"/>
      <c r="G322" s="8"/>
      <c r="H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row>
    <row r="323">
      <c r="A323" s="8"/>
      <c r="B323" s="8"/>
      <c r="C323" s="8"/>
      <c r="D323" s="8"/>
      <c r="E323" s="8"/>
      <c r="F323" s="8"/>
      <c r="G323" s="8"/>
      <c r="H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row>
    <row r="324">
      <c r="A324" s="8"/>
      <c r="B324" s="8"/>
      <c r="C324" s="8"/>
      <c r="D324" s="8"/>
      <c r="E324" s="8"/>
      <c r="F324" s="8"/>
      <c r="G324" s="8"/>
      <c r="H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row>
    <row r="325">
      <c r="A325" s="8"/>
      <c r="B325" s="8"/>
      <c r="C325" s="8"/>
      <c r="D325" s="8"/>
      <c r="E325" s="8"/>
      <c r="F325" s="8"/>
      <c r="G325" s="8"/>
      <c r="H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row>
    <row r="326">
      <c r="A326" s="8"/>
      <c r="B326" s="8"/>
      <c r="C326" s="8"/>
      <c r="D326" s="8"/>
      <c r="E326" s="8"/>
      <c r="F326" s="8"/>
      <c r="G326" s="8"/>
      <c r="H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row>
    <row r="327">
      <c r="A327" s="8"/>
      <c r="B327" s="8"/>
      <c r="C327" s="8"/>
      <c r="D327" s="8"/>
      <c r="E327" s="8"/>
      <c r="F327" s="8"/>
      <c r="G327" s="8"/>
      <c r="H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row>
    <row r="328">
      <c r="A328" s="8"/>
      <c r="B328" s="8"/>
      <c r="C328" s="8"/>
      <c r="D328" s="8"/>
      <c r="E328" s="8"/>
      <c r="F328" s="8"/>
      <c r="G328" s="8"/>
      <c r="H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row>
    <row r="329">
      <c r="A329" s="8"/>
      <c r="B329" s="8"/>
      <c r="C329" s="8"/>
      <c r="D329" s="8"/>
      <c r="E329" s="8"/>
      <c r="F329" s="8"/>
      <c r="G329" s="8"/>
      <c r="H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row>
    <row r="330">
      <c r="A330" s="8"/>
      <c r="B330" s="8"/>
      <c r="C330" s="8"/>
      <c r="D330" s="8"/>
      <c r="E330" s="8"/>
      <c r="F330" s="8"/>
      <c r="G330" s="8"/>
      <c r="H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row>
    <row r="331">
      <c r="A331" s="8"/>
      <c r="B331" s="8"/>
      <c r="C331" s="8"/>
      <c r="D331" s="8"/>
      <c r="E331" s="8"/>
      <c r="F331" s="8"/>
      <c r="G331" s="8"/>
      <c r="H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row>
    <row r="332">
      <c r="A332" s="8"/>
      <c r="B332" s="8"/>
      <c r="C332" s="8"/>
      <c r="D332" s="8"/>
      <c r="E332" s="8"/>
      <c r="F332" s="8"/>
      <c r="G332" s="8"/>
      <c r="H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row>
    <row r="333">
      <c r="A333" s="8"/>
      <c r="B333" s="8"/>
      <c r="C333" s="8"/>
      <c r="D333" s="8"/>
      <c r="E333" s="8"/>
      <c r="F333" s="8"/>
      <c r="G333" s="8"/>
      <c r="H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row>
    <row r="334">
      <c r="A334" s="8"/>
      <c r="B334" s="8"/>
      <c r="C334" s="8"/>
      <c r="D334" s="8"/>
      <c r="E334" s="8"/>
      <c r="F334" s="8"/>
      <c r="G334" s="8"/>
      <c r="H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row>
    <row r="335">
      <c r="A335" s="8"/>
      <c r="B335" s="8"/>
      <c r="C335" s="8"/>
      <c r="D335" s="8"/>
      <c r="E335" s="8"/>
      <c r="F335" s="8"/>
      <c r="G335" s="8"/>
      <c r="H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row>
    <row r="336">
      <c r="A336" s="8"/>
      <c r="B336" s="8"/>
      <c r="C336" s="8"/>
      <c r="D336" s="8"/>
      <c r="E336" s="8"/>
      <c r="F336" s="8"/>
      <c r="G336" s="8"/>
      <c r="H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row>
    <row r="337">
      <c r="A337" s="8"/>
      <c r="B337" s="8"/>
      <c r="C337" s="8"/>
      <c r="D337" s="8"/>
      <c r="E337" s="8"/>
      <c r="F337" s="8"/>
      <c r="G337" s="8"/>
      <c r="H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row>
    <row r="338">
      <c r="A338" s="8"/>
      <c r="B338" s="8"/>
      <c r="C338" s="8"/>
      <c r="D338" s="8"/>
      <c r="E338" s="8"/>
      <c r="F338" s="8"/>
      <c r="G338" s="8"/>
      <c r="H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row>
    <row r="339">
      <c r="A339" s="8"/>
      <c r="B339" s="8"/>
      <c r="C339" s="8"/>
      <c r="D339" s="8"/>
      <c r="E339" s="8"/>
      <c r="F339" s="8"/>
      <c r="G339" s="8"/>
      <c r="H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row>
    <row r="340">
      <c r="A340" s="8"/>
      <c r="B340" s="8"/>
      <c r="C340" s="8"/>
      <c r="D340" s="8"/>
      <c r="E340" s="8"/>
      <c r="F340" s="8"/>
      <c r="G340" s="8"/>
      <c r="H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row>
    <row r="341">
      <c r="A341" s="8"/>
      <c r="B341" s="8"/>
      <c r="C341" s="8"/>
      <c r="D341" s="8"/>
      <c r="E341" s="8"/>
      <c r="F341" s="8"/>
      <c r="G341" s="8"/>
      <c r="H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row>
    <row r="342">
      <c r="A342" s="8"/>
      <c r="B342" s="8"/>
      <c r="C342" s="8"/>
      <c r="D342" s="8"/>
      <c r="E342" s="8"/>
      <c r="F342" s="8"/>
      <c r="G342" s="8"/>
      <c r="H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row>
    <row r="343">
      <c r="A343" s="8"/>
      <c r="B343" s="8"/>
      <c r="C343" s="8"/>
      <c r="D343" s="8"/>
      <c r="E343" s="8"/>
      <c r="F343" s="8"/>
      <c r="G343" s="8"/>
      <c r="H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row>
    <row r="344">
      <c r="A344" s="8"/>
      <c r="B344" s="8"/>
      <c r="C344" s="8"/>
      <c r="D344" s="8"/>
      <c r="E344" s="8"/>
      <c r="F344" s="8"/>
      <c r="G344" s="8"/>
      <c r="H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row>
    <row r="345">
      <c r="A345" s="8"/>
      <c r="B345" s="8"/>
      <c r="C345" s="8"/>
      <c r="D345" s="8"/>
      <c r="E345" s="8"/>
      <c r="F345" s="8"/>
      <c r="G345" s="8"/>
      <c r="H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row>
    <row r="346">
      <c r="A346" s="8"/>
      <c r="B346" s="8"/>
      <c r="C346" s="8"/>
      <c r="D346" s="8"/>
      <c r="E346" s="8"/>
      <c r="F346" s="8"/>
      <c r="G346" s="8"/>
      <c r="H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row>
    <row r="347">
      <c r="A347" s="8"/>
      <c r="B347" s="8"/>
      <c r="C347" s="8"/>
      <c r="D347" s="8"/>
      <c r="E347" s="8"/>
      <c r="F347" s="8"/>
      <c r="G347" s="8"/>
      <c r="H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row>
    <row r="348">
      <c r="A348" s="8"/>
      <c r="B348" s="8"/>
      <c r="C348" s="8"/>
      <c r="D348" s="8"/>
      <c r="E348" s="8"/>
      <c r="F348" s="8"/>
      <c r="G348" s="8"/>
      <c r="H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row>
    <row r="349">
      <c r="A349" s="8"/>
      <c r="B349" s="8"/>
      <c r="C349" s="8"/>
      <c r="D349" s="8"/>
      <c r="E349" s="8"/>
      <c r="F349" s="8"/>
      <c r="G349" s="8"/>
      <c r="H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row>
    <row r="350">
      <c r="A350" s="8"/>
      <c r="B350" s="8"/>
      <c r="C350" s="8"/>
      <c r="D350" s="8"/>
      <c r="E350" s="8"/>
      <c r="F350" s="8"/>
      <c r="G350" s="8"/>
      <c r="H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row>
    <row r="351">
      <c r="A351" s="8"/>
      <c r="B351" s="8"/>
      <c r="C351" s="8"/>
      <c r="D351" s="8"/>
      <c r="E351" s="8"/>
      <c r="F351" s="8"/>
      <c r="G351" s="8"/>
      <c r="H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row>
    <row r="352">
      <c r="A352" s="8"/>
      <c r="B352" s="8"/>
      <c r="C352" s="8"/>
      <c r="D352" s="8"/>
      <c r="E352" s="8"/>
      <c r="F352" s="8"/>
      <c r="G352" s="8"/>
      <c r="H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row>
    <row r="353">
      <c r="A353" s="8"/>
      <c r="B353" s="8"/>
      <c r="C353" s="8"/>
      <c r="D353" s="8"/>
      <c r="E353" s="8"/>
      <c r="F353" s="8"/>
      <c r="G353" s="8"/>
      <c r="H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row>
    <row r="354">
      <c r="A354" s="8"/>
      <c r="B354" s="8"/>
      <c r="C354" s="8"/>
      <c r="D354" s="8"/>
      <c r="E354" s="8"/>
      <c r="F354" s="8"/>
      <c r="G354" s="8"/>
      <c r="H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row>
    <row r="355">
      <c r="A355" s="8"/>
      <c r="B355" s="8"/>
      <c r="C355" s="8"/>
      <c r="D355" s="8"/>
      <c r="E355" s="8"/>
      <c r="F355" s="8"/>
      <c r="G355" s="8"/>
      <c r="H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row>
    <row r="356">
      <c r="A356" s="8"/>
      <c r="B356" s="8"/>
      <c r="C356" s="8"/>
      <c r="D356" s="8"/>
      <c r="E356" s="8"/>
      <c r="F356" s="8"/>
      <c r="G356" s="8"/>
      <c r="H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row>
    <row r="357">
      <c r="A357" s="8"/>
      <c r="B357" s="8"/>
      <c r="C357" s="8"/>
      <c r="D357" s="8"/>
      <c r="E357" s="8"/>
      <c r="F357" s="8"/>
      <c r="G357" s="8"/>
      <c r="H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row>
    <row r="358">
      <c r="A358" s="8"/>
      <c r="B358" s="8"/>
      <c r="C358" s="8"/>
      <c r="D358" s="8"/>
      <c r="E358" s="8"/>
      <c r="F358" s="8"/>
      <c r="G358" s="8"/>
      <c r="H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row>
    <row r="359">
      <c r="A359" s="8"/>
      <c r="B359" s="8"/>
      <c r="C359" s="8"/>
      <c r="D359" s="8"/>
      <c r="E359" s="8"/>
      <c r="F359" s="8"/>
      <c r="G359" s="8"/>
      <c r="H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row>
    <row r="360">
      <c r="A360" s="8"/>
      <c r="B360" s="8"/>
      <c r="C360" s="8"/>
      <c r="D360" s="8"/>
      <c r="E360" s="8"/>
      <c r="F360" s="8"/>
      <c r="G360" s="8"/>
      <c r="H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row>
    <row r="361">
      <c r="A361" s="8"/>
      <c r="B361" s="8"/>
      <c r="C361" s="8"/>
      <c r="D361" s="8"/>
      <c r="E361" s="8"/>
      <c r="F361" s="8"/>
      <c r="G361" s="8"/>
      <c r="H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row>
    <row r="362">
      <c r="A362" s="8"/>
      <c r="B362" s="8"/>
      <c r="C362" s="8"/>
      <c r="D362" s="8"/>
      <c r="E362" s="8"/>
      <c r="F362" s="8"/>
      <c r="G362" s="8"/>
      <c r="H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row>
    <row r="363">
      <c r="A363" s="8"/>
      <c r="B363" s="8"/>
      <c r="C363" s="8"/>
      <c r="D363" s="8"/>
      <c r="E363" s="8"/>
      <c r="F363" s="8"/>
      <c r="G363" s="8"/>
      <c r="H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row>
    <row r="364">
      <c r="A364" s="8"/>
      <c r="B364" s="8"/>
      <c r="C364" s="8"/>
      <c r="D364" s="8"/>
      <c r="E364" s="8"/>
      <c r="F364" s="8"/>
      <c r="G364" s="8"/>
      <c r="H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row>
    <row r="365">
      <c r="A365" s="8"/>
      <c r="B365" s="8"/>
      <c r="C365" s="8"/>
      <c r="D365" s="8"/>
      <c r="E365" s="8"/>
      <c r="F365" s="8"/>
      <c r="G365" s="8"/>
      <c r="H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row>
    <row r="366">
      <c r="A366" s="8"/>
      <c r="B366" s="8"/>
      <c r="C366" s="8"/>
      <c r="D366" s="8"/>
      <c r="E366" s="8"/>
      <c r="F366" s="8"/>
      <c r="G366" s="8"/>
      <c r="H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row>
    <row r="367">
      <c r="A367" s="8"/>
      <c r="B367" s="8"/>
      <c r="C367" s="8"/>
      <c r="D367" s="8"/>
      <c r="E367" s="8"/>
      <c r="F367" s="8"/>
      <c r="G367" s="8"/>
      <c r="H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row>
    <row r="368">
      <c r="A368" s="8"/>
      <c r="B368" s="8"/>
      <c r="C368" s="8"/>
      <c r="D368" s="8"/>
      <c r="E368" s="8"/>
      <c r="F368" s="8"/>
      <c r="G368" s="8"/>
      <c r="H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row>
    <row r="369">
      <c r="A369" s="8"/>
      <c r="B369" s="8"/>
      <c r="C369" s="8"/>
      <c r="D369" s="8"/>
      <c r="E369" s="8"/>
      <c r="F369" s="8"/>
      <c r="G369" s="8"/>
      <c r="H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row>
    <row r="370">
      <c r="A370" s="8"/>
      <c r="B370" s="8"/>
      <c r="C370" s="8"/>
      <c r="D370" s="8"/>
      <c r="E370" s="8"/>
      <c r="F370" s="8"/>
      <c r="G370" s="8"/>
      <c r="H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row>
    <row r="371">
      <c r="A371" s="8"/>
      <c r="B371" s="8"/>
      <c r="C371" s="8"/>
      <c r="D371" s="8"/>
      <c r="E371" s="8"/>
      <c r="F371" s="8"/>
      <c r="G371" s="8"/>
      <c r="H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row>
    <row r="372">
      <c r="A372" s="8"/>
      <c r="B372" s="8"/>
      <c r="C372" s="8"/>
      <c r="D372" s="8"/>
      <c r="E372" s="8"/>
      <c r="F372" s="8"/>
      <c r="G372" s="8"/>
      <c r="H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row>
    <row r="373">
      <c r="A373" s="8"/>
      <c r="B373" s="8"/>
      <c r="C373" s="8"/>
      <c r="D373" s="8"/>
      <c r="E373" s="8"/>
      <c r="F373" s="8"/>
      <c r="G373" s="8"/>
      <c r="H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row>
    <row r="374">
      <c r="A374" s="8"/>
      <c r="B374" s="8"/>
      <c r="C374" s="8"/>
      <c r="D374" s="8"/>
      <c r="E374" s="8"/>
      <c r="F374" s="8"/>
      <c r="G374" s="8"/>
      <c r="H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row>
    <row r="375">
      <c r="A375" s="8"/>
      <c r="B375" s="8"/>
      <c r="C375" s="8"/>
      <c r="D375" s="8"/>
      <c r="E375" s="8"/>
      <c r="F375" s="8"/>
      <c r="G375" s="8"/>
      <c r="H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row>
    <row r="376">
      <c r="A376" s="8"/>
      <c r="B376" s="8"/>
      <c r="C376" s="8"/>
      <c r="D376" s="8"/>
      <c r="E376" s="8"/>
      <c r="F376" s="8"/>
      <c r="G376" s="8"/>
      <c r="H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row>
    <row r="377">
      <c r="A377" s="8"/>
      <c r="B377" s="8"/>
      <c r="C377" s="8"/>
      <c r="D377" s="8"/>
      <c r="E377" s="8"/>
      <c r="F377" s="8"/>
      <c r="G377" s="8"/>
      <c r="H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row>
    <row r="378">
      <c r="A378" s="8"/>
      <c r="B378" s="8"/>
      <c r="C378" s="8"/>
      <c r="D378" s="8"/>
      <c r="E378" s="8"/>
      <c r="F378" s="8"/>
      <c r="G378" s="8"/>
      <c r="H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row>
    <row r="379">
      <c r="A379" s="8"/>
      <c r="B379" s="8"/>
      <c r="C379" s="8"/>
      <c r="D379" s="8"/>
      <c r="E379" s="8"/>
      <c r="F379" s="8"/>
      <c r="G379" s="8"/>
      <c r="H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row>
    <row r="380">
      <c r="A380" s="8"/>
      <c r="B380" s="8"/>
      <c r="C380" s="8"/>
      <c r="D380" s="8"/>
      <c r="E380" s="8"/>
      <c r="F380" s="8"/>
      <c r="G380" s="8"/>
      <c r="H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row>
    <row r="381">
      <c r="A381" s="8"/>
      <c r="B381" s="8"/>
      <c r="C381" s="8"/>
      <c r="D381" s="8"/>
      <c r="E381" s="8"/>
      <c r="F381" s="8"/>
      <c r="G381" s="8"/>
      <c r="H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row>
    <row r="382">
      <c r="A382" s="8"/>
      <c r="B382" s="8"/>
      <c r="C382" s="8"/>
      <c r="D382" s="8"/>
      <c r="E382" s="8"/>
      <c r="F382" s="8"/>
      <c r="G382" s="8"/>
      <c r="H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row>
    <row r="383">
      <c r="A383" s="8"/>
      <c r="B383" s="8"/>
      <c r="C383" s="8"/>
      <c r="D383" s="8"/>
      <c r="E383" s="8"/>
      <c r="F383" s="8"/>
      <c r="G383" s="8"/>
      <c r="H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row>
    <row r="384">
      <c r="A384" s="8"/>
      <c r="B384" s="8"/>
      <c r="C384" s="8"/>
      <c r="D384" s="8"/>
      <c r="E384" s="8"/>
      <c r="F384" s="8"/>
      <c r="G384" s="8"/>
      <c r="H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row>
    <row r="385">
      <c r="A385" s="8"/>
      <c r="B385" s="8"/>
      <c r="C385" s="8"/>
      <c r="D385" s="8"/>
      <c r="E385" s="8"/>
      <c r="F385" s="8"/>
      <c r="G385" s="8"/>
      <c r="H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row>
    <row r="386">
      <c r="A386" s="8"/>
      <c r="B386" s="8"/>
      <c r="C386" s="8"/>
      <c r="D386" s="8"/>
      <c r="E386" s="8"/>
      <c r="F386" s="8"/>
      <c r="G386" s="8"/>
      <c r="H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row>
    <row r="387">
      <c r="A387" s="8"/>
      <c r="B387" s="8"/>
      <c r="C387" s="8"/>
      <c r="D387" s="8"/>
      <c r="E387" s="8"/>
      <c r="F387" s="8"/>
      <c r="G387" s="8"/>
      <c r="H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row>
    <row r="388">
      <c r="A388" s="8"/>
      <c r="B388" s="8"/>
      <c r="C388" s="8"/>
      <c r="D388" s="8"/>
      <c r="E388" s="8"/>
      <c r="F388" s="8"/>
      <c r="G388" s="8"/>
      <c r="H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row>
    <row r="389">
      <c r="A389" s="8"/>
      <c r="B389" s="8"/>
      <c r="C389" s="8"/>
      <c r="D389" s="8"/>
      <c r="E389" s="8"/>
      <c r="F389" s="8"/>
      <c r="G389" s="8"/>
      <c r="H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row>
    <row r="390">
      <c r="A390" s="8"/>
      <c r="B390" s="8"/>
      <c r="C390" s="8"/>
      <c r="D390" s="8"/>
      <c r="E390" s="8"/>
      <c r="F390" s="8"/>
      <c r="G390" s="8"/>
      <c r="H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row>
    <row r="391">
      <c r="A391" s="8"/>
      <c r="B391" s="8"/>
      <c r="C391" s="8"/>
      <c r="D391" s="8"/>
      <c r="E391" s="8"/>
      <c r="F391" s="8"/>
      <c r="G391" s="8"/>
      <c r="H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row>
    <row r="392">
      <c r="A392" s="8"/>
      <c r="B392" s="8"/>
      <c r="C392" s="8"/>
      <c r="D392" s="8"/>
      <c r="E392" s="8"/>
      <c r="F392" s="8"/>
      <c r="G392" s="8"/>
      <c r="H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row>
    <row r="393">
      <c r="A393" s="8"/>
      <c r="B393" s="8"/>
      <c r="C393" s="8"/>
      <c r="D393" s="8"/>
      <c r="E393" s="8"/>
      <c r="F393" s="8"/>
      <c r="G393" s="8"/>
      <c r="H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row>
    <row r="394">
      <c r="A394" s="8"/>
      <c r="B394" s="8"/>
      <c r="C394" s="8"/>
      <c r="D394" s="8"/>
      <c r="E394" s="8"/>
      <c r="F394" s="8"/>
      <c r="G394" s="8"/>
      <c r="H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row>
    <row r="395">
      <c r="A395" s="8"/>
      <c r="B395" s="8"/>
      <c r="C395" s="8"/>
      <c r="D395" s="8"/>
      <c r="E395" s="8"/>
      <c r="F395" s="8"/>
      <c r="G395" s="8"/>
      <c r="H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row>
    <row r="396">
      <c r="A396" s="8"/>
      <c r="B396" s="8"/>
      <c r="C396" s="8"/>
      <c r="D396" s="8"/>
      <c r="E396" s="8"/>
      <c r="F396" s="8"/>
      <c r="G396" s="8"/>
      <c r="H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row>
    <row r="397">
      <c r="A397" s="8"/>
      <c r="B397" s="8"/>
      <c r="C397" s="8"/>
      <c r="D397" s="8"/>
      <c r="E397" s="8"/>
      <c r="F397" s="8"/>
      <c r="G397" s="8"/>
      <c r="H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row>
    <row r="398">
      <c r="A398" s="8"/>
      <c r="B398" s="8"/>
      <c r="C398" s="8"/>
      <c r="D398" s="8"/>
      <c r="E398" s="8"/>
      <c r="F398" s="8"/>
      <c r="G398" s="8"/>
      <c r="H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row>
    <row r="399">
      <c r="A399" s="8"/>
      <c r="B399" s="8"/>
      <c r="C399" s="8"/>
      <c r="D399" s="8"/>
      <c r="E399" s="8"/>
      <c r="F399" s="8"/>
      <c r="G399" s="8"/>
      <c r="H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row>
    <row r="400">
      <c r="A400" s="8"/>
      <c r="B400" s="8"/>
      <c r="C400" s="8"/>
      <c r="D400" s="8"/>
      <c r="E400" s="8"/>
      <c r="F400" s="8"/>
      <c r="G400" s="8"/>
      <c r="H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row>
    <row r="401">
      <c r="A401" s="8"/>
      <c r="B401" s="8"/>
      <c r="C401" s="8"/>
      <c r="D401" s="8"/>
      <c r="E401" s="8"/>
      <c r="F401" s="8"/>
      <c r="G401" s="8"/>
      <c r="H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row>
    <row r="402">
      <c r="A402" s="8"/>
      <c r="B402" s="8"/>
      <c r="C402" s="8"/>
      <c r="D402" s="8"/>
      <c r="E402" s="8"/>
      <c r="F402" s="8"/>
      <c r="G402" s="8"/>
      <c r="H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row>
    <row r="403">
      <c r="A403" s="8"/>
      <c r="B403" s="8"/>
      <c r="C403" s="8"/>
      <c r="D403" s="8"/>
      <c r="E403" s="8"/>
      <c r="F403" s="8"/>
      <c r="G403" s="8"/>
      <c r="H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row>
    <row r="404">
      <c r="A404" s="8"/>
      <c r="B404" s="8"/>
      <c r="C404" s="8"/>
      <c r="D404" s="8"/>
      <c r="E404" s="8"/>
      <c r="F404" s="8"/>
      <c r="G404" s="8"/>
      <c r="H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row>
    <row r="405">
      <c r="A405" s="8"/>
      <c r="B405" s="8"/>
      <c r="C405" s="8"/>
      <c r="D405" s="8"/>
      <c r="E405" s="8"/>
      <c r="F405" s="8"/>
      <c r="G405" s="8"/>
      <c r="H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row>
    <row r="406">
      <c r="A406" s="8"/>
      <c r="B406" s="8"/>
      <c r="C406" s="8"/>
      <c r="D406" s="8"/>
      <c r="E406" s="8"/>
      <c r="F406" s="8"/>
      <c r="G406" s="8"/>
      <c r="H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row>
    <row r="407">
      <c r="A407" s="8"/>
      <c r="B407" s="8"/>
      <c r="C407" s="8"/>
      <c r="D407" s="8"/>
      <c r="E407" s="8"/>
      <c r="F407" s="8"/>
      <c r="G407" s="8"/>
      <c r="H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row>
    <row r="408">
      <c r="A408" s="8"/>
      <c r="B408" s="8"/>
      <c r="C408" s="8"/>
      <c r="D408" s="8"/>
      <c r="E408" s="8"/>
      <c r="F408" s="8"/>
      <c r="G408" s="8"/>
      <c r="H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row>
    <row r="409">
      <c r="A409" s="8"/>
      <c r="B409" s="8"/>
      <c r="C409" s="8"/>
      <c r="D409" s="8"/>
      <c r="E409" s="8"/>
      <c r="F409" s="8"/>
      <c r="G409" s="8"/>
      <c r="H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row>
    <row r="410">
      <c r="A410" s="8"/>
      <c r="B410" s="8"/>
      <c r="C410" s="8"/>
      <c r="D410" s="8"/>
      <c r="E410" s="8"/>
      <c r="F410" s="8"/>
      <c r="G410" s="8"/>
      <c r="H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row>
    <row r="411">
      <c r="A411" s="8"/>
      <c r="B411" s="8"/>
      <c r="C411" s="8"/>
      <c r="D411" s="8"/>
      <c r="E411" s="8"/>
      <c r="F411" s="8"/>
      <c r="G411" s="8"/>
      <c r="H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row>
    <row r="412">
      <c r="A412" s="8"/>
      <c r="B412" s="8"/>
      <c r="C412" s="8"/>
      <c r="D412" s="8"/>
      <c r="E412" s="8"/>
      <c r="F412" s="8"/>
      <c r="G412" s="8"/>
      <c r="H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row>
    <row r="413">
      <c r="A413" s="8"/>
      <c r="B413" s="8"/>
      <c r="C413" s="8"/>
      <c r="D413" s="8"/>
      <c r="E413" s="8"/>
      <c r="F413" s="8"/>
      <c r="G413" s="8"/>
      <c r="H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row>
    <row r="414">
      <c r="A414" s="8"/>
      <c r="B414" s="8"/>
      <c r="C414" s="8"/>
      <c r="D414" s="8"/>
      <c r="E414" s="8"/>
      <c r="F414" s="8"/>
      <c r="G414" s="8"/>
      <c r="H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row>
    <row r="415">
      <c r="A415" s="8"/>
      <c r="B415" s="8"/>
      <c r="C415" s="8"/>
      <c r="D415" s="8"/>
      <c r="E415" s="8"/>
      <c r="F415" s="8"/>
      <c r="G415" s="8"/>
      <c r="H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row>
    <row r="416">
      <c r="A416" s="8"/>
      <c r="B416" s="8"/>
      <c r="C416" s="8"/>
      <c r="D416" s="8"/>
      <c r="E416" s="8"/>
      <c r="F416" s="8"/>
      <c r="G416" s="8"/>
      <c r="H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row>
    <row r="417">
      <c r="A417" s="8"/>
      <c r="B417" s="8"/>
      <c r="C417" s="8"/>
      <c r="D417" s="8"/>
      <c r="E417" s="8"/>
      <c r="F417" s="8"/>
      <c r="G417" s="8"/>
      <c r="H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row>
    <row r="418">
      <c r="A418" s="8"/>
      <c r="B418" s="8"/>
      <c r="C418" s="8"/>
      <c r="D418" s="8"/>
      <c r="E418" s="8"/>
      <c r="F418" s="8"/>
      <c r="G418" s="8"/>
      <c r="H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row>
    <row r="419">
      <c r="A419" s="8"/>
      <c r="B419" s="8"/>
      <c r="C419" s="8"/>
      <c r="D419" s="8"/>
      <c r="E419" s="8"/>
      <c r="F419" s="8"/>
      <c r="G419" s="8"/>
      <c r="H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row>
    <row r="420">
      <c r="A420" s="8"/>
      <c r="B420" s="8"/>
      <c r="C420" s="8"/>
      <c r="D420" s="8"/>
      <c r="E420" s="8"/>
      <c r="F420" s="8"/>
      <c r="G420" s="8"/>
      <c r="H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row>
    <row r="421">
      <c r="A421" s="8"/>
      <c r="B421" s="8"/>
      <c r="C421" s="8"/>
      <c r="D421" s="8"/>
      <c r="E421" s="8"/>
      <c r="F421" s="8"/>
      <c r="G421" s="8"/>
      <c r="H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row>
    <row r="422">
      <c r="A422" s="8"/>
      <c r="B422" s="8"/>
      <c r="C422" s="8"/>
      <c r="D422" s="8"/>
      <c r="E422" s="8"/>
      <c r="F422" s="8"/>
      <c r="G422" s="8"/>
      <c r="H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row>
    <row r="423">
      <c r="A423" s="8"/>
      <c r="B423" s="8"/>
      <c r="C423" s="8"/>
      <c r="D423" s="8"/>
      <c r="E423" s="8"/>
      <c r="F423" s="8"/>
      <c r="G423" s="8"/>
      <c r="H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row>
    <row r="424">
      <c r="A424" s="8"/>
      <c r="B424" s="8"/>
      <c r="C424" s="8"/>
      <c r="D424" s="8"/>
      <c r="E424" s="8"/>
      <c r="F424" s="8"/>
      <c r="G424" s="8"/>
      <c r="H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row>
    <row r="425">
      <c r="A425" s="8"/>
      <c r="B425" s="8"/>
      <c r="C425" s="8"/>
      <c r="D425" s="8"/>
      <c r="E425" s="8"/>
      <c r="F425" s="8"/>
      <c r="G425" s="8"/>
      <c r="H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row>
    <row r="426">
      <c r="A426" s="8"/>
      <c r="B426" s="8"/>
      <c r="C426" s="8"/>
      <c r="D426" s="8"/>
      <c r="E426" s="8"/>
      <c r="F426" s="8"/>
      <c r="G426" s="8"/>
      <c r="H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row>
    <row r="427">
      <c r="A427" s="8"/>
      <c r="B427" s="8"/>
      <c r="C427" s="8"/>
      <c r="D427" s="8"/>
      <c r="E427" s="8"/>
      <c r="F427" s="8"/>
      <c r="G427" s="8"/>
      <c r="H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row>
    <row r="428">
      <c r="A428" s="8"/>
      <c r="B428" s="8"/>
      <c r="C428" s="8"/>
      <c r="D428" s="8"/>
      <c r="E428" s="8"/>
      <c r="F428" s="8"/>
      <c r="G428" s="8"/>
      <c r="H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row>
    <row r="429">
      <c r="A429" s="8"/>
      <c r="B429" s="8"/>
      <c r="C429" s="8"/>
      <c r="D429" s="8"/>
      <c r="E429" s="8"/>
      <c r="F429" s="8"/>
      <c r="G429" s="8"/>
      <c r="H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row>
    <row r="430">
      <c r="A430" s="8"/>
      <c r="B430" s="8"/>
      <c r="C430" s="8"/>
      <c r="D430" s="8"/>
      <c r="E430" s="8"/>
      <c r="F430" s="8"/>
      <c r="G430" s="8"/>
      <c r="H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row>
    <row r="431">
      <c r="A431" s="8"/>
      <c r="B431" s="8"/>
      <c r="C431" s="8"/>
      <c r="D431" s="8"/>
      <c r="E431" s="8"/>
      <c r="F431" s="8"/>
      <c r="G431" s="8"/>
      <c r="H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row>
    <row r="432">
      <c r="A432" s="8"/>
      <c r="B432" s="8"/>
      <c r="C432" s="8"/>
      <c r="D432" s="8"/>
      <c r="E432" s="8"/>
      <c r="F432" s="8"/>
      <c r="G432" s="8"/>
      <c r="H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row>
    <row r="433">
      <c r="A433" s="8"/>
      <c r="B433" s="8"/>
      <c r="C433" s="8"/>
      <c r="D433" s="8"/>
      <c r="E433" s="8"/>
      <c r="F433" s="8"/>
      <c r="G433" s="8"/>
      <c r="H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row>
    <row r="434">
      <c r="A434" s="8"/>
      <c r="B434" s="8"/>
      <c r="C434" s="8"/>
      <c r="D434" s="8"/>
      <c r="E434" s="8"/>
      <c r="F434" s="8"/>
      <c r="G434" s="8"/>
      <c r="H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row>
    <row r="435">
      <c r="A435" s="8"/>
      <c r="B435" s="8"/>
      <c r="C435" s="8"/>
      <c r="D435" s="8"/>
      <c r="E435" s="8"/>
      <c r="F435" s="8"/>
      <c r="G435" s="8"/>
      <c r="H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row>
    <row r="436">
      <c r="A436" s="8"/>
      <c r="B436" s="8"/>
      <c r="C436" s="8"/>
      <c r="D436" s="8"/>
      <c r="E436" s="8"/>
      <c r="F436" s="8"/>
      <c r="G436" s="8"/>
      <c r="H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row>
    <row r="437">
      <c r="A437" s="8"/>
      <c r="B437" s="8"/>
      <c r="C437" s="8"/>
      <c r="D437" s="8"/>
      <c r="E437" s="8"/>
      <c r="F437" s="8"/>
      <c r="G437" s="8"/>
      <c r="H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row>
    <row r="438">
      <c r="A438" s="8"/>
      <c r="B438" s="8"/>
      <c r="C438" s="8"/>
      <c r="D438" s="8"/>
      <c r="E438" s="8"/>
      <c r="F438" s="8"/>
      <c r="G438" s="8"/>
      <c r="H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row>
    <row r="439">
      <c r="A439" s="8"/>
      <c r="B439" s="8"/>
      <c r="C439" s="8"/>
      <c r="D439" s="8"/>
      <c r="E439" s="8"/>
      <c r="F439" s="8"/>
      <c r="G439" s="8"/>
      <c r="H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row>
    <row r="440">
      <c r="A440" s="8"/>
      <c r="B440" s="8"/>
      <c r="C440" s="8"/>
      <c r="D440" s="8"/>
      <c r="E440" s="8"/>
      <c r="F440" s="8"/>
      <c r="G440" s="8"/>
      <c r="H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row>
    <row r="441">
      <c r="A441" s="8"/>
      <c r="B441" s="8"/>
      <c r="C441" s="8"/>
      <c r="D441" s="8"/>
      <c r="E441" s="8"/>
      <c r="F441" s="8"/>
      <c r="G441" s="8"/>
      <c r="H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row>
    <row r="442">
      <c r="A442" s="8"/>
      <c r="B442" s="8"/>
      <c r="C442" s="8"/>
      <c r="D442" s="8"/>
      <c r="E442" s="8"/>
      <c r="F442" s="8"/>
      <c r="G442" s="8"/>
      <c r="H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row>
    <row r="443">
      <c r="A443" s="8"/>
      <c r="B443" s="8"/>
      <c r="C443" s="8"/>
      <c r="D443" s="8"/>
      <c r="E443" s="8"/>
      <c r="F443" s="8"/>
      <c r="G443" s="8"/>
      <c r="H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row>
    <row r="444">
      <c r="A444" s="8"/>
      <c r="B444" s="8"/>
      <c r="C444" s="8"/>
      <c r="D444" s="8"/>
      <c r="E444" s="8"/>
      <c r="F444" s="8"/>
      <c r="G444" s="8"/>
      <c r="H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row>
    <row r="445">
      <c r="A445" s="8"/>
      <c r="B445" s="8"/>
      <c r="C445" s="8"/>
      <c r="D445" s="8"/>
      <c r="E445" s="8"/>
      <c r="F445" s="8"/>
      <c r="G445" s="8"/>
      <c r="H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row>
    <row r="446">
      <c r="A446" s="8"/>
      <c r="B446" s="8"/>
      <c r="C446" s="8"/>
      <c r="D446" s="8"/>
      <c r="E446" s="8"/>
      <c r="F446" s="8"/>
      <c r="G446" s="8"/>
      <c r="H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row>
    <row r="447">
      <c r="A447" s="8"/>
      <c r="B447" s="8"/>
      <c r="C447" s="8"/>
      <c r="D447" s="8"/>
      <c r="E447" s="8"/>
      <c r="F447" s="8"/>
      <c r="G447" s="8"/>
      <c r="H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row>
    <row r="448">
      <c r="A448" s="8"/>
      <c r="B448" s="8"/>
      <c r="C448" s="8"/>
      <c r="D448" s="8"/>
      <c r="E448" s="8"/>
      <c r="F448" s="8"/>
      <c r="G448" s="8"/>
      <c r="H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row>
    <row r="449">
      <c r="A449" s="8"/>
      <c r="B449" s="8"/>
      <c r="C449" s="8"/>
      <c r="D449" s="8"/>
      <c r="E449" s="8"/>
      <c r="F449" s="8"/>
      <c r="G449" s="8"/>
      <c r="H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row>
    <row r="450">
      <c r="A450" s="8"/>
      <c r="B450" s="8"/>
      <c r="C450" s="8"/>
      <c r="D450" s="8"/>
      <c r="E450" s="8"/>
      <c r="F450" s="8"/>
      <c r="G450" s="8"/>
      <c r="H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row>
    <row r="451">
      <c r="A451" s="8"/>
      <c r="B451" s="8"/>
      <c r="C451" s="8"/>
      <c r="D451" s="8"/>
      <c r="E451" s="8"/>
      <c r="F451" s="8"/>
      <c r="G451" s="8"/>
      <c r="H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row>
    <row r="452">
      <c r="A452" s="8"/>
      <c r="B452" s="8"/>
      <c r="C452" s="8"/>
      <c r="D452" s="8"/>
      <c r="E452" s="8"/>
      <c r="F452" s="8"/>
      <c r="G452" s="8"/>
      <c r="H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row>
    <row r="453">
      <c r="A453" s="8"/>
      <c r="B453" s="8"/>
      <c r="C453" s="8"/>
      <c r="D453" s="8"/>
      <c r="E453" s="8"/>
      <c r="F453" s="8"/>
      <c r="G453" s="8"/>
      <c r="H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row>
    <row r="454">
      <c r="A454" s="8"/>
      <c r="B454" s="8"/>
      <c r="C454" s="8"/>
      <c r="D454" s="8"/>
      <c r="E454" s="8"/>
      <c r="F454" s="8"/>
      <c r="G454" s="8"/>
      <c r="H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row>
    <row r="455">
      <c r="A455" s="8"/>
      <c r="B455" s="8"/>
      <c r="C455" s="8"/>
      <c r="D455" s="8"/>
      <c r="E455" s="8"/>
      <c r="F455" s="8"/>
      <c r="G455" s="8"/>
      <c r="H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row>
    <row r="456">
      <c r="A456" s="8"/>
      <c r="B456" s="8"/>
      <c r="C456" s="8"/>
      <c r="D456" s="8"/>
      <c r="E456" s="8"/>
      <c r="F456" s="8"/>
      <c r="G456" s="8"/>
      <c r="H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row>
    <row r="457">
      <c r="A457" s="8"/>
      <c r="B457" s="8"/>
      <c r="C457" s="8"/>
      <c r="D457" s="8"/>
      <c r="E457" s="8"/>
      <c r="F457" s="8"/>
      <c r="G457" s="8"/>
      <c r="H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row>
    <row r="458">
      <c r="A458" s="8"/>
      <c r="B458" s="8"/>
      <c r="C458" s="8"/>
      <c r="D458" s="8"/>
      <c r="E458" s="8"/>
      <c r="F458" s="8"/>
      <c r="G458" s="8"/>
      <c r="H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row>
    <row r="459">
      <c r="A459" s="8"/>
      <c r="B459" s="8"/>
      <c r="C459" s="8"/>
      <c r="D459" s="8"/>
      <c r="E459" s="8"/>
      <c r="F459" s="8"/>
      <c r="G459" s="8"/>
      <c r="H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row>
    <row r="460">
      <c r="A460" s="8"/>
      <c r="B460" s="8"/>
      <c r="C460" s="8"/>
      <c r="D460" s="8"/>
      <c r="E460" s="8"/>
      <c r="F460" s="8"/>
      <c r="G460" s="8"/>
      <c r="H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row>
    <row r="461">
      <c r="A461" s="8"/>
      <c r="B461" s="8"/>
      <c r="C461" s="8"/>
      <c r="D461" s="8"/>
      <c r="E461" s="8"/>
      <c r="F461" s="8"/>
      <c r="G461" s="8"/>
      <c r="H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row>
    <row r="462">
      <c r="A462" s="8"/>
      <c r="B462" s="8"/>
      <c r="C462" s="8"/>
      <c r="D462" s="8"/>
      <c r="E462" s="8"/>
      <c r="F462" s="8"/>
      <c r="G462" s="8"/>
      <c r="H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row>
    <row r="463">
      <c r="A463" s="8"/>
      <c r="B463" s="8"/>
      <c r="C463" s="8"/>
      <c r="D463" s="8"/>
      <c r="E463" s="8"/>
      <c r="F463" s="8"/>
      <c r="G463" s="8"/>
      <c r="H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row>
    <row r="464">
      <c r="A464" s="8"/>
      <c r="B464" s="8"/>
      <c r="C464" s="8"/>
      <c r="D464" s="8"/>
      <c r="E464" s="8"/>
      <c r="F464" s="8"/>
      <c r="G464" s="8"/>
      <c r="H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row>
    <row r="465">
      <c r="A465" s="8"/>
      <c r="B465" s="8"/>
      <c r="C465" s="8"/>
      <c r="D465" s="8"/>
      <c r="E465" s="8"/>
      <c r="F465" s="8"/>
      <c r="G465" s="8"/>
      <c r="H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row>
    <row r="466">
      <c r="A466" s="8"/>
      <c r="B466" s="8"/>
      <c r="C466" s="8"/>
      <c r="D466" s="8"/>
      <c r="E466" s="8"/>
      <c r="F466" s="8"/>
      <c r="G466" s="8"/>
      <c r="H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row>
    <row r="467">
      <c r="A467" s="8"/>
      <c r="B467" s="8"/>
      <c r="C467" s="8"/>
      <c r="D467" s="8"/>
      <c r="E467" s="8"/>
      <c r="F467" s="8"/>
      <c r="G467" s="8"/>
      <c r="H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row>
    <row r="468">
      <c r="A468" s="8"/>
      <c r="B468" s="8"/>
      <c r="C468" s="8"/>
      <c r="D468" s="8"/>
      <c r="E468" s="8"/>
      <c r="F468" s="8"/>
      <c r="G468" s="8"/>
      <c r="H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row>
    <row r="469">
      <c r="A469" s="8"/>
      <c r="B469" s="8"/>
      <c r="C469" s="8"/>
      <c r="D469" s="8"/>
      <c r="E469" s="8"/>
      <c r="F469" s="8"/>
      <c r="G469" s="8"/>
      <c r="H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row>
    <row r="470">
      <c r="A470" s="8"/>
      <c r="B470" s="8"/>
      <c r="C470" s="8"/>
      <c r="D470" s="8"/>
      <c r="E470" s="8"/>
      <c r="F470" s="8"/>
      <c r="G470" s="8"/>
      <c r="H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row>
    <row r="471">
      <c r="A471" s="8"/>
      <c r="B471" s="8"/>
      <c r="C471" s="8"/>
      <c r="D471" s="8"/>
      <c r="E471" s="8"/>
      <c r="F471" s="8"/>
      <c r="G471" s="8"/>
      <c r="H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row>
    <row r="472">
      <c r="A472" s="8"/>
      <c r="B472" s="8"/>
      <c r="C472" s="8"/>
      <c r="D472" s="8"/>
      <c r="E472" s="8"/>
      <c r="F472" s="8"/>
      <c r="G472" s="8"/>
      <c r="H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row>
    <row r="473">
      <c r="A473" s="8"/>
      <c r="B473" s="8"/>
      <c r="C473" s="8"/>
      <c r="D473" s="8"/>
      <c r="E473" s="8"/>
      <c r="F473" s="8"/>
      <c r="G473" s="8"/>
      <c r="H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row>
    <row r="474">
      <c r="A474" s="8"/>
      <c r="B474" s="8"/>
      <c r="C474" s="8"/>
      <c r="D474" s="8"/>
      <c r="E474" s="8"/>
      <c r="F474" s="8"/>
      <c r="G474" s="8"/>
      <c r="H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row>
    <row r="475">
      <c r="A475" s="8"/>
      <c r="B475" s="8"/>
      <c r="C475" s="8"/>
      <c r="D475" s="8"/>
      <c r="E475" s="8"/>
      <c r="F475" s="8"/>
      <c r="G475" s="8"/>
      <c r="H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row>
    <row r="476">
      <c r="A476" s="8"/>
      <c r="B476" s="8"/>
      <c r="C476" s="8"/>
      <c r="D476" s="8"/>
      <c r="E476" s="8"/>
      <c r="F476" s="8"/>
      <c r="G476" s="8"/>
      <c r="H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row>
    <row r="477">
      <c r="A477" s="8"/>
      <c r="B477" s="8"/>
      <c r="C477" s="8"/>
      <c r="D477" s="8"/>
      <c r="E477" s="8"/>
      <c r="F477" s="8"/>
      <c r="G477" s="8"/>
      <c r="H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row>
    <row r="478">
      <c r="A478" s="8"/>
      <c r="B478" s="8"/>
      <c r="C478" s="8"/>
      <c r="D478" s="8"/>
      <c r="E478" s="8"/>
      <c r="F478" s="8"/>
      <c r="G478" s="8"/>
      <c r="H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row>
    <row r="479">
      <c r="A479" s="8"/>
      <c r="B479" s="8"/>
      <c r="C479" s="8"/>
      <c r="D479" s="8"/>
      <c r="E479" s="8"/>
      <c r="F479" s="8"/>
      <c r="G479" s="8"/>
      <c r="H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row>
    <row r="480">
      <c r="A480" s="8"/>
      <c r="B480" s="8"/>
      <c r="C480" s="8"/>
      <c r="D480" s="8"/>
      <c r="E480" s="8"/>
      <c r="F480" s="8"/>
      <c r="G480" s="8"/>
      <c r="H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row>
    <row r="481">
      <c r="A481" s="8"/>
      <c r="B481" s="8"/>
      <c r="C481" s="8"/>
      <c r="D481" s="8"/>
      <c r="E481" s="8"/>
      <c r="F481" s="8"/>
      <c r="G481" s="8"/>
      <c r="H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row>
    <row r="482">
      <c r="A482" s="8"/>
      <c r="B482" s="8"/>
      <c r="C482" s="8"/>
      <c r="D482" s="8"/>
      <c r="E482" s="8"/>
      <c r="F482" s="8"/>
      <c r="G482" s="8"/>
      <c r="H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row>
    <row r="483">
      <c r="A483" s="8"/>
      <c r="B483" s="8"/>
      <c r="C483" s="8"/>
      <c r="D483" s="8"/>
      <c r="E483" s="8"/>
      <c r="F483" s="8"/>
      <c r="G483" s="8"/>
      <c r="H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row>
    <row r="484">
      <c r="A484" s="8"/>
      <c r="B484" s="8"/>
      <c r="C484" s="8"/>
      <c r="D484" s="8"/>
      <c r="E484" s="8"/>
      <c r="F484" s="8"/>
      <c r="G484" s="8"/>
      <c r="H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row>
    <row r="485">
      <c r="A485" s="8"/>
      <c r="B485" s="8"/>
      <c r="C485" s="8"/>
      <c r="D485" s="8"/>
      <c r="E485" s="8"/>
      <c r="F485" s="8"/>
      <c r="G485" s="8"/>
      <c r="H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row>
    <row r="486">
      <c r="A486" s="8"/>
      <c r="B486" s="8"/>
      <c r="C486" s="8"/>
      <c r="D486" s="8"/>
      <c r="E486" s="8"/>
      <c r="F486" s="8"/>
      <c r="G486" s="8"/>
      <c r="H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row>
    <row r="487">
      <c r="A487" s="8"/>
      <c r="B487" s="8"/>
      <c r="C487" s="8"/>
      <c r="D487" s="8"/>
      <c r="E487" s="8"/>
      <c r="F487" s="8"/>
      <c r="G487" s="8"/>
      <c r="H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row>
    <row r="488">
      <c r="A488" s="8"/>
      <c r="B488" s="8"/>
      <c r="C488" s="8"/>
      <c r="D488" s="8"/>
      <c r="E488" s="8"/>
      <c r="F488" s="8"/>
      <c r="G488" s="8"/>
      <c r="H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row>
    <row r="489">
      <c r="A489" s="8"/>
      <c r="B489" s="8"/>
      <c r="C489" s="8"/>
      <c r="D489" s="8"/>
      <c r="E489" s="8"/>
      <c r="F489" s="8"/>
      <c r="G489" s="8"/>
      <c r="H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row>
    <row r="490">
      <c r="A490" s="8"/>
      <c r="B490" s="8"/>
      <c r="C490" s="8"/>
      <c r="D490" s="8"/>
      <c r="E490" s="8"/>
      <c r="F490" s="8"/>
      <c r="G490" s="8"/>
      <c r="H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row>
    <row r="491">
      <c r="A491" s="8"/>
      <c r="B491" s="8"/>
      <c r="C491" s="8"/>
      <c r="D491" s="8"/>
      <c r="E491" s="8"/>
      <c r="F491" s="8"/>
      <c r="G491" s="8"/>
      <c r="H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row>
    <row r="492">
      <c r="A492" s="8"/>
      <c r="B492" s="8"/>
      <c r="C492" s="8"/>
      <c r="D492" s="8"/>
      <c r="E492" s="8"/>
      <c r="F492" s="8"/>
      <c r="G492" s="8"/>
      <c r="H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row>
    <row r="493">
      <c r="A493" s="8"/>
      <c r="B493" s="8"/>
      <c r="C493" s="8"/>
      <c r="D493" s="8"/>
      <c r="E493" s="8"/>
      <c r="F493" s="8"/>
      <c r="G493" s="8"/>
      <c r="H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row>
    <row r="494">
      <c r="A494" s="8"/>
      <c r="B494" s="8"/>
      <c r="C494" s="8"/>
      <c r="D494" s="8"/>
      <c r="E494" s="8"/>
      <c r="F494" s="8"/>
      <c r="G494" s="8"/>
      <c r="H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row>
    <row r="495">
      <c r="A495" s="8"/>
      <c r="B495" s="8"/>
      <c r="C495" s="8"/>
      <c r="D495" s="8"/>
      <c r="E495" s="8"/>
      <c r="F495" s="8"/>
      <c r="G495" s="8"/>
      <c r="H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row>
    <row r="496">
      <c r="A496" s="8"/>
      <c r="B496" s="8"/>
      <c r="C496" s="8"/>
      <c r="D496" s="8"/>
      <c r="E496" s="8"/>
      <c r="F496" s="8"/>
      <c r="G496" s="8"/>
      <c r="H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row>
    <row r="497">
      <c r="A497" s="8"/>
      <c r="B497" s="8"/>
      <c r="C497" s="8"/>
      <c r="D497" s="8"/>
      <c r="E497" s="8"/>
      <c r="F497" s="8"/>
      <c r="G497" s="8"/>
      <c r="H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row>
    <row r="498">
      <c r="A498" s="8"/>
      <c r="B498" s="8"/>
      <c r="C498" s="8"/>
      <c r="D498" s="8"/>
      <c r="E498" s="8"/>
      <c r="F498" s="8"/>
      <c r="G498" s="8"/>
      <c r="H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row>
    <row r="499">
      <c r="A499" s="8"/>
      <c r="B499" s="8"/>
      <c r="C499" s="8"/>
      <c r="D499" s="8"/>
      <c r="E499" s="8"/>
      <c r="F499" s="8"/>
      <c r="G499" s="8"/>
      <c r="H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row>
    <row r="500">
      <c r="A500" s="8"/>
      <c r="B500" s="8"/>
      <c r="C500" s="8"/>
      <c r="D500" s="8"/>
      <c r="E500" s="8"/>
      <c r="F500" s="8"/>
      <c r="G500" s="8"/>
      <c r="H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row>
    <row r="501">
      <c r="A501" s="8"/>
      <c r="B501" s="8"/>
      <c r="C501" s="8"/>
      <c r="D501" s="8"/>
      <c r="E501" s="8"/>
      <c r="F501" s="8"/>
      <c r="G501" s="8"/>
      <c r="H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row>
    <row r="502">
      <c r="A502" s="8"/>
      <c r="B502" s="8"/>
      <c r="C502" s="8"/>
      <c r="D502" s="8"/>
      <c r="E502" s="8"/>
      <c r="F502" s="8"/>
      <c r="G502" s="8"/>
      <c r="H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row>
    <row r="503">
      <c r="A503" s="8"/>
      <c r="B503" s="8"/>
      <c r="C503" s="8"/>
      <c r="D503" s="8"/>
      <c r="E503" s="8"/>
      <c r="F503" s="8"/>
      <c r="G503" s="8"/>
      <c r="H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row>
    <row r="504">
      <c r="A504" s="8"/>
      <c r="B504" s="8"/>
      <c r="C504" s="8"/>
      <c r="D504" s="8"/>
      <c r="E504" s="8"/>
      <c r="F504" s="8"/>
      <c r="G504" s="8"/>
      <c r="H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row>
    <row r="505">
      <c r="A505" s="8"/>
      <c r="B505" s="8"/>
      <c r="C505" s="8"/>
      <c r="D505" s="8"/>
      <c r="E505" s="8"/>
      <c r="F505" s="8"/>
      <c r="G505" s="8"/>
      <c r="H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row>
    <row r="506">
      <c r="A506" s="8"/>
      <c r="B506" s="8"/>
      <c r="C506" s="8"/>
      <c r="D506" s="8"/>
      <c r="E506" s="8"/>
      <c r="F506" s="8"/>
      <c r="G506" s="8"/>
      <c r="H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row>
    <row r="507">
      <c r="A507" s="8"/>
      <c r="B507" s="8"/>
      <c r="C507" s="8"/>
      <c r="D507" s="8"/>
      <c r="E507" s="8"/>
      <c r="F507" s="8"/>
      <c r="G507" s="8"/>
      <c r="H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row>
    <row r="508">
      <c r="A508" s="8"/>
      <c r="B508" s="8"/>
      <c r="C508" s="8"/>
      <c r="D508" s="8"/>
      <c r="E508" s="8"/>
      <c r="F508" s="8"/>
      <c r="G508" s="8"/>
      <c r="H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row>
    <row r="509">
      <c r="A509" s="8"/>
      <c r="B509" s="8"/>
      <c r="C509" s="8"/>
      <c r="D509" s="8"/>
      <c r="E509" s="8"/>
      <c r="F509" s="8"/>
      <c r="G509" s="8"/>
      <c r="H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row>
    <row r="510">
      <c r="A510" s="8"/>
      <c r="B510" s="8"/>
      <c r="C510" s="8"/>
      <c r="D510" s="8"/>
      <c r="E510" s="8"/>
      <c r="F510" s="8"/>
      <c r="G510" s="8"/>
      <c r="H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row>
    <row r="511">
      <c r="A511" s="8"/>
      <c r="B511" s="8"/>
      <c r="C511" s="8"/>
      <c r="D511" s="8"/>
      <c r="E511" s="8"/>
      <c r="F511" s="8"/>
      <c r="G511" s="8"/>
      <c r="H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row>
    <row r="512">
      <c r="A512" s="8"/>
      <c r="B512" s="8"/>
      <c r="C512" s="8"/>
      <c r="D512" s="8"/>
      <c r="E512" s="8"/>
      <c r="F512" s="8"/>
      <c r="G512" s="8"/>
      <c r="H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row>
    <row r="513">
      <c r="A513" s="8"/>
      <c r="B513" s="8"/>
      <c r="C513" s="8"/>
      <c r="D513" s="8"/>
      <c r="E513" s="8"/>
      <c r="F513" s="8"/>
      <c r="G513" s="8"/>
      <c r="H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row>
    <row r="514">
      <c r="A514" s="8"/>
      <c r="B514" s="8"/>
      <c r="C514" s="8"/>
      <c r="D514" s="8"/>
      <c r="E514" s="8"/>
      <c r="F514" s="8"/>
      <c r="G514" s="8"/>
      <c r="H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row>
    <row r="515">
      <c r="A515" s="8"/>
      <c r="B515" s="8"/>
      <c r="C515" s="8"/>
      <c r="D515" s="8"/>
      <c r="E515" s="8"/>
      <c r="F515" s="8"/>
      <c r="G515" s="8"/>
      <c r="H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row>
    <row r="516">
      <c r="A516" s="8"/>
      <c r="B516" s="8"/>
      <c r="C516" s="8"/>
      <c r="D516" s="8"/>
      <c r="E516" s="8"/>
      <c r="F516" s="8"/>
      <c r="G516" s="8"/>
      <c r="H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row>
    <row r="517">
      <c r="A517" s="8"/>
      <c r="B517" s="8"/>
      <c r="C517" s="8"/>
      <c r="D517" s="8"/>
      <c r="E517" s="8"/>
      <c r="F517" s="8"/>
      <c r="G517" s="8"/>
      <c r="H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row>
    <row r="518">
      <c r="A518" s="8"/>
      <c r="B518" s="8"/>
      <c r="C518" s="8"/>
      <c r="D518" s="8"/>
      <c r="E518" s="8"/>
      <c r="F518" s="8"/>
      <c r="G518" s="8"/>
      <c r="H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row>
    <row r="519">
      <c r="A519" s="8"/>
      <c r="B519" s="8"/>
      <c r="C519" s="8"/>
      <c r="D519" s="8"/>
      <c r="E519" s="8"/>
      <c r="F519" s="8"/>
      <c r="G519" s="8"/>
      <c r="H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row>
    <row r="520">
      <c r="A520" s="8"/>
      <c r="B520" s="8"/>
      <c r="C520" s="8"/>
      <c r="D520" s="8"/>
      <c r="E520" s="8"/>
      <c r="F520" s="8"/>
      <c r="G520" s="8"/>
      <c r="H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row>
    <row r="521">
      <c r="A521" s="8"/>
      <c r="B521" s="8"/>
      <c r="C521" s="8"/>
      <c r="D521" s="8"/>
      <c r="E521" s="8"/>
      <c r="F521" s="8"/>
      <c r="G521" s="8"/>
      <c r="H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row>
    <row r="522">
      <c r="A522" s="8"/>
      <c r="B522" s="8"/>
      <c r="C522" s="8"/>
      <c r="D522" s="8"/>
      <c r="E522" s="8"/>
      <c r="F522" s="8"/>
      <c r="G522" s="8"/>
      <c r="H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row>
    <row r="523">
      <c r="A523" s="8"/>
      <c r="B523" s="8"/>
      <c r="C523" s="8"/>
      <c r="D523" s="8"/>
      <c r="E523" s="8"/>
      <c r="F523" s="8"/>
      <c r="G523" s="8"/>
      <c r="H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row>
    <row r="524">
      <c r="A524" s="8"/>
      <c r="B524" s="8"/>
      <c r="C524" s="8"/>
      <c r="D524" s="8"/>
      <c r="E524" s="8"/>
      <c r="F524" s="8"/>
      <c r="G524" s="8"/>
      <c r="H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row>
    <row r="525">
      <c r="A525" s="8"/>
      <c r="B525" s="8"/>
      <c r="C525" s="8"/>
      <c r="D525" s="8"/>
      <c r="E525" s="8"/>
      <c r="F525" s="8"/>
      <c r="G525" s="8"/>
      <c r="H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row>
    <row r="526">
      <c r="A526" s="8"/>
      <c r="B526" s="8"/>
      <c r="C526" s="8"/>
      <c r="D526" s="8"/>
      <c r="E526" s="8"/>
      <c r="F526" s="8"/>
      <c r="G526" s="8"/>
      <c r="H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row>
    <row r="527">
      <c r="A527" s="8"/>
      <c r="B527" s="8"/>
      <c r="C527" s="8"/>
      <c r="D527" s="8"/>
      <c r="E527" s="8"/>
      <c r="F527" s="8"/>
      <c r="G527" s="8"/>
      <c r="H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row>
    <row r="528">
      <c r="A528" s="8"/>
      <c r="B528" s="8"/>
      <c r="C528" s="8"/>
      <c r="D528" s="8"/>
      <c r="E528" s="8"/>
      <c r="F528" s="8"/>
      <c r="G528" s="8"/>
      <c r="H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row>
    <row r="529">
      <c r="A529" s="8"/>
      <c r="B529" s="8"/>
      <c r="C529" s="8"/>
      <c r="D529" s="8"/>
      <c r="E529" s="8"/>
      <c r="F529" s="8"/>
      <c r="G529" s="8"/>
      <c r="H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row>
    <row r="530">
      <c r="A530" s="8"/>
      <c r="B530" s="8"/>
      <c r="C530" s="8"/>
      <c r="D530" s="8"/>
      <c r="E530" s="8"/>
      <c r="F530" s="8"/>
      <c r="G530" s="8"/>
      <c r="H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row>
    <row r="531">
      <c r="A531" s="8"/>
      <c r="B531" s="8"/>
      <c r="C531" s="8"/>
      <c r="D531" s="8"/>
      <c r="E531" s="8"/>
      <c r="F531" s="8"/>
      <c r="G531" s="8"/>
      <c r="H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row>
    <row r="532">
      <c r="A532" s="8"/>
      <c r="B532" s="8"/>
      <c r="C532" s="8"/>
      <c r="D532" s="8"/>
      <c r="E532" s="8"/>
      <c r="F532" s="8"/>
      <c r="G532" s="8"/>
      <c r="H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row>
    <row r="533">
      <c r="A533" s="8"/>
      <c r="B533" s="8"/>
      <c r="C533" s="8"/>
      <c r="D533" s="8"/>
      <c r="E533" s="8"/>
      <c r="F533" s="8"/>
      <c r="G533" s="8"/>
      <c r="H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row>
    <row r="534">
      <c r="A534" s="8"/>
      <c r="B534" s="8"/>
      <c r="C534" s="8"/>
      <c r="D534" s="8"/>
      <c r="E534" s="8"/>
      <c r="F534" s="8"/>
      <c r="G534" s="8"/>
      <c r="H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row>
    <row r="535">
      <c r="A535" s="8"/>
      <c r="B535" s="8"/>
      <c r="C535" s="8"/>
      <c r="D535" s="8"/>
      <c r="E535" s="8"/>
      <c r="F535" s="8"/>
      <c r="G535" s="8"/>
      <c r="H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row>
    <row r="536">
      <c r="A536" s="8"/>
      <c r="B536" s="8"/>
      <c r="C536" s="8"/>
      <c r="D536" s="8"/>
      <c r="E536" s="8"/>
      <c r="F536" s="8"/>
      <c r="G536" s="8"/>
      <c r="H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row>
    <row r="537">
      <c r="A537" s="8"/>
      <c r="B537" s="8"/>
      <c r="C537" s="8"/>
      <c r="D537" s="8"/>
      <c r="E537" s="8"/>
      <c r="F537" s="8"/>
      <c r="G537" s="8"/>
      <c r="H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row>
    <row r="538">
      <c r="A538" s="8"/>
      <c r="B538" s="8"/>
      <c r="C538" s="8"/>
      <c r="D538" s="8"/>
      <c r="E538" s="8"/>
      <c r="F538" s="8"/>
      <c r="G538" s="8"/>
      <c r="H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row>
    <row r="539">
      <c r="A539" s="8"/>
      <c r="B539" s="8"/>
      <c r="C539" s="8"/>
      <c r="D539" s="8"/>
      <c r="E539" s="8"/>
      <c r="F539" s="8"/>
      <c r="G539" s="8"/>
      <c r="H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row>
    <row r="540">
      <c r="A540" s="8"/>
      <c r="B540" s="8"/>
      <c r="C540" s="8"/>
      <c r="D540" s="8"/>
      <c r="E540" s="8"/>
      <c r="F540" s="8"/>
      <c r="G540" s="8"/>
      <c r="H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row>
    <row r="541">
      <c r="A541" s="8"/>
      <c r="B541" s="8"/>
      <c r="C541" s="8"/>
      <c r="D541" s="8"/>
      <c r="E541" s="8"/>
      <c r="F541" s="8"/>
      <c r="G541" s="8"/>
      <c r="H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row>
    <row r="542">
      <c r="A542" s="8"/>
      <c r="B542" s="8"/>
      <c r="C542" s="8"/>
      <c r="D542" s="8"/>
      <c r="E542" s="8"/>
      <c r="F542" s="8"/>
      <c r="G542" s="8"/>
      <c r="H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row>
    <row r="543">
      <c r="A543" s="8"/>
      <c r="B543" s="8"/>
      <c r="C543" s="8"/>
      <c r="D543" s="8"/>
      <c r="E543" s="8"/>
      <c r="F543" s="8"/>
      <c r="G543" s="8"/>
      <c r="H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row>
    <row r="544">
      <c r="A544" s="8"/>
      <c r="B544" s="8"/>
      <c r="C544" s="8"/>
      <c r="D544" s="8"/>
      <c r="E544" s="8"/>
      <c r="F544" s="8"/>
      <c r="G544" s="8"/>
      <c r="H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row>
    <row r="545">
      <c r="A545" s="8"/>
      <c r="B545" s="8"/>
      <c r="C545" s="8"/>
      <c r="D545" s="8"/>
      <c r="E545" s="8"/>
      <c r="F545" s="8"/>
      <c r="G545" s="8"/>
      <c r="H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row>
    <row r="546">
      <c r="A546" s="8"/>
      <c r="B546" s="8"/>
      <c r="C546" s="8"/>
      <c r="D546" s="8"/>
      <c r="E546" s="8"/>
      <c r="F546" s="8"/>
      <c r="G546" s="8"/>
      <c r="H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row>
    <row r="547">
      <c r="A547" s="8"/>
      <c r="B547" s="8"/>
      <c r="C547" s="8"/>
      <c r="D547" s="8"/>
      <c r="E547" s="8"/>
      <c r="F547" s="8"/>
      <c r="G547" s="8"/>
      <c r="H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row>
    <row r="548">
      <c r="A548" s="8"/>
      <c r="B548" s="8"/>
      <c r="C548" s="8"/>
      <c r="D548" s="8"/>
      <c r="E548" s="8"/>
      <c r="F548" s="8"/>
      <c r="G548" s="8"/>
      <c r="H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row>
    <row r="549">
      <c r="A549" s="8"/>
      <c r="B549" s="8"/>
      <c r="C549" s="8"/>
      <c r="D549" s="8"/>
      <c r="E549" s="8"/>
      <c r="F549" s="8"/>
      <c r="G549" s="8"/>
      <c r="H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row>
    <row r="550">
      <c r="A550" s="8"/>
      <c r="B550" s="8"/>
      <c r="C550" s="8"/>
      <c r="D550" s="8"/>
      <c r="E550" s="8"/>
      <c r="F550" s="8"/>
      <c r="G550" s="8"/>
      <c r="H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row>
    <row r="551">
      <c r="A551" s="8"/>
      <c r="B551" s="8"/>
      <c r="C551" s="8"/>
      <c r="D551" s="8"/>
      <c r="E551" s="8"/>
      <c r="F551" s="8"/>
      <c r="G551" s="8"/>
      <c r="H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row>
    <row r="552">
      <c r="A552" s="8"/>
      <c r="B552" s="8"/>
      <c r="C552" s="8"/>
      <c r="D552" s="8"/>
      <c r="E552" s="8"/>
      <c r="F552" s="8"/>
      <c r="G552" s="8"/>
      <c r="H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row>
    <row r="553">
      <c r="A553" s="8"/>
      <c r="B553" s="8"/>
      <c r="C553" s="8"/>
      <c r="D553" s="8"/>
      <c r="E553" s="8"/>
      <c r="F553" s="8"/>
      <c r="G553" s="8"/>
      <c r="H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row>
    <row r="554">
      <c r="A554" s="8"/>
      <c r="B554" s="8"/>
      <c r="C554" s="8"/>
      <c r="D554" s="8"/>
      <c r="E554" s="8"/>
      <c r="F554" s="8"/>
      <c r="G554" s="8"/>
      <c r="H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row>
    <row r="555">
      <c r="A555" s="8"/>
      <c r="B555" s="8"/>
      <c r="C555" s="8"/>
      <c r="D555" s="8"/>
      <c r="E555" s="8"/>
      <c r="F555" s="8"/>
      <c r="G555" s="8"/>
      <c r="H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row>
    <row r="556">
      <c r="A556" s="8"/>
      <c r="B556" s="8"/>
      <c r="C556" s="8"/>
      <c r="D556" s="8"/>
      <c r="E556" s="8"/>
      <c r="F556" s="8"/>
      <c r="G556" s="8"/>
      <c r="H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row>
    <row r="557">
      <c r="A557" s="8"/>
      <c r="B557" s="8"/>
      <c r="C557" s="8"/>
      <c r="D557" s="8"/>
      <c r="E557" s="8"/>
      <c r="F557" s="8"/>
      <c r="G557" s="8"/>
      <c r="H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row>
    <row r="558">
      <c r="A558" s="8"/>
      <c r="B558" s="8"/>
      <c r="C558" s="8"/>
      <c r="D558" s="8"/>
      <c r="E558" s="8"/>
      <c r="F558" s="8"/>
      <c r="G558" s="8"/>
      <c r="H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row>
    <row r="559">
      <c r="A559" s="8"/>
      <c r="B559" s="8"/>
      <c r="C559" s="8"/>
      <c r="D559" s="8"/>
      <c r="E559" s="8"/>
      <c r="F559" s="8"/>
      <c r="G559" s="8"/>
      <c r="H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row>
    <row r="560">
      <c r="A560" s="8"/>
      <c r="B560" s="8"/>
      <c r="C560" s="8"/>
      <c r="D560" s="8"/>
      <c r="E560" s="8"/>
      <c r="F560" s="8"/>
      <c r="G560" s="8"/>
      <c r="H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row>
    <row r="561">
      <c r="A561" s="8"/>
      <c r="B561" s="8"/>
      <c r="C561" s="8"/>
      <c r="D561" s="8"/>
      <c r="E561" s="8"/>
      <c r="F561" s="8"/>
      <c r="G561" s="8"/>
      <c r="H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row>
    <row r="562">
      <c r="A562" s="8"/>
      <c r="B562" s="8"/>
      <c r="C562" s="8"/>
      <c r="D562" s="8"/>
      <c r="E562" s="8"/>
      <c r="F562" s="8"/>
      <c r="G562" s="8"/>
      <c r="H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row>
    <row r="563">
      <c r="A563" s="8"/>
      <c r="B563" s="8"/>
      <c r="C563" s="8"/>
      <c r="D563" s="8"/>
      <c r="E563" s="8"/>
      <c r="F563" s="8"/>
      <c r="G563" s="8"/>
      <c r="H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row>
    <row r="564">
      <c r="A564" s="8"/>
      <c r="B564" s="8"/>
      <c r="C564" s="8"/>
      <c r="D564" s="8"/>
      <c r="E564" s="8"/>
      <c r="F564" s="8"/>
      <c r="G564" s="8"/>
      <c r="H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row>
    <row r="565">
      <c r="A565" s="8"/>
      <c r="B565" s="8"/>
      <c r="C565" s="8"/>
      <c r="D565" s="8"/>
      <c r="E565" s="8"/>
      <c r="F565" s="8"/>
      <c r="G565" s="8"/>
      <c r="H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row>
    <row r="566">
      <c r="A566" s="8"/>
      <c r="B566" s="8"/>
      <c r="C566" s="8"/>
      <c r="D566" s="8"/>
      <c r="E566" s="8"/>
      <c r="F566" s="8"/>
      <c r="G566" s="8"/>
      <c r="H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row>
    <row r="567">
      <c r="A567" s="8"/>
      <c r="B567" s="8"/>
      <c r="C567" s="8"/>
      <c r="D567" s="8"/>
      <c r="E567" s="8"/>
      <c r="F567" s="8"/>
      <c r="G567" s="8"/>
      <c r="H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row>
    <row r="568">
      <c r="A568" s="8"/>
      <c r="B568" s="8"/>
      <c r="C568" s="8"/>
      <c r="D568" s="8"/>
      <c r="E568" s="8"/>
      <c r="F568" s="8"/>
      <c r="G568" s="8"/>
      <c r="H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row>
    <row r="569">
      <c r="A569" s="8"/>
      <c r="B569" s="8"/>
      <c r="C569" s="8"/>
      <c r="D569" s="8"/>
      <c r="E569" s="8"/>
      <c r="F569" s="8"/>
      <c r="G569" s="8"/>
      <c r="H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row>
    <row r="570">
      <c r="A570" s="8"/>
      <c r="B570" s="8"/>
      <c r="C570" s="8"/>
      <c r="D570" s="8"/>
      <c r="E570" s="8"/>
      <c r="F570" s="8"/>
      <c r="G570" s="8"/>
      <c r="H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row>
    <row r="571">
      <c r="A571" s="8"/>
      <c r="B571" s="8"/>
      <c r="C571" s="8"/>
      <c r="D571" s="8"/>
      <c r="E571" s="8"/>
      <c r="F571" s="8"/>
      <c r="G571" s="8"/>
      <c r="H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row>
    <row r="572">
      <c r="A572" s="8"/>
      <c r="B572" s="8"/>
      <c r="C572" s="8"/>
      <c r="D572" s="8"/>
      <c r="E572" s="8"/>
      <c r="F572" s="8"/>
      <c r="G572" s="8"/>
      <c r="H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row>
    <row r="573">
      <c r="A573" s="8"/>
      <c r="B573" s="8"/>
      <c r="C573" s="8"/>
      <c r="D573" s="8"/>
      <c r="E573" s="8"/>
      <c r="F573" s="8"/>
      <c r="G573" s="8"/>
      <c r="H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row>
    <row r="574">
      <c r="A574" s="8"/>
      <c r="B574" s="8"/>
      <c r="C574" s="8"/>
      <c r="D574" s="8"/>
      <c r="E574" s="8"/>
      <c r="F574" s="8"/>
      <c r="G574" s="8"/>
      <c r="H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row>
    <row r="575">
      <c r="A575" s="8"/>
      <c r="B575" s="8"/>
      <c r="C575" s="8"/>
      <c r="D575" s="8"/>
      <c r="E575" s="8"/>
      <c r="F575" s="8"/>
      <c r="G575" s="8"/>
      <c r="H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row>
    <row r="576">
      <c r="A576" s="8"/>
      <c r="B576" s="8"/>
      <c r="C576" s="8"/>
      <c r="D576" s="8"/>
      <c r="E576" s="8"/>
      <c r="F576" s="8"/>
      <c r="G576" s="8"/>
      <c r="H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row>
    <row r="577">
      <c r="A577" s="8"/>
      <c r="B577" s="8"/>
      <c r="C577" s="8"/>
      <c r="D577" s="8"/>
      <c r="E577" s="8"/>
      <c r="F577" s="8"/>
      <c r="G577" s="8"/>
      <c r="H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row>
    <row r="578">
      <c r="A578" s="8"/>
      <c r="B578" s="8"/>
      <c r="C578" s="8"/>
      <c r="D578" s="8"/>
      <c r="E578" s="8"/>
      <c r="F578" s="8"/>
      <c r="G578" s="8"/>
      <c r="H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row>
    <row r="579">
      <c r="A579" s="8"/>
      <c r="B579" s="8"/>
      <c r="C579" s="8"/>
      <c r="D579" s="8"/>
      <c r="E579" s="8"/>
      <c r="F579" s="8"/>
      <c r="G579" s="8"/>
      <c r="H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row>
    <row r="580">
      <c r="A580" s="8"/>
      <c r="B580" s="8"/>
      <c r="C580" s="8"/>
      <c r="D580" s="8"/>
      <c r="E580" s="8"/>
      <c r="F580" s="8"/>
      <c r="G580" s="8"/>
      <c r="H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row>
    <row r="581">
      <c r="A581" s="8"/>
      <c r="B581" s="8"/>
      <c r="C581" s="8"/>
      <c r="D581" s="8"/>
      <c r="E581" s="8"/>
      <c r="F581" s="8"/>
      <c r="G581" s="8"/>
      <c r="H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row>
    <row r="582">
      <c r="A582" s="8"/>
      <c r="B582" s="8"/>
      <c r="C582" s="8"/>
      <c r="D582" s="8"/>
      <c r="E582" s="8"/>
      <c r="F582" s="8"/>
      <c r="G582" s="8"/>
      <c r="H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row>
    <row r="583">
      <c r="A583" s="8"/>
      <c r="B583" s="8"/>
      <c r="C583" s="8"/>
      <c r="D583" s="8"/>
      <c r="E583" s="8"/>
      <c r="F583" s="8"/>
      <c r="G583" s="8"/>
      <c r="H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row>
    <row r="584">
      <c r="A584" s="8"/>
      <c r="B584" s="8"/>
      <c r="C584" s="8"/>
      <c r="D584" s="8"/>
      <c r="E584" s="8"/>
      <c r="F584" s="8"/>
      <c r="G584" s="8"/>
      <c r="H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row>
    <row r="585">
      <c r="A585" s="8"/>
      <c r="B585" s="8"/>
      <c r="C585" s="8"/>
      <c r="D585" s="8"/>
      <c r="E585" s="8"/>
      <c r="F585" s="8"/>
      <c r="G585" s="8"/>
      <c r="H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row>
    <row r="586">
      <c r="A586" s="8"/>
      <c r="B586" s="8"/>
      <c r="C586" s="8"/>
      <c r="D586" s="8"/>
      <c r="E586" s="8"/>
      <c r="F586" s="8"/>
      <c r="G586" s="8"/>
      <c r="H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row>
    <row r="587">
      <c r="A587" s="8"/>
      <c r="B587" s="8"/>
      <c r="C587" s="8"/>
      <c r="D587" s="8"/>
      <c r="E587" s="8"/>
      <c r="F587" s="8"/>
      <c r="G587" s="8"/>
      <c r="H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row>
    <row r="588">
      <c r="A588" s="8"/>
      <c r="B588" s="8"/>
      <c r="C588" s="8"/>
      <c r="D588" s="8"/>
      <c r="E588" s="8"/>
      <c r="F588" s="8"/>
      <c r="G588" s="8"/>
      <c r="H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row>
    <row r="589">
      <c r="A589" s="8"/>
      <c r="B589" s="8"/>
      <c r="C589" s="8"/>
      <c r="D589" s="8"/>
      <c r="E589" s="8"/>
      <c r="F589" s="8"/>
      <c r="G589" s="8"/>
      <c r="H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row>
    <row r="590">
      <c r="A590" s="8"/>
      <c r="B590" s="8"/>
      <c r="C590" s="8"/>
      <c r="D590" s="8"/>
      <c r="E590" s="8"/>
      <c r="F590" s="8"/>
      <c r="G590" s="8"/>
      <c r="H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row>
    <row r="591">
      <c r="A591" s="8"/>
      <c r="B591" s="8"/>
      <c r="C591" s="8"/>
      <c r="D591" s="8"/>
      <c r="E591" s="8"/>
      <c r="F591" s="8"/>
      <c r="G591" s="8"/>
      <c r="H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row>
    <row r="592">
      <c r="A592" s="8"/>
      <c r="B592" s="8"/>
      <c r="C592" s="8"/>
      <c r="D592" s="8"/>
      <c r="E592" s="8"/>
      <c r="F592" s="8"/>
      <c r="G592" s="8"/>
      <c r="H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row>
    <row r="593">
      <c r="A593" s="8"/>
      <c r="B593" s="8"/>
      <c r="C593" s="8"/>
      <c r="D593" s="8"/>
      <c r="E593" s="8"/>
      <c r="F593" s="8"/>
      <c r="G593" s="8"/>
      <c r="H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row>
    <row r="594">
      <c r="A594" s="8"/>
      <c r="B594" s="8"/>
      <c r="C594" s="8"/>
      <c r="D594" s="8"/>
      <c r="E594" s="8"/>
      <c r="F594" s="8"/>
      <c r="G594" s="8"/>
      <c r="H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row>
    <row r="595">
      <c r="A595" s="8"/>
      <c r="B595" s="8"/>
      <c r="C595" s="8"/>
      <c r="D595" s="8"/>
      <c r="E595" s="8"/>
      <c r="F595" s="8"/>
      <c r="G595" s="8"/>
      <c r="H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row>
    <row r="596">
      <c r="A596" s="8"/>
      <c r="B596" s="8"/>
      <c r="C596" s="8"/>
      <c r="D596" s="8"/>
      <c r="E596" s="8"/>
      <c r="F596" s="8"/>
      <c r="G596" s="8"/>
      <c r="H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row>
    <row r="597">
      <c r="A597" s="8"/>
      <c r="B597" s="8"/>
      <c r="C597" s="8"/>
      <c r="D597" s="8"/>
      <c r="E597" s="8"/>
      <c r="F597" s="8"/>
      <c r="G597" s="8"/>
      <c r="H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row>
    <row r="598">
      <c r="A598" s="8"/>
      <c r="B598" s="8"/>
      <c r="C598" s="8"/>
      <c r="D598" s="8"/>
      <c r="E598" s="8"/>
      <c r="F598" s="8"/>
      <c r="G598" s="8"/>
      <c r="H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row>
    <row r="599">
      <c r="A599" s="8"/>
      <c r="B599" s="8"/>
      <c r="C599" s="8"/>
      <c r="D599" s="8"/>
      <c r="E599" s="8"/>
      <c r="F599" s="8"/>
      <c r="G599" s="8"/>
      <c r="H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row>
    <row r="600">
      <c r="A600" s="8"/>
      <c r="B600" s="8"/>
      <c r="C600" s="8"/>
      <c r="D600" s="8"/>
      <c r="E600" s="8"/>
      <c r="F600" s="8"/>
      <c r="G600" s="8"/>
      <c r="H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row>
    <row r="601">
      <c r="A601" s="8"/>
      <c r="B601" s="8"/>
      <c r="C601" s="8"/>
      <c r="D601" s="8"/>
      <c r="E601" s="8"/>
      <c r="F601" s="8"/>
      <c r="G601" s="8"/>
      <c r="H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row>
    <row r="602">
      <c r="A602" s="8"/>
      <c r="B602" s="8"/>
      <c r="C602" s="8"/>
      <c r="D602" s="8"/>
      <c r="E602" s="8"/>
      <c r="F602" s="8"/>
      <c r="G602" s="8"/>
      <c r="H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row>
    <row r="603">
      <c r="A603" s="8"/>
      <c r="B603" s="8"/>
      <c r="C603" s="8"/>
      <c r="D603" s="8"/>
      <c r="E603" s="8"/>
      <c r="F603" s="8"/>
      <c r="G603" s="8"/>
      <c r="H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row>
    <row r="604">
      <c r="A604" s="8"/>
      <c r="B604" s="8"/>
      <c r="C604" s="8"/>
      <c r="D604" s="8"/>
      <c r="E604" s="8"/>
      <c r="F604" s="8"/>
      <c r="G604" s="8"/>
      <c r="H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row>
    <row r="605">
      <c r="A605" s="8"/>
      <c r="B605" s="8"/>
      <c r="C605" s="8"/>
      <c r="D605" s="8"/>
      <c r="E605" s="8"/>
      <c r="F605" s="8"/>
      <c r="G605" s="8"/>
      <c r="H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row>
    <row r="606">
      <c r="A606" s="8"/>
      <c r="B606" s="8"/>
      <c r="C606" s="8"/>
      <c r="D606" s="8"/>
      <c r="E606" s="8"/>
      <c r="F606" s="8"/>
      <c r="G606" s="8"/>
      <c r="H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row>
    <row r="607">
      <c r="A607" s="8"/>
      <c r="B607" s="8"/>
      <c r="C607" s="8"/>
      <c r="D607" s="8"/>
      <c r="E607" s="8"/>
      <c r="F607" s="8"/>
      <c r="G607" s="8"/>
      <c r="H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row>
    <row r="608">
      <c r="A608" s="8"/>
      <c r="B608" s="8"/>
      <c r="C608" s="8"/>
      <c r="D608" s="8"/>
      <c r="E608" s="8"/>
      <c r="F608" s="8"/>
      <c r="G608" s="8"/>
      <c r="H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row>
    <row r="609">
      <c r="A609" s="8"/>
      <c r="B609" s="8"/>
      <c r="C609" s="8"/>
      <c r="D609" s="8"/>
      <c r="E609" s="8"/>
      <c r="F609" s="8"/>
      <c r="G609" s="8"/>
      <c r="H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row>
    <row r="610">
      <c r="A610" s="8"/>
      <c r="B610" s="8"/>
      <c r="C610" s="8"/>
      <c r="D610" s="8"/>
      <c r="E610" s="8"/>
      <c r="F610" s="8"/>
      <c r="G610" s="8"/>
      <c r="H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row>
    <row r="611">
      <c r="A611" s="8"/>
      <c r="B611" s="8"/>
      <c r="C611" s="8"/>
      <c r="D611" s="8"/>
      <c r="E611" s="8"/>
      <c r="F611" s="8"/>
      <c r="G611" s="8"/>
      <c r="H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row>
    <row r="612">
      <c r="A612" s="8"/>
      <c r="B612" s="8"/>
      <c r="C612" s="8"/>
      <c r="D612" s="8"/>
      <c r="E612" s="8"/>
      <c r="F612" s="8"/>
      <c r="G612" s="8"/>
      <c r="H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row>
    <row r="613">
      <c r="A613" s="8"/>
      <c r="B613" s="8"/>
      <c r="C613" s="8"/>
      <c r="D613" s="8"/>
      <c r="E613" s="8"/>
      <c r="F613" s="8"/>
      <c r="G613" s="8"/>
      <c r="H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row>
    <row r="614">
      <c r="A614" s="8"/>
      <c r="B614" s="8"/>
      <c r="C614" s="8"/>
      <c r="D614" s="8"/>
      <c r="E614" s="8"/>
      <c r="F614" s="8"/>
      <c r="G614" s="8"/>
      <c r="H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row>
    <row r="615">
      <c r="A615" s="8"/>
      <c r="B615" s="8"/>
      <c r="C615" s="8"/>
      <c r="D615" s="8"/>
      <c r="E615" s="8"/>
      <c r="F615" s="8"/>
      <c r="G615" s="8"/>
      <c r="H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row>
    <row r="616">
      <c r="A616" s="8"/>
      <c r="B616" s="8"/>
      <c r="C616" s="8"/>
      <c r="D616" s="8"/>
      <c r="E616" s="8"/>
      <c r="F616" s="8"/>
      <c r="G616" s="8"/>
      <c r="H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row>
    <row r="617">
      <c r="A617" s="8"/>
      <c r="B617" s="8"/>
      <c r="C617" s="8"/>
      <c r="D617" s="8"/>
      <c r="E617" s="8"/>
      <c r="F617" s="8"/>
      <c r="G617" s="8"/>
      <c r="H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row>
    <row r="618">
      <c r="A618" s="8"/>
      <c r="B618" s="8"/>
      <c r="C618" s="8"/>
      <c r="D618" s="8"/>
      <c r="E618" s="8"/>
      <c r="F618" s="8"/>
      <c r="G618" s="8"/>
      <c r="H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row>
    <row r="619">
      <c r="A619" s="8"/>
      <c r="B619" s="8"/>
      <c r="C619" s="8"/>
      <c r="D619" s="8"/>
      <c r="E619" s="8"/>
      <c r="F619" s="8"/>
      <c r="G619" s="8"/>
      <c r="H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row>
    <row r="620">
      <c r="A620" s="8"/>
      <c r="B620" s="8"/>
      <c r="C620" s="8"/>
      <c r="D620" s="8"/>
      <c r="E620" s="8"/>
      <c r="F620" s="8"/>
      <c r="G620" s="8"/>
      <c r="H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row>
    <row r="621">
      <c r="A621" s="8"/>
      <c r="B621" s="8"/>
      <c r="C621" s="8"/>
      <c r="D621" s="8"/>
      <c r="E621" s="8"/>
      <c r="F621" s="8"/>
      <c r="G621" s="8"/>
      <c r="H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row>
    <row r="622">
      <c r="A622" s="8"/>
      <c r="B622" s="8"/>
      <c r="C622" s="8"/>
      <c r="D622" s="8"/>
      <c r="E622" s="8"/>
      <c r="F622" s="8"/>
      <c r="G622" s="8"/>
      <c r="H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row>
    <row r="623">
      <c r="A623" s="8"/>
      <c r="B623" s="8"/>
      <c r="C623" s="8"/>
      <c r="D623" s="8"/>
      <c r="E623" s="8"/>
      <c r="F623" s="8"/>
      <c r="G623" s="8"/>
      <c r="H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row>
    <row r="624">
      <c r="A624" s="8"/>
      <c r="B624" s="8"/>
      <c r="C624" s="8"/>
      <c r="D624" s="8"/>
      <c r="E624" s="8"/>
      <c r="F624" s="8"/>
      <c r="G624" s="8"/>
      <c r="H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row>
    <row r="625">
      <c r="A625" s="8"/>
      <c r="B625" s="8"/>
      <c r="C625" s="8"/>
      <c r="D625" s="8"/>
      <c r="E625" s="8"/>
      <c r="F625" s="8"/>
      <c r="G625" s="8"/>
      <c r="H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row>
    <row r="626">
      <c r="A626" s="8"/>
      <c r="B626" s="8"/>
      <c r="C626" s="8"/>
      <c r="D626" s="8"/>
      <c r="E626" s="8"/>
      <c r="F626" s="8"/>
      <c r="G626" s="8"/>
      <c r="H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row>
    <row r="627">
      <c r="A627" s="8"/>
      <c r="B627" s="8"/>
      <c r="C627" s="8"/>
      <c r="D627" s="8"/>
      <c r="E627" s="8"/>
      <c r="F627" s="8"/>
      <c r="G627" s="8"/>
      <c r="H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row>
    <row r="628">
      <c r="A628" s="8"/>
      <c r="B628" s="8"/>
      <c r="C628" s="8"/>
      <c r="D628" s="8"/>
      <c r="E628" s="8"/>
      <c r="F628" s="8"/>
      <c r="G628" s="8"/>
      <c r="H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row>
    <row r="629">
      <c r="A629" s="8"/>
      <c r="B629" s="8"/>
      <c r="C629" s="8"/>
      <c r="D629" s="8"/>
      <c r="E629" s="8"/>
      <c r="F629" s="8"/>
      <c r="G629" s="8"/>
      <c r="H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row>
    <row r="630">
      <c r="A630" s="8"/>
      <c r="B630" s="8"/>
      <c r="C630" s="8"/>
      <c r="D630" s="8"/>
      <c r="E630" s="8"/>
      <c r="F630" s="8"/>
      <c r="G630" s="8"/>
      <c r="H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row>
    <row r="631">
      <c r="A631" s="8"/>
      <c r="B631" s="8"/>
      <c r="C631" s="8"/>
      <c r="D631" s="8"/>
      <c r="E631" s="8"/>
      <c r="F631" s="8"/>
      <c r="G631" s="8"/>
      <c r="H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row>
    <row r="632">
      <c r="A632" s="8"/>
      <c r="B632" s="8"/>
      <c r="C632" s="8"/>
      <c r="D632" s="8"/>
      <c r="E632" s="8"/>
      <c r="F632" s="8"/>
      <c r="G632" s="8"/>
      <c r="H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row>
    <row r="633">
      <c r="A633" s="8"/>
      <c r="B633" s="8"/>
      <c r="C633" s="8"/>
      <c r="D633" s="8"/>
      <c r="E633" s="8"/>
      <c r="F633" s="8"/>
      <c r="G633" s="8"/>
      <c r="H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row>
    <row r="634">
      <c r="A634" s="8"/>
      <c r="B634" s="8"/>
      <c r="C634" s="8"/>
      <c r="D634" s="8"/>
      <c r="E634" s="8"/>
      <c r="F634" s="8"/>
      <c r="G634" s="8"/>
      <c r="H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row>
    <row r="635">
      <c r="A635" s="8"/>
      <c r="B635" s="8"/>
      <c r="C635" s="8"/>
      <c r="D635" s="8"/>
      <c r="E635" s="8"/>
      <c r="F635" s="8"/>
      <c r="G635" s="8"/>
      <c r="H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row>
    <row r="636">
      <c r="A636" s="8"/>
      <c r="B636" s="8"/>
      <c r="C636" s="8"/>
      <c r="D636" s="8"/>
      <c r="E636" s="8"/>
      <c r="F636" s="8"/>
      <c r="G636" s="8"/>
      <c r="H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row>
    <row r="637">
      <c r="A637" s="8"/>
      <c r="B637" s="8"/>
      <c r="C637" s="8"/>
      <c r="D637" s="8"/>
      <c r="E637" s="8"/>
      <c r="F637" s="8"/>
      <c r="G637" s="8"/>
      <c r="H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row>
    <row r="638">
      <c r="A638" s="8"/>
      <c r="B638" s="8"/>
      <c r="C638" s="8"/>
      <c r="D638" s="8"/>
      <c r="E638" s="8"/>
      <c r="F638" s="8"/>
      <c r="G638" s="8"/>
      <c r="H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row>
    <row r="639">
      <c r="A639" s="8"/>
      <c r="B639" s="8"/>
      <c r="C639" s="8"/>
      <c r="D639" s="8"/>
      <c r="E639" s="8"/>
      <c r="F639" s="8"/>
      <c r="G639" s="8"/>
      <c r="H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row>
    <row r="640">
      <c r="A640" s="8"/>
      <c r="B640" s="8"/>
      <c r="C640" s="8"/>
      <c r="D640" s="8"/>
      <c r="E640" s="8"/>
      <c r="F640" s="8"/>
      <c r="G640" s="8"/>
      <c r="H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row>
    <row r="641">
      <c r="A641" s="8"/>
      <c r="B641" s="8"/>
      <c r="C641" s="8"/>
      <c r="D641" s="8"/>
      <c r="E641" s="8"/>
      <c r="F641" s="8"/>
      <c r="G641" s="8"/>
      <c r="H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row>
    <row r="642">
      <c r="A642" s="8"/>
      <c r="B642" s="8"/>
      <c r="C642" s="8"/>
      <c r="D642" s="8"/>
      <c r="E642" s="8"/>
      <c r="F642" s="8"/>
      <c r="G642" s="8"/>
      <c r="H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row>
    <row r="643">
      <c r="A643" s="8"/>
      <c r="B643" s="8"/>
      <c r="C643" s="8"/>
      <c r="D643" s="8"/>
      <c r="E643" s="8"/>
      <c r="F643" s="8"/>
      <c r="G643" s="8"/>
      <c r="H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row>
    <row r="644">
      <c r="A644" s="8"/>
      <c r="B644" s="8"/>
      <c r="C644" s="8"/>
      <c r="D644" s="8"/>
      <c r="E644" s="8"/>
      <c r="F644" s="8"/>
      <c r="G644" s="8"/>
      <c r="H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row>
    <row r="645">
      <c r="A645" s="8"/>
      <c r="B645" s="8"/>
      <c r="C645" s="8"/>
      <c r="D645" s="8"/>
      <c r="E645" s="8"/>
      <c r="F645" s="8"/>
      <c r="G645" s="8"/>
      <c r="H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row>
    <row r="646">
      <c r="A646" s="8"/>
      <c r="B646" s="8"/>
      <c r="C646" s="8"/>
      <c r="D646" s="8"/>
      <c r="E646" s="8"/>
      <c r="F646" s="8"/>
      <c r="G646" s="8"/>
      <c r="H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row>
    <row r="647">
      <c r="A647" s="8"/>
      <c r="B647" s="8"/>
      <c r="C647" s="8"/>
      <c r="D647" s="8"/>
      <c r="E647" s="8"/>
      <c r="F647" s="8"/>
      <c r="G647" s="8"/>
      <c r="H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row>
    <row r="648">
      <c r="A648" s="8"/>
      <c r="B648" s="8"/>
      <c r="C648" s="8"/>
      <c r="D648" s="8"/>
      <c r="E648" s="8"/>
      <c r="F648" s="8"/>
      <c r="G648" s="8"/>
      <c r="H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row>
    <row r="649">
      <c r="A649" s="8"/>
      <c r="B649" s="8"/>
      <c r="C649" s="8"/>
      <c r="D649" s="8"/>
      <c r="E649" s="8"/>
      <c r="F649" s="8"/>
      <c r="G649" s="8"/>
      <c r="H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row>
    <row r="650">
      <c r="A650" s="8"/>
      <c r="B650" s="8"/>
      <c r="C650" s="8"/>
      <c r="D650" s="8"/>
      <c r="E650" s="8"/>
      <c r="F650" s="8"/>
      <c r="G650" s="8"/>
      <c r="H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row>
    <row r="651">
      <c r="A651" s="8"/>
      <c r="B651" s="8"/>
      <c r="C651" s="8"/>
      <c r="D651" s="8"/>
      <c r="E651" s="8"/>
      <c r="F651" s="8"/>
      <c r="G651" s="8"/>
      <c r="H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row>
    <row r="652">
      <c r="A652" s="8"/>
      <c r="B652" s="8"/>
      <c r="C652" s="8"/>
      <c r="D652" s="8"/>
      <c r="E652" s="8"/>
      <c r="F652" s="8"/>
      <c r="G652" s="8"/>
      <c r="H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row>
    <row r="653">
      <c r="A653" s="8"/>
      <c r="B653" s="8"/>
      <c r="C653" s="8"/>
      <c r="D653" s="8"/>
      <c r="E653" s="8"/>
      <c r="F653" s="8"/>
      <c r="G653" s="8"/>
      <c r="H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row>
    <row r="654">
      <c r="A654" s="8"/>
      <c r="B654" s="8"/>
      <c r="C654" s="8"/>
      <c r="D654" s="8"/>
      <c r="E654" s="8"/>
      <c r="F654" s="8"/>
      <c r="G654" s="8"/>
      <c r="H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row>
    <row r="655">
      <c r="A655" s="8"/>
      <c r="B655" s="8"/>
      <c r="C655" s="8"/>
      <c r="D655" s="8"/>
      <c r="E655" s="8"/>
      <c r="F655" s="8"/>
      <c r="G655" s="8"/>
      <c r="H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row>
    <row r="656">
      <c r="A656" s="8"/>
      <c r="B656" s="8"/>
      <c r="C656" s="8"/>
      <c r="D656" s="8"/>
      <c r="E656" s="8"/>
      <c r="F656" s="8"/>
      <c r="G656" s="8"/>
      <c r="H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row>
    <row r="657">
      <c r="A657" s="8"/>
      <c r="B657" s="8"/>
      <c r="C657" s="8"/>
      <c r="D657" s="8"/>
      <c r="E657" s="8"/>
      <c r="F657" s="8"/>
      <c r="G657" s="8"/>
      <c r="H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row>
    <row r="658">
      <c r="A658" s="8"/>
      <c r="B658" s="8"/>
      <c r="C658" s="8"/>
      <c r="D658" s="8"/>
      <c r="E658" s="8"/>
      <c r="F658" s="8"/>
      <c r="G658" s="8"/>
      <c r="H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row>
    <row r="659">
      <c r="A659" s="8"/>
      <c r="B659" s="8"/>
      <c r="C659" s="8"/>
      <c r="D659" s="8"/>
      <c r="E659" s="8"/>
      <c r="F659" s="8"/>
      <c r="G659" s="8"/>
      <c r="H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row>
    <row r="660">
      <c r="A660" s="8"/>
      <c r="B660" s="8"/>
      <c r="C660" s="8"/>
      <c r="D660" s="8"/>
      <c r="E660" s="8"/>
      <c r="F660" s="8"/>
      <c r="G660" s="8"/>
      <c r="H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row>
    <row r="661">
      <c r="A661" s="8"/>
      <c r="B661" s="8"/>
      <c r="C661" s="8"/>
      <c r="D661" s="8"/>
      <c r="E661" s="8"/>
      <c r="F661" s="8"/>
      <c r="G661" s="8"/>
      <c r="H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row>
    <row r="662">
      <c r="A662" s="8"/>
      <c r="B662" s="8"/>
      <c r="C662" s="8"/>
      <c r="D662" s="8"/>
      <c r="E662" s="8"/>
      <c r="F662" s="8"/>
      <c r="G662" s="8"/>
      <c r="H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row>
    <row r="663">
      <c r="A663" s="8"/>
      <c r="B663" s="8"/>
      <c r="C663" s="8"/>
      <c r="D663" s="8"/>
      <c r="E663" s="8"/>
      <c r="F663" s="8"/>
      <c r="G663" s="8"/>
      <c r="H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row>
    <row r="664">
      <c r="A664" s="8"/>
      <c r="B664" s="8"/>
      <c r="C664" s="8"/>
      <c r="D664" s="8"/>
      <c r="E664" s="8"/>
      <c r="F664" s="8"/>
      <c r="G664" s="8"/>
      <c r="H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row>
    <row r="665">
      <c r="A665" s="8"/>
      <c r="B665" s="8"/>
      <c r="C665" s="8"/>
      <c r="D665" s="8"/>
      <c r="E665" s="8"/>
      <c r="F665" s="8"/>
      <c r="G665" s="8"/>
      <c r="H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row>
    <row r="666">
      <c r="A666" s="8"/>
      <c r="B666" s="8"/>
      <c r="C666" s="8"/>
      <c r="D666" s="8"/>
      <c r="E666" s="8"/>
      <c r="F666" s="8"/>
      <c r="G666" s="8"/>
      <c r="H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row>
    <row r="667">
      <c r="A667" s="8"/>
      <c r="B667" s="8"/>
      <c r="C667" s="8"/>
      <c r="D667" s="8"/>
      <c r="E667" s="8"/>
      <c r="F667" s="8"/>
      <c r="G667" s="8"/>
      <c r="H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row>
    <row r="668">
      <c r="A668" s="8"/>
      <c r="B668" s="8"/>
      <c r="C668" s="8"/>
      <c r="D668" s="8"/>
      <c r="E668" s="8"/>
      <c r="F668" s="8"/>
      <c r="G668" s="8"/>
      <c r="H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row>
    <row r="669">
      <c r="A669" s="8"/>
      <c r="B669" s="8"/>
      <c r="C669" s="8"/>
      <c r="D669" s="8"/>
      <c r="E669" s="8"/>
      <c r="F669" s="8"/>
      <c r="G669" s="8"/>
      <c r="H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row>
    <row r="670">
      <c r="A670" s="8"/>
      <c r="B670" s="8"/>
      <c r="C670" s="8"/>
      <c r="D670" s="8"/>
      <c r="E670" s="8"/>
      <c r="F670" s="8"/>
      <c r="G670" s="8"/>
      <c r="H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row>
    <row r="671">
      <c r="A671" s="8"/>
      <c r="B671" s="8"/>
      <c r="C671" s="8"/>
      <c r="D671" s="8"/>
      <c r="E671" s="8"/>
      <c r="F671" s="8"/>
      <c r="G671" s="8"/>
      <c r="H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row>
    <row r="672">
      <c r="A672" s="8"/>
      <c r="B672" s="8"/>
      <c r="C672" s="8"/>
      <c r="D672" s="8"/>
      <c r="E672" s="8"/>
      <c r="F672" s="8"/>
      <c r="G672" s="8"/>
      <c r="H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row>
    <row r="673">
      <c r="A673" s="8"/>
      <c r="B673" s="8"/>
      <c r="C673" s="8"/>
      <c r="D673" s="8"/>
      <c r="E673" s="8"/>
      <c r="F673" s="8"/>
      <c r="G673" s="8"/>
      <c r="H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row>
    <row r="674">
      <c r="A674" s="8"/>
      <c r="B674" s="8"/>
      <c r="C674" s="8"/>
      <c r="D674" s="8"/>
      <c r="E674" s="8"/>
      <c r="F674" s="8"/>
      <c r="G674" s="8"/>
      <c r="H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row>
    <row r="675">
      <c r="A675" s="8"/>
      <c r="B675" s="8"/>
      <c r="C675" s="8"/>
      <c r="D675" s="8"/>
      <c r="E675" s="8"/>
      <c r="F675" s="8"/>
      <c r="G675" s="8"/>
      <c r="H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row>
    <row r="676">
      <c r="A676" s="8"/>
      <c r="B676" s="8"/>
      <c r="C676" s="8"/>
      <c r="D676" s="8"/>
      <c r="E676" s="8"/>
      <c r="F676" s="8"/>
      <c r="G676" s="8"/>
      <c r="H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row>
    <row r="677">
      <c r="A677" s="8"/>
      <c r="B677" s="8"/>
      <c r="C677" s="8"/>
      <c r="D677" s="8"/>
      <c r="E677" s="8"/>
      <c r="F677" s="8"/>
      <c r="G677" s="8"/>
      <c r="H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row>
    <row r="678">
      <c r="A678" s="8"/>
      <c r="B678" s="8"/>
      <c r="C678" s="8"/>
      <c r="D678" s="8"/>
      <c r="E678" s="8"/>
      <c r="F678" s="8"/>
      <c r="G678" s="8"/>
      <c r="H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row>
    <row r="679">
      <c r="A679" s="8"/>
      <c r="B679" s="8"/>
      <c r="C679" s="8"/>
      <c r="D679" s="8"/>
      <c r="E679" s="8"/>
      <c r="F679" s="8"/>
      <c r="G679" s="8"/>
      <c r="H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row>
    <row r="680">
      <c r="A680" s="8"/>
      <c r="B680" s="8"/>
      <c r="C680" s="8"/>
      <c r="D680" s="8"/>
      <c r="E680" s="8"/>
      <c r="F680" s="8"/>
      <c r="G680" s="8"/>
      <c r="H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row>
    <row r="681">
      <c r="A681" s="8"/>
      <c r="B681" s="8"/>
      <c r="C681" s="8"/>
      <c r="D681" s="8"/>
      <c r="E681" s="8"/>
      <c r="F681" s="8"/>
      <c r="G681" s="8"/>
      <c r="H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row>
    <row r="682">
      <c r="A682" s="8"/>
      <c r="B682" s="8"/>
      <c r="C682" s="8"/>
      <c r="D682" s="8"/>
      <c r="E682" s="8"/>
      <c r="F682" s="8"/>
      <c r="G682" s="8"/>
      <c r="H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row>
    <row r="683">
      <c r="A683" s="8"/>
      <c r="B683" s="8"/>
      <c r="C683" s="8"/>
      <c r="D683" s="8"/>
      <c r="E683" s="8"/>
      <c r="F683" s="8"/>
      <c r="G683" s="8"/>
      <c r="H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row>
    <row r="684">
      <c r="A684" s="8"/>
      <c r="B684" s="8"/>
      <c r="C684" s="8"/>
      <c r="D684" s="8"/>
      <c r="E684" s="8"/>
      <c r="F684" s="8"/>
      <c r="G684" s="8"/>
      <c r="H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row>
    <row r="685">
      <c r="A685" s="8"/>
      <c r="B685" s="8"/>
      <c r="C685" s="8"/>
      <c r="D685" s="8"/>
      <c r="E685" s="8"/>
      <c r="F685" s="8"/>
      <c r="G685" s="8"/>
      <c r="H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row>
    <row r="686">
      <c r="A686" s="8"/>
      <c r="B686" s="8"/>
      <c r="C686" s="8"/>
      <c r="D686" s="8"/>
      <c r="E686" s="8"/>
      <c r="F686" s="8"/>
      <c r="G686" s="8"/>
      <c r="H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row>
    <row r="687">
      <c r="A687" s="8"/>
      <c r="B687" s="8"/>
      <c r="C687" s="8"/>
      <c r="D687" s="8"/>
      <c r="E687" s="8"/>
      <c r="F687" s="8"/>
      <c r="G687" s="8"/>
      <c r="H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row>
    <row r="688">
      <c r="A688" s="8"/>
      <c r="B688" s="8"/>
      <c r="C688" s="8"/>
      <c r="D688" s="8"/>
      <c r="E688" s="8"/>
      <c r="F688" s="8"/>
      <c r="G688" s="8"/>
      <c r="H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row>
    <row r="689">
      <c r="A689" s="8"/>
      <c r="B689" s="8"/>
      <c r="C689" s="8"/>
      <c r="D689" s="8"/>
      <c r="E689" s="8"/>
      <c r="F689" s="8"/>
      <c r="G689" s="8"/>
      <c r="H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row>
    <row r="690">
      <c r="A690" s="8"/>
      <c r="B690" s="8"/>
      <c r="C690" s="8"/>
      <c r="D690" s="8"/>
      <c r="E690" s="8"/>
      <c r="F690" s="8"/>
      <c r="G690" s="8"/>
      <c r="H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row>
    <row r="691">
      <c r="A691" s="8"/>
      <c r="B691" s="8"/>
      <c r="C691" s="8"/>
      <c r="D691" s="8"/>
      <c r="E691" s="8"/>
      <c r="F691" s="8"/>
      <c r="G691" s="8"/>
      <c r="H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row>
    <row r="692">
      <c r="A692" s="8"/>
      <c r="B692" s="8"/>
      <c r="C692" s="8"/>
      <c r="D692" s="8"/>
      <c r="E692" s="8"/>
      <c r="F692" s="8"/>
      <c r="G692" s="8"/>
      <c r="H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row>
    <row r="693">
      <c r="A693" s="8"/>
      <c r="B693" s="8"/>
      <c r="C693" s="8"/>
      <c r="D693" s="8"/>
      <c r="E693" s="8"/>
      <c r="F693" s="8"/>
      <c r="G693" s="8"/>
      <c r="H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row>
    <row r="694">
      <c r="A694" s="8"/>
      <c r="B694" s="8"/>
      <c r="C694" s="8"/>
      <c r="D694" s="8"/>
      <c r="E694" s="8"/>
      <c r="F694" s="8"/>
      <c r="G694" s="8"/>
      <c r="H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row>
    <row r="695">
      <c r="A695" s="8"/>
      <c r="B695" s="8"/>
      <c r="C695" s="8"/>
      <c r="D695" s="8"/>
      <c r="E695" s="8"/>
      <c r="F695" s="8"/>
      <c r="G695" s="8"/>
      <c r="H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row>
    <row r="696">
      <c r="A696" s="8"/>
      <c r="B696" s="8"/>
      <c r="C696" s="8"/>
      <c r="D696" s="8"/>
      <c r="E696" s="8"/>
      <c r="F696" s="8"/>
      <c r="G696" s="8"/>
      <c r="H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row>
    <row r="697">
      <c r="A697" s="8"/>
      <c r="B697" s="8"/>
      <c r="C697" s="8"/>
      <c r="D697" s="8"/>
      <c r="E697" s="8"/>
      <c r="F697" s="8"/>
      <c r="G697" s="8"/>
      <c r="H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row>
    <row r="698">
      <c r="A698" s="8"/>
      <c r="B698" s="8"/>
      <c r="C698" s="8"/>
      <c r="D698" s="8"/>
      <c r="E698" s="8"/>
      <c r="F698" s="8"/>
      <c r="G698" s="8"/>
      <c r="H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row>
    <row r="699">
      <c r="A699" s="8"/>
      <c r="B699" s="8"/>
      <c r="C699" s="8"/>
      <c r="D699" s="8"/>
      <c r="E699" s="8"/>
      <c r="F699" s="8"/>
      <c r="G699" s="8"/>
      <c r="H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row>
    <row r="700">
      <c r="A700" s="8"/>
      <c r="B700" s="8"/>
      <c r="C700" s="8"/>
      <c r="D700" s="8"/>
      <c r="E700" s="8"/>
      <c r="F700" s="8"/>
      <c r="G700" s="8"/>
      <c r="H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row>
    <row r="701">
      <c r="A701" s="8"/>
      <c r="B701" s="8"/>
      <c r="C701" s="8"/>
      <c r="D701" s="8"/>
      <c r="E701" s="8"/>
      <c r="F701" s="8"/>
      <c r="G701" s="8"/>
      <c r="H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row>
    <row r="702">
      <c r="A702" s="8"/>
      <c r="B702" s="8"/>
      <c r="C702" s="8"/>
      <c r="D702" s="8"/>
      <c r="E702" s="8"/>
      <c r="F702" s="8"/>
      <c r="G702" s="8"/>
      <c r="H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row>
    <row r="703">
      <c r="A703" s="8"/>
      <c r="B703" s="8"/>
      <c r="C703" s="8"/>
      <c r="D703" s="8"/>
      <c r="E703" s="8"/>
      <c r="F703" s="8"/>
      <c r="G703" s="8"/>
      <c r="H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row>
    <row r="704">
      <c r="A704" s="8"/>
      <c r="B704" s="8"/>
      <c r="C704" s="8"/>
      <c r="D704" s="8"/>
      <c r="E704" s="8"/>
      <c r="F704" s="8"/>
      <c r="G704" s="8"/>
      <c r="H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row>
    <row r="705">
      <c r="A705" s="8"/>
      <c r="B705" s="8"/>
      <c r="C705" s="8"/>
      <c r="D705" s="8"/>
      <c r="E705" s="8"/>
      <c r="F705" s="8"/>
      <c r="G705" s="8"/>
      <c r="H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row>
    <row r="706">
      <c r="A706" s="8"/>
      <c r="B706" s="8"/>
      <c r="C706" s="8"/>
      <c r="D706" s="8"/>
      <c r="E706" s="8"/>
      <c r="F706" s="8"/>
      <c r="G706" s="8"/>
      <c r="H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row>
    <row r="707">
      <c r="A707" s="8"/>
      <c r="B707" s="8"/>
      <c r="C707" s="8"/>
      <c r="D707" s="8"/>
      <c r="E707" s="8"/>
      <c r="F707" s="8"/>
      <c r="G707" s="8"/>
      <c r="H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row>
    <row r="708">
      <c r="A708" s="8"/>
      <c r="B708" s="8"/>
      <c r="C708" s="8"/>
      <c r="D708" s="8"/>
      <c r="E708" s="8"/>
      <c r="F708" s="8"/>
      <c r="G708" s="8"/>
      <c r="H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row>
    <row r="709">
      <c r="A709" s="8"/>
      <c r="B709" s="8"/>
      <c r="C709" s="8"/>
      <c r="D709" s="8"/>
      <c r="E709" s="8"/>
      <c r="F709" s="8"/>
      <c r="G709" s="8"/>
      <c r="H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row>
    <row r="710">
      <c r="A710" s="8"/>
      <c r="B710" s="8"/>
      <c r="C710" s="8"/>
      <c r="D710" s="8"/>
      <c r="E710" s="8"/>
      <c r="F710" s="8"/>
      <c r="G710" s="8"/>
      <c r="H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row>
    <row r="711">
      <c r="A711" s="8"/>
      <c r="B711" s="8"/>
      <c r="C711" s="8"/>
      <c r="D711" s="8"/>
      <c r="E711" s="8"/>
      <c r="F711" s="8"/>
      <c r="G711" s="8"/>
      <c r="H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row>
    <row r="712">
      <c r="A712" s="8"/>
      <c r="B712" s="8"/>
      <c r="C712" s="8"/>
      <c r="D712" s="8"/>
      <c r="E712" s="8"/>
      <c r="F712" s="8"/>
      <c r="G712" s="8"/>
      <c r="H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row>
    <row r="713">
      <c r="A713" s="8"/>
      <c r="B713" s="8"/>
      <c r="C713" s="8"/>
      <c r="D713" s="8"/>
      <c r="E713" s="8"/>
      <c r="F713" s="8"/>
      <c r="G713" s="8"/>
      <c r="H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row>
    <row r="714">
      <c r="A714" s="8"/>
      <c r="B714" s="8"/>
      <c r="C714" s="8"/>
      <c r="D714" s="8"/>
      <c r="E714" s="8"/>
      <c r="F714" s="8"/>
      <c r="G714" s="8"/>
      <c r="H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row>
    <row r="715">
      <c r="A715" s="8"/>
      <c r="B715" s="8"/>
      <c r="C715" s="8"/>
      <c r="D715" s="8"/>
      <c r="E715" s="8"/>
      <c r="F715" s="8"/>
      <c r="G715" s="8"/>
      <c r="H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row>
    <row r="716">
      <c r="A716" s="8"/>
      <c r="B716" s="8"/>
      <c r="C716" s="8"/>
      <c r="D716" s="8"/>
      <c r="E716" s="8"/>
      <c r="F716" s="8"/>
      <c r="G716" s="8"/>
      <c r="H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row>
    <row r="717">
      <c r="A717" s="8"/>
      <c r="B717" s="8"/>
      <c r="C717" s="8"/>
      <c r="D717" s="8"/>
      <c r="E717" s="8"/>
      <c r="F717" s="8"/>
      <c r="G717" s="8"/>
      <c r="H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row>
    <row r="718">
      <c r="A718" s="8"/>
      <c r="B718" s="8"/>
      <c r="C718" s="8"/>
      <c r="D718" s="8"/>
      <c r="E718" s="8"/>
      <c r="F718" s="8"/>
      <c r="G718" s="8"/>
      <c r="H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row>
    <row r="719">
      <c r="A719" s="8"/>
      <c r="B719" s="8"/>
      <c r="C719" s="8"/>
      <c r="D719" s="8"/>
      <c r="E719" s="8"/>
      <c r="F719" s="8"/>
      <c r="G719" s="8"/>
      <c r="H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row>
    <row r="720">
      <c r="A720" s="8"/>
      <c r="B720" s="8"/>
      <c r="C720" s="8"/>
      <c r="D720" s="8"/>
      <c r="E720" s="8"/>
      <c r="F720" s="8"/>
      <c r="G720" s="8"/>
      <c r="H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row>
    <row r="721">
      <c r="A721" s="8"/>
      <c r="B721" s="8"/>
      <c r="C721" s="8"/>
      <c r="D721" s="8"/>
      <c r="E721" s="8"/>
      <c r="F721" s="8"/>
      <c r="G721" s="8"/>
      <c r="H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row>
    <row r="722">
      <c r="A722" s="8"/>
      <c r="B722" s="8"/>
      <c r="C722" s="8"/>
      <c r="D722" s="8"/>
      <c r="E722" s="8"/>
      <c r="F722" s="8"/>
      <c r="G722" s="8"/>
      <c r="H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row>
    <row r="723">
      <c r="A723" s="8"/>
      <c r="B723" s="8"/>
      <c r="C723" s="8"/>
      <c r="D723" s="8"/>
      <c r="E723" s="8"/>
      <c r="F723" s="8"/>
      <c r="G723" s="8"/>
      <c r="H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row>
    <row r="724">
      <c r="A724" s="8"/>
      <c r="B724" s="8"/>
      <c r="C724" s="8"/>
      <c r="D724" s="8"/>
      <c r="E724" s="8"/>
      <c r="F724" s="8"/>
      <c r="G724" s="8"/>
      <c r="H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row>
    <row r="725">
      <c r="A725" s="8"/>
      <c r="B725" s="8"/>
      <c r="C725" s="8"/>
      <c r="D725" s="8"/>
      <c r="E725" s="8"/>
      <c r="F725" s="8"/>
      <c r="G725" s="8"/>
      <c r="H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row>
    <row r="726">
      <c r="A726" s="8"/>
      <c r="B726" s="8"/>
      <c r="C726" s="8"/>
      <c r="D726" s="8"/>
      <c r="E726" s="8"/>
      <c r="F726" s="8"/>
      <c r="G726" s="8"/>
      <c r="H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row>
    <row r="727">
      <c r="A727" s="8"/>
      <c r="B727" s="8"/>
      <c r="C727" s="8"/>
      <c r="D727" s="8"/>
      <c r="E727" s="8"/>
      <c r="F727" s="8"/>
      <c r="G727" s="8"/>
      <c r="H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row>
    <row r="728">
      <c r="A728" s="8"/>
      <c r="B728" s="8"/>
      <c r="C728" s="8"/>
      <c r="D728" s="8"/>
      <c r="E728" s="8"/>
      <c r="F728" s="8"/>
      <c r="G728" s="8"/>
      <c r="H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row>
    <row r="729">
      <c r="A729" s="8"/>
      <c r="B729" s="8"/>
      <c r="C729" s="8"/>
      <c r="D729" s="8"/>
      <c r="E729" s="8"/>
      <c r="F729" s="8"/>
      <c r="G729" s="8"/>
      <c r="H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row>
    <row r="730">
      <c r="A730" s="8"/>
      <c r="B730" s="8"/>
      <c r="C730" s="8"/>
      <c r="D730" s="8"/>
      <c r="E730" s="8"/>
      <c r="F730" s="8"/>
      <c r="G730" s="8"/>
      <c r="H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row>
    <row r="731">
      <c r="A731" s="8"/>
      <c r="B731" s="8"/>
      <c r="C731" s="8"/>
      <c r="D731" s="8"/>
      <c r="E731" s="8"/>
      <c r="F731" s="8"/>
      <c r="G731" s="8"/>
      <c r="H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row>
    <row r="732">
      <c r="A732" s="8"/>
      <c r="B732" s="8"/>
      <c r="C732" s="8"/>
      <c r="D732" s="8"/>
      <c r="E732" s="8"/>
      <c r="F732" s="8"/>
      <c r="G732" s="8"/>
      <c r="H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row>
    <row r="733">
      <c r="A733" s="8"/>
      <c r="B733" s="8"/>
      <c r="C733" s="8"/>
      <c r="D733" s="8"/>
      <c r="E733" s="8"/>
      <c r="F733" s="8"/>
      <c r="G733" s="8"/>
      <c r="H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row>
    <row r="734">
      <c r="A734" s="8"/>
      <c r="B734" s="8"/>
      <c r="C734" s="8"/>
      <c r="D734" s="8"/>
      <c r="E734" s="8"/>
      <c r="F734" s="8"/>
      <c r="G734" s="8"/>
      <c r="H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row>
    <row r="735">
      <c r="A735" s="8"/>
      <c r="B735" s="8"/>
      <c r="C735" s="8"/>
      <c r="D735" s="8"/>
      <c r="E735" s="8"/>
      <c r="F735" s="8"/>
      <c r="G735" s="8"/>
      <c r="H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row>
    <row r="736">
      <c r="A736" s="8"/>
      <c r="B736" s="8"/>
      <c r="C736" s="8"/>
      <c r="D736" s="8"/>
      <c r="E736" s="8"/>
      <c r="F736" s="8"/>
      <c r="G736" s="8"/>
      <c r="H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row>
    <row r="737">
      <c r="A737" s="8"/>
      <c r="B737" s="8"/>
      <c r="C737" s="8"/>
      <c r="D737" s="8"/>
      <c r="E737" s="8"/>
      <c r="F737" s="8"/>
      <c r="G737" s="8"/>
      <c r="H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row>
    <row r="738">
      <c r="A738" s="8"/>
      <c r="B738" s="8"/>
      <c r="C738" s="8"/>
      <c r="D738" s="8"/>
      <c r="E738" s="8"/>
      <c r="F738" s="8"/>
      <c r="G738" s="8"/>
      <c r="H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row>
    <row r="739">
      <c r="A739" s="8"/>
      <c r="B739" s="8"/>
      <c r="C739" s="8"/>
      <c r="D739" s="8"/>
      <c r="E739" s="8"/>
      <c r="F739" s="8"/>
      <c r="G739" s="8"/>
      <c r="H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row>
    <row r="740">
      <c r="A740" s="8"/>
      <c r="B740" s="8"/>
      <c r="C740" s="8"/>
      <c r="D740" s="8"/>
      <c r="E740" s="8"/>
      <c r="F740" s="8"/>
      <c r="G740" s="8"/>
      <c r="H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row>
    <row r="741">
      <c r="A741" s="8"/>
      <c r="B741" s="8"/>
      <c r="C741" s="8"/>
      <c r="D741" s="8"/>
      <c r="E741" s="8"/>
      <c r="F741" s="8"/>
      <c r="G741" s="8"/>
      <c r="H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row>
    <row r="742">
      <c r="A742" s="8"/>
      <c r="B742" s="8"/>
      <c r="C742" s="8"/>
      <c r="D742" s="8"/>
      <c r="E742" s="8"/>
      <c r="F742" s="8"/>
      <c r="G742" s="8"/>
      <c r="H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row>
    <row r="743">
      <c r="A743" s="8"/>
      <c r="B743" s="8"/>
      <c r="C743" s="8"/>
      <c r="D743" s="8"/>
      <c r="E743" s="8"/>
      <c r="F743" s="8"/>
      <c r="G743" s="8"/>
      <c r="H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row>
    <row r="744">
      <c r="A744" s="8"/>
      <c r="B744" s="8"/>
      <c r="C744" s="8"/>
      <c r="D744" s="8"/>
      <c r="E744" s="8"/>
      <c r="F744" s="8"/>
      <c r="G744" s="8"/>
      <c r="H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row>
    <row r="745">
      <c r="A745" s="8"/>
      <c r="B745" s="8"/>
      <c r="C745" s="8"/>
      <c r="D745" s="8"/>
      <c r="E745" s="8"/>
      <c r="F745" s="8"/>
      <c r="G745" s="8"/>
      <c r="H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row>
    <row r="746">
      <c r="A746" s="8"/>
      <c r="B746" s="8"/>
      <c r="C746" s="8"/>
      <c r="D746" s="8"/>
      <c r="E746" s="8"/>
      <c r="F746" s="8"/>
      <c r="G746" s="8"/>
      <c r="H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row>
    <row r="747">
      <c r="A747" s="8"/>
      <c r="B747" s="8"/>
      <c r="C747" s="8"/>
      <c r="D747" s="8"/>
      <c r="E747" s="8"/>
      <c r="F747" s="8"/>
      <c r="G747" s="8"/>
      <c r="H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row>
    <row r="748">
      <c r="A748" s="8"/>
      <c r="B748" s="8"/>
      <c r="C748" s="8"/>
      <c r="D748" s="8"/>
      <c r="E748" s="8"/>
      <c r="F748" s="8"/>
      <c r="G748" s="8"/>
      <c r="H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row>
    <row r="749">
      <c r="A749" s="8"/>
      <c r="B749" s="8"/>
      <c r="C749" s="8"/>
      <c r="D749" s="8"/>
      <c r="E749" s="8"/>
      <c r="F749" s="8"/>
      <c r="G749" s="8"/>
      <c r="H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row>
    <row r="750">
      <c r="A750" s="8"/>
      <c r="B750" s="8"/>
      <c r="C750" s="8"/>
      <c r="D750" s="8"/>
      <c r="E750" s="8"/>
      <c r="F750" s="8"/>
      <c r="G750" s="8"/>
      <c r="H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row>
    <row r="751">
      <c r="A751" s="8"/>
      <c r="B751" s="8"/>
      <c r="C751" s="8"/>
      <c r="D751" s="8"/>
      <c r="E751" s="8"/>
      <c r="F751" s="8"/>
      <c r="G751" s="8"/>
      <c r="H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row>
    <row r="752">
      <c r="A752" s="8"/>
      <c r="B752" s="8"/>
      <c r="C752" s="8"/>
      <c r="D752" s="8"/>
      <c r="E752" s="8"/>
      <c r="F752" s="8"/>
      <c r="G752" s="8"/>
      <c r="H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row>
    <row r="753">
      <c r="A753" s="8"/>
      <c r="B753" s="8"/>
      <c r="C753" s="8"/>
      <c r="D753" s="8"/>
      <c r="E753" s="8"/>
      <c r="F753" s="8"/>
      <c r="G753" s="8"/>
      <c r="H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row>
    <row r="754">
      <c r="A754" s="8"/>
      <c r="B754" s="8"/>
      <c r="C754" s="8"/>
      <c r="D754" s="8"/>
      <c r="E754" s="8"/>
      <c r="F754" s="8"/>
      <c r="G754" s="8"/>
      <c r="H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row>
    <row r="755">
      <c r="A755" s="8"/>
      <c r="B755" s="8"/>
      <c r="C755" s="8"/>
      <c r="D755" s="8"/>
      <c r="E755" s="8"/>
      <c r="F755" s="8"/>
      <c r="G755" s="8"/>
      <c r="H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row>
    <row r="756">
      <c r="A756" s="8"/>
      <c r="B756" s="8"/>
      <c r="C756" s="8"/>
      <c r="D756" s="8"/>
      <c r="E756" s="8"/>
      <c r="F756" s="8"/>
      <c r="G756" s="8"/>
      <c r="H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row>
    <row r="757">
      <c r="A757" s="8"/>
      <c r="B757" s="8"/>
      <c r="C757" s="8"/>
      <c r="D757" s="8"/>
      <c r="E757" s="8"/>
      <c r="F757" s="8"/>
      <c r="G757" s="8"/>
      <c r="H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row>
    <row r="758">
      <c r="A758" s="8"/>
      <c r="B758" s="8"/>
      <c r="C758" s="8"/>
      <c r="D758" s="8"/>
      <c r="E758" s="8"/>
      <c r="F758" s="8"/>
      <c r="G758" s="8"/>
      <c r="H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row>
    <row r="759">
      <c r="A759" s="8"/>
      <c r="B759" s="8"/>
      <c r="C759" s="8"/>
      <c r="D759" s="8"/>
      <c r="E759" s="8"/>
      <c r="F759" s="8"/>
      <c r="G759" s="8"/>
      <c r="H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row>
    <row r="760">
      <c r="A760" s="8"/>
      <c r="B760" s="8"/>
      <c r="C760" s="8"/>
      <c r="D760" s="8"/>
      <c r="E760" s="8"/>
      <c r="F760" s="8"/>
      <c r="G760" s="8"/>
      <c r="H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row>
    <row r="761">
      <c r="A761" s="8"/>
      <c r="B761" s="8"/>
      <c r="C761" s="8"/>
      <c r="D761" s="8"/>
      <c r="E761" s="8"/>
      <c r="F761" s="8"/>
      <c r="G761" s="8"/>
      <c r="H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row>
    <row r="762">
      <c r="A762" s="8"/>
      <c r="B762" s="8"/>
      <c r="C762" s="8"/>
      <c r="D762" s="8"/>
      <c r="E762" s="8"/>
      <c r="F762" s="8"/>
      <c r="G762" s="8"/>
      <c r="H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row>
    <row r="763">
      <c r="A763" s="8"/>
      <c r="B763" s="8"/>
      <c r="C763" s="8"/>
      <c r="D763" s="8"/>
      <c r="E763" s="8"/>
      <c r="F763" s="8"/>
      <c r="G763" s="8"/>
      <c r="H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row>
    <row r="764">
      <c r="A764" s="8"/>
      <c r="B764" s="8"/>
      <c r="C764" s="8"/>
      <c r="D764" s="8"/>
      <c r="E764" s="8"/>
      <c r="F764" s="8"/>
      <c r="G764" s="8"/>
      <c r="H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row>
    <row r="765">
      <c r="A765" s="8"/>
      <c r="B765" s="8"/>
      <c r="C765" s="8"/>
      <c r="D765" s="8"/>
      <c r="E765" s="8"/>
      <c r="F765" s="8"/>
      <c r="G765" s="8"/>
      <c r="H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row>
    <row r="766">
      <c r="A766" s="8"/>
      <c r="B766" s="8"/>
      <c r="C766" s="8"/>
      <c r="D766" s="8"/>
      <c r="E766" s="8"/>
      <c r="F766" s="8"/>
      <c r="G766" s="8"/>
      <c r="H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row>
    <row r="767">
      <c r="A767" s="8"/>
      <c r="B767" s="8"/>
      <c r="C767" s="8"/>
      <c r="D767" s="8"/>
      <c r="E767" s="8"/>
      <c r="F767" s="8"/>
      <c r="G767" s="8"/>
      <c r="H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row>
    <row r="768">
      <c r="A768" s="8"/>
      <c r="B768" s="8"/>
      <c r="C768" s="8"/>
      <c r="D768" s="8"/>
      <c r="E768" s="8"/>
      <c r="F768" s="8"/>
      <c r="G768" s="8"/>
      <c r="H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row>
    <row r="769">
      <c r="A769" s="8"/>
      <c r="B769" s="8"/>
      <c r="C769" s="8"/>
      <c r="D769" s="8"/>
      <c r="E769" s="8"/>
      <c r="F769" s="8"/>
      <c r="G769" s="8"/>
      <c r="H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row>
    <row r="770">
      <c r="A770" s="8"/>
      <c r="B770" s="8"/>
      <c r="C770" s="8"/>
      <c r="D770" s="8"/>
      <c r="E770" s="8"/>
      <c r="F770" s="8"/>
      <c r="G770" s="8"/>
      <c r="H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row>
    <row r="771">
      <c r="A771" s="8"/>
      <c r="B771" s="8"/>
      <c r="C771" s="8"/>
      <c r="D771" s="8"/>
      <c r="E771" s="8"/>
      <c r="F771" s="8"/>
      <c r="G771" s="8"/>
      <c r="H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row>
    <row r="772">
      <c r="A772" s="8"/>
      <c r="B772" s="8"/>
      <c r="C772" s="8"/>
      <c r="D772" s="8"/>
      <c r="E772" s="8"/>
      <c r="F772" s="8"/>
      <c r="G772" s="8"/>
      <c r="H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row>
    <row r="773">
      <c r="A773" s="8"/>
      <c r="B773" s="8"/>
      <c r="C773" s="8"/>
      <c r="D773" s="8"/>
      <c r="E773" s="8"/>
      <c r="F773" s="8"/>
      <c r="G773" s="8"/>
      <c r="H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row>
    <row r="774">
      <c r="A774" s="8"/>
      <c r="B774" s="8"/>
      <c r="C774" s="8"/>
      <c r="D774" s="8"/>
      <c r="E774" s="8"/>
      <c r="F774" s="8"/>
      <c r="G774" s="8"/>
      <c r="H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row>
    <row r="775">
      <c r="A775" s="8"/>
      <c r="B775" s="8"/>
      <c r="C775" s="8"/>
      <c r="D775" s="8"/>
      <c r="E775" s="8"/>
      <c r="F775" s="8"/>
      <c r="G775" s="8"/>
      <c r="H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row>
    <row r="776">
      <c r="A776" s="8"/>
      <c r="B776" s="8"/>
      <c r="C776" s="8"/>
      <c r="D776" s="8"/>
      <c r="E776" s="8"/>
      <c r="F776" s="8"/>
      <c r="G776" s="8"/>
      <c r="H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row>
    <row r="777">
      <c r="A777" s="8"/>
      <c r="B777" s="8"/>
      <c r="C777" s="8"/>
      <c r="D777" s="8"/>
      <c r="E777" s="8"/>
      <c r="F777" s="8"/>
      <c r="G777" s="8"/>
      <c r="H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row>
    <row r="778">
      <c r="A778" s="8"/>
      <c r="B778" s="8"/>
      <c r="C778" s="8"/>
      <c r="D778" s="8"/>
      <c r="E778" s="8"/>
      <c r="F778" s="8"/>
      <c r="G778" s="8"/>
      <c r="H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row>
    <row r="779">
      <c r="A779" s="8"/>
      <c r="B779" s="8"/>
      <c r="C779" s="8"/>
      <c r="D779" s="8"/>
      <c r="E779" s="8"/>
      <c r="F779" s="8"/>
      <c r="G779" s="8"/>
      <c r="H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row>
    <row r="780">
      <c r="A780" s="8"/>
      <c r="B780" s="8"/>
      <c r="C780" s="8"/>
      <c r="D780" s="8"/>
      <c r="E780" s="8"/>
      <c r="F780" s="8"/>
      <c r="G780" s="8"/>
      <c r="H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row>
    <row r="781">
      <c r="A781" s="8"/>
      <c r="B781" s="8"/>
      <c r="C781" s="8"/>
      <c r="D781" s="8"/>
      <c r="E781" s="8"/>
      <c r="F781" s="8"/>
      <c r="G781" s="8"/>
      <c r="H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row>
    <row r="782">
      <c r="A782" s="8"/>
      <c r="B782" s="8"/>
      <c r="C782" s="8"/>
      <c r="D782" s="8"/>
      <c r="E782" s="8"/>
      <c r="F782" s="8"/>
      <c r="G782" s="8"/>
      <c r="H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row>
    <row r="783">
      <c r="A783" s="8"/>
      <c r="B783" s="8"/>
      <c r="C783" s="8"/>
      <c r="D783" s="8"/>
      <c r="E783" s="8"/>
      <c r="F783" s="8"/>
      <c r="G783" s="8"/>
      <c r="H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row>
    <row r="784">
      <c r="A784" s="8"/>
      <c r="B784" s="8"/>
      <c r="C784" s="8"/>
      <c r="D784" s="8"/>
      <c r="E784" s="8"/>
      <c r="F784" s="8"/>
      <c r="G784" s="8"/>
      <c r="H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row>
    <row r="785">
      <c r="A785" s="8"/>
      <c r="B785" s="8"/>
      <c r="C785" s="8"/>
      <c r="D785" s="8"/>
      <c r="E785" s="8"/>
      <c r="F785" s="8"/>
      <c r="G785" s="8"/>
      <c r="H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row>
    <row r="786">
      <c r="A786" s="8"/>
      <c r="B786" s="8"/>
      <c r="C786" s="8"/>
      <c r="D786" s="8"/>
      <c r="E786" s="8"/>
      <c r="F786" s="8"/>
      <c r="G786" s="8"/>
      <c r="H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row>
    <row r="787">
      <c r="A787" s="8"/>
      <c r="B787" s="8"/>
      <c r="C787" s="8"/>
      <c r="D787" s="8"/>
      <c r="E787" s="8"/>
      <c r="F787" s="8"/>
      <c r="G787" s="8"/>
      <c r="H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row>
    <row r="788">
      <c r="A788" s="8"/>
      <c r="B788" s="8"/>
      <c r="C788" s="8"/>
      <c r="D788" s="8"/>
      <c r="E788" s="8"/>
      <c r="F788" s="8"/>
      <c r="G788" s="8"/>
      <c r="H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row>
    <row r="789">
      <c r="A789" s="8"/>
      <c r="B789" s="8"/>
      <c r="C789" s="8"/>
      <c r="D789" s="8"/>
      <c r="E789" s="8"/>
      <c r="F789" s="8"/>
      <c r="G789" s="8"/>
      <c r="H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row>
    <row r="790">
      <c r="A790" s="8"/>
      <c r="B790" s="8"/>
      <c r="C790" s="8"/>
      <c r="D790" s="8"/>
      <c r="E790" s="8"/>
      <c r="F790" s="8"/>
      <c r="G790" s="8"/>
      <c r="H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row>
    <row r="791">
      <c r="A791" s="8"/>
      <c r="B791" s="8"/>
      <c r="C791" s="8"/>
      <c r="D791" s="8"/>
      <c r="E791" s="8"/>
      <c r="F791" s="8"/>
      <c r="G791" s="8"/>
      <c r="H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row>
    <row r="792">
      <c r="A792" s="8"/>
      <c r="B792" s="8"/>
      <c r="C792" s="8"/>
      <c r="D792" s="8"/>
      <c r="E792" s="8"/>
      <c r="F792" s="8"/>
      <c r="G792" s="8"/>
      <c r="H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row>
    <row r="793">
      <c r="A793" s="8"/>
      <c r="B793" s="8"/>
      <c r="C793" s="8"/>
      <c r="D793" s="8"/>
      <c r="E793" s="8"/>
      <c r="F793" s="8"/>
      <c r="G793" s="8"/>
      <c r="H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row>
    <row r="794">
      <c r="A794" s="8"/>
      <c r="B794" s="8"/>
      <c r="C794" s="8"/>
      <c r="D794" s="8"/>
      <c r="E794" s="8"/>
      <c r="F794" s="8"/>
      <c r="G794" s="8"/>
      <c r="H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row>
    <row r="795">
      <c r="A795" s="8"/>
      <c r="B795" s="8"/>
      <c r="C795" s="8"/>
      <c r="D795" s="8"/>
      <c r="E795" s="8"/>
      <c r="F795" s="8"/>
      <c r="G795" s="8"/>
      <c r="H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row>
    <row r="796">
      <c r="A796" s="8"/>
      <c r="B796" s="8"/>
      <c r="C796" s="8"/>
      <c r="D796" s="8"/>
      <c r="E796" s="8"/>
      <c r="F796" s="8"/>
      <c r="G796" s="8"/>
      <c r="H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row>
    <row r="797">
      <c r="A797" s="8"/>
      <c r="B797" s="8"/>
      <c r="C797" s="8"/>
      <c r="D797" s="8"/>
      <c r="E797" s="8"/>
      <c r="F797" s="8"/>
      <c r="G797" s="8"/>
      <c r="H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row>
    <row r="798">
      <c r="A798" s="8"/>
      <c r="B798" s="8"/>
      <c r="C798" s="8"/>
      <c r="D798" s="8"/>
      <c r="E798" s="8"/>
      <c r="F798" s="8"/>
      <c r="G798" s="8"/>
      <c r="H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row>
    <row r="799">
      <c r="A799" s="8"/>
      <c r="B799" s="8"/>
      <c r="C799" s="8"/>
      <c r="D799" s="8"/>
      <c r="E799" s="8"/>
      <c r="F799" s="8"/>
      <c r="G799" s="8"/>
      <c r="H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row>
    <row r="800">
      <c r="A800" s="8"/>
      <c r="B800" s="8"/>
      <c r="C800" s="8"/>
      <c r="D800" s="8"/>
      <c r="E800" s="8"/>
      <c r="F800" s="8"/>
      <c r="G800" s="8"/>
      <c r="H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row>
    <row r="801">
      <c r="A801" s="8"/>
      <c r="B801" s="8"/>
      <c r="C801" s="8"/>
      <c r="D801" s="8"/>
      <c r="E801" s="8"/>
      <c r="F801" s="8"/>
      <c r="G801" s="8"/>
      <c r="H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row>
    <row r="802">
      <c r="A802" s="8"/>
      <c r="B802" s="8"/>
      <c r="C802" s="8"/>
      <c r="D802" s="8"/>
      <c r="E802" s="8"/>
      <c r="F802" s="8"/>
      <c r="G802" s="8"/>
      <c r="H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row>
    <row r="803">
      <c r="A803" s="8"/>
      <c r="B803" s="8"/>
      <c r="C803" s="8"/>
      <c r="D803" s="8"/>
      <c r="E803" s="8"/>
      <c r="F803" s="8"/>
      <c r="G803" s="8"/>
      <c r="H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row>
    <row r="804">
      <c r="A804" s="8"/>
      <c r="B804" s="8"/>
      <c r="C804" s="8"/>
      <c r="D804" s="8"/>
      <c r="E804" s="8"/>
      <c r="F804" s="8"/>
      <c r="G804" s="8"/>
      <c r="H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row>
    <row r="805">
      <c r="A805" s="8"/>
      <c r="B805" s="8"/>
      <c r="C805" s="8"/>
      <c r="D805" s="8"/>
      <c r="E805" s="8"/>
      <c r="F805" s="8"/>
      <c r="G805" s="8"/>
      <c r="H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row>
    <row r="806">
      <c r="A806" s="8"/>
      <c r="B806" s="8"/>
      <c r="C806" s="8"/>
      <c r="D806" s="8"/>
      <c r="E806" s="8"/>
      <c r="F806" s="8"/>
      <c r="G806" s="8"/>
      <c r="H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row>
    <row r="807">
      <c r="A807" s="8"/>
      <c r="B807" s="8"/>
      <c r="C807" s="8"/>
      <c r="D807" s="8"/>
      <c r="E807" s="8"/>
      <c r="F807" s="8"/>
      <c r="G807" s="8"/>
      <c r="H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row>
    <row r="808">
      <c r="A808" s="8"/>
      <c r="B808" s="8"/>
      <c r="C808" s="8"/>
      <c r="D808" s="8"/>
      <c r="E808" s="8"/>
      <c r="F808" s="8"/>
      <c r="G808" s="8"/>
      <c r="H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row>
    <row r="809">
      <c r="A809" s="8"/>
      <c r="B809" s="8"/>
      <c r="C809" s="8"/>
      <c r="D809" s="8"/>
      <c r="E809" s="8"/>
      <c r="F809" s="8"/>
      <c r="G809" s="8"/>
      <c r="H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row>
    <row r="810">
      <c r="A810" s="8"/>
      <c r="B810" s="8"/>
      <c r="C810" s="8"/>
      <c r="D810" s="8"/>
      <c r="E810" s="8"/>
      <c r="F810" s="8"/>
      <c r="G810" s="8"/>
      <c r="H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row>
    <row r="811">
      <c r="A811" s="8"/>
      <c r="B811" s="8"/>
      <c r="C811" s="8"/>
      <c r="D811" s="8"/>
      <c r="E811" s="8"/>
      <c r="F811" s="8"/>
      <c r="G811" s="8"/>
      <c r="H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row>
    <row r="812">
      <c r="A812" s="8"/>
      <c r="B812" s="8"/>
      <c r="C812" s="8"/>
      <c r="D812" s="8"/>
      <c r="E812" s="8"/>
      <c r="F812" s="8"/>
      <c r="G812" s="8"/>
      <c r="H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row>
    <row r="813">
      <c r="A813" s="8"/>
      <c r="B813" s="8"/>
      <c r="C813" s="8"/>
      <c r="D813" s="8"/>
      <c r="E813" s="8"/>
      <c r="F813" s="8"/>
      <c r="G813" s="8"/>
      <c r="H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row>
    <row r="814">
      <c r="A814" s="8"/>
      <c r="B814" s="8"/>
      <c r="C814" s="8"/>
      <c r="D814" s="8"/>
      <c r="E814" s="8"/>
      <c r="F814" s="8"/>
      <c r="G814" s="8"/>
      <c r="H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row>
    <row r="815">
      <c r="A815" s="8"/>
      <c r="B815" s="8"/>
      <c r="C815" s="8"/>
      <c r="D815" s="8"/>
      <c r="E815" s="8"/>
      <c r="F815" s="8"/>
      <c r="G815" s="8"/>
      <c r="H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row>
    <row r="816">
      <c r="A816" s="8"/>
      <c r="B816" s="8"/>
      <c r="C816" s="8"/>
      <c r="D816" s="8"/>
      <c r="E816" s="8"/>
      <c r="F816" s="8"/>
      <c r="G816" s="8"/>
      <c r="H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row>
    <row r="817">
      <c r="A817" s="8"/>
      <c r="B817" s="8"/>
      <c r="C817" s="8"/>
      <c r="D817" s="8"/>
      <c r="E817" s="8"/>
      <c r="F817" s="8"/>
      <c r="G817" s="8"/>
      <c r="H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row>
    <row r="818">
      <c r="A818" s="8"/>
      <c r="B818" s="8"/>
      <c r="C818" s="8"/>
      <c r="D818" s="8"/>
      <c r="E818" s="8"/>
      <c r="F818" s="8"/>
      <c r="G818" s="8"/>
      <c r="H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row>
    <row r="819">
      <c r="A819" s="8"/>
      <c r="B819" s="8"/>
      <c r="C819" s="8"/>
      <c r="D819" s="8"/>
      <c r="E819" s="8"/>
      <c r="F819" s="8"/>
      <c r="G819" s="8"/>
      <c r="H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row>
    <row r="820">
      <c r="A820" s="8"/>
      <c r="B820" s="8"/>
      <c r="C820" s="8"/>
      <c r="D820" s="8"/>
      <c r="E820" s="8"/>
      <c r="F820" s="8"/>
      <c r="G820" s="8"/>
      <c r="H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row>
    <row r="821">
      <c r="A821" s="8"/>
      <c r="B821" s="8"/>
      <c r="C821" s="8"/>
      <c r="D821" s="8"/>
      <c r="E821" s="8"/>
      <c r="F821" s="8"/>
      <c r="G821" s="8"/>
      <c r="H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row>
    <row r="822">
      <c r="A822" s="8"/>
      <c r="B822" s="8"/>
      <c r="C822" s="8"/>
      <c r="D822" s="8"/>
      <c r="E822" s="8"/>
      <c r="F822" s="8"/>
      <c r="G822" s="8"/>
      <c r="H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row>
    <row r="823">
      <c r="A823" s="8"/>
      <c r="B823" s="8"/>
      <c r="C823" s="8"/>
      <c r="D823" s="8"/>
      <c r="E823" s="8"/>
      <c r="F823" s="8"/>
      <c r="G823" s="8"/>
      <c r="H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row>
    <row r="824">
      <c r="A824" s="8"/>
      <c r="B824" s="8"/>
      <c r="C824" s="8"/>
      <c r="D824" s="8"/>
      <c r="E824" s="8"/>
      <c r="F824" s="8"/>
      <c r="G824" s="8"/>
      <c r="H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row>
    <row r="825">
      <c r="A825" s="8"/>
      <c r="B825" s="8"/>
      <c r="C825" s="8"/>
      <c r="D825" s="8"/>
      <c r="E825" s="8"/>
      <c r="F825" s="8"/>
      <c r="G825" s="8"/>
      <c r="H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row>
    <row r="826">
      <c r="A826" s="8"/>
      <c r="B826" s="8"/>
      <c r="C826" s="8"/>
      <c r="D826" s="8"/>
      <c r="E826" s="8"/>
      <c r="F826" s="8"/>
      <c r="G826" s="8"/>
      <c r="H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row>
    <row r="827">
      <c r="A827" s="8"/>
      <c r="B827" s="8"/>
      <c r="C827" s="8"/>
      <c r="D827" s="8"/>
      <c r="E827" s="8"/>
      <c r="F827" s="8"/>
      <c r="G827" s="8"/>
      <c r="H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row>
    <row r="828">
      <c r="A828" s="8"/>
      <c r="B828" s="8"/>
      <c r="C828" s="8"/>
      <c r="D828" s="8"/>
      <c r="E828" s="8"/>
      <c r="F828" s="8"/>
      <c r="G828" s="8"/>
      <c r="H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row>
    <row r="829">
      <c r="A829" s="8"/>
      <c r="B829" s="8"/>
      <c r="C829" s="8"/>
      <c r="D829" s="8"/>
      <c r="E829" s="8"/>
      <c r="F829" s="8"/>
      <c r="G829" s="8"/>
      <c r="H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row>
    <row r="830">
      <c r="A830" s="8"/>
      <c r="B830" s="8"/>
      <c r="C830" s="8"/>
      <c r="D830" s="8"/>
      <c r="E830" s="8"/>
      <c r="F830" s="8"/>
      <c r="G830" s="8"/>
      <c r="H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row>
    <row r="831">
      <c r="A831" s="8"/>
      <c r="B831" s="8"/>
      <c r="C831" s="8"/>
      <c r="D831" s="8"/>
      <c r="E831" s="8"/>
      <c r="F831" s="8"/>
      <c r="G831" s="8"/>
      <c r="H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row>
    <row r="832">
      <c r="A832" s="8"/>
      <c r="B832" s="8"/>
      <c r="C832" s="8"/>
      <c r="D832" s="8"/>
      <c r="E832" s="8"/>
      <c r="F832" s="8"/>
      <c r="G832" s="8"/>
      <c r="H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row>
    <row r="833">
      <c r="A833" s="8"/>
      <c r="B833" s="8"/>
      <c r="C833" s="8"/>
      <c r="D833" s="8"/>
      <c r="E833" s="8"/>
      <c r="F833" s="8"/>
      <c r="G833" s="8"/>
      <c r="H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row>
    <row r="834">
      <c r="A834" s="8"/>
      <c r="B834" s="8"/>
      <c r="C834" s="8"/>
      <c r="D834" s="8"/>
      <c r="E834" s="8"/>
      <c r="F834" s="8"/>
      <c r="G834" s="8"/>
      <c r="H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row>
    <row r="835">
      <c r="A835" s="8"/>
      <c r="B835" s="8"/>
      <c r="C835" s="8"/>
      <c r="D835" s="8"/>
      <c r="E835" s="8"/>
      <c r="F835" s="8"/>
      <c r="G835" s="8"/>
      <c r="H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row>
    <row r="836">
      <c r="A836" s="8"/>
      <c r="B836" s="8"/>
      <c r="C836" s="8"/>
      <c r="D836" s="8"/>
      <c r="E836" s="8"/>
      <c r="F836" s="8"/>
      <c r="G836" s="8"/>
      <c r="H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row>
    <row r="837">
      <c r="A837" s="8"/>
      <c r="B837" s="8"/>
      <c r="C837" s="8"/>
      <c r="D837" s="8"/>
      <c r="E837" s="8"/>
      <c r="F837" s="8"/>
      <c r="G837" s="8"/>
      <c r="H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row>
    <row r="838">
      <c r="A838" s="8"/>
      <c r="B838" s="8"/>
      <c r="C838" s="8"/>
      <c r="D838" s="8"/>
      <c r="E838" s="8"/>
      <c r="F838" s="8"/>
      <c r="G838" s="8"/>
      <c r="H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row>
    <row r="839">
      <c r="A839" s="8"/>
      <c r="B839" s="8"/>
      <c r="C839" s="8"/>
      <c r="D839" s="8"/>
      <c r="E839" s="8"/>
      <c r="F839" s="8"/>
      <c r="G839" s="8"/>
      <c r="H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row>
    <row r="840">
      <c r="A840" s="8"/>
      <c r="B840" s="8"/>
      <c r="C840" s="8"/>
      <c r="D840" s="8"/>
      <c r="E840" s="8"/>
      <c r="F840" s="8"/>
      <c r="G840" s="8"/>
      <c r="H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row>
    <row r="841">
      <c r="A841" s="8"/>
      <c r="B841" s="8"/>
      <c r="C841" s="8"/>
      <c r="D841" s="8"/>
      <c r="E841" s="8"/>
      <c r="F841" s="8"/>
      <c r="G841" s="8"/>
      <c r="H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row>
    <row r="842">
      <c r="A842" s="8"/>
      <c r="B842" s="8"/>
      <c r="C842" s="8"/>
      <c r="D842" s="8"/>
      <c r="E842" s="8"/>
      <c r="F842" s="8"/>
      <c r="G842" s="8"/>
      <c r="H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row>
    <row r="843">
      <c r="A843" s="8"/>
      <c r="B843" s="8"/>
      <c r="C843" s="8"/>
      <c r="D843" s="8"/>
      <c r="E843" s="8"/>
      <c r="F843" s="8"/>
      <c r="G843" s="8"/>
      <c r="H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row>
    <row r="844">
      <c r="A844" s="8"/>
      <c r="B844" s="8"/>
      <c r="C844" s="8"/>
      <c r="D844" s="8"/>
      <c r="E844" s="8"/>
      <c r="F844" s="8"/>
      <c r="G844" s="8"/>
      <c r="H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row>
    <row r="845">
      <c r="A845" s="8"/>
      <c r="B845" s="8"/>
      <c r="C845" s="8"/>
      <c r="D845" s="8"/>
      <c r="E845" s="8"/>
      <c r="F845" s="8"/>
      <c r="G845" s="8"/>
      <c r="H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row>
    <row r="846">
      <c r="A846" s="8"/>
      <c r="B846" s="8"/>
      <c r="C846" s="8"/>
      <c r="D846" s="8"/>
      <c r="E846" s="8"/>
      <c r="F846" s="8"/>
      <c r="G846" s="8"/>
      <c r="H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row>
    <row r="847">
      <c r="A847" s="8"/>
      <c r="B847" s="8"/>
      <c r="C847" s="8"/>
      <c r="D847" s="8"/>
      <c r="E847" s="8"/>
      <c r="F847" s="8"/>
      <c r="G847" s="8"/>
      <c r="H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row>
    <row r="848">
      <c r="A848" s="8"/>
      <c r="B848" s="8"/>
      <c r="C848" s="8"/>
      <c r="D848" s="8"/>
      <c r="E848" s="8"/>
      <c r="F848" s="8"/>
      <c r="G848" s="8"/>
      <c r="H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row>
    <row r="849">
      <c r="A849" s="8"/>
      <c r="B849" s="8"/>
      <c r="C849" s="8"/>
      <c r="D849" s="8"/>
      <c r="E849" s="8"/>
      <c r="F849" s="8"/>
      <c r="G849" s="8"/>
      <c r="H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row>
    <row r="850">
      <c r="A850" s="8"/>
      <c r="B850" s="8"/>
      <c r="C850" s="8"/>
      <c r="D850" s="8"/>
      <c r="E850" s="8"/>
      <c r="F850" s="8"/>
      <c r="G850" s="8"/>
      <c r="H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row>
    <row r="851">
      <c r="A851" s="8"/>
      <c r="B851" s="8"/>
      <c r="C851" s="8"/>
      <c r="D851" s="8"/>
      <c r="E851" s="8"/>
      <c r="F851" s="8"/>
      <c r="G851" s="8"/>
      <c r="H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row>
    <row r="852">
      <c r="A852" s="8"/>
      <c r="B852" s="8"/>
      <c r="C852" s="8"/>
      <c r="D852" s="8"/>
      <c r="E852" s="8"/>
      <c r="F852" s="8"/>
      <c r="G852" s="8"/>
      <c r="H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row>
    <row r="853">
      <c r="A853" s="8"/>
      <c r="B853" s="8"/>
      <c r="C853" s="8"/>
      <c r="D853" s="8"/>
      <c r="E853" s="8"/>
      <c r="F853" s="8"/>
      <c r="G853" s="8"/>
      <c r="H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row>
    <row r="854">
      <c r="A854" s="8"/>
      <c r="B854" s="8"/>
      <c r="C854" s="8"/>
      <c r="D854" s="8"/>
      <c r="E854" s="8"/>
      <c r="F854" s="8"/>
      <c r="G854" s="8"/>
      <c r="H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row>
    <row r="855">
      <c r="A855" s="8"/>
      <c r="B855" s="8"/>
      <c r="C855" s="8"/>
      <c r="D855" s="8"/>
      <c r="E855" s="8"/>
      <c r="F855" s="8"/>
      <c r="G855" s="8"/>
      <c r="H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row>
    <row r="856">
      <c r="A856" s="8"/>
      <c r="B856" s="8"/>
      <c r="C856" s="8"/>
      <c r="D856" s="8"/>
      <c r="E856" s="8"/>
      <c r="F856" s="8"/>
      <c r="G856" s="8"/>
      <c r="H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row>
    <row r="857">
      <c r="A857" s="8"/>
      <c r="B857" s="8"/>
      <c r="C857" s="8"/>
      <c r="D857" s="8"/>
      <c r="E857" s="8"/>
      <c r="F857" s="8"/>
      <c r="G857" s="8"/>
      <c r="H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row>
    <row r="858">
      <c r="A858" s="8"/>
      <c r="B858" s="8"/>
      <c r="C858" s="8"/>
      <c r="D858" s="8"/>
      <c r="E858" s="8"/>
      <c r="F858" s="8"/>
      <c r="G858" s="8"/>
      <c r="H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row>
    <row r="859">
      <c r="A859" s="8"/>
      <c r="B859" s="8"/>
      <c r="C859" s="8"/>
      <c r="D859" s="8"/>
      <c r="E859" s="8"/>
      <c r="F859" s="8"/>
      <c r="G859" s="8"/>
      <c r="H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row>
    <row r="860">
      <c r="A860" s="8"/>
      <c r="B860" s="8"/>
      <c r="C860" s="8"/>
      <c r="D860" s="8"/>
      <c r="E860" s="8"/>
      <c r="F860" s="8"/>
      <c r="G860" s="8"/>
      <c r="H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row>
    <row r="861">
      <c r="A861" s="8"/>
      <c r="B861" s="8"/>
      <c r="C861" s="8"/>
      <c r="D861" s="8"/>
      <c r="E861" s="8"/>
      <c r="F861" s="8"/>
      <c r="G861" s="8"/>
      <c r="H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row>
    <row r="862">
      <c r="A862" s="8"/>
      <c r="B862" s="8"/>
      <c r="C862" s="8"/>
      <c r="D862" s="8"/>
      <c r="E862" s="8"/>
      <c r="F862" s="8"/>
      <c r="G862" s="8"/>
      <c r="H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row>
    <row r="863">
      <c r="A863" s="8"/>
      <c r="B863" s="8"/>
      <c r="C863" s="8"/>
      <c r="D863" s="8"/>
      <c r="E863" s="8"/>
      <c r="F863" s="8"/>
      <c r="G863" s="8"/>
      <c r="H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row>
    <row r="864">
      <c r="A864" s="8"/>
      <c r="B864" s="8"/>
      <c r="C864" s="8"/>
      <c r="D864" s="8"/>
      <c r="E864" s="8"/>
      <c r="F864" s="8"/>
      <c r="G864" s="8"/>
      <c r="H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row>
    <row r="865">
      <c r="A865" s="8"/>
      <c r="B865" s="8"/>
      <c r="C865" s="8"/>
      <c r="D865" s="8"/>
      <c r="E865" s="8"/>
      <c r="F865" s="8"/>
      <c r="G865" s="8"/>
      <c r="H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row>
    <row r="866">
      <c r="A866" s="8"/>
      <c r="B866" s="8"/>
      <c r="C866" s="8"/>
      <c r="D866" s="8"/>
      <c r="E866" s="8"/>
      <c r="F866" s="8"/>
      <c r="G866" s="8"/>
      <c r="H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row>
    <row r="867">
      <c r="A867" s="8"/>
      <c r="B867" s="8"/>
      <c r="C867" s="8"/>
      <c r="D867" s="8"/>
      <c r="E867" s="8"/>
      <c r="F867" s="8"/>
      <c r="G867" s="8"/>
      <c r="H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row>
    <row r="868">
      <c r="A868" s="8"/>
      <c r="B868" s="8"/>
      <c r="C868" s="8"/>
      <c r="D868" s="8"/>
      <c r="E868" s="8"/>
      <c r="F868" s="8"/>
      <c r="G868" s="8"/>
      <c r="H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row>
    <row r="869">
      <c r="A869" s="8"/>
      <c r="B869" s="8"/>
      <c r="C869" s="8"/>
      <c r="D869" s="8"/>
      <c r="E869" s="8"/>
      <c r="F869" s="8"/>
      <c r="G869" s="8"/>
      <c r="H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row>
    <row r="870">
      <c r="A870" s="8"/>
      <c r="B870" s="8"/>
      <c r="C870" s="8"/>
      <c r="D870" s="8"/>
      <c r="E870" s="8"/>
      <c r="F870" s="8"/>
      <c r="G870" s="8"/>
      <c r="H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row>
    <row r="871">
      <c r="A871" s="8"/>
      <c r="B871" s="8"/>
      <c r="C871" s="8"/>
      <c r="D871" s="8"/>
      <c r="E871" s="8"/>
      <c r="F871" s="8"/>
      <c r="G871" s="8"/>
      <c r="H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row>
    <row r="872">
      <c r="A872" s="8"/>
      <c r="B872" s="8"/>
      <c r="C872" s="8"/>
      <c r="D872" s="8"/>
      <c r="E872" s="8"/>
      <c r="F872" s="8"/>
      <c r="G872" s="8"/>
      <c r="H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row>
    <row r="873">
      <c r="A873" s="8"/>
      <c r="B873" s="8"/>
      <c r="C873" s="8"/>
      <c r="D873" s="8"/>
      <c r="E873" s="8"/>
      <c r="F873" s="8"/>
      <c r="G873" s="8"/>
      <c r="H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row>
    <row r="874">
      <c r="A874" s="8"/>
      <c r="B874" s="8"/>
      <c r="C874" s="8"/>
      <c r="D874" s="8"/>
      <c r="E874" s="8"/>
      <c r="F874" s="8"/>
      <c r="G874" s="8"/>
      <c r="H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row>
    <row r="875">
      <c r="A875" s="8"/>
      <c r="B875" s="8"/>
      <c r="C875" s="8"/>
      <c r="D875" s="8"/>
      <c r="E875" s="8"/>
      <c r="F875" s="8"/>
      <c r="G875" s="8"/>
      <c r="H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row>
    <row r="876">
      <c r="A876" s="8"/>
      <c r="B876" s="8"/>
      <c r="C876" s="8"/>
      <c r="D876" s="8"/>
      <c r="E876" s="8"/>
      <c r="F876" s="8"/>
      <c r="G876" s="8"/>
      <c r="H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row>
    <row r="877">
      <c r="A877" s="8"/>
      <c r="B877" s="8"/>
      <c r="C877" s="8"/>
      <c r="D877" s="8"/>
      <c r="E877" s="8"/>
      <c r="F877" s="8"/>
      <c r="G877" s="8"/>
      <c r="H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row>
    <row r="878">
      <c r="A878" s="8"/>
      <c r="B878" s="8"/>
      <c r="C878" s="8"/>
      <c r="D878" s="8"/>
      <c r="E878" s="8"/>
      <c r="F878" s="8"/>
      <c r="G878" s="8"/>
      <c r="H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row>
    <row r="879">
      <c r="A879" s="8"/>
      <c r="B879" s="8"/>
      <c r="C879" s="8"/>
      <c r="D879" s="8"/>
      <c r="E879" s="8"/>
      <c r="F879" s="8"/>
      <c r="G879" s="8"/>
      <c r="H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row>
    <row r="880">
      <c r="A880" s="8"/>
      <c r="B880" s="8"/>
      <c r="C880" s="8"/>
      <c r="D880" s="8"/>
      <c r="E880" s="8"/>
      <c r="F880" s="8"/>
      <c r="G880" s="8"/>
      <c r="H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row>
    <row r="881">
      <c r="A881" s="8"/>
      <c r="B881" s="8"/>
      <c r="C881" s="8"/>
      <c r="D881" s="8"/>
      <c r="E881" s="8"/>
      <c r="F881" s="8"/>
      <c r="G881" s="8"/>
      <c r="H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row>
    <row r="882">
      <c r="A882" s="8"/>
      <c r="B882" s="8"/>
      <c r="C882" s="8"/>
      <c r="D882" s="8"/>
      <c r="E882" s="8"/>
      <c r="F882" s="8"/>
      <c r="G882" s="8"/>
      <c r="H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row>
    <row r="883">
      <c r="A883" s="8"/>
      <c r="B883" s="8"/>
      <c r="C883" s="8"/>
      <c r="D883" s="8"/>
      <c r="E883" s="8"/>
      <c r="F883" s="8"/>
      <c r="G883" s="8"/>
      <c r="H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row>
    <row r="884">
      <c r="A884" s="8"/>
      <c r="B884" s="8"/>
      <c r="C884" s="8"/>
      <c r="D884" s="8"/>
      <c r="E884" s="8"/>
      <c r="F884" s="8"/>
      <c r="G884" s="8"/>
      <c r="H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row>
    <row r="885">
      <c r="A885" s="8"/>
      <c r="B885" s="8"/>
      <c r="C885" s="8"/>
      <c r="D885" s="8"/>
      <c r="E885" s="8"/>
      <c r="F885" s="8"/>
      <c r="G885" s="8"/>
      <c r="H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row>
    <row r="886">
      <c r="A886" s="8"/>
      <c r="B886" s="8"/>
      <c r="C886" s="8"/>
      <c r="D886" s="8"/>
      <c r="E886" s="8"/>
      <c r="F886" s="8"/>
      <c r="G886" s="8"/>
      <c r="H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row>
    <row r="887">
      <c r="A887" s="8"/>
      <c r="B887" s="8"/>
      <c r="C887" s="8"/>
      <c r="D887" s="8"/>
      <c r="E887" s="8"/>
      <c r="F887" s="8"/>
      <c r="G887" s="8"/>
      <c r="H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row>
    <row r="888">
      <c r="A888" s="8"/>
      <c r="B888" s="8"/>
      <c r="C888" s="8"/>
      <c r="D888" s="8"/>
      <c r="E888" s="8"/>
      <c r="F888" s="8"/>
      <c r="G888" s="8"/>
      <c r="H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row>
    <row r="889">
      <c r="A889" s="8"/>
      <c r="B889" s="8"/>
      <c r="C889" s="8"/>
      <c r="D889" s="8"/>
      <c r="E889" s="8"/>
      <c r="F889" s="8"/>
      <c r="G889" s="8"/>
      <c r="H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row>
    <row r="890">
      <c r="A890" s="8"/>
      <c r="B890" s="8"/>
      <c r="C890" s="8"/>
      <c r="D890" s="8"/>
      <c r="E890" s="8"/>
      <c r="F890" s="8"/>
      <c r="G890" s="8"/>
      <c r="H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row>
    <row r="891">
      <c r="A891" s="8"/>
      <c r="B891" s="8"/>
      <c r="C891" s="8"/>
      <c r="D891" s="8"/>
      <c r="E891" s="8"/>
      <c r="F891" s="8"/>
      <c r="G891" s="8"/>
      <c r="H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row>
    <row r="892">
      <c r="A892" s="8"/>
      <c r="B892" s="8"/>
      <c r="C892" s="8"/>
      <c r="D892" s="8"/>
      <c r="E892" s="8"/>
      <c r="F892" s="8"/>
      <c r="G892" s="8"/>
      <c r="H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row>
    <row r="893">
      <c r="A893" s="8"/>
      <c r="B893" s="8"/>
      <c r="C893" s="8"/>
      <c r="D893" s="8"/>
      <c r="E893" s="8"/>
      <c r="F893" s="8"/>
      <c r="G893" s="8"/>
      <c r="H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row>
    <row r="894">
      <c r="A894" s="8"/>
      <c r="B894" s="8"/>
      <c r="C894" s="8"/>
      <c r="D894" s="8"/>
      <c r="E894" s="8"/>
      <c r="F894" s="8"/>
      <c r="G894" s="8"/>
      <c r="H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row>
    <row r="895">
      <c r="A895" s="8"/>
      <c r="B895" s="8"/>
      <c r="C895" s="8"/>
      <c r="D895" s="8"/>
      <c r="E895" s="8"/>
      <c r="F895" s="8"/>
      <c r="G895" s="8"/>
      <c r="H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row>
    <row r="896">
      <c r="A896" s="8"/>
      <c r="B896" s="8"/>
      <c r="C896" s="8"/>
      <c r="D896" s="8"/>
      <c r="E896" s="8"/>
      <c r="F896" s="8"/>
      <c r="G896" s="8"/>
      <c r="H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row>
    <row r="897">
      <c r="A897" s="8"/>
      <c r="B897" s="8"/>
      <c r="C897" s="8"/>
      <c r="D897" s="8"/>
      <c r="E897" s="8"/>
      <c r="F897" s="8"/>
      <c r="G897" s="8"/>
      <c r="H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row>
    <row r="898">
      <c r="A898" s="8"/>
      <c r="B898" s="8"/>
      <c r="C898" s="8"/>
      <c r="D898" s="8"/>
      <c r="E898" s="8"/>
      <c r="F898" s="8"/>
      <c r="G898" s="8"/>
      <c r="H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row>
    <row r="899">
      <c r="A899" s="8"/>
      <c r="B899" s="8"/>
      <c r="C899" s="8"/>
      <c r="D899" s="8"/>
      <c r="E899" s="8"/>
      <c r="F899" s="8"/>
      <c r="G899" s="8"/>
      <c r="H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row>
    <row r="900">
      <c r="A900" s="8"/>
      <c r="B900" s="8"/>
      <c r="C900" s="8"/>
      <c r="D900" s="8"/>
      <c r="E900" s="8"/>
      <c r="F900" s="8"/>
      <c r="G900" s="8"/>
      <c r="H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row>
    <row r="901">
      <c r="A901" s="8"/>
      <c r="B901" s="8"/>
      <c r="C901" s="8"/>
      <c r="D901" s="8"/>
      <c r="E901" s="8"/>
      <c r="F901" s="8"/>
      <c r="G901" s="8"/>
      <c r="H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row>
    <row r="902">
      <c r="A902" s="8"/>
      <c r="B902" s="8"/>
      <c r="C902" s="8"/>
      <c r="D902" s="8"/>
      <c r="E902" s="8"/>
      <c r="F902" s="8"/>
      <c r="G902" s="8"/>
      <c r="H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row>
    <row r="903">
      <c r="A903" s="8"/>
      <c r="B903" s="8"/>
      <c r="C903" s="8"/>
      <c r="D903" s="8"/>
      <c r="E903" s="8"/>
      <c r="F903" s="8"/>
      <c r="G903" s="8"/>
      <c r="H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row>
    <row r="904">
      <c r="A904" s="8"/>
      <c r="B904" s="8"/>
      <c r="C904" s="8"/>
      <c r="D904" s="8"/>
      <c r="E904" s="8"/>
      <c r="F904" s="8"/>
      <c r="G904" s="8"/>
      <c r="H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row>
    <row r="905">
      <c r="A905" s="8"/>
      <c r="B905" s="8"/>
      <c r="C905" s="8"/>
      <c r="D905" s="8"/>
      <c r="E905" s="8"/>
      <c r="F905" s="8"/>
      <c r="G905" s="8"/>
      <c r="H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row>
    <row r="906">
      <c r="A906" s="8"/>
      <c r="B906" s="8"/>
      <c r="C906" s="8"/>
      <c r="D906" s="8"/>
      <c r="E906" s="8"/>
      <c r="F906" s="8"/>
      <c r="G906" s="8"/>
      <c r="H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row>
    <row r="907">
      <c r="A907" s="8"/>
      <c r="B907" s="8"/>
      <c r="C907" s="8"/>
      <c r="D907" s="8"/>
      <c r="E907" s="8"/>
      <c r="F907" s="8"/>
      <c r="G907" s="8"/>
      <c r="H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row>
    <row r="908">
      <c r="A908" s="8"/>
      <c r="B908" s="8"/>
      <c r="C908" s="8"/>
      <c r="D908" s="8"/>
      <c r="E908" s="8"/>
      <c r="F908" s="8"/>
      <c r="G908" s="8"/>
      <c r="H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row>
    <row r="909">
      <c r="A909" s="8"/>
      <c r="B909" s="8"/>
      <c r="C909" s="8"/>
      <c r="D909" s="8"/>
      <c r="E909" s="8"/>
      <c r="F909" s="8"/>
      <c r="G909" s="8"/>
      <c r="H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row>
    <row r="910">
      <c r="A910" s="8"/>
      <c r="B910" s="8"/>
      <c r="C910" s="8"/>
      <c r="D910" s="8"/>
      <c r="E910" s="8"/>
      <c r="F910" s="8"/>
      <c r="G910" s="8"/>
      <c r="H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row>
    <row r="911">
      <c r="A911" s="8"/>
      <c r="B911" s="8"/>
      <c r="C911" s="8"/>
      <c r="D911" s="8"/>
      <c r="E911" s="8"/>
      <c r="F911" s="8"/>
      <c r="G911" s="8"/>
      <c r="H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row>
    <row r="912">
      <c r="A912" s="8"/>
      <c r="B912" s="8"/>
      <c r="C912" s="8"/>
      <c r="D912" s="8"/>
      <c r="E912" s="8"/>
      <c r="F912" s="8"/>
      <c r="G912" s="8"/>
      <c r="H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row>
    <row r="913">
      <c r="A913" s="8"/>
      <c r="B913" s="8"/>
      <c r="C913" s="8"/>
      <c r="D913" s="8"/>
      <c r="E913" s="8"/>
      <c r="F913" s="8"/>
      <c r="G913" s="8"/>
      <c r="H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row>
    <row r="914">
      <c r="A914" s="8"/>
      <c r="B914" s="8"/>
      <c r="C914" s="8"/>
      <c r="D914" s="8"/>
      <c r="E914" s="8"/>
      <c r="F914" s="8"/>
      <c r="G914" s="8"/>
      <c r="H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row>
    <row r="915">
      <c r="A915" s="8"/>
      <c r="B915" s="8"/>
      <c r="C915" s="8"/>
      <c r="D915" s="8"/>
      <c r="E915" s="8"/>
      <c r="F915" s="8"/>
      <c r="G915" s="8"/>
      <c r="H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row>
    <row r="916">
      <c r="A916" s="8"/>
      <c r="B916" s="8"/>
      <c r="C916" s="8"/>
      <c r="D916" s="8"/>
      <c r="E916" s="8"/>
      <c r="F916" s="8"/>
      <c r="G916" s="8"/>
      <c r="H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row>
    <row r="917">
      <c r="A917" s="8"/>
      <c r="B917" s="8"/>
      <c r="C917" s="8"/>
      <c r="D917" s="8"/>
      <c r="E917" s="8"/>
      <c r="F917" s="8"/>
      <c r="G917" s="8"/>
      <c r="H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row>
    <row r="918">
      <c r="A918" s="8"/>
      <c r="B918" s="8"/>
      <c r="C918" s="8"/>
      <c r="D918" s="8"/>
      <c r="E918" s="8"/>
      <c r="F918" s="8"/>
      <c r="G918" s="8"/>
      <c r="H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row>
    <row r="919">
      <c r="A919" s="8"/>
      <c r="B919" s="8"/>
      <c r="C919" s="8"/>
      <c r="D919" s="8"/>
      <c r="E919" s="8"/>
      <c r="F919" s="8"/>
      <c r="G919" s="8"/>
      <c r="H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row>
    <row r="920">
      <c r="A920" s="8"/>
      <c r="B920" s="8"/>
      <c r="C920" s="8"/>
      <c r="D920" s="8"/>
      <c r="E920" s="8"/>
      <c r="F920" s="8"/>
      <c r="G920" s="8"/>
      <c r="H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row>
    <row r="921">
      <c r="A921" s="8"/>
      <c r="B921" s="8"/>
      <c r="C921" s="8"/>
      <c r="D921" s="8"/>
      <c r="E921" s="8"/>
      <c r="F921" s="8"/>
      <c r="G921" s="8"/>
      <c r="H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row>
    <row r="922">
      <c r="A922" s="8"/>
      <c r="B922" s="8"/>
      <c r="C922" s="8"/>
      <c r="D922" s="8"/>
      <c r="E922" s="8"/>
      <c r="F922" s="8"/>
      <c r="G922" s="8"/>
      <c r="H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row>
    <row r="923">
      <c r="A923" s="8"/>
      <c r="B923" s="8"/>
      <c r="C923" s="8"/>
      <c r="D923" s="8"/>
      <c r="E923" s="8"/>
      <c r="F923" s="8"/>
      <c r="G923" s="8"/>
      <c r="H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row>
    <row r="924">
      <c r="A924" s="8"/>
      <c r="B924" s="8"/>
      <c r="C924" s="8"/>
      <c r="D924" s="8"/>
      <c r="E924" s="8"/>
      <c r="F924" s="8"/>
      <c r="G924" s="8"/>
      <c r="H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row>
    <row r="925">
      <c r="A925" s="8"/>
      <c r="B925" s="8"/>
      <c r="C925" s="8"/>
      <c r="D925" s="8"/>
      <c r="E925" s="8"/>
      <c r="F925" s="8"/>
      <c r="G925" s="8"/>
      <c r="H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row>
    <row r="926">
      <c r="A926" s="8"/>
      <c r="B926" s="8"/>
      <c r="C926" s="8"/>
      <c r="D926" s="8"/>
      <c r="E926" s="8"/>
      <c r="F926" s="8"/>
      <c r="G926" s="8"/>
      <c r="H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row>
    <row r="927">
      <c r="A927" s="8"/>
      <c r="B927" s="8"/>
      <c r="C927" s="8"/>
      <c r="D927" s="8"/>
      <c r="E927" s="8"/>
      <c r="F927" s="8"/>
      <c r="G927" s="8"/>
      <c r="H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row>
    <row r="928">
      <c r="A928" s="8"/>
      <c r="B928" s="8"/>
      <c r="C928" s="8"/>
      <c r="D928" s="8"/>
      <c r="E928" s="8"/>
      <c r="F928" s="8"/>
      <c r="G928" s="8"/>
      <c r="H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row>
    <row r="929">
      <c r="A929" s="8"/>
      <c r="B929" s="8"/>
      <c r="C929" s="8"/>
      <c r="D929" s="8"/>
      <c r="E929" s="8"/>
      <c r="F929" s="8"/>
      <c r="G929" s="8"/>
      <c r="H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row>
    <row r="930">
      <c r="A930" s="8"/>
      <c r="B930" s="8"/>
      <c r="C930" s="8"/>
      <c r="D930" s="8"/>
      <c r="E930" s="8"/>
      <c r="F930" s="8"/>
      <c r="G930" s="8"/>
      <c r="H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row>
    <row r="931">
      <c r="A931" s="8"/>
      <c r="B931" s="8"/>
      <c r="C931" s="8"/>
      <c r="D931" s="8"/>
      <c r="E931" s="8"/>
      <c r="F931" s="8"/>
      <c r="G931" s="8"/>
      <c r="H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row>
    <row r="932">
      <c r="A932" s="8"/>
      <c r="B932" s="8"/>
      <c r="C932" s="8"/>
      <c r="D932" s="8"/>
      <c r="E932" s="8"/>
      <c r="F932" s="8"/>
      <c r="G932" s="8"/>
      <c r="H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row>
    <row r="933">
      <c r="A933" s="8"/>
      <c r="B933" s="8"/>
      <c r="C933" s="8"/>
      <c r="D933" s="8"/>
      <c r="E933" s="8"/>
      <c r="F933" s="8"/>
      <c r="G933" s="8"/>
      <c r="H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row>
    <row r="934">
      <c r="A934" s="8"/>
      <c r="B934" s="8"/>
      <c r="C934" s="8"/>
      <c r="D934" s="8"/>
      <c r="E934" s="8"/>
      <c r="F934" s="8"/>
      <c r="G934" s="8"/>
      <c r="H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row>
    <row r="935">
      <c r="A935" s="8"/>
      <c r="B935" s="8"/>
      <c r="C935" s="8"/>
      <c r="D935" s="8"/>
      <c r="E935" s="8"/>
      <c r="F935" s="8"/>
      <c r="G935" s="8"/>
      <c r="H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row>
    <row r="936">
      <c r="A936" s="8"/>
      <c r="B936" s="8"/>
      <c r="C936" s="8"/>
      <c r="D936" s="8"/>
      <c r="E936" s="8"/>
      <c r="F936" s="8"/>
      <c r="G936" s="8"/>
      <c r="H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row>
    <row r="937">
      <c r="A937" s="8"/>
      <c r="B937" s="8"/>
      <c r="C937" s="8"/>
      <c r="D937" s="8"/>
      <c r="E937" s="8"/>
      <c r="F937" s="8"/>
      <c r="G937" s="8"/>
      <c r="H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row>
    <row r="938">
      <c r="A938" s="8"/>
      <c r="B938" s="8"/>
      <c r="C938" s="8"/>
      <c r="D938" s="8"/>
      <c r="E938" s="8"/>
      <c r="F938" s="8"/>
      <c r="G938" s="8"/>
      <c r="H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row>
    <row r="939">
      <c r="A939" s="8"/>
      <c r="B939" s="8"/>
      <c r="C939" s="8"/>
      <c r="D939" s="8"/>
      <c r="E939" s="8"/>
      <c r="F939" s="8"/>
      <c r="G939" s="8"/>
      <c r="H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row>
    <row r="940">
      <c r="A940" s="8"/>
      <c r="B940" s="8"/>
      <c r="C940" s="8"/>
      <c r="D940" s="8"/>
      <c r="E940" s="8"/>
      <c r="F940" s="8"/>
      <c r="G940" s="8"/>
      <c r="H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row>
    <row r="941">
      <c r="A941" s="8"/>
      <c r="B941" s="8"/>
      <c r="C941" s="8"/>
      <c r="D941" s="8"/>
      <c r="E941" s="8"/>
      <c r="F941" s="8"/>
      <c r="G941" s="8"/>
      <c r="H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row>
    <row r="942">
      <c r="A942" s="8"/>
      <c r="B942" s="8"/>
      <c r="C942" s="8"/>
      <c r="D942" s="8"/>
      <c r="E942" s="8"/>
      <c r="F942" s="8"/>
      <c r="G942" s="8"/>
      <c r="H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row>
    <row r="943">
      <c r="A943" s="8"/>
      <c r="B943" s="8"/>
      <c r="C943" s="8"/>
      <c r="D943" s="8"/>
      <c r="E943" s="8"/>
      <c r="F943" s="8"/>
      <c r="G943" s="8"/>
      <c r="H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row>
    <row r="944">
      <c r="A944" s="8"/>
      <c r="B944" s="8"/>
      <c r="C944" s="8"/>
      <c r="D944" s="8"/>
      <c r="E944" s="8"/>
      <c r="F944" s="8"/>
      <c r="G944" s="8"/>
      <c r="H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row>
    <row r="945">
      <c r="A945" s="8"/>
      <c r="B945" s="8"/>
      <c r="C945" s="8"/>
      <c r="D945" s="8"/>
      <c r="E945" s="8"/>
      <c r="F945" s="8"/>
      <c r="G945" s="8"/>
      <c r="H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row>
    <row r="946">
      <c r="A946" s="8"/>
      <c r="B946" s="8"/>
      <c r="C946" s="8"/>
      <c r="D946" s="8"/>
      <c r="E946" s="8"/>
      <c r="F946" s="8"/>
      <c r="G946" s="8"/>
      <c r="H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row>
    <row r="947">
      <c r="A947" s="8"/>
      <c r="B947" s="8"/>
      <c r="C947" s="8"/>
      <c r="D947" s="8"/>
      <c r="E947" s="8"/>
      <c r="F947" s="8"/>
      <c r="G947" s="8"/>
      <c r="H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row>
    <row r="948">
      <c r="A948" s="8"/>
      <c r="B948" s="8"/>
      <c r="C948" s="8"/>
      <c r="D948" s="8"/>
      <c r="E948" s="8"/>
      <c r="F948" s="8"/>
      <c r="G948" s="8"/>
      <c r="H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row>
    <row r="949">
      <c r="A949" s="8"/>
      <c r="B949" s="8"/>
      <c r="C949" s="8"/>
      <c r="D949" s="8"/>
      <c r="E949" s="8"/>
      <c r="F949" s="8"/>
      <c r="G949" s="8"/>
      <c r="H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row>
    <row r="950">
      <c r="A950" s="8"/>
      <c r="B950" s="8"/>
      <c r="C950" s="8"/>
      <c r="D950" s="8"/>
      <c r="E950" s="8"/>
      <c r="F950" s="8"/>
      <c r="G950" s="8"/>
      <c r="H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row>
    <row r="951">
      <c r="A951" s="8"/>
      <c r="B951" s="8"/>
      <c r="C951" s="8"/>
      <c r="D951" s="8"/>
      <c r="E951" s="8"/>
      <c r="F951" s="8"/>
      <c r="G951" s="8"/>
      <c r="H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row>
    <row r="952">
      <c r="A952" s="8"/>
      <c r="B952" s="8"/>
      <c r="C952" s="8"/>
      <c r="D952" s="8"/>
      <c r="E952" s="8"/>
      <c r="F952" s="8"/>
      <c r="G952" s="8"/>
      <c r="H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row>
    <row r="953">
      <c r="A953" s="8"/>
      <c r="B953" s="8"/>
      <c r="C953" s="8"/>
      <c r="D953" s="8"/>
      <c r="E953" s="8"/>
      <c r="F953" s="8"/>
      <c r="G953" s="8"/>
      <c r="H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row>
    <row r="954">
      <c r="A954" s="8"/>
      <c r="B954" s="8"/>
      <c r="C954" s="8"/>
      <c r="D954" s="8"/>
      <c r="E954" s="8"/>
      <c r="F954" s="8"/>
      <c r="G954" s="8"/>
      <c r="H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row>
    <row r="955">
      <c r="A955" s="8"/>
      <c r="B955" s="8"/>
      <c r="C955" s="8"/>
      <c r="D955" s="8"/>
      <c r="E955" s="8"/>
      <c r="F955" s="8"/>
      <c r="G955" s="8"/>
      <c r="H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row>
    <row r="956">
      <c r="A956" s="8"/>
      <c r="B956" s="8"/>
      <c r="C956" s="8"/>
      <c r="D956" s="8"/>
      <c r="E956" s="8"/>
      <c r="F956" s="8"/>
      <c r="G956" s="8"/>
      <c r="H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row>
    <row r="957">
      <c r="A957" s="8"/>
      <c r="B957" s="8"/>
      <c r="C957" s="8"/>
      <c r="D957" s="8"/>
      <c r="E957" s="8"/>
      <c r="F957" s="8"/>
      <c r="G957" s="8"/>
      <c r="H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row>
    <row r="958">
      <c r="A958" s="8"/>
      <c r="B958" s="8"/>
      <c r="C958" s="8"/>
      <c r="D958" s="8"/>
      <c r="E958" s="8"/>
      <c r="F958" s="8"/>
      <c r="G958" s="8"/>
      <c r="H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row>
    <row r="959">
      <c r="A959" s="8"/>
      <c r="B959" s="8"/>
      <c r="C959" s="8"/>
      <c r="D959" s="8"/>
      <c r="E959" s="8"/>
      <c r="F959" s="8"/>
      <c r="G959" s="8"/>
      <c r="H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row>
    <row r="960">
      <c r="A960" s="8"/>
      <c r="B960" s="8"/>
      <c r="C960" s="8"/>
      <c r="D960" s="8"/>
      <c r="E960" s="8"/>
      <c r="F960" s="8"/>
      <c r="G960" s="8"/>
      <c r="H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row>
    <row r="961">
      <c r="A961" s="8"/>
      <c r="B961" s="8"/>
      <c r="C961" s="8"/>
      <c r="D961" s="8"/>
      <c r="E961" s="8"/>
      <c r="F961" s="8"/>
      <c r="G961" s="8"/>
      <c r="H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row>
    <row r="962">
      <c r="A962" s="8"/>
      <c r="B962" s="8"/>
      <c r="C962" s="8"/>
      <c r="D962" s="8"/>
      <c r="E962" s="8"/>
      <c r="F962" s="8"/>
      <c r="G962" s="8"/>
      <c r="H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row>
    <row r="963">
      <c r="A963" s="8"/>
      <c r="B963" s="8"/>
      <c r="C963" s="8"/>
      <c r="D963" s="8"/>
      <c r="E963" s="8"/>
      <c r="F963" s="8"/>
      <c r="G963" s="8"/>
      <c r="H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row>
    <row r="964">
      <c r="A964" s="8"/>
      <c r="B964" s="8"/>
      <c r="C964" s="8"/>
      <c r="D964" s="8"/>
      <c r="E964" s="8"/>
      <c r="F964" s="8"/>
      <c r="G964" s="8"/>
      <c r="H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row>
    <row r="965">
      <c r="A965" s="8"/>
      <c r="B965" s="8"/>
      <c r="C965" s="8"/>
      <c r="D965" s="8"/>
      <c r="E965" s="8"/>
      <c r="F965" s="8"/>
      <c r="G965" s="8"/>
      <c r="H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row>
    <row r="966">
      <c r="A966" s="8"/>
      <c r="B966" s="8"/>
      <c r="C966" s="8"/>
      <c r="D966" s="8"/>
      <c r="E966" s="8"/>
      <c r="F966" s="8"/>
      <c r="G966" s="8"/>
      <c r="H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row>
    <row r="967">
      <c r="A967" s="8"/>
      <c r="B967" s="8"/>
      <c r="C967" s="8"/>
      <c r="D967" s="8"/>
      <c r="E967" s="8"/>
      <c r="F967" s="8"/>
      <c r="G967" s="8"/>
      <c r="H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row>
    <row r="968">
      <c r="A968" s="8"/>
      <c r="B968" s="8"/>
      <c r="C968" s="8"/>
      <c r="D968" s="8"/>
      <c r="E968" s="8"/>
      <c r="F968" s="8"/>
      <c r="G968" s="8"/>
      <c r="H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row>
    <row r="969">
      <c r="A969" s="8"/>
      <c r="B969" s="8"/>
      <c r="C969" s="8"/>
      <c r="D969" s="8"/>
      <c r="E969" s="8"/>
      <c r="F969" s="8"/>
      <c r="G969" s="8"/>
      <c r="H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row>
    <row r="970">
      <c r="A970" s="8"/>
      <c r="B970" s="8"/>
      <c r="C970" s="8"/>
      <c r="D970" s="8"/>
      <c r="E970" s="8"/>
      <c r="F970" s="8"/>
      <c r="G970" s="8"/>
      <c r="H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row>
    <row r="971">
      <c r="A971" s="8"/>
      <c r="B971" s="8"/>
      <c r="C971" s="8"/>
      <c r="D971" s="8"/>
      <c r="E971" s="8"/>
      <c r="F971" s="8"/>
      <c r="G971" s="8"/>
      <c r="H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row>
    <row r="972">
      <c r="A972" s="8"/>
      <c r="B972" s="8"/>
      <c r="C972" s="8"/>
      <c r="D972" s="8"/>
      <c r="E972" s="8"/>
      <c r="F972" s="8"/>
      <c r="G972" s="8"/>
      <c r="H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row>
    <row r="973">
      <c r="A973" s="8"/>
      <c r="B973" s="8"/>
      <c r="C973" s="8"/>
      <c r="D973" s="8"/>
      <c r="E973" s="8"/>
      <c r="F973" s="8"/>
      <c r="G973" s="8"/>
      <c r="H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row>
    <row r="974">
      <c r="A974" s="8"/>
      <c r="B974" s="8"/>
      <c r="C974" s="8"/>
      <c r="D974" s="8"/>
      <c r="E974" s="8"/>
      <c r="F974" s="8"/>
      <c r="G974" s="8"/>
      <c r="H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row>
    <row r="975">
      <c r="A975" s="8"/>
      <c r="B975" s="8"/>
      <c r="C975" s="8"/>
      <c r="D975" s="8"/>
      <c r="E975" s="8"/>
      <c r="F975" s="8"/>
      <c r="G975" s="8"/>
      <c r="H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row>
    <row r="976">
      <c r="A976" s="8"/>
      <c r="B976" s="8"/>
      <c r="C976" s="8"/>
      <c r="D976" s="8"/>
      <c r="E976" s="8"/>
      <c r="F976" s="8"/>
      <c r="G976" s="8"/>
      <c r="H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row>
    <row r="977">
      <c r="A977" s="8"/>
      <c r="B977" s="8"/>
      <c r="C977" s="8"/>
      <c r="D977" s="8"/>
      <c r="E977" s="8"/>
      <c r="F977" s="8"/>
      <c r="G977" s="8"/>
      <c r="H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row>
    <row r="978">
      <c r="A978" s="8"/>
      <c r="B978" s="8"/>
      <c r="C978" s="8"/>
      <c r="D978" s="8"/>
      <c r="E978" s="8"/>
      <c r="F978" s="8"/>
      <c r="G978" s="8"/>
      <c r="H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row>
    <row r="979">
      <c r="A979" s="8"/>
      <c r="B979" s="8"/>
      <c r="C979" s="8"/>
      <c r="D979" s="8"/>
      <c r="E979" s="8"/>
      <c r="F979" s="8"/>
      <c r="G979" s="8"/>
      <c r="H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row>
    <row r="980">
      <c r="A980" s="8"/>
      <c r="B980" s="8"/>
      <c r="C980" s="8"/>
      <c r="D980" s="8"/>
      <c r="E980" s="8"/>
      <c r="F980" s="8"/>
      <c r="G980" s="8"/>
      <c r="H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row>
    <row r="981">
      <c r="A981" s="8"/>
      <c r="B981" s="8"/>
      <c r="C981" s="8"/>
      <c r="D981" s="8"/>
      <c r="E981" s="8"/>
      <c r="F981" s="8"/>
      <c r="G981" s="8"/>
      <c r="H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row>
    <row r="982">
      <c r="A982" s="8"/>
      <c r="B982" s="8"/>
      <c r="C982" s="8"/>
      <c r="D982" s="8"/>
      <c r="E982" s="8"/>
      <c r="F982" s="8"/>
      <c r="G982" s="8"/>
      <c r="H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row>
    <row r="983">
      <c r="A983" s="8"/>
      <c r="B983" s="8"/>
      <c r="C983" s="8"/>
      <c r="D983" s="8"/>
      <c r="E983" s="8"/>
      <c r="F983" s="8"/>
      <c r="G983" s="8"/>
      <c r="H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row>
    <row r="984">
      <c r="A984" s="8"/>
      <c r="B984" s="8"/>
      <c r="C984" s="8"/>
      <c r="D984" s="8"/>
      <c r="E984" s="8"/>
      <c r="F984" s="8"/>
      <c r="G984" s="8"/>
      <c r="H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row>
    <row r="985">
      <c r="A985" s="8"/>
      <c r="B985" s="8"/>
      <c r="C985" s="8"/>
      <c r="D985" s="8"/>
      <c r="E985" s="8"/>
      <c r="F985" s="8"/>
      <c r="G985" s="8"/>
      <c r="H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row>
    <row r="986">
      <c r="A986" s="8"/>
      <c r="B986" s="8"/>
      <c r="C986" s="8"/>
      <c r="D986" s="8"/>
      <c r="E986" s="8"/>
      <c r="F986" s="8"/>
      <c r="G986" s="8"/>
      <c r="H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row>
    <row r="987">
      <c r="A987" s="8"/>
      <c r="B987" s="8"/>
      <c r="C987" s="8"/>
      <c r="D987" s="8"/>
      <c r="E987" s="8"/>
      <c r="F987" s="8"/>
      <c r="G987" s="8"/>
      <c r="H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row>
    <row r="988">
      <c r="A988" s="8"/>
      <c r="B988" s="8"/>
      <c r="C988" s="8"/>
      <c r="D988" s="8"/>
      <c r="E988" s="8"/>
      <c r="F988" s="8"/>
      <c r="G988" s="8"/>
      <c r="H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row>
    <row r="989">
      <c r="A989" s="8"/>
      <c r="B989" s="8"/>
      <c r="C989" s="8"/>
      <c r="D989" s="8"/>
      <c r="E989" s="8"/>
      <c r="F989" s="8"/>
      <c r="G989" s="8"/>
      <c r="H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row>
    <row r="990">
      <c r="A990" s="8"/>
      <c r="B990" s="8"/>
      <c r="C990" s="8"/>
      <c r="D990" s="8"/>
      <c r="E990" s="8"/>
      <c r="F990" s="8"/>
      <c r="G990" s="8"/>
      <c r="H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row>
    <row r="991">
      <c r="A991" s="8"/>
      <c r="B991" s="8"/>
      <c r="C991" s="8"/>
      <c r="D991" s="8"/>
      <c r="E991" s="8"/>
      <c r="F991" s="8"/>
      <c r="G991" s="8"/>
      <c r="H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row>
    <row r="992">
      <c r="A992" s="8"/>
      <c r="B992" s="8"/>
      <c r="C992" s="8"/>
      <c r="D992" s="8"/>
      <c r="E992" s="8"/>
      <c r="F992" s="8"/>
      <c r="G992" s="8"/>
      <c r="H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row>
    <row r="993">
      <c r="A993" s="8"/>
      <c r="B993" s="8"/>
      <c r="C993" s="8"/>
      <c r="D993" s="8"/>
      <c r="E993" s="8"/>
      <c r="F993" s="8"/>
      <c r="G993" s="8"/>
      <c r="H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row>
    <row r="994">
      <c r="A994" s="8"/>
      <c r="B994" s="8"/>
      <c r="C994" s="8"/>
      <c r="D994" s="8"/>
      <c r="E994" s="8"/>
      <c r="F994" s="8"/>
      <c r="G994" s="8"/>
      <c r="H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row>
    <row r="995">
      <c r="A995" s="8"/>
      <c r="B995" s="8"/>
      <c r="C995" s="8"/>
      <c r="D995" s="8"/>
      <c r="E995" s="8"/>
      <c r="F995" s="8"/>
      <c r="G995" s="8"/>
      <c r="H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row>
    <row r="996">
      <c r="A996" s="8"/>
      <c r="B996" s="8"/>
      <c r="C996" s="8"/>
      <c r="D996" s="8"/>
      <c r="E996" s="8"/>
      <c r="F996" s="8"/>
      <c r="G996" s="8"/>
      <c r="H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row>
    <row r="997">
      <c r="A997" s="8"/>
      <c r="B997" s="8"/>
      <c r="C997" s="8"/>
      <c r="D997" s="8"/>
      <c r="E997" s="8"/>
      <c r="F997" s="8"/>
      <c r="G997" s="8"/>
      <c r="H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row>
    <row r="998">
      <c r="A998" s="8"/>
      <c r="B998" s="8"/>
      <c r="C998" s="8"/>
      <c r="D998" s="8"/>
      <c r="E998" s="8"/>
      <c r="F998" s="8"/>
      <c r="G998" s="8"/>
      <c r="H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row>
    <row r="999">
      <c r="A999" s="8"/>
      <c r="B999" s="8"/>
      <c r="C999" s="8"/>
      <c r="D999" s="8"/>
      <c r="E999" s="8"/>
      <c r="F999" s="8"/>
      <c r="G999" s="8"/>
      <c r="H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row>
    <row r="1000">
      <c r="A1000" s="8"/>
      <c r="B1000" s="8"/>
      <c r="C1000" s="8"/>
      <c r="D1000" s="8"/>
      <c r="E1000" s="8"/>
      <c r="F1000" s="8"/>
      <c r="G1000" s="8"/>
      <c r="H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43"/>
    <col customWidth="1" min="2" max="2" width="38.86"/>
    <col customWidth="1" min="3" max="3" width="54.57"/>
    <col customWidth="1" min="4" max="4" width="73.29"/>
    <col customWidth="1" min="5" max="5" width="36.86"/>
    <col customWidth="1" min="6" max="6" width="24.71"/>
    <col customWidth="1" min="7" max="7" width="20.57"/>
    <col customWidth="1" min="8" max="8" width="26.71"/>
    <col customWidth="1" min="9" max="9" width="22.86"/>
    <col customWidth="1" min="10" max="10" width="60.57"/>
    <col customWidth="1" min="11" max="11" width="28.71"/>
    <col customWidth="1" min="12" max="12" width="26.86"/>
    <col customWidth="1" min="13" max="13" width="24.71"/>
    <col customWidth="1" min="14" max="14" width="27.29"/>
    <col customWidth="1" min="15" max="15" width="32.57"/>
    <col customWidth="1" min="16" max="16" width="48.29"/>
    <col customWidth="1" min="17" max="17" width="49.86"/>
    <col customWidth="1" min="18" max="18" width="40.71"/>
    <col customWidth="1" min="19" max="19" width="46.14"/>
    <col customWidth="1" min="20" max="20" width="46.29"/>
    <col customWidth="1" min="21" max="21" width="26.0"/>
    <col customWidth="1" min="22" max="22" width="27.0"/>
    <col customWidth="1" min="23" max="24" width="29.0"/>
    <col customWidth="1" min="25" max="25" width="27.43"/>
    <col customWidth="1" min="29" max="29" width="36.0"/>
    <col customWidth="1" min="32" max="32" width="55.0"/>
    <col customWidth="1" min="33" max="33" width="32.29"/>
    <col customWidth="1" min="35" max="35" width="47.14"/>
    <col customWidth="1" min="37" max="37" width="30.14"/>
    <col customWidth="1" min="40" max="40" width="24.86"/>
    <col customWidth="1" min="41" max="41" width="45.14"/>
  </cols>
  <sheetData>
    <row r="1">
      <c r="A1" s="13" t="s">
        <v>1</v>
      </c>
      <c r="B1" s="13" t="s">
        <v>2</v>
      </c>
      <c r="C1" s="13" t="s">
        <v>3</v>
      </c>
      <c r="D1" s="1" t="s">
        <v>4</v>
      </c>
      <c r="E1" s="1" t="s">
        <v>5</v>
      </c>
      <c r="F1" s="1" t="s">
        <v>6</v>
      </c>
      <c r="G1" s="1" t="s">
        <v>7</v>
      </c>
      <c r="H1" s="3"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41</v>
      </c>
      <c r="AK1" s="1" t="s">
        <v>37</v>
      </c>
      <c r="AL1" s="1" t="s">
        <v>38</v>
      </c>
      <c r="AM1" s="1" t="s">
        <v>39</v>
      </c>
      <c r="AN1" s="1" t="s">
        <v>40</v>
      </c>
      <c r="AO1" s="6" t="s">
        <v>42</v>
      </c>
      <c r="AP1" s="6" t="s">
        <v>43</v>
      </c>
      <c r="AQ1" s="6" t="s">
        <v>44</v>
      </c>
      <c r="AR1" s="6" t="s">
        <v>45</v>
      </c>
    </row>
    <row r="2">
      <c r="A2" s="14" t="s">
        <v>499</v>
      </c>
      <c r="B2" s="14" t="s">
        <v>500</v>
      </c>
      <c r="C2" s="14" t="s">
        <v>501</v>
      </c>
      <c r="D2" s="14" t="s">
        <v>502</v>
      </c>
      <c r="E2" s="16" t="s">
        <v>162</v>
      </c>
      <c r="F2" s="14" t="s">
        <v>503</v>
      </c>
      <c r="G2" s="8"/>
      <c r="H2" s="15" t="s">
        <v>504</v>
      </c>
      <c r="J2" s="14" t="s">
        <v>505</v>
      </c>
      <c r="K2" s="14" t="s">
        <v>506</v>
      </c>
      <c r="M2" s="14" t="s">
        <v>507</v>
      </c>
      <c r="N2" s="8"/>
      <c r="O2" s="14" t="s">
        <v>508</v>
      </c>
      <c r="P2" s="14" t="s">
        <v>509</v>
      </c>
      <c r="Q2" s="14" t="s">
        <v>510</v>
      </c>
      <c r="R2" s="8"/>
      <c r="S2" s="14" t="s">
        <v>511</v>
      </c>
      <c r="T2" s="14" t="s">
        <v>512</v>
      </c>
      <c r="U2" s="8"/>
      <c r="V2" s="8"/>
      <c r="W2" s="8"/>
      <c r="X2" s="8"/>
      <c r="Y2" s="8"/>
      <c r="Z2" s="8"/>
      <c r="AA2" s="8"/>
      <c r="AB2" s="8"/>
      <c r="AC2" s="8"/>
      <c r="AD2" s="8"/>
      <c r="AE2" s="8"/>
      <c r="AF2" s="8"/>
      <c r="AG2" s="8"/>
      <c r="AH2" s="8"/>
      <c r="AI2" s="8"/>
      <c r="AJ2" s="8"/>
      <c r="AK2" s="8"/>
      <c r="AL2" s="8"/>
      <c r="AM2" s="8"/>
      <c r="AN2" s="8"/>
      <c r="AO2" s="8"/>
      <c r="AP2" s="8"/>
      <c r="AQ2" s="8"/>
      <c r="AR2" s="8"/>
    </row>
    <row r="3">
      <c r="A3" s="14" t="s">
        <v>513</v>
      </c>
      <c r="B3" s="14" t="s">
        <v>514</v>
      </c>
      <c r="C3" s="14" t="s">
        <v>515</v>
      </c>
      <c r="D3" s="14" t="s">
        <v>516</v>
      </c>
      <c r="E3" s="16" t="s">
        <v>162</v>
      </c>
      <c r="F3" s="14" t="s">
        <v>503</v>
      </c>
      <c r="G3" s="8"/>
      <c r="H3" s="21" t="s">
        <v>517</v>
      </c>
      <c r="J3" s="14" t="s">
        <v>518</v>
      </c>
      <c r="K3" s="14" t="s">
        <v>509</v>
      </c>
      <c r="M3" s="14" t="s">
        <v>519</v>
      </c>
      <c r="N3" s="8"/>
      <c r="O3" s="14" t="s">
        <v>520</v>
      </c>
      <c r="P3" s="14" t="s">
        <v>509</v>
      </c>
      <c r="Q3" s="8"/>
      <c r="R3" s="8"/>
      <c r="S3" s="8"/>
      <c r="T3" s="8"/>
      <c r="U3" s="8"/>
      <c r="V3" s="8"/>
      <c r="W3" s="8"/>
      <c r="X3" s="8"/>
      <c r="Y3" s="8"/>
      <c r="Z3" s="8"/>
      <c r="AA3" s="8"/>
      <c r="AB3" s="8"/>
      <c r="AC3" s="8"/>
      <c r="AD3" s="8"/>
      <c r="AE3" s="8"/>
      <c r="AF3" s="8"/>
      <c r="AG3" s="8"/>
      <c r="AH3" s="8"/>
      <c r="AI3" s="8"/>
      <c r="AJ3" s="8"/>
      <c r="AK3" s="8"/>
      <c r="AL3" s="8"/>
      <c r="AM3" s="8"/>
      <c r="AN3" s="8"/>
      <c r="AO3" s="8"/>
      <c r="AP3" s="8"/>
      <c r="AQ3" s="8"/>
      <c r="AR3" s="8"/>
    </row>
    <row r="4">
      <c r="A4" s="14" t="s">
        <v>521</v>
      </c>
      <c r="B4" s="14" t="s">
        <v>522</v>
      </c>
      <c r="C4" s="14" t="s">
        <v>523</v>
      </c>
      <c r="D4" s="14" t="s">
        <v>524</v>
      </c>
      <c r="E4" s="16" t="s">
        <v>162</v>
      </c>
      <c r="F4" s="14" t="s">
        <v>503</v>
      </c>
      <c r="G4" s="8"/>
      <c r="H4" s="15" t="s">
        <v>525</v>
      </c>
      <c r="J4" s="14" t="s">
        <v>526</v>
      </c>
      <c r="K4" s="14" t="s">
        <v>527</v>
      </c>
      <c r="M4" s="14" t="s">
        <v>528</v>
      </c>
      <c r="N4" s="8"/>
      <c r="O4" s="22" t="s">
        <v>529</v>
      </c>
      <c r="P4" s="23" t="s">
        <v>530</v>
      </c>
      <c r="Q4" s="8"/>
      <c r="R4" s="8"/>
      <c r="S4" s="8"/>
      <c r="T4" s="8"/>
      <c r="U4" s="8"/>
      <c r="V4" s="8"/>
      <c r="W4" s="8"/>
      <c r="X4" s="8"/>
      <c r="Y4" s="8"/>
      <c r="Z4" s="8"/>
      <c r="AA4" s="8"/>
      <c r="AB4" s="8"/>
      <c r="AC4" s="8"/>
      <c r="AD4" s="8"/>
      <c r="AE4" s="8"/>
      <c r="AF4" s="8"/>
      <c r="AG4" s="8"/>
      <c r="AH4" s="8"/>
      <c r="AI4" s="8"/>
      <c r="AJ4" s="8"/>
      <c r="AK4" s="8"/>
      <c r="AL4" s="8"/>
      <c r="AM4" s="8"/>
      <c r="AN4" s="8"/>
      <c r="AO4" s="8"/>
      <c r="AP4" s="8"/>
      <c r="AQ4" s="8"/>
      <c r="AR4" s="8"/>
    </row>
    <row r="5">
      <c r="A5" s="14" t="s">
        <v>531</v>
      </c>
      <c r="B5" s="14" t="s">
        <v>532</v>
      </c>
      <c r="C5" s="14" t="s">
        <v>533</v>
      </c>
      <c r="D5" s="14" t="s">
        <v>534</v>
      </c>
      <c r="E5" s="16" t="s">
        <v>162</v>
      </c>
      <c r="F5" s="14" t="s">
        <v>503</v>
      </c>
      <c r="G5" s="8"/>
      <c r="H5" s="15" t="s">
        <v>504</v>
      </c>
      <c r="J5" s="14" t="s">
        <v>535</v>
      </c>
      <c r="K5" s="14" t="s">
        <v>530</v>
      </c>
      <c r="M5" s="14" t="s">
        <v>536</v>
      </c>
      <c r="N5" s="8"/>
      <c r="O5" s="24" t="s">
        <v>537</v>
      </c>
      <c r="P5" s="23" t="s">
        <v>530</v>
      </c>
      <c r="Q5" s="14" t="s">
        <v>538</v>
      </c>
      <c r="R5" s="8"/>
      <c r="S5" s="22" t="s">
        <v>539</v>
      </c>
      <c r="T5" s="23" t="s">
        <v>530</v>
      </c>
      <c r="U5" s="8"/>
      <c r="V5" s="8"/>
      <c r="W5" s="8"/>
      <c r="X5" s="8"/>
      <c r="Y5" s="8"/>
      <c r="Z5" s="8"/>
      <c r="AA5" s="8"/>
      <c r="AB5" s="8"/>
      <c r="AC5" s="8"/>
      <c r="AD5" s="8"/>
      <c r="AE5" s="8"/>
      <c r="AF5" s="8"/>
      <c r="AG5" s="8"/>
      <c r="AH5" s="8"/>
      <c r="AI5" s="8"/>
      <c r="AJ5" s="8"/>
      <c r="AK5" s="8"/>
      <c r="AL5" s="8"/>
      <c r="AM5" s="8"/>
      <c r="AN5" s="8"/>
      <c r="AO5" s="8"/>
      <c r="AP5" s="8"/>
      <c r="AQ5" s="8"/>
      <c r="AR5" s="8"/>
    </row>
    <row r="6">
      <c r="A6" s="14" t="s">
        <v>540</v>
      </c>
      <c r="B6" s="14" t="s">
        <v>541</v>
      </c>
      <c r="C6" s="14" t="s">
        <v>542</v>
      </c>
      <c r="D6" s="14" t="s">
        <v>543</v>
      </c>
      <c r="E6" s="16" t="s">
        <v>162</v>
      </c>
      <c r="F6" s="14" t="s">
        <v>503</v>
      </c>
      <c r="G6" s="8"/>
      <c r="H6" s="15" t="s">
        <v>525</v>
      </c>
      <c r="J6" s="14" t="s">
        <v>544</v>
      </c>
      <c r="K6" s="14" t="s">
        <v>545</v>
      </c>
      <c r="M6" s="14" t="s">
        <v>546</v>
      </c>
      <c r="N6" s="8"/>
      <c r="O6" s="25" t="s">
        <v>547</v>
      </c>
      <c r="P6" s="26" t="s">
        <v>548</v>
      </c>
      <c r="Q6" s="8"/>
      <c r="R6" s="8"/>
      <c r="S6" s="8"/>
      <c r="T6" s="8"/>
      <c r="U6" s="8"/>
      <c r="V6" s="8"/>
      <c r="W6" s="8"/>
      <c r="X6" s="8"/>
      <c r="Y6" s="8"/>
      <c r="Z6" s="8"/>
      <c r="AA6" s="8"/>
      <c r="AB6" s="8"/>
      <c r="AC6" s="8"/>
      <c r="AD6" s="8"/>
      <c r="AE6" s="8"/>
      <c r="AF6" s="8"/>
      <c r="AG6" s="8"/>
      <c r="AH6" s="8"/>
      <c r="AI6" s="8"/>
      <c r="AJ6" s="8"/>
      <c r="AK6" s="8"/>
      <c r="AL6" s="8"/>
      <c r="AM6" s="8"/>
      <c r="AN6" s="8"/>
      <c r="AO6" s="8"/>
      <c r="AP6" s="8"/>
      <c r="AQ6" s="8"/>
      <c r="AR6" s="8"/>
    </row>
    <row r="7">
      <c r="A7" s="14" t="s">
        <v>549</v>
      </c>
      <c r="B7" s="14" t="s">
        <v>550</v>
      </c>
      <c r="C7" s="14" t="s">
        <v>551</v>
      </c>
      <c r="D7" s="14" t="s">
        <v>552</v>
      </c>
      <c r="E7" s="16" t="s">
        <v>162</v>
      </c>
      <c r="F7" s="14" t="s">
        <v>503</v>
      </c>
      <c r="G7" s="8"/>
      <c r="H7" s="15" t="s">
        <v>553</v>
      </c>
      <c r="J7" s="14" t="s">
        <v>554</v>
      </c>
      <c r="K7" s="14" t="s">
        <v>555</v>
      </c>
      <c r="M7" s="14" t="s">
        <v>556</v>
      </c>
      <c r="N7" s="8"/>
      <c r="O7" s="14" t="s">
        <v>557</v>
      </c>
      <c r="P7" s="16" t="s">
        <v>558</v>
      </c>
      <c r="Q7" s="14" t="s">
        <v>559</v>
      </c>
      <c r="R7" s="8"/>
      <c r="S7" s="27" t="s">
        <v>560</v>
      </c>
      <c r="T7" s="16" t="s">
        <v>558</v>
      </c>
      <c r="U7" s="8"/>
      <c r="V7" s="8"/>
      <c r="W7" s="8"/>
      <c r="X7" s="8"/>
      <c r="Y7" s="8"/>
      <c r="Z7" s="8"/>
      <c r="AA7" s="8"/>
      <c r="AB7" s="8"/>
      <c r="AC7" s="8"/>
      <c r="AD7" s="8"/>
      <c r="AE7" s="8"/>
      <c r="AF7" s="8"/>
      <c r="AG7" s="8"/>
      <c r="AH7" s="8"/>
      <c r="AI7" s="8"/>
      <c r="AJ7" s="8"/>
      <c r="AK7" s="8"/>
      <c r="AL7" s="8"/>
      <c r="AM7" s="8"/>
      <c r="AN7" s="8"/>
      <c r="AO7" s="8"/>
      <c r="AP7" s="8"/>
      <c r="AQ7" s="8"/>
      <c r="AR7" s="8"/>
    </row>
    <row r="8">
      <c r="A8" s="14" t="s">
        <v>561</v>
      </c>
      <c r="B8" s="14" t="s">
        <v>562</v>
      </c>
      <c r="C8" s="14" t="s">
        <v>563</v>
      </c>
      <c r="D8" s="14" t="s">
        <v>564</v>
      </c>
      <c r="E8" s="16" t="s">
        <v>162</v>
      </c>
      <c r="F8" s="14" t="s">
        <v>503</v>
      </c>
      <c r="G8" s="8"/>
      <c r="H8" s="21" t="s">
        <v>565</v>
      </c>
      <c r="J8" s="14" t="s">
        <v>566</v>
      </c>
      <c r="K8" s="14" t="s">
        <v>530</v>
      </c>
      <c r="M8" s="14" t="s">
        <v>567</v>
      </c>
      <c r="N8" s="8"/>
      <c r="O8" s="14" t="s">
        <v>568</v>
      </c>
      <c r="P8" s="16" t="s">
        <v>530</v>
      </c>
      <c r="Q8" s="8"/>
      <c r="R8" s="8"/>
      <c r="S8" s="8"/>
      <c r="T8" s="8"/>
      <c r="U8" s="8"/>
      <c r="V8" s="8"/>
      <c r="W8" s="8"/>
      <c r="X8" s="8"/>
      <c r="Y8" s="8"/>
      <c r="Z8" s="8"/>
      <c r="AA8" s="8"/>
      <c r="AB8" s="8"/>
      <c r="AC8" s="8"/>
      <c r="AD8" s="8"/>
      <c r="AE8" s="8"/>
      <c r="AF8" s="8"/>
      <c r="AG8" s="8"/>
      <c r="AH8" s="8"/>
      <c r="AI8" s="8"/>
      <c r="AJ8" s="8"/>
      <c r="AK8" s="8"/>
      <c r="AL8" s="8"/>
      <c r="AM8" s="8"/>
      <c r="AN8" s="8"/>
      <c r="AO8" s="8"/>
      <c r="AP8" s="8"/>
      <c r="AQ8" s="8"/>
      <c r="AR8" s="8"/>
    </row>
    <row r="9">
      <c r="A9" s="14" t="s">
        <v>569</v>
      </c>
      <c r="B9" s="14" t="s">
        <v>570</v>
      </c>
      <c r="C9" s="14" t="s">
        <v>571</v>
      </c>
      <c r="D9" s="14" t="s">
        <v>572</v>
      </c>
      <c r="E9" s="16" t="s">
        <v>162</v>
      </c>
      <c r="F9" s="14" t="s">
        <v>503</v>
      </c>
      <c r="G9" s="8"/>
      <c r="H9" s="15" t="s">
        <v>517</v>
      </c>
      <c r="J9" s="14" t="s">
        <v>573</v>
      </c>
      <c r="K9" s="14" t="s">
        <v>530</v>
      </c>
      <c r="M9" s="14" t="s">
        <v>574</v>
      </c>
      <c r="N9" s="8"/>
      <c r="O9" s="14" t="s">
        <v>575</v>
      </c>
      <c r="P9" s="14" t="s">
        <v>530</v>
      </c>
      <c r="Q9" s="8"/>
      <c r="R9" s="8"/>
      <c r="S9" s="8"/>
      <c r="T9" s="8"/>
      <c r="U9" s="8"/>
      <c r="V9" s="8"/>
      <c r="W9" s="8"/>
      <c r="X9" s="8"/>
      <c r="Y9" s="8"/>
      <c r="Z9" s="8"/>
      <c r="AA9" s="8"/>
      <c r="AB9" s="8"/>
      <c r="AC9" s="8"/>
      <c r="AD9" s="8"/>
      <c r="AE9" s="8"/>
      <c r="AF9" s="8"/>
      <c r="AG9" s="8"/>
      <c r="AH9" s="8"/>
      <c r="AI9" s="8"/>
      <c r="AJ9" s="8"/>
      <c r="AK9" s="8"/>
      <c r="AL9" s="8"/>
      <c r="AM9" s="8"/>
      <c r="AN9" s="8"/>
      <c r="AO9" s="8"/>
      <c r="AP9" s="8"/>
      <c r="AQ9" s="8"/>
      <c r="AR9" s="8"/>
    </row>
    <row r="10">
      <c r="A10" s="14" t="s">
        <v>576</v>
      </c>
      <c r="B10" s="14" t="s">
        <v>577</v>
      </c>
      <c r="C10" s="14" t="s">
        <v>578</v>
      </c>
      <c r="D10" s="14" t="s">
        <v>579</v>
      </c>
      <c r="E10" s="16" t="s">
        <v>162</v>
      </c>
      <c r="F10" s="14" t="s">
        <v>503</v>
      </c>
      <c r="G10" s="8"/>
      <c r="H10" s="15" t="s">
        <v>517</v>
      </c>
      <c r="J10" s="14" t="s">
        <v>580</v>
      </c>
      <c r="K10" s="14" t="s">
        <v>530</v>
      </c>
      <c r="M10" s="14" t="s">
        <v>581</v>
      </c>
      <c r="N10" s="8"/>
      <c r="O10" s="14" t="s">
        <v>582</v>
      </c>
      <c r="P10" s="16" t="s">
        <v>530</v>
      </c>
      <c r="Q10" s="14" t="s">
        <v>583</v>
      </c>
      <c r="R10" s="8"/>
      <c r="S10" s="14" t="s">
        <v>582</v>
      </c>
      <c r="T10" s="14" t="s">
        <v>530</v>
      </c>
      <c r="U10" s="8"/>
      <c r="V10" s="8"/>
      <c r="W10" s="8"/>
      <c r="X10" s="8"/>
      <c r="Y10" s="8"/>
      <c r="Z10" s="8"/>
      <c r="AA10" s="8"/>
      <c r="AB10" s="8"/>
      <c r="AC10" s="8"/>
      <c r="AD10" s="8"/>
      <c r="AE10" s="8"/>
      <c r="AF10" s="8"/>
      <c r="AG10" s="8"/>
      <c r="AH10" s="8"/>
      <c r="AI10" s="8"/>
      <c r="AJ10" s="8"/>
      <c r="AK10" s="8"/>
      <c r="AL10" s="8"/>
      <c r="AM10" s="8"/>
      <c r="AN10" s="8"/>
      <c r="AO10" s="8"/>
      <c r="AP10" s="8"/>
      <c r="AQ10" s="8"/>
      <c r="AR10" s="8"/>
    </row>
    <row r="11">
      <c r="A11" s="14" t="s">
        <v>584</v>
      </c>
      <c r="B11" s="14" t="s">
        <v>585</v>
      </c>
      <c r="C11" s="14" t="s">
        <v>586</v>
      </c>
      <c r="D11" s="14" t="s">
        <v>587</v>
      </c>
      <c r="E11" s="16" t="s">
        <v>162</v>
      </c>
      <c r="F11" s="14" t="s">
        <v>503</v>
      </c>
      <c r="G11" s="8"/>
      <c r="H11" s="15" t="s">
        <v>588</v>
      </c>
      <c r="J11" s="14" t="s">
        <v>589</v>
      </c>
      <c r="K11" s="14" t="s">
        <v>530</v>
      </c>
      <c r="M11" s="14" t="s">
        <v>590</v>
      </c>
      <c r="N11" s="8"/>
      <c r="O11" s="16" t="s">
        <v>591</v>
      </c>
      <c r="P11" s="16" t="s">
        <v>530</v>
      </c>
      <c r="Q11" s="14" t="s">
        <v>592</v>
      </c>
      <c r="R11" s="8"/>
      <c r="S11" s="16" t="s">
        <v>591</v>
      </c>
      <c r="T11" s="16" t="s">
        <v>530</v>
      </c>
      <c r="U11" s="8"/>
      <c r="V11" s="8"/>
      <c r="W11" s="8"/>
      <c r="X11" s="8"/>
      <c r="Y11" s="8"/>
      <c r="Z11" s="8"/>
      <c r="AA11" s="8"/>
      <c r="AB11" s="8"/>
      <c r="AC11" s="8"/>
      <c r="AD11" s="8"/>
      <c r="AE11" s="8"/>
      <c r="AF11" s="8"/>
      <c r="AG11" s="8"/>
      <c r="AH11" s="8"/>
      <c r="AI11" s="8"/>
      <c r="AJ11" s="8"/>
      <c r="AK11" s="8"/>
      <c r="AL11" s="8"/>
      <c r="AM11" s="8"/>
      <c r="AN11" s="8"/>
      <c r="AO11" s="8"/>
      <c r="AP11" s="8"/>
      <c r="AQ11" s="8"/>
      <c r="AR11" s="8"/>
    </row>
    <row r="12">
      <c r="A12" s="14" t="s">
        <v>593</v>
      </c>
      <c r="B12" s="14" t="s">
        <v>594</v>
      </c>
      <c r="C12" s="14" t="s">
        <v>595</v>
      </c>
      <c r="D12" s="14" t="s">
        <v>596</v>
      </c>
      <c r="E12" s="16" t="s">
        <v>162</v>
      </c>
      <c r="F12" s="14" t="s">
        <v>503</v>
      </c>
      <c r="G12" s="8"/>
      <c r="H12" s="15" t="s">
        <v>504</v>
      </c>
      <c r="J12" s="14" t="s">
        <v>597</v>
      </c>
      <c r="K12" s="14" t="s">
        <v>530</v>
      </c>
      <c r="M12" s="14" t="s">
        <v>598</v>
      </c>
      <c r="N12" s="8"/>
      <c r="O12" s="16" t="s">
        <v>599</v>
      </c>
      <c r="P12" s="16" t="s">
        <v>530</v>
      </c>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row>
    <row r="13">
      <c r="A13" s="14" t="s">
        <v>600</v>
      </c>
      <c r="B13" s="14" t="s">
        <v>601</v>
      </c>
      <c r="C13" s="14" t="s">
        <v>602</v>
      </c>
      <c r="D13" s="14" t="s">
        <v>603</v>
      </c>
      <c r="E13" s="16" t="s">
        <v>162</v>
      </c>
      <c r="F13" s="14" t="s">
        <v>503</v>
      </c>
      <c r="G13" s="8"/>
      <c r="H13" s="15" t="s">
        <v>604</v>
      </c>
      <c r="J13" s="14" t="s">
        <v>605</v>
      </c>
      <c r="K13" s="14" t="s">
        <v>530</v>
      </c>
      <c r="M13" s="14" t="s">
        <v>606</v>
      </c>
      <c r="N13" s="8"/>
      <c r="O13" s="14" t="s">
        <v>607</v>
      </c>
      <c r="P13" s="16" t="s">
        <v>530</v>
      </c>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row>
    <row r="14">
      <c r="A14" s="14" t="s">
        <v>608</v>
      </c>
      <c r="B14" s="14" t="s">
        <v>609</v>
      </c>
      <c r="C14" s="14" t="s">
        <v>610</v>
      </c>
      <c r="D14" s="14" t="s">
        <v>611</v>
      </c>
      <c r="E14" s="16" t="s">
        <v>162</v>
      </c>
      <c r="F14" s="14" t="s">
        <v>503</v>
      </c>
      <c r="G14" s="8"/>
      <c r="H14" s="15" t="s">
        <v>612</v>
      </c>
      <c r="J14" s="14" t="s">
        <v>613</v>
      </c>
      <c r="K14" s="14" t="s">
        <v>530</v>
      </c>
      <c r="M14" s="14" t="s">
        <v>614</v>
      </c>
      <c r="N14" s="8"/>
      <c r="O14" s="14" t="s">
        <v>615</v>
      </c>
      <c r="P14" s="14" t="s">
        <v>530</v>
      </c>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row>
    <row r="15">
      <c r="A15" s="14" t="s">
        <v>616</v>
      </c>
      <c r="B15" s="14" t="s">
        <v>617</v>
      </c>
      <c r="C15" s="14" t="s">
        <v>618</v>
      </c>
      <c r="D15" s="14" t="s">
        <v>619</v>
      </c>
      <c r="E15" s="16" t="s">
        <v>162</v>
      </c>
      <c r="F15" s="14" t="s">
        <v>503</v>
      </c>
      <c r="G15" s="8"/>
      <c r="H15" s="15" t="s">
        <v>517</v>
      </c>
      <c r="J15" s="14" t="s">
        <v>620</v>
      </c>
      <c r="K15" s="14" t="s">
        <v>509</v>
      </c>
      <c r="M15" s="14" t="s">
        <v>621</v>
      </c>
      <c r="N15" s="8"/>
      <c r="O15" s="14" t="s">
        <v>622</v>
      </c>
      <c r="P15" s="14" t="s">
        <v>509</v>
      </c>
      <c r="Q15" s="14" t="s">
        <v>623</v>
      </c>
      <c r="R15" s="8"/>
      <c r="S15" s="14" t="s">
        <v>624</v>
      </c>
      <c r="T15" s="14" t="s">
        <v>509</v>
      </c>
      <c r="U15" s="8"/>
      <c r="V15" s="8"/>
      <c r="W15" s="8"/>
      <c r="X15" s="8"/>
      <c r="Y15" s="8"/>
      <c r="Z15" s="8"/>
      <c r="AA15" s="8"/>
      <c r="AB15" s="8"/>
      <c r="AC15" s="8"/>
      <c r="AD15" s="8"/>
      <c r="AE15" s="8"/>
      <c r="AF15" s="8"/>
      <c r="AG15" s="8"/>
      <c r="AH15" s="8"/>
      <c r="AI15" s="8"/>
      <c r="AJ15" s="8"/>
      <c r="AK15" s="8"/>
      <c r="AL15" s="8"/>
      <c r="AM15" s="8"/>
      <c r="AN15" s="8"/>
      <c r="AO15" s="8"/>
      <c r="AP15" s="8"/>
      <c r="AQ15" s="8"/>
      <c r="AR15" s="8"/>
    </row>
    <row r="16">
      <c r="A16" s="14" t="s">
        <v>625</v>
      </c>
      <c r="B16" s="14" t="s">
        <v>626</v>
      </c>
      <c r="C16" s="14" t="s">
        <v>627</v>
      </c>
      <c r="D16" s="14" t="s">
        <v>628</v>
      </c>
      <c r="E16" s="16" t="s">
        <v>162</v>
      </c>
      <c r="F16" s="14" t="s">
        <v>503</v>
      </c>
      <c r="G16" s="8"/>
      <c r="H16" s="15" t="s">
        <v>525</v>
      </c>
      <c r="J16" s="14" t="s">
        <v>629</v>
      </c>
      <c r="K16" s="14" t="s">
        <v>509</v>
      </c>
      <c r="M16" s="14" t="s">
        <v>630</v>
      </c>
      <c r="N16" s="8"/>
      <c r="O16" s="16" t="s">
        <v>631</v>
      </c>
      <c r="P16" s="14" t="s">
        <v>509</v>
      </c>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row>
    <row r="17">
      <c r="A17" s="14" t="s">
        <v>632</v>
      </c>
      <c r="B17" s="14" t="s">
        <v>633</v>
      </c>
      <c r="C17" s="14" t="s">
        <v>634</v>
      </c>
      <c r="D17" s="14" t="s">
        <v>635</v>
      </c>
      <c r="E17" s="16" t="s">
        <v>162</v>
      </c>
      <c r="F17" s="14" t="s">
        <v>503</v>
      </c>
      <c r="G17" s="8"/>
      <c r="H17" s="15" t="s">
        <v>517</v>
      </c>
      <c r="J17" s="14" t="s">
        <v>636</v>
      </c>
      <c r="K17" s="14" t="s">
        <v>637</v>
      </c>
      <c r="M17" s="14" t="s">
        <v>638</v>
      </c>
      <c r="N17" s="8"/>
      <c r="O17" s="14" t="s">
        <v>639</v>
      </c>
      <c r="P17" s="14" t="s">
        <v>509</v>
      </c>
      <c r="Q17" s="14" t="s">
        <v>640</v>
      </c>
      <c r="R17" s="8"/>
      <c r="S17" s="16" t="s">
        <v>641</v>
      </c>
      <c r="T17" s="14" t="s">
        <v>509</v>
      </c>
      <c r="U17" s="14" t="s">
        <v>642</v>
      </c>
      <c r="V17" s="8"/>
      <c r="W17" s="14" t="s">
        <v>641</v>
      </c>
      <c r="X17" s="14" t="s">
        <v>509</v>
      </c>
      <c r="Y17" s="14" t="s">
        <v>643</v>
      </c>
      <c r="Z17" s="8"/>
      <c r="AA17" s="14" t="s">
        <v>641</v>
      </c>
      <c r="AB17" s="14" t="s">
        <v>509</v>
      </c>
      <c r="AC17" s="14" t="s">
        <v>644</v>
      </c>
      <c r="AD17" s="8"/>
      <c r="AE17" s="14" t="s">
        <v>641</v>
      </c>
      <c r="AF17" s="16" t="s">
        <v>509</v>
      </c>
      <c r="AG17" s="14" t="s">
        <v>645</v>
      </c>
      <c r="AH17" s="8"/>
      <c r="AI17" s="14" t="s">
        <v>641</v>
      </c>
      <c r="AJ17" s="16" t="s">
        <v>509</v>
      </c>
      <c r="AK17" s="14" t="s">
        <v>646</v>
      </c>
      <c r="AL17" s="8"/>
      <c r="AM17" s="14" t="s">
        <v>641</v>
      </c>
      <c r="AN17" s="16" t="s">
        <v>509</v>
      </c>
      <c r="AP17" s="16"/>
      <c r="AQ17" s="16"/>
      <c r="AR17" s="16"/>
    </row>
    <row r="18">
      <c r="A18" s="14" t="s">
        <v>647</v>
      </c>
      <c r="B18" s="14" t="s">
        <v>648</v>
      </c>
      <c r="C18" s="14" t="s">
        <v>649</v>
      </c>
      <c r="D18" s="14" t="s">
        <v>650</v>
      </c>
      <c r="E18" s="16" t="s">
        <v>162</v>
      </c>
      <c r="F18" s="14" t="s">
        <v>503</v>
      </c>
      <c r="G18" s="8"/>
      <c r="H18" s="15" t="s">
        <v>604</v>
      </c>
      <c r="J18" s="14" t="s">
        <v>651</v>
      </c>
      <c r="K18" s="14" t="s">
        <v>509</v>
      </c>
      <c r="M18" s="14" t="s">
        <v>652</v>
      </c>
      <c r="N18" s="8"/>
      <c r="O18" s="14" t="s">
        <v>653</v>
      </c>
      <c r="P18" s="14" t="s">
        <v>509</v>
      </c>
      <c r="Q18" s="14" t="s">
        <v>654</v>
      </c>
      <c r="R18" s="8"/>
      <c r="S18" s="14" t="s">
        <v>655</v>
      </c>
      <c r="T18" s="16" t="s">
        <v>509</v>
      </c>
      <c r="U18" s="8"/>
      <c r="V18" s="8"/>
      <c r="W18" s="8"/>
      <c r="X18" s="8"/>
      <c r="Y18" s="8"/>
      <c r="Z18" s="8"/>
      <c r="AA18" s="8"/>
      <c r="AB18" s="8"/>
      <c r="AC18" s="8"/>
      <c r="AD18" s="8"/>
      <c r="AE18" s="8"/>
      <c r="AF18" s="8"/>
      <c r="AG18" s="8"/>
      <c r="AH18" s="8"/>
      <c r="AI18" s="8"/>
      <c r="AJ18" s="8"/>
      <c r="AK18" s="8"/>
      <c r="AL18" s="8"/>
      <c r="AM18" s="8"/>
      <c r="AN18" s="8"/>
      <c r="AO18" s="8"/>
      <c r="AP18" s="8"/>
      <c r="AQ18" s="8"/>
      <c r="AR18" s="8"/>
    </row>
    <row r="19">
      <c r="A19" s="14" t="s">
        <v>656</v>
      </c>
      <c r="B19" s="14" t="s">
        <v>657</v>
      </c>
      <c r="C19" s="14" t="s">
        <v>658</v>
      </c>
      <c r="D19" s="14" t="s">
        <v>659</v>
      </c>
      <c r="E19" s="16" t="s">
        <v>162</v>
      </c>
      <c r="F19" s="14" t="s">
        <v>503</v>
      </c>
      <c r="G19" s="8"/>
      <c r="H19" s="15" t="s">
        <v>604</v>
      </c>
      <c r="J19" s="14" t="s">
        <v>660</v>
      </c>
      <c r="K19" s="14" t="s">
        <v>530</v>
      </c>
      <c r="M19" s="14" t="s">
        <v>661</v>
      </c>
      <c r="N19" s="8"/>
      <c r="O19" s="16" t="s">
        <v>662</v>
      </c>
      <c r="P19" s="16" t="s">
        <v>530</v>
      </c>
      <c r="Q19" s="14" t="s">
        <v>663</v>
      </c>
      <c r="R19" s="8"/>
      <c r="S19" s="14" t="s">
        <v>664</v>
      </c>
      <c r="T19" s="16" t="s">
        <v>530</v>
      </c>
      <c r="U19" s="8"/>
      <c r="V19" s="8"/>
      <c r="W19" s="8"/>
      <c r="X19" s="8"/>
      <c r="Y19" s="8"/>
      <c r="Z19" s="8"/>
      <c r="AA19" s="8"/>
      <c r="AB19" s="8"/>
      <c r="AC19" s="8"/>
      <c r="AD19" s="8"/>
      <c r="AE19" s="8"/>
      <c r="AF19" s="8"/>
      <c r="AG19" s="8"/>
      <c r="AH19" s="8"/>
      <c r="AI19" s="8"/>
      <c r="AJ19" s="8"/>
      <c r="AK19" s="8"/>
      <c r="AL19" s="8"/>
      <c r="AM19" s="8"/>
      <c r="AN19" s="8"/>
      <c r="AO19" s="8"/>
      <c r="AP19" s="8"/>
      <c r="AQ19" s="8"/>
      <c r="AR19" s="8"/>
    </row>
    <row r="20">
      <c r="A20" s="14" t="s">
        <v>665</v>
      </c>
      <c r="B20" s="14" t="s">
        <v>666</v>
      </c>
      <c r="C20" s="14" t="s">
        <v>667</v>
      </c>
      <c r="D20" s="14" t="s">
        <v>668</v>
      </c>
      <c r="E20" s="16" t="s">
        <v>162</v>
      </c>
      <c r="F20" s="14" t="s">
        <v>503</v>
      </c>
      <c r="G20" s="8"/>
      <c r="H20" s="15" t="s">
        <v>525</v>
      </c>
      <c r="J20" s="14" t="s">
        <v>669</v>
      </c>
      <c r="K20" s="14" t="s">
        <v>509</v>
      </c>
      <c r="M20" s="14" t="s">
        <v>670</v>
      </c>
      <c r="N20" s="8"/>
      <c r="O20" s="14" t="s">
        <v>668</v>
      </c>
      <c r="P20" s="14" t="s">
        <v>509</v>
      </c>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row>
    <row r="21">
      <c r="A21" s="14" t="s">
        <v>671</v>
      </c>
      <c r="B21" s="14" t="s">
        <v>672</v>
      </c>
      <c r="C21" s="14" t="s">
        <v>673</v>
      </c>
      <c r="D21" s="14" t="s">
        <v>674</v>
      </c>
      <c r="E21" s="16" t="s">
        <v>162</v>
      </c>
      <c r="F21" s="14" t="s">
        <v>503</v>
      </c>
      <c r="G21" s="8"/>
      <c r="H21" s="15" t="s">
        <v>588</v>
      </c>
      <c r="J21" s="14" t="s">
        <v>675</v>
      </c>
      <c r="K21" s="14" t="s">
        <v>509</v>
      </c>
      <c r="M21" s="14" t="s">
        <v>676</v>
      </c>
      <c r="N21" s="8"/>
      <c r="O21" s="14" t="s">
        <v>677</v>
      </c>
      <c r="P21" s="14" t="s">
        <v>509</v>
      </c>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row>
    <row r="22">
      <c r="A22" s="14" t="s">
        <v>678</v>
      </c>
      <c r="B22" s="14" t="s">
        <v>679</v>
      </c>
      <c r="C22" s="14" t="s">
        <v>680</v>
      </c>
      <c r="D22" s="14" t="s">
        <v>681</v>
      </c>
      <c r="E22" s="16" t="s">
        <v>162</v>
      </c>
      <c r="F22" s="14" t="s">
        <v>503</v>
      </c>
      <c r="G22" s="8"/>
      <c r="H22" s="15" t="s">
        <v>682</v>
      </c>
      <c r="J22" s="14" t="s">
        <v>683</v>
      </c>
      <c r="K22" s="14" t="s">
        <v>684</v>
      </c>
      <c r="M22" s="14" t="s">
        <v>685</v>
      </c>
      <c r="N22" s="8"/>
      <c r="O22" s="14" t="s">
        <v>686</v>
      </c>
      <c r="P22" s="14" t="s">
        <v>509</v>
      </c>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row>
    <row r="23">
      <c r="A23" s="14" t="s">
        <v>687</v>
      </c>
      <c r="B23" s="14" t="s">
        <v>688</v>
      </c>
      <c r="C23" s="14" t="s">
        <v>689</v>
      </c>
      <c r="D23" s="14" t="s">
        <v>690</v>
      </c>
      <c r="E23" s="16" t="s">
        <v>162</v>
      </c>
      <c r="F23" s="14" t="s">
        <v>503</v>
      </c>
      <c r="G23" s="8"/>
      <c r="H23" s="15" t="s">
        <v>525</v>
      </c>
      <c r="J23" s="14" t="s">
        <v>691</v>
      </c>
      <c r="K23" s="14" t="s">
        <v>509</v>
      </c>
      <c r="M23" s="14" t="s">
        <v>692</v>
      </c>
      <c r="N23" s="8"/>
      <c r="O23" s="14" t="s">
        <v>693</v>
      </c>
      <c r="P23" s="14" t="s">
        <v>509</v>
      </c>
      <c r="Q23" s="14" t="s">
        <v>694</v>
      </c>
      <c r="R23" s="8"/>
      <c r="S23" s="14" t="s">
        <v>695</v>
      </c>
      <c r="T23" s="14" t="s">
        <v>509</v>
      </c>
      <c r="U23" s="8"/>
      <c r="V23" s="8"/>
      <c r="W23" s="8"/>
      <c r="X23" s="8"/>
      <c r="Y23" s="8"/>
      <c r="Z23" s="8"/>
      <c r="AA23" s="8"/>
      <c r="AB23" s="8"/>
      <c r="AC23" s="8"/>
      <c r="AD23" s="8"/>
      <c r="AE23" s="8"/>
      <c r="AF23" s="8"/>
      <c r="AG23" s="8"/>
      <c r="AH23" s="8"/>
      <c r="AI23" s="8"/>
      <c r="AJ23" s="8"/>
      <c r="AK23" s="8"/>
      <c r="AL23" s="8"/>
      <c r="AM23" s="8"/>
      <c r="AN23" s="8"/>
      <c r="AO23" s="8"/>
      <c r="AP23" s="8"/>
      <c r="AQ23" s="8"/>
      <c r="AR23" s="8"/>
    </row>
    <row r="24">
      <c r="A24" s="14" t="s">
        <v>696</v>
      </c>
      <c r="B24" s="14" t="s">
        <v>697</v>
      </c>
      <c r="C24" s="14" t="s">
        <v>698</v>
      </c>
      <c r="D24" s="14" t="s">
        <v>699</v>
      </c>
      <c r="E24" s="16" t="s">
        <v>162</v>
      </c>
      <c r="F24" s="14" t="s">
        <v>503</v>
      </c>
      <c r="G24" s="8"/>
      <c r="H24" s="15" t="s">
        <v>588</v>
      </c>
      <c r="J24" s="14" t="s">
        <v>700</v>
      </c>
      <c r="K24" s="14" t="s">
        <v>509</v>
      </c>
      <c r="M24" s="14" t="s">
        <v>701</v>
      </c>
      <c r="N24" s="8"/>
      <c r="O24" s="14" t="s">
        <v>702</v>
      </c>
      <c r="P24" s="14" t="s">
        <v>509</v>
      </c>
      <c r="Q24" s="14" t="s">
        <v>703</v>
      </c>
      <c r="R24" s="8"/>
      <c r="S24" s="14" t="s">
        <v>704</v>
      </c>
      <c r="T24" s="14" t="s">
        <v>509</v>
      </c>
      <c r="U24" s="8"/>
      <c r="V24" s="8"/>
      <c r="W24" s="8"/>
      <c r="X24" s="8"/>
      <c r="Y24" s="8"/>
      <c r="Z24" s="8"/>
      <c r="AA24" s="8"/>
      <c r="AB24" s="8"/>
      <c r="AC24" s="8"/>
      <c r="AD24" s="8"/>
      <c r="AE24" s="8"/>
      <c r="AF24" s="8"/>
      <c r="AG24" s="8"/>
      <c r="AH24" s="8"/>
      <c r="AI24" s="8"/>
      <c r="AJ24" s="8"/>
      <c r="AK24" s="8"/>
      <c r="AL24" s="8"/>
      <c r="AM24" s="8"/>
      <c r="AN24" s="8"/>
      <c r="AO24" s="8"/>
      <c r="AP24" s="8"/>
      <c r="AQ24" s="8"/>
      <c r="AR24" s="8"/>
    </row>
    <row r="25">
      <c r="A25" s="14" t="s">
        <v>705</v>
      </c>
      <c r="B25" s="14" t="s">
        <v>706</v>
      </c>
      <c r="C25" s="14" t="s">
        <v>707</v>
      </c>
      <c r="D25" s="14" t="s">
        <v>708</v>
      </c>
      <c r="E25" s="16" t="s">
        <v>162</v>
      </c>
      <c r="F25" s="14" t="s">
        <v>503</v>
      </c>
      <c r="G25" s="8"/>
      <c r="H25" s="15" t="s">
        <v>604</v>
      </c>
      <c r="J25" s="14" t="s">
        <v>709</v>
      </c>
      <c r="K25" s="14" t="s">
        <v>509</v>
      </c>
      <c r="M25" s="14" t="s">
        <v>710</v>
      </c>
      <c r="N25" s="8"/>
      <c r="O25" s="14" t="s">
        <v>711</v>
      </c>
      <c r="P25" s="14" t="s">
        <v>509</v>
      </c>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row>
    <row r="26">
      <c r="A26" s="14" t="s">
        <v>712</v>
      </c>
      <c r="B26" s="14" t="s">
        <v>713</v>
      </c>
      <c r="C26" s="14" t="s">
        <v>714</v>
      </c>
      <c r="D26" s="14" t="s">
        <v>715</v>
      </c>
      <c r="E26" s="16" t="s">
        <v>162</v>
      </c>
      <c r="F26" s="14" t="s">
        <v>503</v>
      </c>
      <c r="G26" s="8"/>
      <c r="H26" s="15" t="s">
        <v>525</v>
      </c>
      <c r="J26" s="14" t="s">
        <v>716</v>
      </c>
      <c r="K26" s="14" t="s">
        <v>509</v>
      </c>
      <c r="M26" s="14" t="s">
        <v>717</v>
      </c>
      <c r="N26" s="8"/>
      <c r="O26" s="14" t="s">
        <v>718</v>
      </c>
      <c r="P26" s="14" t="s">
        <v>509</v>
      </c>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row>
    <row r="27">
      <c r="A27" s="14" t="s">
        <v>719</v>
      </c>
      <c r="B27" s="14" t="s">
        <v>720</v>
      </c>
      <c r="C27" s="14" t="s">
        <v>721</v>
      </c>
      <c r="D27" s="14" t="s">
        <v>722</v>
      </c>
      <c r="E27" s="16" t="s">
        <v>162</v>
      </c>
      <c r="F27" s="14" t="s">
        <v>503</v>
      </c>
      <c r="G27" s="8"/>
      <c r="H27" s="15" t="s">
        <v>588</v>
      </c>
      <c r="J27" s="14" t="s">
        <v>723</v>
      </c>
      <c r="K27" s="14" t="s">
        <v>509</v>
      </c>
      <c r="M27" s="14" t="s">
        <v>724</v>
      </c>
      <c r="N27" s="8"/>
      <c r="O27" s="14" t="s">
        <v>725</v>
      </c>
      <c r="P27" s="14" t="s">
        <v>509</v>
      </c>
      <c r="Q27" s="14" t="s">
        <v>726</v>
      </c>
      <c r="R27" s="8"/>
      <c r="S27" s="14" t="s">
        <v>727</v>
      </c>
      <c r="T27" s="14" t="s">
        <v>509</v>
      </c>
      <c r="U27" s="8"/>
      <c r="V27" s="8"/>
      <c r="W27" s="8"/>
      <c r="X27" s="8"/>
      <c r="Y27" s="8"/>
      <c r="Z27" s="8"/>
      <c r="AA27" s="8"/>
      <c r="AB27" s="8"/>
      <c r="AC27" s="8"/>
      <c r="AD27" s="8"/>
      <c r="AE27" s="8"/>
      <c r="AF27" s="8"/>
      <c r="AG27" s="8"/>
      <c r="AH27" s="8"/>
      <c r="AI27" s="8"/>
      <c r="AJ27" s="8"/>
      <c r="AK27" s="8"/>
      <c r="AL27" s="8"/>
      <c r="AM27" s="8"/>
      <c r="AN27" s="8"/>
      <c r="AO27" s="8"/>
      <c r="AP27" s="8"/>
      <c r="AQ27" s="8"/>
      <c r="AR27" s="8"/>
    </row>
    <row r="28">
      <c r="A28" s="14" t="s">
        <v>728</v>
      </c>
      <c r="B28" s="14" t="s">
        <v>729</v>
      </c>
      <c r="C28" s="14" t="s">
        <v>730</v>
      </c>
      <c r="D28" s="14" t="s">
        <v>731</v>
      </c>
      <c r="E28" s="14" t="s">
        <v>50</v>
      </c>
      <c r="F28" s="14" t="s">
        <v>503</v>
      </c>
      <c r="G28" s="8"/>
      <c r="H28" s="15" t="s">
        <v>732</v>
      </c>
      <c r="J28" s="14" t="s">
        <v>733</v>
      </c>
      <c r="K28" s="14" t="s">
        <v>734</v>
      </c>
      <c r="M28" s="14" t="s">
        <v>735</v>
      </c>
      <c r="N28" s="8"/>
      <c r="O28" s="14" t="s">
        <v>736</v>
      </c>
      <c r="P28" s="14" t="s">
        <v>734</v>
      </c>
      <c r="Q28" s="14" t="s">
        <v>737</v>
      </c>
      <c r="R28" s="8"/>
      <c r="S28" s="14" t="s">
        <v>738</v>
      </c>
      <c r="T28" s="14" t="s">
        <v>734</v>
      </c>
      <c r="U28" s="14" t="s">
        <v>739</v>
      </c>
      <c r="V28" s="8"/>
      <c r="W28" s="14" t="s">
        <v>740</v>
      </c>
      <c r="X28" s="14" t="s">
        <v>734</v>
      </c>
      <c r="Y28" s="14" t="s">
        <v>741</v>
      </c>
      <c r="Z28" s="8"/>
      <c r="AA28" s="14" t="s">
        <v>742</v>
      </c>
      <c r="AB28" s="14" t="s">
        <v>734</v>
      </c>
      <c r="AC28" s="14" t="s">
        <v>743</v>
      </c>
      <c r="AD28" s="8"/>
      <c r="AE28" s="14" t="s">
        <v>742</v>
      </c>
      <c r="AF28" s="14" t="s">
        <v>734</v>
      </c>
      <c r="AG28" s="14" t="s">
        <v>744</v>
      </c>
      <c r="AH28" s="8"/>
      <c r="AI28" s="14" t="s">
        <v>742</v>
      </c>
      <c r="AJ28" s="14" t="s">
        <v>734</v>
      </c>
      <c r="AK28" s="14" t="s">
        <v>745</v>
      </c>
      <c r="AL28" s="8"/>
      <c r="AM28" s="14" t="s">
        <v>746</v>
      </c>
      <c r="AN28" s="14" t="s">
        <v>734</v>
      </c>
      <c r="AO28" s="14"/>
      <c r="AP28" s="14"/>
      <c r="AQ28" s="14"/>
      <c r="AR28" s="14"/>
    </row>
    <row r="29">
      <c r="A29" s="14" t="s">
        <v>747</v>
      </c>
      <c r="B29" s="14" t="s">
        <v>748</v>
      </c>
      <c r="C29" s="14" t="s">
        <v>749</v>
      </c>
      <c r="D29" s="14" t="s">
        <v>750</v>
      </c>
      <c r="E29" s="14" t="s">
        <v>50</v>
      </c>
      <c r="F29" s="14" t="s">
        <v>503</v>
      </c>
      <c r="G29" s="8"/>
      <c r="H29" s="15" t="s">
        <v>553</v>
      </c>
      <c r="J29" s="14" t="s">
        <v>751</v>
      </c>
      <c r="K29" s="14" t="s">
        <v>752</v>
      </c>
      <c r="M29" s="14" t="s">
        <v>753</v>
      </c>
      <c r="N29" s="8"/>
      <c r="O29" s="14" t="s">
        <v>754</v>
      </c>
      <c r="P29" s="14" t="s">
        <v>752</v>
      </c>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row>
    <row r="30">
      <c r="A30" s="14" t="s">
        <v>755</v>
      </c>
      <c r="B30" s="14" t="s">
        <v>756</v>
      </c>
      <c r="C30" s="14" t="s">
        <v>757</v>
      </c>
      <c r="D30" s="14" t="s">
        <v>758</v>
      </c>
      <c r="E30" s="16" t="s">
        <v>162</v>
      </c>
      <c r="F30" s="14" t="s">
        <v>503</v>
      </c>
      <c r="G30" s="8"/>
      <c r="H30" s="15" t="s">
        <v>525</v>
      </c>
      <c r="J30" s="14" t="s">
        <v>759</v>
      </c>
      <c r="K30" s="14" t="s">
        <v>760</v>
      </c>
      <c r="M30" s="14" t="s">
        <v>761</v>
      </c>
      <c r="N30" s="8"/>
      <c r="O30" s="14" t="s">
        <v>762</v>
      </c>
      <c r="P30" s="14" t="s">
        <v>763</v>
      </c>
      <c r="Q30" s="14" t="s">
        <v>764</v>
      </c>
      <c r="R30" s="8"/>
      <c r="S30" s="14" t="s">
        <v>765</v>
      </c>
      <c r="T30" s="14" t="s">
        <v>763</v>
      </c>
      <c r="U30" s="8"/>
      <c r="V30" s="8"/>
      <c r="W30" s="8"/>
      <c r="X30" s="8"/>
      <c r="Y30" s="8"/>
      <c r="Z30" s="8"/>
      <c r="AA30" s="8"/>
      <c r="AB30" s="8"/>
      <c r="AC30" s="8"/>
      <c r="AD30" s="8"/>
      <c r="AE30" s="8"/>
      <c r="AF30" s="8"/>
      <c r="AG30" s="8"/>
      <c r="AH30" s="8"/>
      <c r="AI30" s="8"/>
      <c r="AJ30" s="8"/>
      <c r="AK30" s="8"/>
      <c r="AL30" s="8"/>
      <c r="AM30" s="8"/>
      <c r="AN30" s="8"/>
      <c r="AO30" s="8"/>
      <c r="AP30" s="8"/>
      <c r="AQ30" s="8"/>
      <c r="AR30" s="8"/>
    </row>
    <row r="31">
      <c r="A31" s="14" t="s">
        <v>766</v>
      </c>
      <c r="B31" s="14" t="s">
        <v>767</v>
      </c>
      <c r="C31" s="14" t="s">
        <v>768</v>
      </c>
      <c r="D31" s="14" t="s">
        <v>769</v>
      </c>
      <c r="E31" s="16" t="s">
        <v>162</v>
      </c>
      <c r="F31" s="14" t="s">
        <v>503</v>
      </c>
      <c r="G31" s="8"/>
      <c r="H31" s="15" t="s">
        <v>504</v>
      </c>
      <c r="J31" s="14" t="s">
        <v>770</v>
      </c>
      <c r="K31" s="14" t="s">
        <v>509</v>
      </c>
      <c r="M31" s="14" t="s">
        <v>771</v>
      </c>
      <c r="N31" s="8"/>
      <c r="O31" s="14" t="s">
        <v>772</v>
      </c>
      <c r="P31" s="14" t="s">
        <v>509</v>
      </c>
      <c r="Q31" s="14" t="s">
        <v>773</v>
      </c>
      <c r="R31" s="8"/>
      <c r="S31" s="14" t="s">
        <v>774</v>
      </c>
      <c r="T31" s="14" t="s">
        <v>509</v>
      </c>
      <c r="U31" s="8"/>
      <c r="V31" s="8"/>
      <c r="W31" s="8"/>
      <c r="X31" s="8"/>
      <c r="Y31" s="8"/>
      <c r="Z31" s="8"/>
      <c r="AA31" s="8"/>
      <c r="AB31" s="8"/>
      <c r="AC31" s="8"/>
      <c r="AD31" s="8"/>
      <c r="AE31" s="8"/>
      <c r="AF31" s="8"/>
      <c r="AG31" s="8"/>
      <c r="AH31" s="8"/>
      <c r="AI31" s="8"/>
      <c r="AJ31" s="8"/>
      <c r="AK31" s="8"/>
      <c r="AL31" s="8"/>
      <c r="AM31" s="8"/>
      <c r="AN31" s="8"/>
      <c r="AO31" s="8"/>
      <c r="AP31" s="8"/>
      <c r="AQ31" s="8"/>
      <c r="AR31" s="8"/>
    </row>
    <row r="32">
      <c r="A32" s="14" t="s">
        <v>775</v>
      </c>
      <c r="B32" s="14" t="s">
        <v>776</v>
      </c>
      <c r="C32" s="14" t="s">
        <v>777</v>
      </c>
      <c r="D32" s="14" t="s">
        <v>778</v>
      </c>
      <c r="E32" s="14" t="s">
        <v>50</v>
      </c>
      <c r="F32" s="14" t="s">
        <v>503</v>
      </c>
      <c r="G32" s="8"/>
      <c r="H32" s="15" t="s">
        <v>588</v>
      </c>
      <c r="J32" s="14" t="s">
        <v>779</v>
      </c>
      <c r="K32" s="14" t="s">
        <v>780</v>
      </c>
      <c r="M32" s="14" t="s">
        <v>781</v>
      </c>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row>
    <row r="33">
      <c r="A33" s="14" t="s">
        <v>782</v>
      </c>
      <c r="B33" s="14" t="s">
        <v>783</v>
      </c>
      <c r="C33" s="14" t="s">
        <v>784</v>
      </c>
      <c r="D33" s="14" t="s">
        <v>785</v>
      </c>
      <c r="E33" s="14" t="s">
        <v>50</v>
      </c>
      <c r="F33" s="14" t="s">
        <v>503</v>
      </c>
      <c r="G33" s="8"/>
      <c r="H33" s="15" t="s">
        <v>588</v>
      </c>
      <c r="J33" s="14" t="s">
        <v>786</v>
      </c>
      <c r="K33" s="14" t="s">
        <v>780</v>
      </c>
      <c r="M33" s="14" t="s">
        <v>787</v>
      </c>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row>
    <row r="34">
      <c r="A34" s="14" t="s">
        <v>788</v>
      </c>
      <c r="B34" s="14" t="s">
        <v>789</v>
      </c>
      <c r="C34" s="14" t="s">
        <v>790</v>
      </c>
      <c r="D34" s="14" t="s">
        <v>791</v>
      </c>
      <c r="E34" s="28" t="s">
        <v>50</v>
      </c>
      <c r="F34" s="14" t="s">
        <v>503</v>
      </c>
      <c r="G34" s="8"/>
      <c r="H34" s="15" t="s">
        <v>588</v>
      </c>
      <c r="J34" s="14" t="s">
        <v>792</v>
      </c>
      <c r="K34" s="14" t="s">
        <v>780</v>
      </c>
      <c r="M34" s="14" t="s">
        <v>793</v>
      </c>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row>
    <row r="35">
      <c r="A35" s="14" t="s">
        <v>794</v>
      </c>
      <c r="B35" s="14" t="s">
        <v>795</v>
      </c>
      <c r="C35" s="14" t="s">
        <v>796</v>
      </c>
      <c r="D35" s="14" t="s">
        <v>797</v>
      </c>
      <c r="E35" s="14" t="s">
        <v>50</v>
      </c>
      <c r="F35" s="14" t="s">
        <v>503</v>
      </c>
      <c r="G35" s="8"/>
      <c r="H35" s="15" t="s">
        <v>553</v>
      </c>
      <c r="J35" s="14" t="s">
        <v>798</v>
      </c>
      <c r="K35" s="14" t="s">
        <v>780</v>
      </c>
      <c r="M35" s="14" t="s">
        <v>799</v>
      </c>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row>
    <row r="36">
      <c r="A36" s="14" t="s">
        <v>800</v>
      </c>
      <c r="B36" s="14" t="s">
        <v>801</v>
      </c>
      <c r="C36" s="14" t="s">
        <v>802</v>
      </c>
      <c r="D36" s="14" t="s">
        <v>803</v>
      </c>
      <c r="E36" s="14" t="s">
        <v>50</v>
      </c>
      <c r="F36" s="14" t="s">
        <v>503</v>
      </c>
      <c r="G36" s="8"/>
      <c r="H36" s="15" t="s">
        <v>504</v>
      </c>
      <c r="J36" s="14" t="s">
        <v>804</v>
      </c>
      <c r="K36" s="28" t="s">
        <v>780</v>
      </c>
      <c r="M36" s="14" t="s">
        <v>805</v>
      </c>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row>
    <row r="37">
      <c r="A37" s="14" t="s">
        <v>806</v>
      </c>
      <c r="B37" s="14" t="s">
        <v>807</v>
      </c>
      <c r="C37" s="14" t="s">
        <v>808</v>
      </c>
      <c r="D37" s="14" t="s">
        <v>809</v>
      </c>
      <c r="E37" s="14" t="s">
        <v>50</v>
      </c>
      <c r="F37" s="14" t="s">
        <v>503</v>
      </c>
      <c r="G37" s="8"/>
      <c r="H37" s="15" t="s">
        <v>525</v>
      </c>
      <c r="J37" s="14" t="s">
        <v>810</v>
      </c>
      <c r="K37" s="14" t="s">
        <v>811</v>
      </c>
      <c r="M37" s="14" t="s">
        <v>812</v>
      </c>
      <c r="N37" s="8"/>
      <c r="O37" s="14" t="s">
        <v>813</v>
      </c>
      <c r="P37" s="16" t="s">
        <v>814</v>
      </c>
      <c r="Q37" s="14" t="s">
        <v>815</v>
      </c>
      <c r="R37" s="8"/>
      <c r="S37" s="16" t="s">
        <v>813</v>
      </c>
      <c r="T37" s="16" t="s">
        <v>814</v>
      </c>
      <c r="U37" s="8"/>
      <c r="V37" s="8"/>
      <c r="W37" s="8"/>
      <c r="X37" s="8"/>
      <c r="Y37" s="8"/>
      <c r="Z37" s="8"/>
      <c r="AA37" s="8"/>
      <c r="AB37" s="8"/>
      <c r="AC37" s="8"/>
      <c r="AD37" s="8"/>
      <c r="AE37" s="8"/>
      <c r="AF37" s="8"/>
      <c r="AG37" s="8"/>
      <c r="AH37" s="8"/>
      <c r="AI37" s="8"/>
      <c r="AJ37" s="8"/>
      <c r="AK37" s="8"/>
      <c r="AL37" s="8"/>
      <c r="AM37" s="8"/>
      <c r="AN37" s="8"/>
      <c r="AO37" s="8"/>
      <c r="AP37" s="8"/>
      <c r="AQ37" s="8"/>
      <c r="AR37" s="8"/>
    </row>
    <row r="38">
      <c r="A38" s="29"/>
      <c r="B38" s="29"/>
      <c r="C38" s="29"/>
      <c r="D38" s="29"/>
      <c r="E38" s="29"/>
      <c r="F38" s="29"/>
      <c r="G38" s="29"/>
      <c r="H38" s="30"/>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row>
    <row r="39">
      <c r="A39" s="29"/>
      <c r="B39" s="29"/>
      <c r="C39" s="29"/>
      <c r="D39" s="29"/>
      <c r="E39" s="29"/>
      <c r="F39" s="29"/>
      <c r="G39" s="29"/>
      <c r="H39" s="30"/>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row>
    <row r="40">
      <c r="A40" s="29"/>
      <c r="B40" s="29"/>
      <c r="C40" s="29"/>
      <c r="D40" s="29"/>
      <c r="E40" s="29"/>
      <c r="F40" s="29"/>
      <c r="G40" s="29"/>
      <c r="H40" s="30"/>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row>
    <row r="41">
      <c r="A41" s="29"/>
      <c r="B41" s="29"/>
      <c r="C41" s="29"/>
      <c r="D41" s="29"/>
      <c r="E41" s="29"/>
      <c r="F41" s="29"/>
      <c r="G41" s="29"/>
      <c r="H41" s="30"/>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row>
    <row r="42">
      <c r="A42" s="29"/>
      <c r="B42" s="29"/>
      <c r="C42" s="29"/>
      <c r="D42" s="29"/>
      <c r="E42" s="29"/>
      <c r="F42" s="29"/>
      <c r="G42" s="29"/>
      <c r="H42" s="30"/>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row>
    <row r="43">
      <c r="A43" s="29"/>
      <c r="B43" s="29"/>
      <c r="C43" s="29"/>
      <c r="D43" s="29"/>
      <c r="E43" s="29"/>
      <c r="F43" s="29"/>
      <c r="G43" s="29"/>
      <c r="H43" s="30"/>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row>
    <row r="44">
      <c r="A44" s="29"/>
      <c r="B44" s="29"/>
      <c r="C44" s="29"/>
      <c r="D44" s="29"/>
      <c r="E44" s="29"/>
      <c r="F44" s="29"/>
      <c r="G44" s="29"/>
      <c r="H44" s="30"/>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row>
    <row r="45">
      <c r="A45" s="29"/>
      <c r="B45" s="29"/>
      <c r="C45" s="29"/>
      <c r="D45" s="29"/>
      <c r="E45" s="29"/>
      <c r="F45" s="29"/>
      <c r="G45" s="29"/>
      <c r="H45" s="30"/>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row>
    <row r="46">
      <c r="A46" s="29"/>
      <c r="B46" s="29"/>
      <c r="C46" s="29"/>
      <c r="D46" s="29"/>
      <c r="E46" s="29"/>
      <c r="F46" s="29"/>
      <c r="G46" s="29"/>
      <c r="H46" s="30"/>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row>
    <row r="47">
      <c r="A47" s="29"/>
      <c r="B47" s="29"/>
      <c r="C47" s="29"/>
      <c r="D47" s="29"/>
      <c r="E47" s="29"/>
      <c r="F47" s="29"/>
      <c r="G47" s="29"/>
      <c r="H47" s="30"/>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row>
    <row r="48">
      <c r="A48" s="29"/>
      <c r="B48" s="29"/>
      <c r="C48" s="29"/>
      <c r="D48" s="29"/>
      <c r="E48" s="29"/>
      <c r="F48" s="29"/>
      <c r="G48" s="29"/>
      <c r="H48" s="30"/>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row>
    <row r="49">
      <c r="A49" s="29"/>
      <c r="B49" s="29"/>
      <c r="C49" s="29"/>
      <c r="D49" s="29"/>
      <c r="E49" s="29"/>
      <c r="F49" s="29"/>
      <c r="G49" s="29"/>
      <c r="H49" s="30"/>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row>
    <row r="50">
      <c r="A50" s="29"/>
      <c r="B50" s="29"/>
      <c r="C50" s="29"/>
      <c r="D50" s="29"/>
      <c r="E50" s="29"/>
      <c r="F50" s="29"/>
      <c r="G50" s="29"/>
      <c r="H50" s="30"/>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row>
    <row r="51">
      <c r="A51" s="29"/>
      <c r="B51" s="29"/>
      <c r="C51" s="29"/>
      <c r="D51" s="29"/>
      <c r="E51" s="29"/>
      <c r="F51" s="29"/>
      <c r="G51" s="29"/>
      <c r="H51" s="30"/>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row>
    <row r="52">
      <c r="A52" s="29"/>
      <c r="B52" s="29"/>
      <c r="C52" s="29"/>
      <c r="D52" s="29"/>
      <c r="E52" s="29"/>
      <c r="F52" s="29"/>
      <c r="G52" s="29"/>
      <c r="H52" s="30"/>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row>
    <row r="53">
      <c r="A53" s="29"/>
      <c r="B53" s="29"/>
      <c r="C53" s="29"/>
      <c r="D53" s="29"/>
      <c r="E53" s="29"/>
      <c r="F53" s="29"/>
      <c r="G53" s="29"/>
      <c r="H53" s="30"/>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row>
    <row r="54">
      <c r="A54" s="29"/>
      <c r="B54" s="29"/>
      <c r="C54" s="29"/>
      <c r="D54" s="29"/>
      <c r="E54" s="29"/>
      <c r="F54" s="29"/>
      <c r="G54" s="29"/>
      <c r="H54" s="30"/>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row>
    <row r="55">
      <c r="A55" s="29"/>
      <c r="B55" s="29"/>
      <c r="C55" s="29"/>
      <c r="D55" s="29"/>
      <c r="E55" s="29"/>
      <c r="F55" s="29"/>
      <c r="G55" s="29"/>
      <c r="H55" s="30"/>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row>
    <row r="56">
      <c r="A56" s="29"/>
      <c r="B56" s="29"/>
      <c r="C56" s="29"/>
      <c r="D56" s="29"/>
      <c r="E56" s="29"/>
      <c r="F56" s="29"/>
      <c r="G56" s="29"/>
      <c r="H56" s="30"/>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row>
    <row r="57">
      <c r="A57" s="29"/>
      <c r="B57" s="29"/>
      <c r="C57" s="29"/>
      <c r="D57" s="29"/>
      <c r="E57" s="29"/>
      <c r="F57" s="29"/>
      <c r="G57" s="29"/>
      <c r="H57" s="30"/>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row>
    <row r="58">
      <c r="A58" s="29"/>
      <c r="B58" s="29"/>
      <c r="C58" s="29"/>
      <c r="D58" s="29"/>
      <c r="E58" s="29"/>
      <c r="F58" s="29"/>
      <c r="G58" s="29"/>
      <c r="H58" s="30"/>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row>
    <row r="59">
      <c r="A59" s="29"/>
      <c r="B59" s="29"/>
      <c r="C59" s="29"/>
      <c r="D59" s="29"/>
      <c r="E59" s="29"/>
      <c r="F59" s="29"/>
      <c r="G59" s="29"/>
      <c r="H59" s="30"/>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row>
    <row r="60">
      <c r="A60" s="29"/>
      <c r="B60" s="29"/>
      <c r="C60" s="29"/>
      <c r="D60" s="29"/>
      <c r="E60" s="29"/>
      <c r="F60" s="29"/>
      <c r="G60" s="29"/>
      <c r="H60" s="30"/>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row>
    <row r="61">
      <c r="A61" s="29"/>
      <c r="B61" s="29"/>
      <c r="C61" s="29"/>
      <c r="D61" s="29"/>
      <c r="E61" s="29"/>
      <c r="F61" s="29"/>
      <c r="G61" s="29"/>
      <c r="H61" s="30"/>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row>
    <row r="62">
      <c r="A62" s="29"/>
      <c r="B62" s="29"/>
      <c r="C62" s="29"/>
      <c r="D62" s="29"/>
      <c r="E62" s="29"/>
      <c r="F62" s="29"/>
      <c r="G62" s="29"/>
      <c r="H62" s="30"/>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row>
    <row r="63">
      <c r="A63" s="29"/>
      <c r="B63" s="29"/>
      <c r="C63" s="29"/>
      <c r="D63" s="29"/>
      <c r="E63" s="29"/>
      <c r="F63" s="29"/>
      <c r="G63" s="29"/>
      <c r="H63" s="30"/>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row>
    <row r="64">
      <c r="A64" s="29"/>
      <c r="B64" s="29"/>
      <c r="C64" s="29"/>
      <c r="D64" s="29"/>
      <c r="E64" s="29"/>
      <c r="F64" s="29"/>
      <c r="G64" s="29"/>
      <c r="H64" s="30"/>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row>
    <row r="65">
      <c r="A65" s="29"/>
      <c r="B65" s="29"/>
      <c r="C65" s="29"/>
      <c r="D65" s="29"/>
      <c r="E65" s="29"/>
      <c r="F65" s="29"/>
      <c r="G65" s="29"/>
      <c r="H65" s="30"/>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row>
    <row r="66">
      <c r="A66" s="29"/>
      <c r="B66" s="29"/>
      <c r="C66" s="29"/>
      <c r="D66" s="29"/>
      <c r="E66" s="29"/>
      <c r="F66" s="29"/>
      <c r="G66" s="29"/>
      <c r="H66" s="30"/>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row>
    <row r="67">
      <c r="A67" s="29"/>
      <c r="B67" s="29"/>
      <c r="C67" s="29"/>
      <c r="D67" s="29"/>
      <c r="E67" s="29"/>
      <c r="F67" s="29"/>
      <c r="G67" s="29"/>
      <c r="H67" s="30"/>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row>
    <row r="68">
      <c r="A68" s="29"/>
      <c r="B68" s="29"/>
      <c r="C68" s="29"/>
      <c r="D68" s="29"/>
      <c r="E68" s="29"/>
      <c r="F68" s="29"/>
      <c r="G68" s="29"/>
      <c r="H68" s="30"/>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row>
    <row r="69">
      <c r="A69" s="29"/>
      <c r="B69" s="29"/>
      <c r="C69" s="29"/>
      <c r="D69" s="29"/>
      <c r="E69" s="29"/>
      <c r="F69" s="29"/>
      <c r="G69" s="29"/>
      <c r="H69" s="30"/>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row>
    <row r="70">
      <c r="A70" s="29"/>
      <c r="B70" s="29"/>
      <c r="C70" s="29"/>
      <c r="D70" s="29"/>
      <c r="E70" s="29"/>
      <c r="F70" s="29"/>
      <c r="G70" s="29"/>
      <c r="H70" s="30"/>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row>
    <row r="71">
      <c r="A71" s="29"/>
      <c r="B71" s="29"/>
      <c r="C71" s="29"/>
      <c r="D71" s="29"/>
      <c r="E71" s="29"/>
      <c r="F71" s="29"/>
      <c r="G71" s="29"/>
      <c r="H71" s="30"/>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row>
    <row r="72">
      <c r="A72" s="29"/>
      <c r="B72" s="29"/>
      <c r="C72" s="29"/>
      <c r="D72" s="29"/>
      <c r="E72" s="29"/>
      <c r="F72" s="29"/>
      <c r="G72" s="29"/>
      <c r="H72" s="30"/>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row>
    <row r="73">
      <c r="A73" s="29"/>
      <c r="B73" s="29"/>
      <c r="C73" s="29"/>
      <c r="D73" s="29"/>
      <c r="E73" s="29"/>
      <c r="F73" s="29"/>
      <c r="G73" s="29"/>
      <c r="H73" s="30"/>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row>
    <row r="74">
      <c r="A74" s="29"/>
      <c r="B74" s="29"/>
      <c r="C74" s="29"/>
      <c r="D74" s="29"/>
      <c r="E74" s="29"/>
      <c r="F74" s="29"/>
      <c r="G74" s="29"/>
      <c r="H74" s="30"/>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row>
    <row r="75">
      <c r="A75" s="29"/>
      <c r="B75" s="29"/>
      <c r="C75" s="29"/>
      <c r="D75" s="29"/>
      <c r="E75" s="29"/>
      <c r="F75" s="29"/>
      <c r="G75" s="29"/>
      <c r="H75" s="30"/>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row>
    <row r="76">
      <c r="A76" s="29"/>
      <c r="B76" s="29"/>
      <c r="C76" s="29"/>
      <c r="D76" s="29"/>
      <c r="E76" s="29"/>
      <c r="F76" s="29"/>
      <c r="G76" s="29"/>
      <c r="H76" s="30"/>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row>
    <row r="77">
      <c r="A77" s="29"/>
      <c r="B77" s="29"/>
      <c r="C77" s="29"/>
      <c r="D77" s="29"/>
      <c r="E77" s="29"/>
      <c r="F77" s="29"/>
      <c r="G77" s="29"/>
      <c r="H77" s="30"/>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row>
    <row r="78">
      <c r="A78" s="29"/>
      <c r="B78" s="29"/>
      <c r="C78" s="29"/>
      <c r="D78" s="29"/>
      <c r="E78" s="29"/>
      <c r="F78" s="29"/>
      <c r="G78" s="29"/>
      <c r="H78" s="30"/>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row>
    <row r="79">
      <c r="A79" s="29"/>
      <c r="B79" s="29"/>
      <c r="C79" s="29"/>
      <c r="D79" s="29"/>
      <c r="E79" s="29"/>
      <c r="F79" s="29"/>
      <c r="G79" s="29"/>
      <c r="H79" s="30"/>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row>
    <row r="80">
      <c r="A80" s="29"/>
      <c r="B80" s="29"/>
      <c r="C80" s="29"/>
      <c r="D80" s="29"/>
      <c r="E80" s="29"/>
      <c r="F80" s="29"/>
      <c r="G80" s="29"/>
      <c r="H80" s="30"/>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row>
    <row r="81">
      <c r="A81" s="29"/>
      <c r="B81" s="29"/>
      <c r="C81" s="29"/>
      <c r="D81" s="29"/>
      <c r="E81" s="29"/>
      <c r="F81" s="29"/>
      <c r="G81" s="29"/>
      <c r="H81" s="30"/>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row>
    <row r="82">
      <c r="A82" s="29"/>
      <c r="B82" s="29"/>
      <c r="C82" s="29"/>
      <c r="D82" s="29"/>
      <c r="E82" s="29"/>
      <c r="F82" s="29"/>
      <c r="G82" s="29"/>
      <c r="H82" s="30"/>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row>
    <row r="83">
      <c r="A83" s="29"/>
      <c r="B83" s="29"/>
      <c r="C83" s="29"/>
      <c r="D83" s="29"/>
      <c r="E83" s="29"/>
      <c r="F83" s="29"/>
      <c r="G83" s="29"/>
      <c r="H83" s="30"/>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row>
    <row r="84">
      <c r="A84" s="29"/>
      <c r="B84" s="29"/>
      <c r="C84" s="29"/>
      <c r="D84" s="29"/>
      <c r="E84" s="29"/>
      <c r="F84" s="29"/>
      <c r="G84" s="29"/>
      <c r="H84" s="30"/>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row>
    <row r="85">
      <c r="A85" s="29"/>
      <c r="B85" s="29"/>
      <c r="C85" s="29"/>
      <c r="D85" s="29"/>
      <c r="E85" s="29"/>
      <c r="F85" s="29"/>
      <c r="G85" s="29"/>
      <c r="H85" s="30"/>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row>
    <row r="86">
      <c r="A86" s="29"/>
      <c r="B86" s="29"/>
      <c r="C86" s="29"/>
      <c r="D86" s="29"/>
      <c r="E86" s="29"/>
      <c r="F86" s="29"/>
      <c r="G86" s="29"/>
      <c r="H86" s="30"/>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row>
    <row r="87">
      <c r="A87" s="29"/>
      <c r="B87" s="29"/>
      <c r="C87" s="29"/>
      <c r="D87" s="29"/>
      <c r="E87" s="29"/>
      <c r="F87" s="29"/>
      <c r="G87" s="29"/>
      <c r="H87" s="30"/>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row>
    <row r="88">
      <c r="A88" s="29"/>
      <c r="B88" s="29"/>
      <c r="C88" s="29"/>
      <c r="D88" s="29"/>
      <c r="E88" s="29"/>
      <c r="F88" s="29"/>
      <c r="G88" s="29"/>
      <c r="H88" s="30"/>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row>
    <row r="89">
      <c r="A89" s="29"/>
      <c r="B89" s="29"/>
      <c r="C89" s="29"/>
      <c r="D89" s="29"/>
      <c r="E89" s="29"/>
      <c r="F89" s="29"/>
      <c r="G89" s="29"/>
      <c r="H89" s="30"/>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row>
    <row r="90">
      <c r="A90" s="29"/>
      <c r="B90" s="29"/>
      <c r="C90" s="29"/>
      <c r="D90" s="29"/>
      <c r="E90" s="29"/>
      <c r="F90" s="29"/>
      <c r="G90" s="29"/>
      <c r="H90" s="30"/>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row>
    <row r="91">
      <c r="A91" s="29"/>
      <c r="B91" s="29"/>
      <c r="C91" s="29"/>
      <c r="D91" s="29"/>
      <c r="E91" s="29"/>
      <c r="F91" s="29"/>
      <c r="G91" s="29"/>
      <c r="H91" s="30"/>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row>
    <row r="92">
      <c r="A92" s="29"/>
      <c r="B92" s="29"/>
      <c r="C92" s="29"/>
      <c r="D92" s="29"/>
      <c r="E92" s="29"/>
      <c r="F92" s="29"/>
      <c r="G92" s="29"/>
      <c r="H92" s="30"/>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row>
    <row r="93">
      <c r="A93" s="29"/>
      <c r="B93" s="29"/>
      <c r="C93" s="29"/>
      <c r="D93" s="29"/>
      <c r="E93" s="29"/>
      <c r="F93" s="29"/>
      <c r="G93" s="29"/>
      <c r="H93" s="30"/>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row>
    <row r="94">
      <c r="A94" s="29"/>
      <c r="B94" s="29"/>
      <c r="C94" s="29"/>
      <c r="D94" s="29"/>
      <c r="E94" s="29"/>
      <c r="F94" s="29"/>
      <c r="G94" s="29"/>
      <c r="H94" s="30"/>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row>
    <row r="95">
      <c r="A95" s="29"/>
      <c r="B95" s="29"/>
      <c r="C95" s="29"/>
      <c r="D95" s="29"/>
      <c r="E95" s="29"/>
      <c r="F95" s="29"/>
      <c r="G95" s="29"/>
      <c r="H95" s="30"/>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row>
    <row r="96">
      <c r="A96" s="29"/>
      <c r="B96" s="29"/>
      <c r="C96" s="29"/>
      <c r="D96" s="29"/>
      <c r="E96" s="29"/>
      <c r="F96" s="29"/>
      <c r="G96" s="29"/>
      <c r="H96" s="30"/>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row>
    <row r="97">
      <c r="A97" s="29"/>
      <c r="B97" s="29"/>
      <c r="C97" s="29"/>
      <c r="D97" s="29"/>
      <c r="E97" s="29"/>
      <c r="F97" s="29"/>
      <c r="G97" s="29"/>
      <c r="H97" s="30"/>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row>
    <row r="98">
      <c r="A98" s="29"/>
      <c r="B98" s="29"/>
      <c r="C98" s="29"/>
      <c r="D98" s="29"/>
      <c r="E98" s="29"/>
      <c r="F98" s="29"/>
      <c r="G98" s="29"/>
      <c r="H98" s="30"/>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row>
    <row r="99">
      <c r="A99" s="29"/>
      <c r="B99" s="29"/>
      <c r="C99" s="29"/>
      <c r="D99" s="29"/>
      <c r="E99" s="29"/>
      <c r="F99" s="29"/>
      <c r="G99" s="29"/>
      <c r="H99" s="30"/>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row>
    <row r="100">
      <c r="A100" s="29"/>
      <c r="B100" s="29"/>
      <c r="C100" s="29"/>
      <c r="D100" s="29"/>
      <c r="E100" s="29"/>
      <c r="F100" s="29"/>
      <c r="G100" s="29"/>
      <c r="H100" s="30"/>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row>
    <row r="101">
      <c r="A101" s="29"/>
      <c r="B101" s="29"/>
      <c r="C101" s="29"/>
      <c r="D101" s="29"/>
      <c r="E101" s="29"/>
      <c r="F101" s="29"/>
      <c r="G101" s="29"/>
      <c r="H101" s="30"/>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row>
    <row r="102">
      <c r="A102" s="29"/>
      <c r="B102" s="29"/>
      <c r="C102" s="29"/>
      <c r="D102" s="29"/>
      <c r="E102" s="29"/>
      <c r="F102" s="29"/>
      <c r="G102" s="29"/>
      <c r="H102" s="30"/>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row>
    <row r="103">
      <c r="A103" s="29"/>
      <c r="B103" s="29"/>
      <c r="C103" s="29"/>
      <c r="D103" s="29"/>
      <c r="E103" s="29"/>
      <c r="F103" s="29"/>
      <c r="G103" s="29"/>
      <c r="H103" s="30"/>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row>
    <row r="104">
      <c r="A104" s="29"/>
      <c r="B104" s="29"/>
      <c r="C104" s="29"/>
      <c r="D104" s="29"/>
      <c r="E104" s="29"/>
      <c r="F104" s="29"/>
      <c r="G104" s="29"/>
      <c r="H104" s="30"/>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row>
    <row r="105">
      <c r="A105" s="29"/>
      <c r="B105" s="29"/>
      <c r="C105" s="29"/>
      <c r="D105" s="29"/>
      <c r="E105" s="29"/>
      <c r="F105" s="29"/>
      <c r="G105" s="29"/>
      <c r="H105" s="30"/>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row>
    <row r="106">
      <c r="A106" s="29"/>
      <c r="B106" s="29"/>
      <c r="C106" s="29"/>
      <c r="D106" s="29"/>
      <c r="E106" s="29"/>
      <c r="F106" s="29"/>
      <c r="G106" s="29"/>
      <c r="H106" s="30"/>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row>
    <row r="107">
      <c r="A107" s="29"/>
      <c r="B107" s="29"/>
      <c r="C107" s="29"/>
      <c r="D107" s="29"/>
      <c r="E107" s="29"/>
      <c r="F107" s="29"/>
      <c r="G107" s="29"/>
      <c r="H107" s="30"/>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row>
    <row r="108">
      <c r="A108" s="29"/>
      <c r="B108" s="29"/>
      <c r="C108" s="29"/>
      <c r="D108" s="29"/>
      <c r="E108" s="29"/>
      <c r="F108" s="29"/>
      <c r="G108" s="29"/>
      <c r="H108" s="30"/>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row>
    <row r="109">
      <c r="A109" s="29"/>
      <c r="B109" s="29"/>
      <c r="C109" s="29"/>
      <c r="D109" s="29"/>
      <c r="E109" s="29"/>
      <c r="F109" s="29"/>
      <c r="G109" s="29"/>
      <c r="H109" s="30"/>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row>
    <row r="110">
      <c r="A110" s="29"/>
      <c r="B110" s="29"/>
      <c r="C110" s="29"/>
      <c r="D110" s="29"/>
      <c r="E110" s="29"/>
      <c r="F110" s="29"/>
      <c r="G110" s="29"/>
      <c r="H110" s="30"/>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row>
    <row r="111">
      <c r="A111" s="29"/>
      <c r="B111" s="29"/>
      <c r="C111" s="29"/>
      <c r="D111" s="29"/>
      <c r="E111" s="29"/>
      <c r="F111" s="29"/>
      <c r="G111" s="29"/>
      <c r="H111" s="30"/>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row>
    <row r="112">
      <c r="A112" s="29"/>
      <c r="B112" s="29"/>
      <c r="C112" s="29"/>
      <c r="D112" s="29"/>
      <c r="E112" s="29"/>
      <c r="F112" s="29"/>
      <c r="G112" s="29"/>
      <c r="H112" s="30"/>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row>
    <row r="113">
      <c r="A113" s="29"/>
      <c r="B113" s="29"/>
      <c r="C113" s="29"/>
      <c r="D113" s="29"/>
      <c r="E113" s="29"/>
      <c r="F113" s="29"/>
      <c r="G113" s="29"/>
      <c r="H113" s="30"/>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row>
    <row r="114">
      <c r="A114" s="29"/>
      <c r="B114" s="29"/>
      <c r="C114" s="29"/>
      <c r="D114" s="29"/>
      <c r="E114" s="29"/>
      <c r="F114" s="29"/>
      <c r="G114" s="29"/>
      <c r="H114" s="30"/>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row>
    <row r="115">
      <c r="A115" s="29"/>
      <c r="B115" s="29"/>
      <c r="C115" s="29"/>
      <c r="D115" s="29"/>
      <c r="E115" s="29"/>
      <c r="F115" s="29"/>
      <c r="G115" s="29"/>
      <c r="H115" s="30"/>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29"/>
    </row>
    <row r="116">
      <c r="A116" s="29"/>
      <c r="B116" s="29"/>
      <c r="C116" s="29"/>
      <c r="D116" s="29"/>
      <c r="E116" s="29"/>
      <c r="F116" s="29"/>
      <c r="G116" s="29"/>
      <c r="H116" s="30"/>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row>
    <row r="117">
      <c r="A117" s="29"/>
      <c r="B117" s="29"/>
      <c r="C117" s="29"/>
      <c r="D117" s="29"/>
      <c r="E117" s="29"/>
      <c r="F117" s="29"/>
      <c r="G117" s="29"/>
      <c r="H117" s="30"/>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row>
    <row r="118">
      <c r="A118" s="29"/>
      <c r="B118" s="29"/>
      <c r="C118" s="29"/>
      <c r="D118" s="29"/>
      <c r="E118" s="29"/>
      <c r="F118" s="29"/>
      <c r="G118" s="29"/>
      <c r="H118" s="30"/>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row>
    <row r="119">
      <c r="A119" s="29"/>
      <c r="B119" s="29"/>
      <c r="C119" s="29"/>
      <c r="D119" s="29"/>
      <c r="E119" s="29"/>
      <c r="F119" s="29"/>
      <c r="G119" s="29"/>
      <c r="H119" s="30"/>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row>
    <row r="120">
      <c r="A120" s="29"/>
      <c r="B120" s="29"/>
      <c r="C120" s="29"/>
      <c r="D120" s="29"/>
      <c r="E120" s="29"/>
      <c r="F120" s="29"/>
      <c r="G120" s="29"/>
      <c r="H120" s="30"/>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row>
    <row r="121">
      <c r="A121" s="29"/>
      <c r="B121" s="29"/>
      <c r="C121" s="29"/>
      <c r="D121" s="29"/>
      <c r="E121" s="29"/>
      <c r="F121" s="29"/>
      <c r="G121" s="29"/>
      <c r="H121" s="30"/>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row>
    <row r="122">
      <c r="A122" s="29"/>
      <c r="B122" s="29"/>
      <c r="C122" s="29"/>
      <c r="D122" s="29"/>
      <c r="E122" s="29"/>
      <c r="F122" s="29"/>
      <c r="G122" s="29"/>
      <c r="H122" s="30"/>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row>
    <row r="123">
      <c r="A123" s="29"/>
      <c r="B123" s="29"/>
      <c r="C123" s="29"/>
      <c r="D123" s="29"/>
      <c r="E123" s="29"/>
      <c r="F123" s="29"/>
      <c r="G123" s="29"/>
      <c r="H123" s="30"/>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row>
    <row r="124">
      <c r="A124" s="29"/>
      <c r="B124" s="29"/>
      <c r="C124" s="29"/>
      <c r="D124" s="29"/>
      <c r="E124" s="29"/>
      <c r="F124" s="29"/>
      <c r="G124" s="29"/>
      <c r="H124" s="30"/>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row>
    <row r="125">
      <c r="A125" s="29"/>
      <c r="B125" s="29"/>
      <c r="C125" s="29"/>
      <c r="D125" s="29"/>
      <c r="E125" s="29"/>
      <c r="F125" s="29"/>
      <c r="G125" s="29"/>
      <c r="H125" s="30"/>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row>
    <row r="126">
      <c r="A126" s="29"/>
      <c r="B126" s="29"/>
      <c r="C126" s="29"/>
      <c r="D126" s="29"/>
      <c r="E126" s="29"/>
      <c r="F126" s="29"/>
      <c r="G126" s="29"/>
      <c r="H126" s="30"/>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row>
    <row r="127">
      <c r="A127" s="29"/>
      <c r="B127" s="29"/>
      <c r="C127" s="29"/>
      <c r="D127" s="29"/>
      <c r="E127" s="29"/>
      <c r="F127" s="29"/>
      <c r="G127" s="29"/>
      <c r="H127" s="30"/>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row>
    <row r="128">
      <c r="A128" s="29"/>
      <c r="B128" s="29"/>
      <c r="C128" s="29"/>
      <c r="D128" s="29"/>
      <c r="E128" s="29"/>
      <c r="F128" s="29"/>
      <c r="G128" s="29"/>
      <c r="H128" s="30"/>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row>
    <row r="129">
      <c r="A129" s="29"/>
      <c r="B129" s="29"/>
      <c r="C129" s="29"/>
      <c r="D129" s="29"/>
      <c r="E129" s="29"/>
      <c r="F129" s="29"/>
      <c r="G129" s="29"/>
      <c r="H129" s="30"/>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row>
    <row r="130">
      <c r="A130" s="29"/>
      <c r="B130" s="29"/>
      <c r="C130" s="29"/>
      <c r="D130" s="29"/>
      <c r="E130" s="29"/>
      <c r="F130" s="29"/>
      <c r="G130" s="29"/>
      <c r="H130" s="30"/>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row>
    <row r="131">
      <c r="A131" s="29"/>
      <c r="B131" s="29"/>
      <c r="C131" s="29"/>
      <c r="D131" s="29"/>
      <c r="E131" s="29"/>
      <c r="F131" s="29"/>
      <c r="G131" s="29"/>
      <c r="H131" s="30"/>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row>
    <row r="132">
      <c r="A132" s="29"/>
      <c r="B132" s="29"/>
      <c r="C132" s="29"/>
      <c r="D132" s="29"/>
      <c r="E132" s="29"/>
      <c r="F132" s="29"/>
      <c r="G132" s="29"/>
      <c r="H132" s="30"/>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row>
    <row r="133">
      <c r="A133" s="29"/>
      <c r="B133" s="29"/>
      <c r="C133" s="29"/>
      <c r="D133" s="29"/>
      <c r="E133" s="29"/>
      <c r="F133" s="29"/>
      <c r="G133" s="29"/>
      <c r="H133" s="30"/>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row>
    <row r="134">
      <c r="A134" s="29"/>
      <c r="B134" s="29"/>
      <c r="C134" s="29"/>
      <c r="D134" s="29"/>
      <c r="E134" s="29"/>
      <c r="F134" s="29"/>
      <c r="G134" s="29"/>
      <c r="H134" s="30"/>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row>
    <row r="135">
      <c r="A135" s="29"/>
      <c r="B135" s="29"/>
      <c r="C135" s="29"/>
      <c r="D135" s="29"/>
      <c r="E135" s="29"/>
      <c r="F135" s="29"/>
      <c r="G135" s="29"/>
      <c r="H135" s="30"/>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row>
    <row r="136">
      <c r="A136" s="29"/>
      <c r="B136" s="29"/>
      <c r="C136" s="29"/>
      <c r="D136" s="29"/>
      <c r="E136" s="29"/>
      <c r="F136" s="29"/>
      <c r="G136" s="29"/>
      <c r="H136" s="30"/>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row>
    <row r="137">
      <c r="A137" s="29"/>
      <c r="B137" s="29"/>
      <c r="C137" s="29"/>
      <c r="D137" s="29"/>
      <c r="E137" s="29"/>
      <c r="F137" s="29"/>
      <c r="G137" s="29"/>
      <c r="H137" s="30"/>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row>
    <row r="138">
      <c r="A138" s="29"/>
      <c r="B138" s="29"/>
      <c r="C138" s="29"/>
      <c r="D138" s="29"/>
      <c r="E138" s="29"/>
      <c r="F138" s="29"/>
      <c r="G138" s="29"/>
      <c r="H138" s="30"/>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row>
    <row r="139">
      <c r="A139" s="29"/>
      <c r="B139" s="29"/>
      <c r="C139" s="29"/>
      <c r="D139" s="29"/>
      <c r="E139" s="29"/>
      <c r="F139" s="29"/>
      <c r="G139" s="29"/>
      <c r="H139" s="30"/>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row>
    <row r="140">
      <c r="A140" s="29"/>
      <c r="B140" s="29"/>
      <c r="C140" s="29"/>
      <c r="D140" s="29"/>
      <c r="E140" s="29"/>
      <c r="F140" s="29"/>
      <c r="G140" s="29"/>
      <c r="H140" s="30"/>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row>
    <row r="141">
      <c r="A141" s="29"/>
      <c r="B141" s="29"/>
      <c r="C141" s="29"/>
      <c r="D141" s="29"/>
      <c r="E141" s="29"/>
      <c r="F141" s="29"/>
      <c r="G141" s="29"/>
      <c r="H141" s="30"/>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row>
    <row r="142">
      <c r="A142" s="29"/>
      <c r="B142" s="29"/>
      <c r="C142" s="29"/>
      <c r="D142" s="29"/>
      <c r="E142" s="29"/>
      <c r="F142" s="29"/>
      <c r="G142" s="29"/>
      <c r="H142" s="30"/>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row>
    <row r="143">
      <c r="A143" s="29"/>
      <c r="B143" s="29"/>
      <c r="C143" s="29"/>
      <c r="D143" s="29"/>
      <c r="E143" s="29"/>
      <c r="F143" s="29"/>
      <c r="G143" s="29"/>
      <c r="H143" s="30"/>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row>
    <row r="144">
      <c r="A144" s="29"/>
      <c r="B144" s="29"/>
      <c r="C144" s="29"/>
      <c r="D144" s="29"/>
      <c r="E144" s="29"/>
      <c r="F144" s="29"/>
      <c r="G144" s="29"/>
      <c r="H144" s="30"/>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row>
    <row r="145">
      <c r="A145" s="29"/>
      <c r="B145" s="29"/>
      <c r="C145" s="29"/>
      <c r="D145" s="29"/>
      <c r="E145" s="29"/>
      <c r="F145" s="29"/>
      <c r="G145" s="29"/>
      <c r="H145" s="30"/>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row>
    <row r="146">
      <c r="A146" s="29"/>
      <c r="B146" s="29"/>
      <c r="C146" s="29"/>
      <c r="D146" s="29"/>
      <c r="E146" s="29"/>
      <c r="F146" s="29"/>
      <c r="G146" s="29"/>
      <c r="H146" s="30"/>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row>
    <row r="147">
      <c r="A147" s="29"/>
      <c r="B147" s="29"/>
      <c r="C147" s="29"/>
      <c r="D147" s="29"/>
      <c r="E147" s="29"/>
      <c r="F147" s="29"/>
      <c r="G147" s="29"/>
      <c r="H147" s="30"/>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row>
    <row r="148">
      <c r="A148" s="29"/>
      <c r="B148" s="29"/>
      <c r="C148" s="29"/>
      <c r="D148" s="29"/>
      <c r="E148" s="29"/>
      <c r="F148" s="29"/>
      <c r="G148" s="29"/>
      <c r="H148" s="30"/>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row>
    <row r="149">
      <c r="A149" s="29"/>
      <c r="B149" s="29"/>
      <c r="C149" s="29"/>
      <c r="D149" s="29"/>
      <c r="E149" s="29"/>
      <c r="F149" s="29"/>
      <c r="G149" s="29"/>
      <c r="H149" s="30"/>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row>
    <row r="150">
      <c r="A150" s="29"/>
      <c r="B150" s="29"/>
      <c r="C150" s="29"/>
      <c r="D150" s="29"/>
      <c r="E150" s="29"/>
      <c r="F150" s="29"/>
      <c r="G150" s="29"/>
      <c r="H150" s="30"/>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row>
    <row r="151">
      <c r="A151" s="29"/>
      <c r="B151" s="29"/>
      <c r="C151" s="29"/>
      <c r="D151" s="29"/>
      <c r="E151" s="29"/>
      <c r="F151" s="29"/>
      <c r="G151" s="29"/>
      <c r="H151" s="30"/>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row>
    <row r="152">
      <c r="A152" s="29"/>
      <c r="B152" s="29"/>
      <c r="C152" s="29"/>
      <c r="D152" s="29"/>
      <c r="E152" s="29"/>
      <c r="F152" s="29"/>
      <c r="G152" s="29"/>
      <c r="H152" s="30"/>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c r="AJ152" s="29"/>
      <c r="AK152" s="29"/>
      <c r="AL152" s="29"/>
      <c r="AM152" s="29"/>
      <c r="AN152" s="29"/>
      <c r="AO152" s="29"/>
      <c r="AP152" s="29"/>
      <c r="AQ152" s="29"/>
      <c r="AR152" s="29"/>
    </row>
    <row r="153">
      <c r="A153" s="29"/>
      <c r="B153" s="29"/>
      <c r="C153" s="29"/>
      <c r="D153" s="29"/>
      <c r="E153" s="29"/>
      <c r="F153" s="29"/>
      <c r="G153" s="29"/>
      <c r="H153" s="30"/>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row>
    <row r="154">
      <c r="A154" s="29"/>
      <c r="B154" s="29"/>
      <c r="C154" s="29"/>
      <c r="D154" s="29"/>
      <c r="E154" s="29"/>
      <c r="F154" s="29"/>
      <c r="G154" s="29"/>
      <c r="H154" s="30"/>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row>
    <row r="155">
      <c r="A155" s="29"/>
      <c r="B155" s="29"/>
      <c r="C155" s="29"/>
      <c r="D155" s="29"/>
      <c r="E155" s="29"/>
      <c r="F155" s="29"/>
      <c r="G155" s="29"/>
      <c r="H155" s="30"/>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row>
    <row r="156">
      <c r="A156" s="29"/>
      <c r="B156" s="29"/>
      <c r="C156" s="29"/>
      <c r="D156" s="29"/>
      <c r="E156" s="29"/>
      <c r="F156" s="29"/>
      <c r="G156" s="29"/>
      <c r="H156" s="30"/>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row>
    <row r="157">
      <c r="A157" s="29"/>
      <c r="B157" s="29"/>
      <c r="C157" s="29"/>
      <c r="D157" s="29"/>
      <c r="E157" s="29"/>
      <c r="F157" s="29"/>
      <c r="G157" s="29"/>
      <c r="H157" s="30"/>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row>
    <row r="158">
      <c r="A158" s="29"/>
      <c r="B158" s="29"/>
      <c r="C158" s="29"/>
      <c r="D158" s="29"/>
      <c r="E158" s="29"/>
      <c r="F158" s="29"/>
      <c r="G158" s="29"/>
      <c r="H158" s="30"/>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row>
    <row r="159">
      <c r="A159" s="29"/>
      <c r="B159" s="29"/>
      <c r="C159" s="29"/>
      <c r="D159" s="29"/>
      <c r="E159" s="29"/>
      <c r="F159" s="29"/>
      <c r="G159" s="29"/>
      <c r="H159" s="30"/>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row>
    <row r="160">
      <c r="A160" s="29"/>
      <c r="B160" s="29"/>
      <c r="C160" s="29"/>
      <c r="D160" s="29"/>
      <c r="E160" s="29"/>
      <c r="F160" s="29"/>
      <c r="G160" s="29"/>
      <c r="H160" s="30"/>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row>
    <row r="161">
      <c r="A161" s="29"/>
      <c r="B161" s="29"/>
      <c r="C161" s="29"/>
      <c r="D161" s="29"/>
      <c r="E161" s="29"/>
      <c r="F161" s="29"/>
      <c r="G161" s="29"/>
      <c r="H161" s="30"/>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row>
    <row r="162">
      <c r="A162" s="29"/>
      <c r="B162" s="29"/>
      <c r="C162" s="29"/>
      <c r="D162" s="29"/>
      <c r="E162" s="29"/>
      <c r="F162" s="29"/>
      <c r="G162" s="29"/>
      <c r="H162" s="30"/>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row>
    <row r="163">
      <c r="A163" s="29"/>
      <c r="B163" s="29"/>
      <c r="C163" s="29"/>
      <c r="D163" s="29"/>
      <c r="E163" s="29"/>
      <c r="F163" s="29"/>
      <c r="G163" s="29"/>
      <c r="H163" s="30"/>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row>
    <row r="164">
      <c r="A164" s="29"/>
      <c r="B164" s="29"/>
      <c r="C164" s="29"/>
      <c r="D164" s="29"/>
      <c r="E164" s="29"/>
      <c r="F164" s="29"/>
      <c r="G164" s="29"/>
      <c r="H164" s="30"/>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row>
    <row r="165">
      <c r="A165" s="29"/>
      <c r="B165" s="29"/>
      <c r="C165" s="29"/>
      <c r="D165" s="29"/>
      <c r="E165" s="29"/>
      <c r="F165" s="29"/>
      <c r="G165" s="29"/>
      <c r="H165" s="30"/>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row>
    <row r="166">
      <c r="A166" s="29"/>
      <c r="B166" s="29"/>
      <c r="C166" s="29"/>
      <c r="D166" s="29"/>
      <c r="E166" s="29"/>
      <c r="F166" s="29"/>
      <c r="G166" s="29"/>
      <c r="H166" s="30"/>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row>
    <row r="167">
      <c r="A167" s="29"/>
      <c r="B167" s="29"/>
      <c r="C167" s="29"/>
      <c r="D167" s="29"/>
      <c r="E167" s="29"/>
      <c r="F167" s="29"/>
      <c r="G167" s="29"/>
      <c r="H167" s="30"/>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row>
    <row r="168">
      <c r="A168" s="29"/>
      <c r="B168" s="29"/>
      <c r="C168" s="29"/>
      <c r="D168" s="29"/>
      <c r="E168" s="29"/>
      <c r="F168" s="29"/>
      <c r="G168" s="29"/>
      <c r="H168" s="30"/>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row>
    <row r="169">
      <c r="A169" s="29"/>
      <c r="B169" s="29"/>
      <c r="C169" s="29"/>
      <c r="D169" s="29"/>
      <c r="E169" s="29"/>
      <c r="F169" s="29"/>
      <c r="G169" s="29"/>
      <c r="H169" s="30"/>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29"/>
      <c r="AR169" s="29"/>
    </row>
    <row r="170">
      <c r="A170" s="29"/>
      <c r="B170" s="29"/>
      <c r="C170" s="29"/>
      <c r="D170" s="29"/>
      <c r="E170" s="29"/>
      <c r="F170" s="29"/>
      <c r="G170" s="29"/>
      <c r="H170" s="30"/>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row>
    <row r="171">
      <c r="A171" s="29"/>
      <c r="B171" s="29"/>
      <c r="C171" s="29"/>
      <c r="D171" s="29"/>
      <c r="E171" s="29"/>
      <c r="F171" s="29"/>
      <c r="G171" s="29"/>
      <c r="H171" s="30"/>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row>
    <row r="172">
      <c r="A172" s="29"/>
      <c r="B172" s="29"/>
      <c r="C172" s="29"/>
      <c r="D172" s="29"/>
      <c r="E172" s="29"/>
      <c r="F172" s="29"/>
      <c r="G172" s="29"/>
      <c r="H172" s="30"/>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row>
    <row r="173">
      <c r="A173" s="29"/>
      <c r="B173" s="29"/>
      <c r="C173" s="29"/>
      <c r="D173" s="29"/>
      <c r="E173" s="29"/>
      <c r="F173" s="29"/>
      <c r="G173" s="29"/>
      <c r="H173" s="30"/>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row>
    <row r="174">
      <c r="A174" s="29"/>
      <c r="B174" s="29"/>
      <c r="C174" s="29"/>
      <c r="D174" s="29"/>
      <c r="E174" s="29"/>
      <c r="F174" s="29"/>
      <c r="G174" s="29"/>
      <c r="H174" s="30"/>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row>
    <row r="175">
      <c r="A175" s="29"/>
      <c r="B175" s="29"/>
      <c r="C175" s="29"/>
      <c r="D175" s="29"/>
      <c r="E175" s="29"/>
      <c r="F175" s="29"/>
      <c r="G175" s="29"/>
      <c r="H175" s="30"/>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c r="AJ175" s="29"/>
      <c r="AK175" s="29"/>
      <c r="AL175" s="29"/>
      <c r="AM175" s="29"/>
      <c r="AN175" s="29"/>
      <c r="AO175" s="29"/>
      <c r="AP175" s="29"/>
      <c r="AQ175" s="29"/>
      <c r="AR175" s="29"/>
    </row>
    <row r="176">
      <c r="A176" s="29"/>
      <c r="B176" s="29"/>
      <c r="C176" s="29"/>
      <c r="D176" s="29"/>
      <c r="E176" s="29"/>
      <c r="F176" s="29"/>
      <c r="G176" s="29"/>
      <c r="H176" s="30"/>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29"/>
    </row>
    <row r="177">
      <c r="A177" s="29"/>
      <c r="B177" s="29"/>
      <c r="C177" s="29"/>
      <c r="D177" s="29"/>
      <c r="E177" s="29"/>
      <c r="F177" s="29"/>
      <c r="G177" s="29"/>
      <c r="H177" s="30"/>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row>
    <row r="178">
      <c r="A178" s="29"/>
      <c r="B178" s="29"/>
      <c r="C178" s="29"/>
      <c r="D178" s="29"/>
      <c r="E178" s="29"/>
      <c r="F178" s="29"/>
      <c r="G178" s="29"/>
      <c r="H178" s="30"/>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c r="AJ178" s="29"/>
      <c r="AK178" s="29"/>
      <c r="AL178" s="29"/>
      <c r="AM178" s="29"/>
      <c r="AN178" s="29"/>
      <c r="AO178" s="29"/>
      <c r="AP178" s="29"/>
      <c r="AQ178" s="29"/>
      <c r="AR178" s="29"/>
    </row>
    <row r="179">
      <c r="A179" s="29"/>
      <c r="B179" s="29"/>
      <c r="C179" s="29"/>
      <c r="D179" s="29"/>
      <c r="E179" s="29"/>
      <c r="F179" s="29"/>
      <c r="G179" s="29"/>
      <c r="H179" s="30"/>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row>
    <row r="180">
      <c r="A180" s="29"/>
      <c r="B180" s="29"/>
      <c r="C180" s="29"/>
      <c r="D180" s="29"/>
      <c r="E180" s="29"/>
      <c r="F180" s="29"/>
      <c r="G180" s="29"/>
      <c r="H180" s="30"/>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row>
    <row r="181">
      <c r="A181" s="29"/>
      <c r="B181" s="29"/>
      <c r="C181" s="29"/>
      <c r="D181" s="29"/>
      <c r="E181" s="29"/>
      <c r="F181" s="29"/>
      <c r="G181" s="29"/>
      <c r="H181" s="30"/>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row>
    <row r="182">
      <c r="A182" s="29"/>
      <c r="B182" s="29"/>
      <c r="C182" s="29"/>
      <c r="D182" s="29"/>
      <c r="E182" s="29"/>
      <c r="F182" s="29"/>
      <c r="G182" s="29"/>
      <c r="H182" s="30"/>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row>
    <row r="183">
      <c r="A183" s="29"/>
      <c r="B183" s="29"/>
      <c r="C183" s="29"/>
      <c r="D183" s="29"/>
      <c r="E183" s="29"/>
      <c r="F183" s="29"/>
      <c r="G183" s="29"/>
      <c r="H183" s="30"/>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row>
    <row r="184">
      <c r="A184" s="29"/>
      <c r="B184" s="29"/>
      <c r="C184" s="29"/>
      <c r="D184" s="29"/>
      <c r="E184" s="29"/>
      <c r="F184" s="29"/>
      <c r="G184" s="29"/>
      <c r="H184" s="30"/>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row>
    <row r="185">
      <c r="A185" s="29"/>
      <c r="B185" s="29"/>
      <c r="C185" s="29"/>
      <c r="D185" s="29"/>
      <c r="E185" s="29"/>
      <c r="F185" s="29"/>
      <c r="G185" s="29"/>
      <c r="H185" s="30"/>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row>
    <row r="186">
      <c r="A186" s="29"/>
      <c r="B186" s="29"/>
      <c r="C186" s="29"/>
      <c r="D186" s="29"/>
      <c r="E186" s="29"/>
      <c r="F186" s="29"/>
      <c r="G186" s="29"/>
      <c r="H186" s="30"/>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row>
    <row r="187">
      <c r="A187" s="29"/>
      <c r="B187" s="29"/>
      <c r="C187" s="29"/>
      <c r="D187" s="29"/>
      <c r="E187" s="29"/>
      <c r="F187" s="29"/>
      <c r="G187" s="29"/>
      <c r="H187" s="30"/>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row>
    <row r="188">
      <c r="A188" s="29"/>
      <c r="B188" s="29"/>
      <c r="C188" s="29"/>
      <c r="D188" s="29"/>
      <c r="E188" s="29"/>
      <c r="F188" s="29"/>
      <c r="G188" s="29"/>
      <c r="H188" s="30"/>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row>
    <row r="189">
      <c r="A189" s="29"/>
      <c r="B189" s="29"/>
      <c r="C189" s="29"/>
      <c r="D189" s="29"/>
      <c r="E189" s="29"/>
      <c r="F189" s="29"/>
      <c r="G189" s="29"/>
      <c r="H189" s="30"/>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row>
    <row r="190">
      <c r="A190" s="29"/>
      <c r="B190" s="29"/>
      <c r="C190" s="29"/>
      <c r="D190" s="29"/>
      <c r="E190" s="29"/>
      <c r="F190" s="29"/>
      <c r="G190" s="29"/>
      <c r="H190" s="30"/>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row>
    <row r="191">
      <c r="A191" s="29"/>
      <c r="B191" s="29"/>
      <c r="C191" s="29"/>
      <c r="D191" s="29"/>
      <c r="E191" s="29"/>
      <c r="F191" s="29"/>
      <c r="G191" s="29"/>
      <c r="H191" s="30"/>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row>
    <row r="192">
      <c r="A192" s="29"/>
      <c r="B192" s="29"/>
      <c r="C192" s="29"/>
      <c r="D192" s="29"/>
      <c r="E192" s="29"/>
      <c r="F192" s="29"/>
      <c r="G192" s="29"/>
      <c r="H192" s="30"/>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row>
    <row r="193">
      <c r="A193" s="29"/>
      <c r="B193" s="29"/>
      <c r="C193" s="29"/>
      <c r="D193" s="29"/>
      <c r="E193" s="29"/>
      <c r="F193" s="29"/>
      <c r="G193" s="29"/>
      <c r="H193" s="30"/>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row>
    <row r="194">
      <c r="A194" s="29"/>
      <c r="B194" s="29"/>
      <c r="C194" s="29"/>
      <c r="D194" s="29"/>
      <c r="E194" s="29"/>
      <c r="F194" s="29"/>
      <c r="G194" s="29"/>
      <c r="H194" s="30"/>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row>
    <row r="195">
      <c r="A195" s="29"/>
      <c r="B195" s="29"/>
      <c r="C195" s="29"/>
      <c r="D195" s="29"/>
      <c r="E195" s="29"/>
      <c r="F195" s="29"/>
      <c r="G195" s="29"/>
      <c r="H195" s="30"/>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row>
    <row r="196">
      <c r="A196" s="29"/>
      <c r="B196" s="29"/>
      <c r="C196" s="29"/>
      <c r="D196" s="29"/>
      <c r="E196" s="29"/>
      <c r="F196" s="29"/>
      <c r="G196" s="29"/>
      <c r="H196" s="30"/>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row>
    <row r="197">
      <c r="A197" s="29"/>
      <c r="B197" s="29"/>
      <c r="C197" s="29"/>
      <c r="D197" s="29"/>
      <c r="E197" s="29"/>
      <c r="F197" s="29"/>
      <c r="G197" s="29"/>
      <c r="H197" s="30"/>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row>
    <row r="198">
      <c r="A198" s="29"/>
      <c r="B198" s="29"/>
      <c r="C198" s="29"/>
      <c r="D198" s="29"/>
      <c r="E198" s="29"/>
      <c r="F198" s="29"/>
      <c r="G198" s="29"/>
      <c r="H198" s="30"/>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row>
    <row r="199">
      <c r="A199" s="29"/>
      <c r="B199" s="29"/>
      <c r="C199" s="29"/>
      <c r="D199" s="29"/>
      <c r="E199" s="29"/>
      <c r="F199" s="29"/>
      <c r="G199" s="29"/>
      <c r="H199" s="30"/>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row>
    <row r="200">
      <c r="A200" s="29"/>
      <c r="B200" s="29"/>
      <c r="C200" s="29"/>
      <c r="D200" s="29"/>
      <c r="E200" s="29"/>
      <c r="F200" s="29"/>
      <c r="G200" s="29"/>
      <c r="H200" s="30"/>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row>
    <row r="201">
      <c r="A201" s="29"/>
      <c r="B201" s="29"/>
      <c r="C201" s="29"/>
      <c r="D201" s="29"/>
      <c r="E201" s="29"/>
      <c r="F201" s="29"/>
      <c r="G201" s="29"/>
      <c r="H201" s="30"/>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row>
    <row r="202">
      <c r="A202" s="29"/>
      <c r="B202" s="29"/>
      <c r="C202" s="29"/>
      <c r="D202" s="29"/>
      <c r="E202" s="29"/>
      <c r="F202" s="29"/>
      <c r="G202" s="29"/>
      <c r="H202" s="30"/>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row>
    <row r="203">
      <c r="A203" s="29"/>
      <c r="B203" s="29"/>
      <c r="C203" s="29"/>
      <c r="D203" s="29"/>
      <c r="E203" s="29"/>
      <c r="F203" s="29"/>
      <c r="G203" s="29"/>
      <c r="H203" s="30"/>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row>
    <row r="204">
      <c r="A204" s="29"/>
      <c r="B204" s="29"/>
      <c r="C204" s="29"/>
      <c r="D204" s="29"/>
      <c r="E204" s="29"/>
      <c r="F204" s="29"/>
      <c r="G204" s="29"/>
      <c r="H204" s="30"/>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row>
    <row r="205">
      <c r="A205" s="29"/>
      <c r="B205" s="29"/>
      <c r="C205" s="29"/>
      <c r="D205" s="29"/>
      <c r="E205" s="29"/>
      <c r="F205" s="29"/>
      <c r="G205" s="29"/>
      <c r="H205" s="30"/>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row>
    <row r="206">
      <c r="A206" s="29"/>
      <c r="B206" s="29"/>
      <c r="C206" s="29"/>
      <c r="D206" s="29"/>
      <c r="E206" s="29"/>
      <c r="F206" s="29"/>
      <c r="G206" s="29"/>
      <c r="H206" s="30"/>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row>
    <row r="207">
      <c r="A207" s="29"/>
      <c r="B207" s="29"/>
      <c r="C207" s="29"/>
      <c r="D207" s="29"/>
      <c r="E207" s="29"/>
      <c r="F207" s="29"/>
      <c r="G207" s="29"/>
      <c r="H207" s="30"/>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row>
    <row r="208">
      <c r="A208" s="29"/>
      <c r="B208" s="29"/>
      <c r="C208" s="29"/>
      <c r="D208" s="29"/>
      <c r="E208" s="29"/>
      <c r="F208" s="29"/>
      <c r="G208" s="29"/>
      <c r="H208" s="30"/>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row>
    <row r="209">
      <c r="A209" s="29"/>
      <c r="B209" s="29"/>
      <c r="C209" s="29"/>
      <c r="D209" s="29"/>
      <c r="E209" s="29"/>
      <c r="F209" s="29"/>
      <c r="G209" s="29"/>
      <c r="H209" s="30"/>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row>
    <row r="210">
      <c r="A210" s="29"/>
      <c r="B210" s="29"/>
      <c r="C210" s="29"/>
      <c r="D210" s="29"/>
      <c r="E210" s="29"/>
      <c r="F210" s="29"/>
      <c r="G210" s="29"/>
      <c r="H210" s="30"/>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row>
    <row r="211">
      <c r="A211" s="29"/>
      <c r="B211" s="29"/>
      <c r="C211" s="29"/>
      <c r="D211" s="29"/>
      <c r="E211" s="29"/>
      <c r="F211" s="29"/>
      <c r="G211" s="29"/>
      <c r="H211" s="30"/>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row>
    <row r="212">
      <c r="A212" s="29"/>
      <c r="B212" s="29"/>
      <c r="C212" s="29"/>
      <c r="D212" s="29"/>
      <c r="E212" s="29"/>
      <c r="F212" s="29"/>
      <c r="G212" s="29"/>
      <c r="H212" s="30"/>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row>
    <row r="213">
      <c r="A213" s="29"/>
      <c r="B213" s="29"/>
      <c r="C213" s="29"/>
      <c r="D213" s="29"/>
      <c r="E213" s="29"/>
      <c r="F213" s="29"/>
      <c r="G213" s="29"/>
      <c r="H213" s="30"/>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row>
    <row r="214">
      <c r="A214" s="29"/>
      <c r="B214" s="29"/>
      <c r="C214" s="29"/>
      <c r="D214" s="29"/>
      <c r="E214" s="29"/>
      <c r="F214" s="29"/>
      <c r="G214" s="29"/>
      <c r="H214" s="30"/>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row>
    <row r="215">
      <c r="A215" s="29"/>
      <c r="B215" s="29"/>
      <c r="C215" s="29"/>
      <c r="D215" s="29"/>
      <c r="E215" s="29"/>
      <c r="F215" s="29"/>
      <c r="G215" s="29"/>
      <c r="H215" s="30"/>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row>
    <row r="216">
      <c r="A216" s="29"/>
      <c r="B216" s="29"/>
      <c r="C216" s="29"/>
      <c r="D216" s="29"/>
      <c r="E216" s="29"/>
      <c r="F216" s="29"/>
      <c r="G216" s="29"/>
      <c r="H216" s="30"/>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row>
    <row r="217">
      <c r="A217" s="29"/>
      <c r="B217" s="29"/>
      <c r="C217" s="29"/>
      <c r="D217" s="29"/>
      <c r="E217" s="29"/>
      <c r="F217" s="29"/>
      <c r="G217" s="29"/>
      <c r="H217" s="30"/>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row>
    <row r="218">
      <c r="A218" s="29"/>
      <c r="B218" s="29"/>
      <c r="C218" s="29"/>
      <c r="D218" s="29"/>
      <c r="E218" s="29"/>
      <c r="F218" s="29"/>
      <c r="G218" s="29"/>
      <c r="H218" s="30"/>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row>
    <row r="219">
      <c r="A219" s="29"/>
      <c r="B219" s="29"/>
      <c r="C219" s="29"/>
      <c r="D219" s="29"/>
      <c r="E219" s="29"/>
      <c r="F219" s="29"/>
      <c r="G219" s="29"/>
      <c r="H219" s="30"/>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row>
    <row r="220">
      <c r="A220" s="29"/>
      <c r="B220" s="29"/>
      <c r="C220" s="29"/>
      <c r="D220" s="29"/>
      <c r="E220" s="29"/>
      <c r="F220" s="29"/>
      <c r="G220" s="29"/>
      <c r="H220" s="30"/>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row>
    <row r="221">
      <c r="A221" s="29"/>
      <c r="B221" s="29"/>
      <c r="C221" s="29"/>
      <c r="D221" s="29"/>
      <c r="E221" s="29"/>
      <c r="F221" s="29"/>
      <c r="G221" s="29"/>
      <c r="H221" s="30"/>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row>
    <row r="222">
      <c r="A222" s="29"/>
      <c r="B222" s="29"/>
      <c r="C222" s="29"/>
      <c r="D222" s="29"/>
      <c r="E222" s="29"/>
      <c r="F222" s="29"/>
      <c r="G222" s="29"/>
      <c r="H222" s="30"/>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row>
    <row r="223">
      <c r="A223" s="29"/>
      <c r="B223" s="29"/>
      <c r="C223" s="29"/>
      <c r="D223" s="29"/>
      <c r="E223" s="29"/>
      <c r="F223" s="29"/>
      <c r="G223" s="29"/>
      <c r="H223" s="30"/>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row>
    <row r="224">
      <c r="A224" s="29"/>
      <c r="B224" s="29"/>
      <c r="C224" s="29"/>
      <c r="D224" s="29"/>
      <c r="E224" s="29"/>
      <c r="F224" s="29"/>
      <c r="G224" s="29"/>
      <c r="H224" s="30"/>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row>
    <row r="225">
      <c r="A225" s="29"/>
      <c r="B225" s="29"/>
      <c r="C225" s="29"/>
      <c r="D225" s="29"/>
      <c r="E225" s="29"/>
      <c r="F225" s="29"/>
      <c r="G225" s="29"/>
      <c r="H225" s="30"/>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row>
    <row r="226">
      <c r="A226" s="29"/>
      <c r="B226" s="29"/>
      <c r="C226" s="29"/>
      <c r="D226" s="29"/>
      <c r="E226" s="29"/>
      <c r="F226" s="29"/>
      <c r="G226" s="29"/>
      <c r="H226" s="30"/>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row>
    <row r="227">
      <c r="A227" s="29"/>
      <c r="B227" s="29"/>
      <c r="C227" s="29"/>
      <c r="D227" s="29"/>
      <c r="E227" s="29"/>
      <c r="F227" s="29"/>
      <c r="G227" s="29"/>
      <c r="H227" s="30"/>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row>
    <row r="228">
      <c r="A228" s="29"/>
      <c r="B228" s="29"/>
      <c r="C228" s="29"/>
      <c r="D228" s="29"/>
      <c r="E228" s="29"/>
      <c r="F228" s="29"/>
      <c r="G228" s="29"/>
      <c r="H228" s="30"/>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row>
    <row r="229">
      <c r="A229" s="29"/>
      <c r="B229" s="29"/>
      <c r="C229" s="29"/>
      <c r="D229" s="29"/>
      <c r="E229" s="29"/>
      <c r="F229" s="29"/>
      <c r="G229" s="29"/>
      <c r="H229" s="30"/>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row>
    <row r="230">
      <c r="A230" s="29"/>
      <c r="B230" s="29"/>
      <c r="C230" s="29"/>
      <c r="D230" s="29"/>
      <c r="E230" s="29"/>
      <c r="F230" s="29"/>
      <c r="G230" s="29"/>
      <c r="H230" s="30"/>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row>
    <row r="231">
      <c r="A231" s="29"/>
      <c r="B231" s="29"/>
      <c r="C231" s="29"/>
      <c r="D231" s="29"/>
      <c r="E231" s="29"/>
      <c r="F231" s="29"/>
      <c r="G231" s="29"/>
      <c r="H231" s="30"/>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row>
    <row r="232">
      <c r="A232" s="29"/>
      <c r="B232" s="29"/>
      <c r="C232" s="29"/>
      <c r="D232" s="29"/>
      <c r="E232" s="29"/>
      <c r="F232" s="29"/>
      <c r="G232" s="29"/>
      <c r="H232" s="30"/>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row>
    <row r="233">
      <c r="A233" s="29"/>
      <c r="B233" s="29"/>
      <c r="C233" s="29"/>
      <c r="D233" s="29"/>
      <c r="E233" s="29"/>
      <c r="F233" s="29"/>
      <c r="G233" s="29"/>
      <c r="H233" s="30"/>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row>
    <row r="234">
      <c r="A234" s="29"/>
      <c r="B234" s="29"/>
      <c r="C234" s="29"/>
      <c r="D234" s="29"/>
      <c r="E234" s="29"/>
      <c r="F234" s="29"/>
      <c r="G234" s="29"/>
      <c r="H234" s="30"/>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row>
    <row r="235">
      <c r="A235" s="29"/>
      <c r="B235" s="29"/>
      <c r="C235" s="29"/>
      <c r="D235" s="29"/>
      <c r="E235" s="29"/>
      <c r="F235" s="29"/>
      <c r="G235" s="29"/>
      <c r="H235" s="30"/>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row>
    <row r="236">
      <c r="A236" s="29"/>
      <c r="B236" s="29"/>
      <c r="C236" s="29"/>
      <c r="D236" s="29"/>
      <c r="E236" s="29"/>
      <c r="F236" s="29"/>
      <c r="G236" s="29"/>
      <c r="H236" s="30"/>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row>
    <row r="237">
      <c r="A237" s="29"/>
      <c r="B237" s="29"/>
      <c r="C237" s="29"/>
      <c r="D237" s="29"/>
      <c r="E237" s="29"/>
      <c r="F237" s="29"/>
      <c r="G237" s="29"/>
      <c r="H237" s="30"/>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row>
    <row r="238">
      <c r="A238" s="29"/>
      <c r="B238" s="29"/>
      <c r="C238" s="29"/>
      <c r="D238" s="29"/>
      <c r="E238" s="29"/>
      <c r="F238" s="29"/>
      <c r="G238" s="29"/>
      <c r="H238" s="30"/>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row>
    <row r="239">
      <c r="A239" s="29"/>
      <c r="B239" s="29"/>
      <c r="C239" s="29"/>
      <c r="D239" s="29"/>
      <c r="E239" s="29"/>
      <c r="F239" s="29"/>
      <c r="G239" s="29"/>
      <c r="H239" s="30"/>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row>
    <row r="240">
      <c r="A240" s="29"/>
      <c r="B240" s="29"/>
      <c r="C240" s="29"/>
      <c r="D240" s="29"/>
      <c r="E240" s="29"/>
      <c r="F240" s="29"/>
      <c r="G240" s="29"/>
      <c r="H240" s="30"/>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row>
    <row r="241">
      <c r="A241" s="29"/>
      <c r="B241" s="29"/>
      <c r="C241" s="29"/>
      <c r="D241" s="29"/>
      <c r="E241" s="29"/>
      <c r="F241" s="29"/>
      <c r="G241" s="29"/>
      <c r="H241" s="30"/>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row>
    <row r="242">
      <c r="A242" s="29"/>
      <c r="B242" s="29"/>
      <c r="C242" s="29"/>
      <c r="D242" s="29"/>
      <c r="E242" s="29"/>
      <c r="F242" s="29"/>
      <c r="G242" s="29"/>
      <c r="H242" s="30"/>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row>
    <row r="243">
      <c r="A243" s="29"/>
      <c r="B243" s="29"/>
      <c r="C243" s="29"/>
      <c r="D243" s="29"/>
      <c r="E243" s="29"/>
      <c r="F243" s="29"/>
      <c r="G243" s="29"/>
      <c r="H243" s="30"/>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row>
    <row r="244">
      <c r="A244" s="29"/>
      <c r="B244" s="29"/>
      <c r="C244" s="29"/>
      <c r="D244" s="29"/>
      <c r="E244" s="29"/>
      <c r="F244" s="29"/>
      <c r="G244" s="29"/>
      <c r="H244" s="30"/>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row>
    <row r="245">
      <c r="A245" s="29"/>
      <c r="B245" s="29"/>
      <c r="C245" s="29"/>
      <c r="D245" s="29"/>
      <c r="E245" s="29"/>
      <c r="F245" s="29"/>
      <c r="G245" s="29"/>
      <c r="H245" s="30"/>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row>
    <row r="246">
      <c r="A246" s="29"/>
      <c r="B246" s="29"/>
      <c r="C246" s="29"/>
      <c r="D246" s="29"/>
      <c r="E246" s="29"/>
      <c r="F246" s="29"/>
      <c r="G246" s="29"/>
      <c r="H246" s="30"/>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row>
    <row r="247">
      <c r="A247" s="29"/>
      <c r="B247" s="29"/>
      <c r="C247" s="29"/>
      <c r="D247" s="29"/>
      <c r="E247" s="29"/>
      <c r="F247" s="29"/>
      <c r="G247" s="29"/>
      <c r="H247" s="30"/>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row>
    <row r="248">
      <c r="A248" s="29"/>
      <c r="B248" s="29"/>
      <c r="C248" s="29"/>
      <c r="D248" s="29"/>
      <c r="E248" s="29"/>
      <c r="F248" s="29"/>
      <c r="G248" s="29"/>
      <c r="H248" s="30"/>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row>
    <row r="249">
      <c r="A249" s="29"/>
      <c r="B249" s="29"/>
      <c r="C249" s="29"/>
      <c r="D249" s="29"/>
      <c r="E249" s="29"/>
      <c r="F249" s="29"/>
      <c r="G249" s="29"/>
      <c r="H249" s="30"/>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row>
    <row r="250">
      <c r="A250" s="29"/>
      <c r="B250" s="29"/>
      <c r="C250" s="29"/>
      <c r="D250" s="29"/>
      <c r="E250" s="29"/>
      <c r="F250" s="29"/>
      <c r="G250" s="29"/>
      <c r="H250" s="30"/>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row>
    <row r="251">
      <c r="A251" s="29"/>
      <c r="B251" s="29"/>
      <c r="C251" s="29"/>
      <c r="D251" s="29"/>
      <c r="E251" s="29"/>
      <c r="F251" s="29"/>
      <c r="G251" s="29"/>
      <c r="H251" s="30"/>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row>
    <row r="252">
      <c r="A252" s="29"/>
      <c r="B252" s="29"/>
      <c r="C252" s="29"/>
      <c r="D252" s="29"/>
      <c r="E252" s="29"/>
      <c r="F252" s="29"/>
      <c r="G252" s="29"/>
      <c r="H252" s="30"/>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row>
    <row r="253">
      <c r="A253" s="29"/>
      <c r="B253" s="29"/>
      <c r="C253" s="29"/>
      <c r="D253" s="29"/>
      <c r="E253" s="29"/>
      <c r="F253" s="29"/>
      <c r="G253" s="29"/>
      <c r="H253" s="30"/>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row>
    <row r="254">
      <c r="A254" s="29"/>
      <c r="B254" s="29"/>
      <c r="C254" s="29"/>
      <c r="D254" s="29"/>
      <c r="E254" s="29"/>
      <c r="F254" s="29"/>
      <c r="G254" s="29"/>
      <c r="H254" s="30"/>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row>
    <row r="255">
      <c r="A255" s="29"/>
      <c r="B255" s="29"/>
      <c r="C255" s="29"/>
      <c r="D255" s="29"/>
      <c r="E255" s="29"/>
      <c r="F255" s="29"/>
      <c r="G255" s="29"/>
      <c r="H255" s="30"/>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row>
    <row r="256">
      <c r="A256" s="29"/>
      <c r="B256" s="29"/>
      <c r="C256" s="29"/>
      <c r="D256" s="29"/>
      <c r="E256" s="29"/>
      <c r="F256" s="29"/>
      <c r="G256" s="29"/>
      <c r="H256" s="30"/>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row>
    <row r="257">
      <c r="A257" s="29"/>
      <c r="B257" s="29"/>
      <c r="C257" s="29"/>
      <c r="D257" s="29"/>
      <c r="E257" s="29"/>
      <c r="F257" s="29"/>
      <c r="G257" s="29"/>
      <c r="H257" s="30"/>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row>
    <row r="258">
      <c r="A258" s="29"/>
      <c r="B258" s="29"/>
      <c r="C258" s="29"/>
      <c r="D258" s="29"/>
      <c r="E258" s="29"/>
      <c r="F258" s="29"/>
      <c r="G258" s="29"/>
      <c r="H258" s="30"/>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row>
    <row r="259">
      <c r="A259" s="29"/>
      <c r="B259" s="29"/>
      <c r="C259" s="29"/>
      <c r="D259" s="29"/>
      <c r="E259" s="29"/>
      <c r="F259" s="29"/>
      <c r="G259" s="29"/>
      <c r="H259" s="30"/>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row>
    <row r="260">
      <c r="A260" s="29"/>
      <c r="B260" s="29"/>
      <c r="C260" s="29"/>
      <c r="D260" s="29"/>
      <c r="E260" s="29"/>
      <c r="F260" s="29"/>
      <c r="G260" s="29"/>
      <c r="H260" s="30"/>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row>
    <row r="261">
      <c r="A261" s="29"/>
      <c r="B261" s="29"/>
      <c r="C261" s="29"/>
      <c r="D261" s="29"/>
      <c r="E261" s="29"/>
      <c r="F261" s="29"/>
      <c r="G261" s="29"/>
      <c r="H261" s="30"/>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row>
    <row r="262">
      <c r="A262" s="29"/>
      <c r="B262" s="29"/>
      <c r="C262" s="29"/>
      <c r="D262" s="29"/>
      <c r="E262" s="29"/>
      <c r="F262" s="29"/>
      <c r="G262" s="29"/>
      <c r="H262" s="30"/>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row>
    <row r="263">
      <c r="A263" s="29"/>
      <c r="B263" s="29"/>
      <c r="C263" s="29"/>
      <c r="D263" s="29"/>
      <c r="E263" s="29"/>
      <c r="F263" s="29"/>
      <c r="G263" s="29"/>
      <c r="H263" s="30"/>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c r="AQ263" s="29"/>
      <c r="AR263" s="29"/>
    </row>
    <row r="264">
      <c r="A264" s="29"/>
      <c r="B264" s="29"/>
      <c r="C264" s="29"/>
      <c r="D264" s="29"/>
      <c r="E264" s="29"/>
      <c r="F264" s="29"/>
      <c r="G264" s="29"/>
      <c r="H264" s="30"/>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29"/>
    </row>
    <row r="265">
      <c r="A265" s="29"/>
      <c r="B265" s="29"/>
      <c r="C265" s="29"/>
      <c r="D265" s="29"/>
      <c r="E265" s="29"/>
      <c r="F265" s="29"/>
      <c r="G265" s="29"/>
      <c r="H265" s="30"/>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row>
    <row r="266">
      <c r="A266" s="29"/>
      <c r="B266" s="29"/>
      <c r="C266" s="29"/>
      <c r="D266" s="29"/>
      <c r="E266" s="29"/>
      <c r="F266" s="29"/>
      <c r="G266" s="29"/>
      <c r="H266" s="30"/>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row>
    <row r="267">
      <c r="A267" s="29"/>
      <c r="B267" s="29"/>
      <c r="C267" s="29"/>
      <c r="D267" s="29"/>
      <c r="E267" s="29"/>
      <c r="F267" s="29"/>
      <c r="G267" s="29"/>
      <c r="H267" s="30"/>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row>
    <row r="268">
      <c r="A268" s="29"/>
      <c r="B268" s="29"/>
      <c r="C268" s="29"/>
      <c r="D268" s="29"/>
      <c r="E268" s="29"/>
      <c r="F268" s="29"/>
      <c r="G268" s="29"/>
      <c r="H268" s="30"/>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c r="AQ268" s="29"/>
      <c r="AR268" s="29"/>
    </row>
    <row r="269">
      <c r="A269" s="29"/>
      <c r="B269" s="29"/>
      <c r="C269" s="29"/>
      <c r="D269" s="29"/>
      <c r="E269" s="29"/>
      <c r="F269" s="29"/>
      <c r="G269" s="29"/>
      <c r="H269" s="30"/>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9"/>
      <c r="AH269" s="29"/>
      <c r="AI269" s="29"/>
      <c r="AJ269" s="29"/>
      <c r="AK269" s="29"/>
      <c r="AL269" s="29"/>
      <c r="AM269" s="29"/>
      <c r="AN269" s="29"/>
      <c r="AO269" s="29"/>
      <c r="AP269" s="29"/>
      <c r="AQ269" s="29"/>
      <c r="AR269" s="29"/>
    </row>
    <row r="270">
      <c r="A270" s="29"/>
      <c r="B270" s="29"/>
      <c r="C270" s="29"/>
      <c r="D270" s="29"/>
      <c r="E270" s="29"/>
      <c r="F270" s="29"/>
      <c r="G270" s="29"/>
      <c r="H270" s="30"/>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row>
    <row r="271">
      <c r="A271" s="29"/>
      <c r="B271" s="29"/>
      <c r="C271" s="29"/>
      <c r="D271" s="29"/>
      <c r="E271" s="29"/>
      <c r="F271" s="29"/>
      <c r="G271" s="29"/>
      <c r="H271" s="30"/>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c r="AQ271" s="29"/>
      <c r="AR271" s="29"/>
    </row>
    <row r="272">
      <c r="A272" s="29"/>
      <c r="B272" s="29"/>
      <c r="C272" s="29"/>
      <c r="D272" s="29"/>
      <c r="E272" s="29"/>
      <c r="F272" s="29"/>
      <c r="G272" s="29"/>
      <c r="H272" s="30"/>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row>
    <row r="273">
      <c r="A273" s="29"/>
      <c r="B273" s="29"/>
      <c r="C273" s="29"/>
      <c r="D273" s="29"/>
      <c r="E273" s="29"/>
      <c r="F273" s="29"/>
      <c r="G273" s="29"/>
      <c r="H273" s="30"/>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row>
    <row r="274">
      <c r="A274" s="29"/>
      <c r="B274" s="29"/>
      <c r="C274" s="29"/>
      <c r="D274" s="29"/>
      <c r="E274" s="29"/>
      <c r="F274" s="29"/>
      <c r="G274" s="29"/>
      <c r="H274" s="30"/>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row>
    <row r="275">
      <c r="A275" s="29"/>
      <c r="B275" s="29"/>
      <c r="C275" s="29"/>
      <c r="D275" s="29"/>
      <c r="E275" s="29"/>
      <c r="F275" s="29"/>
      <c r="G275" s="29"/>
      <c r="H275" s="30"/>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row>
    <row r="276">
      <c r="A276" s="29"/>
      <c r="B276" s="29"/>
      <c r="C276" s="29"/>
      <c r="D276" s="29"/>
      <c r="E276" s="29"/>
      <c r="F276" s="29"/>
      <c r="G276" s="29"/>
      <c r="H276" s="30"/>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row>
    <row r="277">
      <c r="A277" s="29"/>
      <c r="B277" s="29"/>
      <c r="C277" s="29"/>
      <c r="D277" s="29"/>
      <c r="E277" s="29"/>
      <c r="F277" s="29"/>
      <c r="G277" s="29"/>
      <c r="H277" s="30"/>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row>
    <row r="278">
      <c r="A278" s="29"/>
      <c r="B278" s="29"/>
      <c r="C278" s="29"/>
      <c r="D278" s="29"/>
      <c r="E278" s="29"/>
      <c r="F278" s="29"/>
      <c r="G278" s="29"/>
      <c r="H278" s="30"/>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row>
    <row r="279">
      <c r="A279" s="29"/>
      <c r="B279" s="29"/>
      <c r="C279" s="29"/>
      <c r="D279" s="29"/>
      <c r="E279" s="29"/>
      <c r="F279" s="29"/>
      <c r="G279" s="29"/>
      <c r="H279" s="30"/>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row>
    <row r="280">
      <c r="A280" s="29"/>
      <c r="B280" s="29"/>
      <c r="C280" s="29"/>
      <c r="D280" s="29"/>
      <c r="E280" s="29"/>
      <c r="F280" s="29"/>
      <c r="G280" s="29"/>
      <c r="H280" s="30"/>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row>
    <row r="281">
      <c r="A281" s="29"/>
      <c r="B281" s="29"/>
      <c r="C281" s="29"/>
      <c r="D281" s="29"/>
      <c r="E281" s="29"/>
      <c r="F281" s="29"/>
      <c r="G281" s="29"/>
      <c r="H281" s="30"/>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row>
    <row r="282">
      <c r="A282" s="29"/>
      <c r="B282" s="29"/>
      <c r="C282" s="29"/>
      <c r="D282" s="29"/>
      <c r="E282" s="29"/>
      <c r="F282" s="29"/>
      <c r="G282" s="29"/>
      <c r="H282" s="30"/>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9"/>
      <c r="AH282" s="29"/>
      <c r="AI282" s="29"/>
      <c r="AJ282" s="29"/>
      <c r="AK282" s="29"/>
      <c r="AL282" s="29"/>
      <c r="AM282" s="29"/>
      <c r="AN282" s="29"/>
      <c r="AO282" s="29"/>
      <c r="AP282" s="29"/>
      <c r="AQ282" s="29"/>
      <c r="AR282" s="29"/>
    </row>
    <row r="283">
      <c r="A283" s="29"/>
      <c r="B283" s="29"/>
      <c r="C283" s="29"/>
      <c r="D283" s="29"/>
      <c r="E283" s="29"/>
      <c r="F283" s="29"/>
      <c r="G283" s="29"/>
      <c r="H283" s="30"/>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row>
    <row r="284">
      <c r="A284" s="29"/>
      <c r="B284" s="29"/>
      <c r="C284" s="29"/>
      <c r="D284" s="29"/>
      <c r="E284" s="29"/>
      <c r="F284" s="29"/>
      <c r="G284" s="29"/>
      <c r="H284" s="30"/>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c r="AQ284" s="29"/>
      <c r="AR284" s="29"/>
    </row>
    <row r="285">
      <c r="A285" s="29"/>
      <c r="B285" s="29"/>
      <c r="C285" s="29"/>
      <c r="D285" s="29"/>
      <c r="E285" s="29"/>
      <c r="F285" s="29"/>
      <c r="G285" s="29"/>
      <c r="H285" s="30"/>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row>
    <row r="286">
      <c r="A286" s="29"/>
      <c r="B286" s="29"/>
      <c r="C286" s="29"/>
      <c r="D286" s="29"/>
      <c r="E286" s="29"/>
      <c r="F286" s="29"/>
      <c r="G286" s="29"/>
      <c r="H286" s="30"/>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row>
    <row r="287">
      <c r="A287" s="29"/>
      <c r="B287" s="29"/>
      <c r="C287" s="29"/>
      <c r="D287" s="29"/>
      <c r="E287" s="29"/>
      <c r="F287" s="29"/>
      <c r="G287" s="29"/>
      <c r="H287" s="30"/>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row>
    <row r="288">
      <c r="A288" s="29"/>
      <c r="B288" s="29"/>
      <c r="C288" s="29"/>
      <c r="D288" s="29"/>
      <c r="E288" s="29"/>
      <c r="F288" s="29"/>
      <c r="G288" s="29"/>
      <c r="H288" s="30"/>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row>
    <row r="289">
      <c r="A289" s="29"/>
      <c r="B289" s="29"/>
      <c r="C289" s="29"/>
      <c r="D289" s="29"/>
      <c r="E289" s="29"/>
      <c r="F289" s="29"/>
      <c r="G289" s="29"/>
      <c r="H289" s="30"/>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row>
    <row r="290">
      <c r="A290" s="29"/>
      <c r="B290" s="29"/>
      <c r="C290" s="29"/>
      <c r="D290" s="29"/>
      <c r="E290" s="29"/>
      <c r="F290" s="29"/>
      <c r="G290" s="29"/>
      <c r="H290" s="30"/>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row>
    <row r="291">
      <c r="A291" s="29"/>
      <c r="B291" s="29"/>
      <c r="C291" s="29"/>
      <c r="D291" s="29"/>
      <c r="E291" s="29"/>
      <c r="F291" s="29"/>
      <c r="G291" s="29"/>
      <c r="H291" s="30"/>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row>
    <row r="292">
      <c r="A292" s="29"/>
      <c r="B292" s="29"/>
      <c r="C292" s="29"/>
      <c r="D292" s="29"/>
      <c r="E292" s="29"/>
      <c r="F292" s="29"/>
      <c r="G292" s="29"/>
      <c r="H292" s="30"/>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row>
    <row r="293">
      <c r="A293" s="29"/>
      <c r="B293" s="29"/>
      <c r="C293" s="29"/>
      <c r="D293" s="29"/>
      <c r="E293" s="29"/>
      <c r="F293" s="29"/>
      <c r="G293" s="29"/>
      <c r="H293" s="30"/>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row>
    <row r="294">
      <c r="A294" s="29"/>
      <c r="B294" s="29"/>
      <c r="C294" s="29"/>
      <c r="D294" s="29"/>
      <c r="E294" s="29"/>
      <c r="F294" s="29"/>
      <c r="G294" s="29"/>
      <c r="H294" s="30"/>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row>
    <row r="295">
      <c r="A295" s="29"/>
      <c r="B295" s="29"/>
      <c r="C295" s="29"/>
      <c r="D295" s="29"/>
      <c r="E295" s="29"/>
      <c r="F295" s="29"/>
      <c r="G295" s="29"/>
      <c r="H295" s="30"/>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row>
    <row r="296">
      <c r="A296" s="29"/>
      <c r="B296" s="29"/>
      <c r="C296" s="29"/>
      <c r="D296" s="29"/>
      <c r="E296" s="29"/>
      <c r="F296" s="29"/>
      <c r="G296" s="29"/>
      <c r="H296" s="30"/>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row>
    <row r="297">
      <c r="A297" s="29"/>
      <c r="B297" s="29"/>
      <c r="C297" s="29"/>
      <c r="D297" s="29"/>
      <c r="E297" s="29"/>
      <c r="F297" s="29"/>
      <c r="G297" s="29"/>
      <c r="H297" s="30"/>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row>
    <row r="298">
      <c r="A298" s="29"/>
      <c r="B298" s="29"/>
      <c r="C298" s="29"/>
      <c r="D298" s="29"/>
      <c r="E298" s="29"/>
      <c r="F298" s="29"/>
      <c r="G298" s="29"/>
      <c r="H298" s="30"/>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row>
    <row r="299">
      <c r="A299" s="29"/>
      <c r="B299" s="29"/>
      <c r="C299" s="29"/>
      <c r="D299" s="29"/>
      <c r="E299" s="29"/>
      <c r="F299" s="29"/>
      <c r="G299" s="29"/>
      <c r="H299" s="30"/>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row>
    <row r="300">
      <c r="A300" s="29"/>
      <c r="B300" s="29"/>
      <c r="C300" s="29"/>
      <c r="D300" s="29"/>
      <c r="E300" s="29"/>
      <c r="F300" s="29"/>
      <c r="G300" s="29"/>
      <c r="H300" s="30"/>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row>
    <row r="301">
      <c r="A301" s="29"/>
      <c r="B301" s="29"/>
      <c r="C301" s="29"/>
      <c r="D301" s="29"/>
      <c r="E301" s="29"/>
      <c r="F301" s="29"/>
      <c r="G301" s="29"/>
      <c r="H301" s="30"/>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row>
    <row r="302">
      <c r="A302" s="29"/>
      <c r="B302" s="29"/>
      <c r="C302" s="29"/>
      <c r="D302" s="29"/>
      <c r="E302" s="29"/>
      <c r="F302" s="29"/>
      <c r="G302" s="29"/>
      <c r="H302" s="30"/>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row>
    <row r="303">
      <c r="A303" s="29"/>
      <c r="B303" s="29"/>
      <c r="C303" s="29"/>
      <c r="D303" s="29"/>
      <c r="E303" s="29"/>
      <c r="F303" s="29"/>
      <c r="G303" s="29"/>
      <c r="H303" s="30"/>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row>
    <row r="304">
      <c r="A304" s="29"/>
      <c r="B304" s="29"/>
      <c r="C304" s="29"/>
      <c r="D304" s="29"/>
      <c r="E304" s="29"/>
      <c r="F304" s="29"/>
      <c r="G304" s="29"/>
      <c r="H304" s="30"/>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row>
    <row r="305">
      <c r="A305" s="29"/>
      <c r="B305" s="29"/>
      <c r="C305" s="29"/>
      <c r="D305" s="29"/>
      <c r="E305" s="29"/>
      <c r="F305" s="29"/>
      <c r="G305" s="29"/>
      <c r="H305" s="30"/>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row>
    <row r="306">
      <c r="A306" s="29"/>
      <c r="B306" s="29"/>
      <c r="C306" s="29"/>
      <c r="D306" s="29"/>
      <c r="E306" s="29"/>
      <c r="F306" s="29"/>
      <c r="G306" s="29"/>
      <c r="H306" s="30"/>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row>
    <row r="307">
      <c r="A307" s="29"/>
      <c r="B307" s="29"/>
      <c r="C307" s="29"/>
      <c r="D307" s="29"/>
      <c r="E307" s="29"/>
      <c r="F307" s="29"/>
      <c r="G307" s="29"/>
      <c r="H307" s="30"/>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row>
    <row r="308">
      <c r="A308" s="29"/>
      <c r="B308" s="29"/>
      <c r="C308" s="29"/>
      <c r="D308" s="29"/>
      <c r="E308" s="29"/>
      <c r="F308" s="29"/>
      <c r="G308" s="29"/>
      <c r="H308" s="30"/>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row>
    <row r="309">
      <c r="A309" s="29"/>
      <c r="B309" s="29"/>
      <c r="C309" s="29"/>
      <c r="D309" s="29"/>
      <c r="E309" s="29"/>
      <c r="F309" s="29"/>
      <c r="G309" s="29"/>
      <c r="H309" s="30"/>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row>
    <row r="310">
      <c r="A310" s="29"/>
      <c r="B310" s="29"/>
      <c r="C310" s="29"/>
      <c r="D310" s="29"/>
      <c r="E310" s="29"/>
      <c r="F310" s="29"/>
      <c r="G310" s="29"/>
      <c r="H310" s="30"/>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row>
    <row r="311">
      <c r="A311" s="29"/>
      <c r="B311" s="29"/>
      <c r="C311" s="29"/>
      <c r="D311" s="29"/>
      <c r="E311" s="29"/>
      <c r="F311" s="29"/>
      <c r="G311" s="29"/>
      <c r="H311" s="30"/>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row>
    <row r="312">
      <c r="A312" s="29"/>
      <c r="B312" s="29"/>
      <c r="C312" s="29"/>
      <c r="D312" s="29"/>
      <c r="E312" s="29"/>
      <c r="F312" s="29"/>
      <c r="G312" s="29"/>
      <c r="H312" s="30"/>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row>
    <row r="313">
      <c r="A313" s="29"/>
      <c r="B313" s="29"/>
      <c r="C313" s="29"/>
      <c r="D313" s="29"/>
      <c r="E313" s="29"/>
      <c r="F313" s="29"/>
      <c r="G313" s="29"/>
      <c r="H313" s="30"/>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row>
    <row r="314">
      <c r="A314" s="29"/>
      <c r="B314" s="29"/>
      <c r="C314" s="29"/>
      <c r="D314" s="29"/>
      <c r="E314" s="29"/>
      <c r="F314" s="29"/>
      <c r="G314" s="29"/>
      <c r="H314" s="30"/>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row>
    <row r="315">
      <c r="A315" s="29"/>
      <c r="B315" s="29"/>
      <c r="C315" s="29"/>
      <c r="D315" s="29"/>
      <c r="E315" s="29"/>
      <c r="F315" s="29"/>
      <c r="G315" s="29"/>
      <c r="H315" s="30"/>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row>
    <row r="316">
      <c r="A316" s="29"/>
      <c r="B316" s="29"/>
      <c r="C316" s="29"/>
      <c r="D316" s="29"/>
      <c r="E316" s="29"/>
      <c r="F316" s="29"/>
      <c r="G316" s="29"/>
      <c r="H316" s="30"/>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row>
    <row r="317">
      <c r="A317" s="29"/>
      <c r="B317" s="29"/>
      <c r="C317" s="29"/>
      <c r="D317" s="29"/>
      <c r="E317" s="29"/>
      <c r="F317" s="29"/>
      <c r="G317" s="29"/>
      <c r="H317" s="30"/>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row>
    <row r="318">
      <c r="A318" s="29"/>
      <c r="B318" s="29"/>
      <c r="C318" s="29"/>
      <c r="D318" s="29"/>
      <c r="E318" s="29"/>
      <c r="F318" s="29"/>
      <c r="G318" s="29"/>
      <c r="H318" s="30"/>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row>
    <row r="319">
      <c r="A319" s="29"/>
      <c r="B319" s="29"/>
      <c r="C319" s="29"/>
      <c r="D319" s="29"/>
      <c r="E319" s="29"/>
      <c r="F319" s="29"/>
      <c r="G319" s="29"/>
      <c r="H319" s="30"/>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row>
    <row r="320">
      <c r="A320" s="29"/>
      <c r="B320" s="29"/>
      <c r="C320" s="29"/>
      <c r="D320" s="29"/>
      <c r="E320" s="29"/>
      <c r="F320" s="29"/>
      <c r="G320" s="29"/>
      <c r="H320" s="30"/>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row>
    <row r="321">
      <c r="A321" s="29"/>
      <c r="B321" s="29"/>
      <c r="C321" s="29"/>
      <c r="D321" s="29"/>
      <c r="E321" s="29"/>
      <c r="F321" s="29"/>
      <c r="G321" s="29"/>
      <c r="H321" s="30"/>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row>
    <row r="322">
      <c r="A322" s="29"/>
      <c r="B322" s="29"/>
      <c r="C322" s="29"/>
      <c r="D322" s="29"/>
      <c r="E322" s="29"/>
      <c r="F322" s="29"/>
      <c r="G322" s="29"/>
      <c r="H322" s="30"/>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row>
    <row r="323">
      <c r="A323" s="29"/>
      <c r="B323" s="29"/>
      <c r="C323" s="29"/>
      <c r="D323" s="29"/>
      <c r="E323" s="29"/>
      <c r="F323" s="29"/>
      <c r="G323" s="29"/>
      <c r="H323" s="30"/>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row>
    <row r="324">
      <c r="A324" s="29"/>
      <c r="B324" s="29"/>
      <c r="C324" s="29"/>
      <c r="D324" s="29"/>
      <c r="E324" s="29"/>
      <c r="F324" s="29"/>
      <c r="G324" s="29"/>
      <c r="H324" s="30"/>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row>
    <row r="325">
      <c r="A325" s="29"/>
      <c r="B325" s="29"/>
      <c r="C325" s="29"/>
      <c r="D325" s="29"/>
      <c r="E325" s="29"/>
      <c r="F325" s="29"/>
      <c r="G325" s="29"/>
      <c r="H325" s="30"/>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row>
    <row r="326">
      <c r="A326" s="29"/>
      <c r="B326" s="29"/>
      <c r="C326" s="29"/>
      <c r="D326" s="29"/>
      <c r="E326" s="29"/>
      <c r="F326" s="29"/>
      <c r="G326" s="29"/>
      <c r="H326" s="30"/>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row>
    <row r="327">
      <c r="A327" s="29"/>
      <c r="B327" s="29"/>
      <c r="C327" s="29"/>
      <c r="D327" s="29"/>
      <c r="E327" s="29"/>
      <c r="F327" s="29"/>
      <c r="G327" s="29"/>
      <c r="H327" s="30"/>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row>
    <row r="328">
      <c r="A328" s="29"/>
      <c r="B328" s="29"/>
      <c r="C328" s="29"/>
      <c r="D328" s="29"/>
      <c r="E328" s="29"/>
      <c r="F328" s="29"/>
      <c r="G328" s="29"/>
      <c r="H328" s="30"/>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row>
    <row r="329">
      <c r="A329" s="29"/>
      <c r="B329" s="29"/>
      <c r="C329" s="29"/>
      <c r="D329" s="29"/>
      <c r="E329" s="29"/>
      <c r="F329" s="29"/>
      <c r="G329" s="29"/>
      <c r="H329" s="30"/>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row>
    <row r="330">
      <c r="A330" s="29"/>
      <c r="B330" s="29"/>
      <c r="C330" s="29"/>
      <c r="D330" s="29"/>
      <c r="E330" s="29"/>
      <c r="F330" s="29"/>
      <c r="G330" s="29"/>
      <c r="H330" s="30"/>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row>
    <row r="331">
      <c r="A331" s="29"/>
      <c r="B331" s="29"/>
      <c r="C331" s="29"/>
      <c r="D331" s="29"/>
      <c r="E331" s="29"/>
      <c r="F331" s="29"/>
      <c r="G331" s="29"/>
      <c r="H331" s="30"/>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row>
    <row r="332">
      <c r="A332" s="29"/>
      <c r="B332" s="29"/>
      <c r="C332" s="29"/>
      <c r="D332" s="29"/>
      <c r="E332" s="29"/>
      <c r="F332" s="29"/>
      <c r="G332" s="29"/>
      <c r="H332" s="30"/>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row>
    <row r="333">
      <c r="A333" s="29"/>
      <c r="B333" s="29"/>
      <c r="C333" s="29"/>
      <c r="D333" s="29"/>
      <c r="E333" s="29"/>
      <c r="F333" s="29"/>
      <c r="G333" s="29"/>
      <c r="H333" s="30"/>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row>
    <row r="334">
      <c r="A334" s="29"/>
      <c r="B334" s="29"/>
      <c r="C334" s="29"/>
      <c r="D334" s="29"/>
      <c r="E334" s="29"/>
      <c r="F334" s="29"/>
      <c r="G334" s="29"/>
      <c r="H334" s="30"/>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9"/>
      <c r="AH334" s="29"/>
      <c r="AI334" s="29"/>
      <c r="AJ334" s="29"/>
      <c r="AK334" s="29"/>
      <c r="AL334" s="29"/>
      <c r="AM334" s="29"/>
      <c r="AN334" s="29"/>
      <c r="AO334" s="29"/>
      <c r="AP334" s="29"/>
      <c r="AQ334" s="29"/>
      <c r="AR334" s="29"/>
    </row>
    <row r="335">
      <c r="A335" s="29"/>
      <c r="B335" s="29"/>
      <c r="C335" s="29"/>
      <c r="D335" s="29"/>
      <c r="E335" s="29"/>
      <c r="F335" s="29"/>
      <c r="G335" s="29"/>
      <c r="H335" s="30"/>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row>
    <row r="336">
      <c r="A336" s="29"/>
      <c r="B336" s="29"/>
      <c r="C336" s="29"/>
      <c r="D336" s="29"/>
      <c r="E336" s="29"/>
      <c r="F336" s="29"/>
      <c r="G336" s="29"/>
      <c r="H336" s="30"/>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row>
    <row r="337">
      <c r="A337" s="29"/>
      <c r="B337" s="29"/>
      <c r="C337" s="29"/>
      <c r="D337" s="29"/>
      <c r="E337" s="29"/>
      <c r="F337" s="29"/>
      <c r="G337" s="29"/>
      <c r="H337" s="30"/>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row>
    <row r="338">
      <c r="A338" s="29"/>
      <c r="B338" s="29"/>
      <c r="C338" s="29"/>
      <c r="D338" s="29"/>
      <c r="E338" s="29"/>
      <c r="F338" s="29"/>
      <c r="G338" s="29"/>
      <c r="H338" s="30"/>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row>
    <row r="339">
      <c r="A339" s="29"/>
      <c r="B339" s="29"/>
      <c r="C339" s="29"/>
      <c r="D339" s="29"/>
      <c r="E339" s="29"/>
      <c r="F339" s="29"/>
      <c r="G339" s="29"/>
      <c r="H339" s="30"/>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row>
    <row r="340">
      <c r="A340" s="29"/>
      <c r="B340" s="29"/>
      <c r="C340" s="29"/>
      <c r="D340" s="29"/>
      <c r="E340" s="29"/>
      <c r="F340" s="29"/>
      <c r="G340" s="29"/>
      <c r="H340" s="30"/>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row>
    <row r="341">
      <c r="A341" s="29"/>
      <c r="B341" s="29"/>
      <c r="C341" s="29"/>
      <c r="D341" s="29"/>
      <c r="E341" s="29"/>
      <c r="F341" s="29"/>
      <c r="G341" s="29"/>
      <c r="H341" s="30"/>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row>
    <row r="342">
      <c r="A342" s="29"/>
      <c r="B342" s="29"/>
      <c r="C342" s="29"/>
      <c r="D342" s="29"/>
      <c r="E342" s="29"/>
      <c r="F342" s="29"/>
      <c r="G342" s="29"/>
      <c r="H342" s="30"/>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row>
    <row r="343">
      <c r="A343" s="29"/>
      <c r="B343" s="29"/>
      <c r="C343" s="29"/>
      <c r="D343" s="29"/>
      <c r="E343" s="29"/>
      <c r="F343" s="29"/>
      <c r="G343" s="29"/>
      <c r="H343" s="30"/>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row>
    <row r="344">
      <c r="A344" s="29"/>
      <c r="B344" s="29"/>
      <c r="C344" s="29"/>
      <c r="D344" s="29"/>
      <c r="E344" s="29"/>
      <c r="F344" s="29"/>
      <c r="G344" s="29"/>
      <c r="H344" s="30"/>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row>
    <row r="345">
      <c r="A345" s="29"/>
      <c r="B345" s="29"/>
      <c r="C345" s="29"/>
      <c r="D345" s="29"/>
      <c r="E345" s="29"/>
      <c r="F345" s="29"/>
      <c r="G345" s="29"/>
      <c r="H345" s="30"/>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row>
    <row r="346">
      <c r="A346" s="29"/>
      <c r="B346" s="29"/>
      <c r="C346" s="29"/>
      <c r="D346" s="29"/>
      <c r="E346" s="29"/>
      <c r="F346" s="29"/>
      <c r="G346" s="29"/>
      <c r="H346" s="30"/>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row>
    <row r="347">
      <c r="A347" s="29"/>
      <c r="B347" s="29"/>
      <c r="C347" s="29"/>
      <c r="D347" s="29"/>
      <c r="E347" s="29"/>
      <c r="F347" s="29"/>
      <c r="G347" s="29"/>
      <c r="H347" s="30"/>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row>
    <row r="348">
      <c r="A348" s="29"/>
      <c r="B348" s="29"/>
      <c r="C348" s="29"/>
      <c r="D348" s="29"/>
      <c r="E348" s="29"/>
      <c r="F348" s="29"/>
      <c r="G348" s="29"/>
      <c r="H348" s="30"/>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row>
    <row r="349">
      <c r="A349" s="29"/>
      <c r="B349" s="29"/>
      <c r="C349" s="29"/>
      <c r="D349" s="29"/>
      <c r="E349" s="29"/>
      <c r="F349" s="29"/>
      <c r="G349" s="29"/>
      <c r="H349" s="30"/>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row>
    <row r="350">
      <c r="A350" s="29"/>
      <c r="B350" s="29"/>
      <c r="C350" s="29"/>
      <c r="D350" s="29"/>
      <c r="E350" s="29"/>
      <c r="F350" s="29"/>
      <c r="G350" s="29"/>
      <c r="H350" s="30"/>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row>
    <row r="351">
      <c r="A351" s="29"/>
      <c r="B351" s="29"/>
      <c r="C351" s="29"/>
      <c r="D351" s="29"/>
      <c r="E351" s="29"/>
      <c r="F351" s="29"/>
      <c r="G351" s="29"/>
      <c r="H351" s="30"/>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row>
    <row r="352">
      <c r="A352" s="29"/>
      <c r="B352" s="29"/>
      <c r="C352" s="29"/>
      <c r="D352" s="29"/>
      <c r="E352" s="29"/>
      <c r="F352" s="29"/>
      <c r="G352" s="29"/>
      <c r="H352" s="30"/>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row>
    <row r="353">
      <c r="A353" s="29"/>
      <c r="B353" s="29"/>
      <c r="C353" s="29"/>
      <c r="D353" s="29"/>
      <c r="E353" s="29"/>
      <c r="F353" s="29"/>
      <c r="G353" s="29"/>
      <c r="H353" s="30"/>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row>
    <row r="354">
      <c r="A354" s="29"/>
      <c r="B354" s="29"/>
      <c r="C354" s="29"/>
      <c r="D354" s="29"/>
      <c r="E354" s="29"/>
      <c r="F354" s="29"/>
      <c r="G354" s="29"/>
      <c r="H354" s="30"/>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row>
    <row r="355">
      <c r="A355" s="29"/>
      <c r="B355" s="29"/>
      <c r="C355" s="29"/>
      <c r="D355" s="29"/>
      <c r="E355" s="29"/>
      <c r="F355" s="29"/>
      <c r="G355" s="29"/>
      <c r="H355" s="30"/>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row>
    <row r="356">
      <c r="A356" s="29"/>
      <c r="B356" s="29"/>
      <c r="C356" s="29"/>
      <c r="D356" s="29"/>
      <c r="E356" s="29"/>
      <c r="F356" s="29"/>
      <c r="G356" s="29"/>
      <c r="H356" s="30"/>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row>
    <row r="357">
      <c r="A357" s="29"/>
      <c r="B357" s="29"/>
      <c r="C357" s="29"/>
      <c r="D357" s="29"/>
      <c r="E357" s="29"/>
      <c r="F357" s="29"/>
      <c r="G357" s="29"/>
      <c r="H357" s="30"/>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row>
    <row r="358">
      <c r="A358" s="29"/>
      <c r="B358" s="29"/>
      <c r="C358" s="29"/>
      <c r="D358" s="29"/>
      <c r="E358" s="29"/>
      <c r="F358" s="29"/>
      <c r="G358" s="29"/>
      <c r="H358" s="30"/>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row>
    <row r="359">
      <c r="A359" s="29"/>
      <c r="B359" s="29"/>
      <c r="C359" s="29"/>
      <c r="D359" s="29"/>
      <c r="E359" s="29"/>
      <c r="F359" s="29"/>
      <c r="G359" s="29"/>
      <c r="H359" s="30"/>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row>
    <row r="360">
      <c r="A360" s="29"/>
      <c r="B360" s="29"/>
      <c r="C360" s="29"/>
      <c r="D360" s="29"/>
      <c r="E360" s="29"/>
      <c r="F360" s="29"/>
      <c r="G360" s="29"/>
      <c r="H360" s="30"/>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row>
    <row r="361">
      <c r="A361" s="29"/>
      <c r="B361" s="29"/>
      <c r="C361" s="29"/>
      <c r="D361" s="29"/>
      <c r="E361" s="29"/>
      <c r="F361" s="29"/>
      <c r="G361" s="29"/>
      <c r="H361" s="30"/>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row>
    <row r="362">
      <c r="A362" s="29"/>
      <c r="B362" s="29"/>
      <c r="C362" s="29"/>
      <c r="D362" s="29"/>
      <c r="E362" s="29"/>
      <c r="F362" s="29"/>
      <c r="G362" s="29"/>
      <c r="H362" s="30"/>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row>
    <row r="363">
      <c r="A363" s="29"/>
      <c r="B363" s="29"/>
      <c r="C363" s="29"/>
      <c r="D363" s="29"/>
      <c r="E363" s="29"/>
      <c r="F363" s="29"/>
      <c r="G363" s="29"/>
      <c r="H363" s="30"/>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row>
    <row r="364">
      <c r="A364" s="29"/>
      <c r="B364" s="29"/>
      <c r="C364" s="29"/>
      <c r="D364" s="29"/>
      <c r="E364" s="29"/>
      <c r="F364" s="29"/>
      <c r="G364" s="29"/>
      <c r="H364" s="30"/>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row>
    <row r="365">
      <c r="A365" s="29"/>
      <c r="B365" s="29"/>
      <c r="C365" s="29"/>
      <c r="D365" s="29"/>
      <c r="E365" s="29"/>
      <c r="F365" s="29"/>
      <c r="G365" s="29"/>
      <c r="H365" s="30"/>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row>
    <row r="366">
      <c r="A366" s="29"/>
      <c r="B366" s="29"/>
      <c r="C366" s="29"/>
      <c r="D366" s="29"/>
      <c r="E366" s="29"/>
      <c r="F366" s="29"/>
      <c r="G366" s="29"/>
      <c r="H366" s="30"/>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row>
    <row r="367">
      <c r="A367" s="29"/>
      <c r="B367" s="29"/>
      <c r="C367" s="29"/>
      <c r="D367" s="29"/>
      <c r="E367" s="29"/>
      <c r="F367" s="29"/>
      <c r="G367" s="29"/>
      <c r="H367" s="30"/>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row>
    <row r="368">
      <c r="A368" s="29"/>
      <c r="B368" s="29"/>
      <c r="C368" s="29"/>
      <c r="D368" s="29"/>
      <c r="E368" s="29"/>
      <c r="F368" s="29"/>
      <c r="G368" s="29"/>
      <c r="H368" s="30"/>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row>
    <row r="369">
      <c r="A369" s="29"/>
      <c r="B369" s="29"/>
      <c r="C369" s="29"/>
      <c r="D369" s="29"/>
      <c r="E369" s="29"/>
      <c r="F369" s="29"/>
      <c r="G369" s="29"/>
      <c r="H369" s="30"/>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row>
    <row r="370">
      <c r="A370" s="29"/>
      <c r="B370" s="29"/>
      <c r="C370" s="29"/>
      <c r="D370" s="29"/>
      <c r="E370" s="29"/>
      <c r="F370" s="29"/>
      <c r="G370" s="29"/>
      <c r="H370" s="30"/>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row>
    <row r="371">
      <c r="A371" s="29"/>
      <c r="B371" s="29"/>
      <c r="C371" s="29"/>
      <c r="D371" s="29"/>
      <c r="E371" s="29"/>
      <c r="F371" s="29"/>
      <c r="G371" s="29"/>
      <c r="H371" s="30"/>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row>
    <row r="372">
      <c r="A372" s="29"/>
      <c r="B372" s="29"/>
      <c r="C372" s="29"/>
      <c r="D372" s="29"/>
      <c r="E372" s="29"/>
      <c r="F372" s="29"/>
      <c r="G372" s="29"/>
      <c r="H372" s="30"/>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row>
    <row r="373">
      <c r="A373" s="29"/>
      <c r="B373" s="29"/>
      <c r="C373" s="29"/>
      <c r="D373" s="29"/>
      <c r="E373" s="29"/>
      <c r="F373" s="29"/>
      <c r="G373" s="29"/>
      <c r="H373" s="30"/>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row>
    <row r="374">
      <c r="A374" s="29"/>
      <c r="B374" s="29"/>
      <c r="C374" s="29"/>
      <c r="D374" s="29"/>
      <c r="E374" s="29"/>
      <c r="F374" s="29"/>
      <c r="G374" s="29"/>
      <c r="H374" s="30"/>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row>
    <row r="375">
      <c r="A375" s="29"/>
      <c r="B375" s="29"/>
      <c r="C375" s="29"/>
      <c r="D375" s="29"/>
      <c r="E375" s="29"/>
      <c r="F375" s="29"/>
      <c r="G375" s="29"/>
      <c r="H375" s="30"/>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row>
    <row r="376">
      <c r="A376" s="29"/>
      <c r="B376" s="29"/>
      <c r="C376" s="29"/>
      <c r="D376" s="29"/>
      <c r="E376" s="29"/>
      <c r="F376" s="29"/>
      <c r="G376" s="29"/>
      <c r="H376" s="30"/>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row>
    <row r="377">
      <c r="A377" s="29"/>
      <c r="B377" s="29"/>
      <c r="C377" s="29"/>
      <c r="D377" s="29"/>
      <c r="E377" s="29"/>
      <c r="F377" s="29"/>
      <c r="G377" s="29"/>
      <c r="H377" s="30"/>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row>
    <row r="378">
      <c r="A378" s="29"/>
      <c r="B378" s="29"/>
      <c r="C378" s="29"/>
      <c r="D378" s="29"/>
      <c r="E378" s="29"/>
      <c r="F378" s="29"/>
      <c r="G378" s="29"/>
      <c r="H378" s="30"/>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row>
    <row r="379">
      <c r="A379" s="29"/>
      <c r="B379" s="29"/>
      <c r="C379" s="29"/>
      <c r="D379" s="29"/>
      <c r="E379" s="29"/>
      <c r="F379" s="29"/>
      <c r="G379" s="29"/>
      <c r="H379" s="30"/>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row>
    <row r="380">
      <c r="A380" s="29"/>
      <c r="B380" s="29"/>
      <c r="C380" s="29"/>
      <c r="D380" s="29"/>
      <c r="E380" s="29"/>
      <c r="F380" s="29"/>
      <c r="G380" s="29"/>
      <c r="H380" s="30"/>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row>
    <row r="381">
      <c r="A381" s="29"/>
      <c r="B381" s="29"/>
      <c r="C381" s="29"/>
      <c r="D381" s="29"/>
      <c r="E381" s="29"/>
      <c r="F381" s="29"/>
      <c r="G381" s="29"/>
      <c r="H381" s="30"/>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row>
    <row r="382">
      <c r="A382" s="29"/>
      <c r="B382" s="29"/>
      <c r="C382" s="29"/>
      <c r="D382" s="29"/>
      <c r="E382" s="29"/>
      <c r="F382" s="29"/>
      <c r="G382" s="29"/>
      <c r="H382" s="30"/>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row>
    <row r="383">
      <c r="A383" s="29"/>
      <c r="B383" s="29"/>
      <c r="C383" s="29"/>
      <c r="D383" s="29"/>
      <c r="E383" s="29"/>
      <c r="F383" s="29"/>
      <c r="G383" s="29"/>
      <c r="H383" s="30"/>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row>
    <row r="384">
      <c r="A384" s="29"/>
      <c r="B384" s="29"/>
      <c r="C384" s="29"/>
      <c r="D384" s="29"/>
      <c r="E384" s="29"/>
      <c r="F384" s="29"/>
      <c r="G384" s="29"/>
      <c r="H384" s="30"/>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row>
    <row r="385">
      <c r="A385" s="29"/>
      <c r="B385" s="29"/>
      <c r="C385" s="29"/>
      <c r="D385" s="29"/>
      <c r="E385" s="29"/>
      <c r="F385" s="29"/>
      <c r="G385" s="29"/>
      <c r="H385" s="30"/>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row>
    <row r="386">
      <c r="A386" s="29"/>
      <c r="B386" s="29"/>
      <c r="C386" s="29"/>
      <c r="D386" s="29"/>
      <c r="E386" s="29"/>
      <c r="F386" s="29"/>
      <c r="G386" s="29"/>
      <c r="H386" s="30"/>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row>
    <row r="387">
      <c r="A387" s="29"/>
      <c r="B387" s="29"/>
      <c r="C387" s="29"/>
      <c r="D387" s="29"/>
      <c r="E387" s="29"/>
      <c r="F387" s="29"/>
      <c r="G387" s="29"/>
      <c r="H387" s="30"/>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row>
    <row r="388">
      <c r="A388" s="29"/>
      <c r="B388" s="29"/>
      <c r="C388" s="29"/>
      <c r="D388" s="29"/>
      <c r="E388" s="29"/>
      <c r="F388" s="29"/>
      <c r="G388" s="29"/>
      <c r="H388" s="30"/>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row>
    <row r="389">
      <c r="A389" s="29"/>
      <c r="B389" s="29"/>
      <c r="C389" s="29"/>
      <c r="D389" s="29"/>
      <c r="E389" s="29"/>
      <c r="F389" s="29"/>
      <c r="G389" s="29"/>
      <c r="H389" s="30"/>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row>
    <row r="390">
      <c r="A390" s="29"/>
      <c r="B390" s="29"/>
      <c r="C390" s="29"/>
      <c r="D390" s="29"/>
      <c r="E390" s="29"/>
      <c r="F390" s="29"/>
      <c r="G390" s="29"/>
      <c r="H390" s="30"/>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row>
    <row r="391">
      <c r="A391" s="29"/>
      <c r="B391" s="29"/>
      <c r="C391" s="29"/>
      <c r="D391" s="29"/>
      <c r="E391" s="29"/>
      <c r="F391" s="29"/>
      <c r="G391" s="29"/>
      <c r="H391" s="30"/>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row>
    <row r="392">
      <c r="A392" s="29"/>
      <c r="B392" s="29"/>
      <c r="C392" s="29"/>
      <c r="D392" s="29"/>
      <c r="E392" s="29"/>
      <c r="F392" s="29"/>
      <c r="G392" s="29"/>
      <c r="H392" s="30"/>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row>
    <row r="393">
      <c r="A393" s="29"/>
      <c r="B393" s="29"/>
      <c r="C393" s="29"/>
      <c r="D393" s="29"/>
      <c r="E393" s="29"/>
      <c r="F393" s="29"/>
      <c r="G393" s="29"/>
      <c r="H393" s="30"/>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row>
    <row r="394">
      <c r="A394" s="29"/>
      <c r="B394" s="29"/>
      <c r="C394" s="29"/>
      <c r="D394" s="29"/>
      <c r="E394" s="29"/>
      <c r="F394" s="29"/>
      <c r="G394" s="29"/>
      <c r="H394" s="30"/>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row>
    <row r="395">
      <c r="A395" s="29"/>
      <c r="B395" s="29"/>
      <c r="C395" s="29"/>
      <c r="D395" s="29"/>
      <c r="E395" s="29"/>
      <c r="F395" s="29"/>
      <c r="G395" s="29"/>
      <c r="H395" s="30"/>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c r="AQ395" s="29"/>
      <c r="AR395" s="29"/>
    </row>
    <row r="396">
      <c r="A396" s="29"/>
      <c r="B396" s="29"/>
      <c r="C396" s="29"/>
      <c r="D396" s="29"/>
      <c r="E396" s="29"/>
      <c r="F396" s="29"/>
      <c r="G396" s="29"/>
      <c r="H396" s="30"/>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c r="AQ396" s="29"/>
      <c r="AR396" s="29"/>
    </row>
    <row r="397">
      <c r="A397" s="29"/>
      <c r="B397" s="29"/>
      <c r="C397" s="29"/>
      <c r="D397" s="29"/>
      <c r="E397" s="29"/>
      <c r="F397" s="29"/>
      <c r="G397" s="29"/>
      <c r="H397" s="30"/>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c r="AJ397" s="29"/>
      <c r="AK397" s="29"/>
      <c r="AL397" s="29"/>
      <c r="AM397" s="29"/>
      <c r="AN397" s="29"/>
      <c r="AO397" s="29"/>
      <c r="AP397" s="29"/>
      <c r="AQ397" s="29"/>
      <c r="AR397" s="29"/>
    </row>
    <row r="398">
      <c r="A398" s="29"/>
      <c r="B398" s="29"/>
      <c r="C398" s="29"/>
      <c r="D398" s="29"/>
      <c r="E398" s="29"/>
      <c r="F398" s="29"/>
      <c r="G398" s="29"/>
      <c r="H398" s="30"/>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c r="AJ398" s="29"/>
      <c r="AK398" s="29"/>
      <c r="AL398" s="29"/>
      <c r="AM398" s="29"/>
      <c r="AN398" s="29"/>
      <c r="AO398" s="29"/>
      <c r="AP398" s="29"/>
      <c r="AQ398" s="29"/>
      <c r="AR398" s="29"/>
    </row>
    <row r="399">
      <c r="A399" s="29"/>
      <c r="B399" s="29"/>
      <c r="C399" s="29"/>
      <c r="D399" s="29"/>
      <c r="E399" s="29"/>
      <c r="F399" s="29"/>
      <c r="G399" s="29"/>
      <c r="H399" s="30"/>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c r="AQ399" s="29"/>
      <c r="AR399" s="29"/>
    </row>
    <row r="400">
      <c r="A400" s="29"/>
      <c r="B400" s="29"/>
      <c r="C400" s="29"/>
      <c r="D400" s="29"/>
      <c r="E400" s="29"/>
      <c r="F400" s="29"/>
      <c r="G400" s="29"/>
      <c r="H400" s="30"/>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c r="AQ400" s="29"/>
      <c r="AR400" s="29"/>
    </row>
    <row r="401">
      <c r="A401" s="29"/>
      <c r="B401" s="29"/>
      <c r="C401" s="29"/>
      <c r="D401" s="29"/>
      <c r="E401" s="29"/>
      <c r="F401" s="29"/>
      <c r="G401" s="29"/>
      <c r="H401" s="30"/>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row>
    <row r="402">
      <c r="A402" s="29"/>
      <c r="B402" s="29"/>
      <c r="C402" s="29"/>
      <c r="D402" s="29"/>
      <c r="E402" s="29"/>
      <c r="F402" s="29"/>
      <c r="G402" s="29"/>
      <c r="H402" s="30"/>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row>
    <row r="403">
      <c r="A403" s="29"/>
      <c r="B403" s="29"/>
      <c r="C403" s="29"/>
      <c r="D403" s="29"/>
      <c r="E403" s="29"/>
      <c r="F403" s="29"/>
      <c r="G403" s="29"/>
      <c r="H403" s="30"/>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c r="AQ403" s="29"/>
      <c r="AR403" s="29"/>
    </row>
    <row r="404">
      <c r="A404" s="29"/>
      <c r="B404" s="29"/>
      <c r="C404" s="29"/>
      <c r="D404" s="29"/>
      <c r="E404" s="29"/>
      <c r="F404" s="29"/>
      <c r="G404" s="29"/>
      <c r="H404" s="30"/>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row>
    <row r="405">
      <c r="A405" s="29"/>
      <c r="B405" s="29"/>
      <c r="C405" s="29"/>
      <c r="D405" s="29"/>
      <c r="E405" s="29"/>
      <c r="F405" s="29"/>
      <c r="G405" s="29"/>
      <c r="H405" s="30"/>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row>
    <row r="406">
      <c r="A406" s="29"/>
      <c r="B406" s="29"/>
      <c r="C406" s="29"/>
      <c r="D406" s="29"/>
      <c r="E406" s="29"/>
      <c r="F406" s="29"/>
      <c r="G406" s="29"/>
      <c r="H406" s="30"/>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c r="AQ406" s="29"/>
      <c r="AR406" s="29"/>
    </row>
    <row r="407">
      <c r="A407" s="29"/>
      <c r="B407" s="29"/>
      <c r="C407" s="29"/>
      <c r="D407" s="29"/>
      <c r="E407" s="29"/>
      <c r="F407" s="29"/>
      <c r="G407" s="29"/>
      <c r="H407" s="30"/>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c r="AQ407" s="29"/>
      <c r="AR407" s="29"/>
    </row>
    <row r="408">
      <c r="A408" s="29"/>
      <c r="B408" s="29"/>
      <c r="C408" s="29"/>
      <c r="D408" s="29"/>
      <c r="E408" s="29"/>
      <c r="F408" s="29"/>
      <c r="G408" s="29"/>
      <c r="H408" s="30"/>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row>
    <row r="409">
      <c r="A409" s="29"/>
      <c r="B409" s="29"/>
      <c r="C409" s="29"/>
      <c r="D409" s="29"/>
      <c r="E409" s="29"/>
      <c r="F409" s="29"/>
      <c r="G409" s="29"/>
      <c r="H409" s="30"/>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row>
    <row r="410">
      <c r="A410" s="29"/>
      <c r="B410" s="29"/>
      <c r="C410" s="29"/>
      <c r="D410" s="29"/>
      <c r="E410" s="29"/>
      <c r="F410" s="29"/>
      <c r="G410" s="29"/>
      <c r="H410" s="30"/>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row>
    <row r="411">
      <c r="A411" s="29"/>
      <c r="B411" s="29"/>
      <c r="C411" s="29"/>
      <c r="D411" s="29"/>
      <c r="E411" s="29"/>
      <c r="F411" s="29"/>
      <c r="G411" s="29"/>
      <c r="H411" s="30"/>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row>
    <row r="412">
      <c r="A412" s="29"/>
      <c r="B412" s="29"/>
      <c r="C412" s="29"/>
      <c r="D412" s="29"/>
      <c r="E412" s="29"/>
      <c r="F412" s="29"/>
      <c r="G412" s="29"/>
      <c r="H412" s="30"/>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row>
    <row r="413">
      <c r="A413" s="29"/>
      <c r="B413" s="29"/>
      <c r="C413" s="29"/>
      <c r="D413" s="29"/>
      <c r="E413" s="29"/>
      <c r="F413" s="29"/>
      <c r="G413" s="29"/>
      <c r="H413" s="30"/>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row>
    <row r="414">
      <c r="A414" s="29"/>
      <c r="B414" s="29"/>
      <c r="C414" s="29"/>
      <c r="D414" s="29"/>
      <c r="E414" s="29"/>
      <c r="F414" s="29"/>
      <c r="G414" s="29"/>
      <c r="H414" s="30"/>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row>
    <row r="415">
      <c r="A415" s="29"/>
      <c r="B415" s="29"/>
      <c r="C415" s="29"/>
      <c r="D415" s="29"/>
      <c r="E415" s="29"/>
      <c r="F415" s="29"/>
      <c r="G415" s="29"/>
      <c r="H415" s="30"/>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row>
    <row r="416">
      <c r="A416" s="29"/>
      <c r="B416" s="29"/>
      <c r="C416" s="29"/>
      <c r="D416" s="29"/>
      <c r="E416" s="29"/>
      <c r="F416" s="29"/>
      <c r="G416" s="29"/>
      <c r="H416" s="30"/>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row>
    <row r="417">
      <c r="A417" s="29"/>
      <c r="B417" s="29"/>
      <c r="C417" s="29"/>
      <c r="D417" s="29"/>
      <c r="E417" s="29"/>
      <c r="F417" s="29"/>
      <c r="G417" s="29"/>
      <c r="H417" s="30"/>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row>
    <row r="418">
      <c r="A418" s="29"/>
      <c r="B418" s="29"/>
      <c r="C418" s="29"/>
      <c r="D418" s="29"/>
      <c r="E418" s="29"/>
      <c r="F418" s="29"/>
      <c r="G418" s="29"/>
      <c r="H418" s="30"/>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c r="AQ418" s="29"/>
      <c r="AR418" s="29"/>
    </row>
    <row r="419">
      <c r="A419" s="29"/>
      <c r="B419" s="29"/>
      <c r="C419" s="29"/>
      <c r="D419" s="29"/>
      <c r="E419" s="29"/>
      <c r="F419" s="29"/>
      <c r="G419" s="29"/>
      <c r="H419" s="30"/>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row>
    <row r="420">
      <c r="A420" s="29"/>
      <c r="B420" s="29"/>
      <c r="C420" s="29"/>
      <c r="D420" s="29"/>
      <c r="E420" s="29"/>
      <c r="F420" s="29"/>
      <c r="G420" s="29"/>
      <c r="H420" s="30"/>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row>
    <row r="421">
      <c r="A421" s="29"/>
      <c r="B421" s="29"/>
      <c r="C421" s="29"/>
      <c r="D421" s="29"/>
      <c r="E421" s="29"/>
      <c r="F421" s="29"/>
      <c r="G421" s="29"/>
      <c r="H421" s="30"/>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29"/>
      <c r="AL421" s="29"/>
      <c r="AM421" s="29"/>
      <c r="AN421" s="29"/>
      <c r="AO421" s="29"/>
      <c r="AP421" s="29"/>
      <c r="AQ421" s="29"/>
      <c r="AR421" s="29"/>
    </row>
    <row r="422">
      <c r="A422" s="29"/>
      <c r="B422" s="29"/>
      <c r="C422" s="29"/>
      <c r="D422" s="29"/>
      <c r="E422" s="29"/>
      <c r="F422" s="29"/>
      <c r="G422" s="29"/>
      <c r="H422" s="30"/>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9"/>
      <c r="AH422" s="29"/>
      <c r="AI422" s="29"/>
      <c r="AJ422" s="29"/>
      <c r="AK422" s="29"/>
      <c r="AL422" s="29"/>
      <c r="AM422" s="29"/>
      <c r="AN422" s="29"/>
      <c r="AO422" s="29"/>
      <c r="AP422" s="29"/>
      <c r="AQ422" s="29"/>
      <c r="AR422" s="29"/>
    </row>
    <row r="423">
      <c r="A423" s="29"/>
      <c r="B423" s="29"/>
      <c r="C423" s="29"/>
      <c r="D423" s="29"/>
      <c r="E423" s="29"/>
      <c r="F423" s="29"/>
      <c r="G423" s="29"/>
      <c r="H423" s="30"/>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9"/>
      <c r="AH423" s="29"/>
      <c r="AI423" s="29"/>
      <c r="AJ423" s="29"/>
      <c r="AK423" s="29"/>
      <c r="AL423" s="29"/>
      <c r="AM423" s="29"/>
      <c r="AN423" s="29"/>
      <c r="AO423" s="29"/>
      <c r="AP423" s="29"/>
      <c r="AQ423" s="29"/>
      <c r="AR423" s="29"/>
    </row>
    <row r="424">
      <c r="A424" s="29"/>
      <c r="B424" s="29"/>
      <c r="C424" s="29"/>
      <c r="D424" s="29"/>
      <c r="E424" s="29"/>
      <c r="F424" s="29"/>
      <c r="G424" s="29"/>
      <c r="H424" s="30"/>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row>
    <row r="425">
      <c r="A425" s="29"/>
      <c r="B425" s="29"/>
      <c r="C425" s="29"/>
      <c r="D425" s="29"/>
      <c r="E425" s="29"/>
      <c r="F425" s="29"/>
      <c r="G425" s="29"/>
      <c r="H425" s="30"/>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row>
    <row r="426">
      <c r="A426" s="29"/>
      <c r="B426" s="29"/>
      <c r="C426" s="29"/>
      <c r="D426" s="29"/>
      <c r="E426" s="29"/>
      <c r="F426" s="29"/>
      <c r="G426" s="29"/>
      <c r="H426" s="30"/>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c r="AQ426" s="29"/>
      <c r="AR426" s="29"/>
    </row>
    <row r="427">
      <c r="A427" s="29"/>
      <c r="B427" s="29"/>
      <c r="C427" s="29"/>
      <c r="D427" s="29"/>
      <c r="E427" s="29"/>
      <c r="F427" s="29"/>
      <c r="G427" s="29"/>
      <c r="H427" s="30"/>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row>
    <row r="428">
      <c r="A428" s="29"/>
      <c r="B428" s="29"/>
      <c r="C428" s="29"/>
      <c r="D428" s="29"/>
      <c r="E428" s="29"/>
      <c r="F428" s="29"/>
      <c r="G428" s="29"/>
      <c r="H428" s="30"/>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row>
    <row r="429">
      <c r="A429" s="29"/>
      <c r="B429" s="29"/>
      <c r="C429" s="29"/>
      <c r="D429" s="29"/>
      <c r="E429" s="29"/>
      <c r="F429" s="29"/>
      <c r="G429" s="29"/>
      <c r="H429" s="30"/>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row>
    <row r="430">
      <c r="A430" s="29"/>
      <c r="B430" s="29"/>
      <c r="C430" s="29"/>
      <c r="D430" s="29"/>
      <c r="E430" s="29"/>
      <c r="F430" s="29"/>
      <c r="G430" s="29"/>
      <c r="H430" s="30"/>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c r="AH430" s="29"/>
      <c r="AI430" s="29"/>
      <c r="AJ430" s="29"/>
      <c r="AK430" s="29"/>
      <c r="AL430" s="29"/>
      <c r="AM430" s="29"/>
      <c r="AN430" s="29"/>
      <c r="AO430" s="29"/>
      <c r="AP430" s="29"/>
      <c r="AQ430" s="29"/>
      <c r="AR430" s="29"/>
    </row>
    <row r="431">
      <c r="A431" s="29"/>
      <c r="B431" s="29"/>
      <c r="C431" s="29"/>
      <c r="D431" s="29"/>
      <c r="E431" s="29"/>
      <c r="F431" s="29"/>
      <c r="G431" s="29"/>
      <c r="H431" s="30"/>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c r="AQ431" s="29"/>
      <c r="AR431" s="29"/>
    </row>
    <row r="432">
      <c r="A432" s="29"/>
      <c r="B432" s="29"/>
      <c r="C432" s="29"/>
      <c r="D432" s="29"/>
      <c r="E432" s="29"/>
      <c r="F432" s="29"/>
      <c r="G432" s="29"/>
      <c r="H432" s="30"/>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c r="AQ432" s="29"/>
      <c r="AR432" s="29"/>
    </row>
    <row r="433">
      <c r="A433" s="29"/>
      <c r="B433" s="29"/>
      <c r="C433" s="29"/>
      <c r="D433" s="29"/>
      <c r="E433" s="29"/>
      <c r="F433" s="29"/>
      <c r="G433" s="29"/>
      <c r="H433" s="30"/>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c r="AH433" s="29"/>
      <c r="AI433" s="29"/>
      <c r="AJ433" s="29"/>
      <c r="AK433" s="29"/>
      <c r="AL433" s="29"/>
      <c r="AM433" s="29"/>
      <c r="AN433" s="29"/>
      <c r="AO433" s="29"/>
      <c r="AP433" s="29"/>
      <c r="AQ433" s="29"/>
      <c r="AR433" s="29"/>
    </row>
    <row r="434">
      <c r="A434" s="29"/>
      <c r="B434" s="29"/>
      <c r="C434" s="29"/>
      <c r="D434" s="29"/>
      <c r="E434" s="29"/>
      <c r="F434" s="29"/>
      <c r="G434" s="29"/>
      <c r="H434" s="30"/>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c r="AJ434" s="29"/>
      <c r="AK434" s="29"/>
      <c r="AL434" s="29"/>
      <c r="AM434" s="29"/>
      <c r="AN434" s="29"/>
      <c r="AO434" s="29"/>
      <c r="AP434" s="29"/>
      <c r="AQ434" s="29"/>
      <c r="AR434" s="29"/>
    </row>
    <row r="435">
      <c r="A435" s="29"/>
      <c r="B435" s="29"/>
      <c r="C435" s="29"/>
      <c r="D435" s="29"/>
      <c r="E435" s="29"/>
      <c r="F435" s="29"/>
      <c r="G435" s="29"/>
      <c r="H435" s="30"/>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c r="AJ435" s="29"/>
      <c r="AK435" s="29"/>
      <c r="AL435" s="29"/>
      <c r="AM435" s="29"/>
      <c r="AN435" s="29"/>
      <c r="AO435" s="29"/>
      <c r="AP435" s="29"/>
      <c r="AQ435" s="29"/>
      <c r="AR435" s="29"/>
    </row>
    <row r="436">
      <c r="A436" s="29"/>
      <c r="B436" s="29"/>
      <c r="C436" s="29"/>
      <c r="D436" s="29"/>
      <c r="E436" s="29"/>
      <c r="F436" s="29"/>
      <c r="G436" s="29"/>
      <c r="H436" s="30"/>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c r="AH436" s="29"/>
      <c r="AI436" s="29"/>
      <c r="AJ436" s="29"/>
      <c r="AK436" s="29"/>
      <c r="AL436" s="29"/>
      <c r="AM436" s="29"/>
      <c r="AN436" s="29"/>
      <c r="AO436" s="29"/>
      <c r="AP436" s="29"/>
      <c r="AQ436" s="29"/>
      <c r="AR436" s="29"/>
    </row>
    <row r="437">
      <c r="A437" s="29"/>
      <c r="B437" s="29"/>
      <c r="C437" s="29"/>
      <c r="D437" s="29"/>
      <c r="E437" s="29"/>
      <c r="F437" s="29"/>
      <c r="G437" s="29"/>
      <c r="H437" s="30"/>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c r="AL437" s="29"/>
      <c r="AM437" s="29"/>
      <c r="AN437" s="29"/>
      <c r="AO437" s="29"/>
      <c r="AP437" s="29"/>
      <c r="AQ437" s="29"/>
      <c r="AR437" s="29"/>
    </row>
    <row r="438">
      <c r="A438" s="29"/>
      <c r="B438" s="29"/>
      <c r="C438" s="29"/>
      <c r="D438" s="29"/>
      <c r="E438" s="29"/>
      <c r="F438" s="29"/>
      <c r="G438" s="29"/>
      <c r="H438" s="30"/>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c r="AQ438" s="29"/>
      <c r="AR438" s="29"/>
    </row>
    <row r="439">
      <c r="A439" s="29"/>
      <c r="B439" s="29"/>
      <c r="C439" s="29"/>
      <c r="D439" s="29"/>
      <c r="E439" s="29"/>
      <c r="F439" s="29"/>
      <c r="G439" s="29"/>
      <c r="H439" s="30"/>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c r="AQ439" s="29"/>
      <c r="AR439" s="29"/>
    </row>
    <row r="440">
      <c r="A440" s="29"/>
      <c r="B440" s="29"/>
      <c r="C440" s="29"/>
      <c r="D440" s="29"/>
      <c r="E440" s="29"/>
      <c r="F440" s="29"/>
      <c r="G440" s="29"/>
      <c r="H440" s="30"/>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row>
    <row r="441">
      <c r="A441" s="29"/>
      <c r="B441" s="29"/>
      <c r="C441" s="29"/>
      <c r="D441" s="29"/>
      <c r="E441" s="29"/>
      <c r="F441" s="29"/>
      <c r="G441" s="29"/>
      <c r="H441" s="30"/>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row>
    <row r="442">
      <c r="A442" s="29"/>
      <c r="B442" s="29"/>
      <c r="C442" s="29"/>
      <c r="D442" s="29"/>
      <c r="E442" s="29"/>
      <c r="F442" s="29"/>
      <c r="G442" s="29"/>
      <c r="H442" s="30"/>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c r="AH442" s="29"/>
      <c r="AI442" s="29"/>
      <c r="AJ442" s="29"/>
      <c r="AK442" s="29"/>
      <c r="AL442" s="29"/>
      <c r="AM442" s="29"/>
      <c r="AN442" s="29"/>
      <c r="AO442" s="29"/>
      <c r="AP442" s="29"/>
      <c r="AQ442" s="29"/>
      <c r="AR442" s="29"/>
    </row>
    <row r="443">
      <c r="A443" s="29"/>
      <c r="B443" s="29"/>
      <c r="C443" s="29"/>
      <c r="D443" s="29"/>
      <c r="E443" s="29"/>
      <c r="F443" s="29"/>
      <c r="G443" s="29"/>
      <c r="H443" s="30"/>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c r="AQ443" s="29"/>
      <c r="AR443" s="29"/>
    </row>
    <row r="444">
      <c r="A444" s="29"/>
      <c r="B444" s="29"/>
      <c r="C444" s="29"/>
      <c r="D444" s="29"/>
      <c r="E444" s="29"/>
      <c r="F444" s="29"/>
      <c r="G444" s="29"/>
      <c r="H444" s="30"/>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c r="AQ444" s="29"/>
      <c r="AR444" s="29"/>
    </row>
    <row r="445">
      <c r="A445" s="29"/>
      <c r="B445" s="29"/>
      <c r="C445" s="29"/>
      <c r="D445" s="29"/>
      <c r="E445" s="29"/>
      <c r="F445" s="29"/>
      <c r="G445" s="29"/>
      <c r="H445" s="30"/>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29"/>
      <c r="AI445" s="29"/>
      <c r="AJ445" s="29"/>
      <c r="AK445" s="29"/>
      <c r="AL445" s="29"/>
      <c r="AM445" s="29"/>
      <c r="AN445" s="29"/>
      <c r="AO445" s="29"/>
      <c r="AP445" s="29"/>
      <c r="AQ445" s="29"/>
      <c r="AR445" s="29"/>
    </row>
    <row r="446">
      <c r="A446" s="29"/>
      <c r="B446" s="29"/>
      <c r="C446" s="29"/>
      <c r="D446" s="29"/>
      <c r="E446" s="29"/>
      <c r="F446" s="29"/>
      <c r="G446" s="29"/>
      <c r="H446" s="30"/>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c r="AN446" s="29"/>
      <c r="AO446" s="29"/>
      <c r="AP446" s="29"/>
      <c r="AQ446" s="29"/>
      <c r="AR446" s="29"/>
    </row>
    <row r="447">
      <c r="A447" s="29"/>
      <c r="B447" s="29"/>
      <c r="C447" s="29"/>
      <c r="D447" s="29"/>
      <c r="E447" s="29"/>
      <c r="F447" s="29"/>
      <c r="G447" s="29"/>
      <c r="H447" s="30"/>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c r="AJ447" s="29"/>
      <c r="AK447" s="29"/>
      <c r="AL447" s="29"/>
      <c r="AM447" s="29"/>
      <c r="AN447" s="29"/>
      <c r="AO447" s="29"/>
      <c r="AP447" s="29"/>
      <c r="AQ447" s="29"/>
      <c r="AR447" s="29"/>
    </row>
    <row r="448">
      <c r="A448" s="29"/>
      <c r="B448" s="29"/>
      <c r="C448" s="29"/>
      <c r="D448" s="29"/>
      <c r="E448" s="29"/>
      <c r="F448" s="29"/>
      <c r="G448" s="29"/>
      <c r="H448" s="30"/>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29"/>
      <c r="AI448" s="29"/>
      <c r="AJ448" s="29"/>
      <c r="AK448" s="29"/>
      <c r="AL448" s="29"/>
      <c r="AM448" s="29"/>
      <c r="AN448" s="29"/>
      <c r="AO448" s="29"/>
      <c r="AP448" s="29"/>
      <c r="AQ448" s="29"/>
      <c r="AR448" s="29"/>
    </row>
    <row r="449">
      <c r="A449" s="29"/>
      <c r="B449" s="29"/>
      <c r="C449" s="29"/>
      <c r="D449" s="29"/>
      <c r="E449" s="29"/>
      <c r="F449" s="29"/>
      <c r="G449" s="29"/>
      <c r="H449" s="30"/>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c r="AJ449" s="29"/>
      <c r="AK449" s="29"/>
      <c r="AL449" s="29"/>
      <c r="AM449" s="29"/>
      <c r="AN449" s="29"/>
      <c r="AO449" s="29"/>
      <c r="AP449" s="29"/>
      <c r="AQ449" s="29"/>
      <c r="AR449" s="29"/>
    </row>
    <row r="450">
      <c r="A450" s="29"/>
      <c r="B450" s="29"/>
      <c r="C450" s="29"/>
      <c r="D450" s="29"/>
      <c r="E450" s="29"/>
      <c r="F450" s="29"/>
      <c r="G450" s="29"/>
      <c r="H450" s="30"/>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c r="AJ450" s="29"/>
      <c r="AK450" s="29"/>
      <c r="AL450" s="29"/>
      <c r="AM450" s="29"/>
      <c r="AN450" s="29"/>
      <c r="AO450" s="29"/>
      <c r="AP450" s="29"/>
      <c r="AQ450" s="29"/>
      <c r="AR450" s="29"/>
    </row>
    <row r="451">
      <c r="A451" s="29"/>
      <c r="B451" s="29"/>
      <c r="C451" s="29"/>
      <c r="D451" s="29"/>
      <c r="E451" s="29"/>
      <c r="F451" s="29"/>
      <c r="G451" s="29"/>
      <c r="H451" s="30"/>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29"/>
      <c r="AI451" s="29"/>
      <c r="AJ451" s="29"/>
      <c r="AK451" s="29"/>
      <c r="AL451" s="29"/>
      <c r="AM451" s="29"/>
      <c r="AN451" s="29"/>
      <c r="AO451" s="29"/>
      <c r="AP451" s="29"/>
      <c r="AQ451" s="29"/>
      <c r="AR451" s="29"/>
    </row>
    <row r="452">
      <c r="A452" s="29"/>
      <c r="B452" s="29"/>
      <c r="C452" s="29"/>
      <c r="D452" s="29"/>
      <c r="E452" s="29"/>
      <c r="F452" s="29"/>
      <c r="G452" s="29"/>
      <c r="H452" s="30"/>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row>
    <row r="453">
      <c r="A453" s="29"/>
      <c r="B453" s="29"/>
      <c r="C453" s="29"/>
      <c r="D453" s="29"/>
      <c r="E453" s="29"/>
      <c r="F453" s="29"/>
      <c r="G453" s="29"/>
      <c r="H453" s="30"/>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row>
    <row r="454">
      <c r="A454" s="29"/>
      <c r="B454" s="29"/>
      <c r="C454" s="29"/>
      <c r="D454" s="29"/>
      <c r="E454" s="29"/>
      <c r="F454" s="29"/>
      <c r="G454" s="29"/>
      <c r="H454" s="30"/>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29"/>
      <c r="AI454" s="29"/>
      <c r="AJ454" s="29"/>
      <c r="AK454" s="29"/>
      <c r="AL454" s="29"/>
      <c r="AM454" s="29"/>
      <c r="AN454" s="29"/>
      <c r="AO454" s="29"/>
      <c r="AP454" s="29"/>
      <c r="AQ454" s="29"/>
      <c r="AR454" s="29"/>
    </row>
    <row r="455">
      <c r="A455" s="29"/>
      <c r="B455" s="29"/>
      <c r="C455" s="29"/>
      <c r="D455" s="29"/>
      <c r="E455" s="29"/>
      <c r="F455" s="29"/>
      <c r="G455" s="29"/>
      <c r="H455" s="30"/>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29"/>
      <c r="AI455" s="29"/>
      <c r="AJ455" s="29"/>
      <c r="AK455" s="29"/>
      <c r="AL455" s="29"/>
      <c r="AM455" s="29"/>
      <c r="AN455" s="29"/>
      <c r="AO455" s="29"/>
      <c r="AP455" s="29"/>
      <c r="AQ455" s="29"/>
      <c r="AR455" s="29"/>
    </row>
    <row r="456">
      <c r="A456" s="29"/>
      <c r="B456" s="29"/>
      <c r="C456" s="29"/>
      <c r="D456" s="29"/>
      <c r="E456" s="29"/>
      <c r="F456" s="29"/>
      <c r="G456" s="29"/>
      <c r="H456" s="30"/>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c r="AJ456" s="29"/>
      <c r="AK456" s="29"/>
      <c r="AL456" s="29"/>
      <c r="AM456" s="29"/>
      <c r="AN456" s="29"/>
      <c r="AO456" s="29"/>
      <c r="AP456" s="29"/>
      <c r="AQ456" s="29"/>
      <c r="AR456" s="29"/>
    </row>
    <row r="457">
      <c r="A457" s="29"/>
      <c r="B457" s="29"/>
      <c r="C457" s="29"/>
      <c r="D457" s="29"/>
      <c r="E457" s="29"/>
      <c r="F457" s="29"/>
      <c r="G457" s="29"/>
      <c r="H457" s="30"/>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c r="AQ457" s="29"/>
      <c r="AR457" s="29"/>
    </row>
    <row r="458">
      <c r="A458" s="29"/>
      <c r="B458" s="29"/>
      <c r="C458" s="29"/>
      <c r="D458" s="29"/>
      <c r="E458" s="29"/>
      <c r="F458" s="29"/>
      <c r="G458" s="29"/>
      <c r="H458" s="30"/>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c r="AQ458" s="29"/>
      <c r="AR458" s="29"/>
    </row>
    <row r="459">
      <c r="A459" s="29"/>
      <c r="B459" s="29"/>
      <c r="C459" s="29"/>
      <c r="D459" s="29"/>
      <c r="E459" s="29"/>
      <c r="F459" s="29"/>
      <c r="G459" s="29"/>
      <c r="H459" s="30"/>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H459" s="29"/>
      <c r="AI459" s="29"/>
      <c r="AJ459" s="29"/>
      <c r="AK459" s="29"/>
      <c r="AL459" s="29"/>
      <c r="AM459" s="29"/>
      <c r="AN459" s="29"/>
      <c r="AO459" s="29"/>
      <c r="AP459" s="29"/>
      <c r="AQ459" s="29"/>
      <c r="AR459" s="29"/>
    </row>
    <row r="460">
      <c r="A460" s="29"/>
      <c r="B460" s="29"/>
      <c r="C460" s="29"/>
      <c r="D460" s="29"/>
      <c r="E460" s="29"/>
      <c r="F460" s="29"/>
      <c r="G460" s="29"/>
      <c r="H460" s="30"/>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c r="AJ460" s="29"/>
      <c r="AK460" s="29"/>
      <c r="AL460" s="29"/>
      <c r="AM460" s="29"/>
      <c r="AN460" s="29"/>
      <c r="AO460" s="29"/>
      <c r="AP460" s="29"/>
      <c r="AQ460" s="29"/>
      <c r="AR460" s="29"/>
    </row>
    <row r="461">
      <c r="A461" s="29"/>
      <c r="B461" s="29"/>
      <c r="C461" s="29"/>
      <c r="D461" s="29"/>
      <c r="E461" s="29"/>
      <c r="F461" s="29"/>
      <c r="G461" s="29"/>
      <c r="H461" s="30"/>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c r="AJ461" s="29"/>
      <c r="AK461" s="29"/>
      <c r="AL461" s="29"/>
      <c r="AM461" s="29"/>
      <c r="AN461" s="29"/>
      <c r="AO461" s="29"/>
      <c r="AP461" s="29"/>
      <c r="AQ461" s="29"/>
      <c r="AR461" s="29"/>
    </row>
    <row r="462">
      <c r="A462" s="29"/>
      <c r="B462" s="29"/>
      <c r="C462" s="29"/>
      <c r="D462" s="29"/>
      <c r="E462" s="29"/>
      <c r="F462" s="29"/>
      <c r="G462" s="29"/>
      <c r="H462" s="30"/>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H462" s="29"/>
      <c r="AI462" s="29"/>
      <c r="AJ462" s="29"/>
      <c r="AK462" s="29"/>
      <c r="AL462" s="29"/>
      <c r="AM462" s="29"/>
      <c r="AN462" s="29"/>
      <c r="AO462" s="29"/>
      <c r="AP462" s="29"/>
      <c r="AQ462" s="29"/>
      <c r="AR462" s="29"/>
    </row>
    <row r="463">
      <c r="A463" s="29"/>
      <c r="B463" s="29"/>
      <c r="C463" s="29"/>
      <c r="D463" s="29"/>
      <c r="E463" s="29"/>
      <c r="F463" s="29"/>
      <c r="G463" s="29"/>
      <c r="H463" s="30"/>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H463" s="29"/>
      <c r="AI463" s="29"/>
      <c r="AJ463" s="29"/>
      <c r="AK463" s="29"/>
      <c r="AL463" s="29"/>
      <c r="AM463" s="29"/>
      <c r="AN463" s="29"/>
      <c r="AO463" s="29"/>
      <c r="AP463" s="29"/>
      <c r="AQ463" s="29"/>
      <c r="AR463" s="29"/>
    </row>
    <row r="464">
      <c r="A464" s="29"/>
      <c r="B464" s="29"/>
      <c r="C464" s="29"/>
      <c r="D464" s="29"/>
      <c r="E464" s="29"/>
      <c r="F464" s="29"/>
      <c r="G464" s="29"/>
      <c r="H464" s="30"/>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row>
    <row r="465">
      <c r="A465" s="29"/>
      <c r="B465" s="29"/>
      <c r="C465" s="29"/>
      <c r="D465" s="29"/>
      <c r="E465" s="29"/>
      <c r="F465" s="29"/>
      <c r="G465" s="29"/>
      <c r="H465" s="30"/>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row>
    <row r="466">
      <c r="A466" s="29"/>
      <c r="B466" s="29"/>
      <c r="C466" s="29"/>
      <c r="D466" s="29"/>
      <c r="E466" s="29"/>
      <c r="F466" s="29"/>
      <c r="G466" s="29"/>
      <c r="H466" s="30"/>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H466" s="29"/>
      <c r="AI466" s="29"/>
      <c r="AJ466" s="29"/>
      <c r="AK466" s="29"/>
      <c r="AL466" s="29"/>
      <c r="AM466" s="29"/>
      <c r="AN466" s="29"/>
      <c r="AO466" s="29"/>
      <c r="AP466" s="29"/>
      <c r="AQ466" s="29"/>
      <c r="AR466" s="29"/>
    </row>
    <row r="467">
      <c r="A467" s="29"/>
      <c r="B467" s="29"/>
      <c r="C467" s="29"/>
      <c r="D467" s="29"/>
      <c r="E467" s="29"/>
      <c r="F467" s="29"/>
      <c r="G467" s="29"/>
      <c r="H467" s="30"/>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H467" s="29"/>
      <c r="AI467" s="29"/>
      <c r="AJ467" s="29"/>
      <c r="AK467" s="29"/>
      <c r="AL467" s="29"/>
      <c r="AM467" s="29"/>
      <c r="AN467" s="29"/>
      <c r="AO467" s="29"/>
      <c r="AP467" s="29"/>
      <c r="AQ467" s="29"/>
      <c r="AR467" s="29"/>
    </row>
    <row r="468">
      <c r="A468" s="29"/>
      <c r="B468" s="29"/>
      <c r="C468" s="29"/>
      <c r="D468" s="29"/>
      <c r="E468" s="29"/>
      <c r="F468" s="29"/>
      <c r="G468" s="29"/>
      <c r="H468" s="30"/>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H468" s="29"/>
      <c r="AI468" s="29"/>
      <c r="AJ468" s="29"/>
      <c r="AK468" s="29"/>
      <c r="AL468" s="29"/>
      <c r="AM468" s="29"/>
      <c r="AN468" s="29"/>
      <c r="AO468" s="29"/>
      <c r="AP468" s="29"/>
      <c r="AQ468" s="29"/>
      <c r="AR468" s="29"/>
    </row>
    <row r="469">
      <c r="A469" s="29"/>
      <c r="B469" s="29"/>
      <c r="C469" s="29"/>
      <c r="D469" s="29"/>
      <c r="E469" s="29"/>
      <c r="F469" s="29"/>
      <c r="G469" s="29"/>
      <c r="H469" s="30"/>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c r="AQ469" s="29"/>
      <c r="AR469" s="29"/>
    </row>
    <row r="470">
      <c r="A470" s="29"/>
      <c r="B470" s="29"/>
      <c r="C470" s="29"/>
      <c r="D470" s="29"/>
      <c r="E470" s="29"/>
      <c r="F470" s="29"/>
      <c r="G470" s="29"/>
      <c r="H470" s="30"/>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c r="AQ470" s="29"/>
      <c r="AR470" s="29"/>
    </row>
    <row r="471">
      <c r="A471" s="29"/>
      <c r="B471" s="29"/>
      <c r="C471" s="29"/>
      <c r="D471" s="29"/>
      <c r="E471" s="29"/>
      <c r="F471" s="29"/>
      <c r="G471" s="29"/>
      <c r="H471" s="30"/>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c r="AJ471" s="29"/>
      <c r="AK471" s="29"/>
      <c r="AL471" s="29"/>
      <c r="AM471" s="29"/>
      <c r="AN471" s="29"/>
      <c r="AO471" s="29"/>
      <c r="AP471" s="29"/>
      <c r="AQ471" s="29"/>
      <c r="AR471" s="29"/>
    </row>
    <row r="472">
      <c r="A472" s="29"/>
      <c r="B472" s="29"/>
      <c r="C472" s="29"/>
      <c r="D472" s="29"/>
      <c r="E472" s="29"/>
      <c r="F472" s="29"/>
      <c r="G472" s="29"/>
      <c r="H472" s="30"/>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c r="AJ472" s="29"/>
      <c r="AK472" s="29"/>
      <c r="AL472" s="29"/>
      <c r="AM472" s="29"/>
      <c r="AN472" s="29"/>
      <c r="AO472" s="29"/>
      <c r="AP472" s="29"/>
      <c r="AQ472" s="29"/>
      <c r="AR472" s="29"/>
    </row>
    <row r="473">
      <c r="A473" s="29"/>
      <c r="B473" s="29"/>
      <c r="C473" s="29"/>
      <c r="D473" s="29"/>
      <c r="E473" s="29"/>
      <c r="F473" s="29"/>
      <c r="G473" s="29"/>
      <c r="H473" s="30"/>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c r="AJ473" s="29"/>
      <c r="AK473" s="29"/>
      <c r="AL473" s="29"/>
      <c r="AM473" s="29"/>
      <c r="AN473" s="29"/>
      <c r="AO473" s="29"/>
      <c r="AP473" s="29"/>
      <c r="AQ473" s="29"/>
      <c r="AR473" s="29"/>
    </row>
    <row r="474">
      <c r="A474" s="29"/>
      <c r="B474" s="29"/>
      <c r="C474" s="29"/>
      <c r="D474" s="29"/>
      <c r="E474" s="29"/>
      <c r="F474" s="29"/>
      <c r="G474" s="29"/>
      <c r="H474" s="30"/>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H474" s="29"/>
      <c r="AI474" s="29"/>
      <c r="AJ474" s="29"/>
      <c r="AK474" s="29"/>
      <c r="AL474" s="29"/>
      <c r="AM474" s="29"/>
      <c r="AN474" s="29"/>
      <c r="AO474" s="29"/>
      <c r="AP474" s="29"/>
      <c r="AQ474" s="29"/>
      <c r="AR474" s="29"/>
    </row>
    <row r="475">
      <c r="A475" s="29"/>
      <c r="B475" s="29"/>
      <c r="C475" s="29"/>
      <c r="D475" s="29"/>
      <c r="E475" s="29"/>
      <c r="F475" s="29"/>
      <c r="G475" s="29"/>
      <c r="H475" s="30"/>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H475" s="29"/>
      <c r="AI475" s="29"/>
      <c r="AJ475" s="29"/>
      <c r="AK475" s="29"/>
      <c r="AL475" s="29"/>
      <c r="AM475" s="29"/>
      <c r="AN475" s="29"/>
      <c r="AO475" s="29"/>
      <c r="AP475" s="29"/>
      <c r="AQ475" s="29"/>
      <c r="AR475" s="29"/>
    </row>
    <row r="476">
      <c r="A476" s="29"/>
      <c r="B476" s="29"/>
      <c r="C476" s="29"/>
      <c r="D476" s="29"/>
      <c r="E476" s="29"/>
      <c r="F476" s="29"/>
      <c r="G476" s="29"/>
      <c r="H476" s="30"/>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row>
    <row r="477">
      <c r="A477" s="29"/>
      <c r="B477" s="29"/>
      <c r="C477" s="29"/>
      <c r="D477" s="29"/>
      <c r="E477" s="29"/>
      <c r="F477" s="29"/>
      <c r="G477" s="29"/>
      <c r="H477" s="30"/>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row>
    <row r="478">
      <c r="A478" s="29"/>
      <c r="B478" s="29"/>
      <c r="C478" s="29"/>
      <c r="D478" s="29"/>
      <c r="E478" s="29"/>
      <c r="F478" s="29"/>
      <c r="G478" s="29"/>
      <c r="H478" s="30"/>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H478" s="29"/>
      <c r="AI478" s="29"/>
      <c r="AJ478" s="29"/>
      <c r="AK478" s="29"/>
      <c r="AL478" s="29"/>
      <c r="AM478" s="29"/>
      <c r="AN478" s="29"/>
      <c r="AO478" s="29"/>
      <c r="AP478" s="29"/>
      <c r="AQ478" s="29"/>
      <c r="AR478" s="29"/>
    </row>
    <row r="479">
      <c r="A479" s="29"/>
      <c r="B479" s="29"/>
      <c r="C479" s="29"/>
      <c r="D479" s="29"/>
      <c r="E479" s="29"/>
      <c r="F479" s="29"/>
      <c r="G479" s="29"/>
      <c r="H479" s="30"/>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c r="AL479" s="29"/>
      <c r="AM479" s="29"/>
      <c r="AN479" s="29"/>
      <c r="AO479" s="29"/>
      <c r="AP479" s="29"/>
      <c r="AQ479" s="29"/>
      <c r="AR479" s="29"/>
    </row>
    <row r="480">
      <c r="A480" s="29"/>
      <c r="B480" s="29"/>
      <c r="C480" s="29"/>
      <c r="D480" s="29"/>
      <c r="E480" s="29"/>
      <c r="F480" s="29"/>
      <c r="G480" s="29"/>
      <c r="H480" s="30"/>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c r="AL480" s="29"/>
      <c r="AM480" s="29"/>
      <c r="AN480" s="29"/>
      <c r="AO480" s="29"/>
      <c r="AP480" s="29"/>
      <c r="AQ480" s="29"/>
      <c r="AR480" s="29"/>
    </row>
    <row r="481">
      <c r="A481" s="29"/>
      <c r="B481" s="29"/>
      <c r="C481" s="29"/>
      <c r="D481" s="29"/>
      <c r="E481" s="29"/>
      <c r="F481" s="29"/>
      <c r="G481" s="29"/>
      <c r="H481" s="30"/>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H481" s="29"/>
      <c r="AI481" s="29"/>
      <c r="AJ481" s="29"/>
      <c r="AK481" s="29"/>
      <c r="AL481" s="29"/>
      <c r="AM481" s="29"/>
      <c r="AN481" s="29"/>
      <c r="AO481" s="29"/>
      <c r="AP481" s="29"/>
      <c r="AQ481" s="29"/>
      <c r="AR481" s="29"/>
    </row>
    <row r="482">
      <c r="A482" s="29"/>
      <c r="B482" s="29"/>
      <c r="C482" s="29"/>
      <c r="D482" s="29"/>
      <c r="E482" s="29"/>
      <c r="F482" s="29"/>
      <c r="G482" s="29"/>
      <c r="H482" s="30"/>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H482" s="29"/>
      <c r="AI482" s="29"/>
      <c r="AJ482" s="29"/>
      <c r="AK482" s="29"/>
      <c r="AL482" s="29"/>
      <c r="AM482" s="29"/>
      <c r="AN482" s="29"/>
      <c r="AO482" s="29"/>
      <c r="AP482" s="29"/>
      <c r="AQ482" s="29"/>
      <c r="AR482" s="29"/>
    </row>
    <row r="483">
      <c r="A483" s="29"/>
      <c r="B483" s="29"/>
      <c r="C483" s="29"/>
      <c r="D483" s="29"/>
      <c r="E483" s="29"/>
      <c r="F483" s="29"/>
      <c r="G483" s="29"/>
      <c r="H483" s="30"/>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c r="AL483" s="29"/>
      <c r="AM483" s="29"/>
      <c r="AN483" s="29"/>
      <c r="AO483" s="29"/>
      <c r="AP483" s="29"/>
      <c r="AQ483" s="29"/>
      <c r="AR483" s="29"/>
    </row>
    <row r="484">
      <c r="A484" s="29"/>
      <c r="B484" s="29"/>
      <c r="C484" s="29"/>
      <c r="D484" s="29"/>
      <c r="E484" s="29"/>
      <c r="F484" s="29"/>
      <c r="G484" s="29"/>
      <c r="H484" s="30"/>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c r="AL484" s="29"/>
      <c r="AM484" s="29"/>
      <c r="AN484" s="29"/>
      <c r="AO484" s="29"/>
      <c r="AP484" s="29"/>
      <c r="AQ484" s="29"/>
      <c r="AR484" s="29"/>
    </row>
    <row r="485">
      <c r="A485" s="29"/>
      <c r="B485" s="29"/>
      <c r="C485" s="29"/>
      <c r="D485" s="29"/>
      <c r="E485" s="29"/>
      <c r="F485" s="29"/>
      <c r="G485" s="29"/>
      <c r="H485" s="30"/>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H485" s="29"/>
      <c r="AI485" s="29"/>
      <c r="AJ485" s="29"/>
      <c r="AK485" s="29"/>
      <c r="AL485" s="29"/>
      <c r="AM485" s="29"/>
      <c r="AN485" s="29"/>
      <c r="AO485" s="29"/>
      <c r="AP485" s="29"/>
      <c r="AQ485" s="29"/>
      <c r="AR485" s="29"/>
    </row>
    <row r="486">
      <c r="A486" s="29"/>
      <c r="B486" s="29"/>
      <c r="C486" s="29"/>
      <c r="D486" s="29"/>
      <c r="E486" s="29"/>
      <c r="F486" s="29"/>
      <c r="G486" s="29"/>
      <c r="H486" s="30"/>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H486" s="29"/>
      <c r="AI486" s="29"/>
      <c r="AJ486" s="29"/>
      <c r="AK486" s="29"/>
      <c r="AL486" s="29"/>
      <c r="AM486" s="29"/>
      <c r="AN486" s="29"/>
      <c r="AO486" s="29"/>
      <c r="AP486" s="29"/>
      <c r="AQ486" s="29"/>
      <c r="AR486" s="29"/>
    </row>
    <row r="487">
      <c r="A487" s="29"/>
      <c r="B487" s="29"/>
      <c r="C487" s="29"/>
      <c r="D487" s="29"/>
      <c r="E487" s="29"/>
      <c r="F487" s="29"/>
      <c r="G487" s="29"/>
      <c r="H487" s="30"/>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H487" s="29"/>
      <c r="AI487" s="29"/>
      <c r="AJ487" s="29"/>
      <c r="AK487" s="29"/>
      <c r="AL487" s="29"/>
      <c r="AM487" s="29"/>
      <c r="AN487" s="29"/>
      <c r="AO487" s="29"/>
      <c r="AP487" s="29"/>
      <c r="AQ487" s="29"/>
      <c r="AR487" s="29"/>
    </row>
    <row r="488">
      <c r="A488" s="29"/>
      <c r="B488" s="29"/>
      <c r="C488" s="29"/>
      <c r="D488" s="29"/>
      <c r="E488" s="29"/>
      <c r="F488" s="29"/>
      <c r="G488" s="29"/>
      <c r="H488" s="30"/>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row>
    <row r="489">
      <c r="A489" s="29"/>
      <c r="B489" s="29"/>
      <c r="C489" s="29"/>
      <c r="D489" s="29"/>
      <c r="E489" s="29"/>
      <c r="F489" s="29"/>
      <c r="G489" s="29"/>
      <c r="H489" s="30"/>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row>
    <row r="490">
      <c r="A490" s="29"/>
      <c r="B490" s="29"/>
      <c r="C490" s="29"/>
      <c r="D490" s="29"/>
      <c r="E490" s="29"/>
      <c r="F490" s="29"/>
      <c r="G490" s="29"/>
      <c r="H490" s="30"/>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H490" s="29"/>
      <c r="AI490" s="29"/>
      <c r="AJ490" s="29"/>
      <c r="AK490" s="29"/>
      <c r="AL490" s="29"/>
      <c r="AM490" s="29"/>
      <c r="AN490" s="29"/>
      <c r="AO490" s="29"/>
      <c r="AP490" s="29"/>
      <c r="AQ490" s="29"/>
      <c r="AR490" s="29"/>
    </row>
    <row r="491">
      <c r="A491" s="29"/>
      <c r="B491" s="29"/>
      <c r="C491" s="29"/>
      <c r="D491" s="29"/>
      <c r="E491" s="29"/>
      <c r="F491" s="29"/>
      <c r="G491" s="29"/>
      <c r="H491" s="30"/>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9"/>
      <c r="AH491" s="29"/>
      <c r="AI491" s="29"/>
      <c r="AJ491" s="29"/>
      <c r="AK491" s="29"/>
      <c r="AL491" s="29"/>
      <c r="AM491" s="29"/>
      <c r="AN491" s="29"/>
      <c r="AO491" s="29"/>
      <c r="AP491" s="29"/>
      <c r="AQ491" s="29"/>
      <c r="AR491" s="29"/>
    </row>
    <row r="492">
      <c r="A492" s="29"/>
      <c r="B492" s="29"/>
      <c r="C492" s="29"/>
      <c r="D492" s="29"/>
      <c r="E492" s="29"/>
      <c r="F492" s="29"/>
      <c r="G492" s="29"/>
      <c r="H492" s="30"/>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9"/>
      <c r="AH492" s="29"/>
      <c r="AI492" s="29"/>
      <c r="AJ492" s="29"/>
      <c r="AK492" s="29"/>
      <c r="AL492" s="29"/>
      <c r="AM492" s="29"/>
      <c r="AN492" s="29"/>
      <c r="AO492" s="29"/>
      <c r="AP492" s="29"/>
      <c r="AQ492" s="29"/>
      <c r="AR492" s="29"/>
    </row>
    <row r="493">
      <c r="A493" s="29"/>
      <c r="B493" s="29"/>
      <c r="C493" s="29"/>
      <c r="D493" s="29"/>
      <c r="E493" s="29"/>
      <c r="F493" s="29"/>
      <c r="G493" s="29"/>
      <c r="H493" s="30"/>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c r="AQ493" s="29"/>
      <c r="AR493" s="29"/>
    </row>
    <row r="494">
      <c r="A494" s="29"/>
      <c r="B494" s="29"/>
      <c r="C494" s="29"/>
      <c r="D494" s="29"/>
      <c r="E494" s="29"/>
      <c r="F494" s="29"/>
      <c r="G494" s="29"/>
      <c r="H494" s="30"/>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c r="AQ494" s="29"/>
      <c r="AR494" s="29"/>
    </row>
    <row r="495">
      <c r="A495" s="29"/>
      <c r="B495" s="29"/>
      <c r="C495" s="29"/>
      <c r="D495" s="29"/>
      <c r="E495" s="29"/>
      <c r="F495" s="29"/>
      <c r="G495" s="29"/>
      <c r="H495" s="30"/>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c r="AQ495" s="29"/>
      <c r="AR495" s="29"/>
    </row>
    <row r="496">
      <c r="A496" s="29"/>
      <c r="B496" s="29"/>
      <c r="C496" s="29"/>
      <c r="D496" s="29"/>
      <c r="E496" s="29"/>
      <c r="F496" s="29"/>
      <c r="G496" s="29"/>
      <c r="H496" s="30"/>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c r="AQ496" s="29"/>
      <c r="AR496" s="29"/>
    </row>
    <row r="497">
      <c r="A497" s="29"/>
      <c r="B497" s="29"/>
      <c r="C497" s="29"/>
      <c r="D497" s="29"/>
      <c r="E497" s="29"/>
      <c r="F497" s="29"/>
      <c r="G497" s="29"/>
      <c r="H497" s="30"/>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c r="AQ497" s="29"/>
      <c r="AR497" s="29"/>
    </row>
    <row r="498">
      <c r="A498" s="29"/>
      <c r="B498" s="29"/>
      <c r="C498" s="29"/>
      <c r="D498" s="29"/>
      <c r="E498" s="29"/>
      <c r="F498" s="29"/>
      <c r="G498" s="29"/>
      <c r="H498" s="30"/>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c r="AQ498" s="29"/>
      <c r="AR498" s="29"/>
    </row>
    <row r="499">
      <c r="A499" s="29"/>
      <c r="B499" s="29"/>
      <c r="C499" s="29"/>
      <c r="D499" s="29"/>
      <c r="E499" s="29"/>
      <c r="F499" s="29"/>
      <c r="G499" s="29"/>
      <c r="H499" s="30"/>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c r="AQ499" s="29"/>
      <c r="AR499" s="29"/>
    </row>
    <row r="500">
      <c r="A500" s="29"/>
      <c r="B500" s="29"/>
      <c r="C500" s="29"/>
      <c r="D500" s="29"/>
      <c r="E500" s="29"/>
      <c r="F500" s="29"/>
      <c r="G500" s="29"/>
      <c r="H500" s="30"/>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row>
    <row r="501">
      <c r="A501" s="29"/>
      <c r="B501" s="29"/>
      <c r="C501" s="29"/>
      <c r="D501" s="29"/>
      <c r="E501" s="29"/>
      <c r="F501" s="29"/>
      <c r="G501" s="29"/>
      <c r="H501" s="30"/>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row>
    <row r="502">
      <c r="A502" s="29"/>
      <c r="B502" s="29"/>
      <c r="C502" s="29"/>
      <c r="D502" s="29"/>
      <c r="E502" s="29"/>
      <c r="F502" s="29"/>
      <c r="G502" s="29"/>
      <c r="H502" s="30"/>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c r="AQ502" s="29"/>
      <c r="AR502" s="29"/>
    </row>
    <row r="503">
      <c r="A503" s="29"/>
      <c r="B503" s="29"/>
      <c r="C503" s="29"/>
      <c r="D503" s="29"/>
      <c r="E503" s="29"/>
      <c r="F503" s="29"/>
      <c r="G503" s="29"/>
      <c r="H503" s="30"/>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c r="AQ503" s="29"/>
      <c r="AR503" s="29"/>
    </row>
    <row r="504">
      <c r="A504" s="29"/>
      <c r="B504" s="29"/>
      <c r="C504" s="29"/>
      <c r="D504" s="29"/>
      <c r="E504" s="29"/>
      <c r="F504" s="29"/>
      <c r="G504" s="29"/>
      <c r="H504" s="30"/>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c r="AQ504" s="29"/>
      <c r="AR504" s="29"/>
    </row>
    <row r="505">
      <c r="A505" s="29"/>
      <c r="B505" s="29"/>
      <c r="C505" s="29"/>
      <c r="D505" s="29"/>
      <c r="E505" s="29"/>
      <c r="F505" s="29"/>
      <c r="G505" s="29"/>
      <c r="H505" s="30"/>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c r="AQ505" s="29"/>
      <c r="AR505" s="29"/>
    </row>
    <row r="506">
      <c r="A506" s="29"/>
      <c r="B506" s="29"/>
      <c r="C506" s="29"/>
      <c r="D506" s="29"/>
      <c r="E506" s="29"/>
      <c r="F506" s="29"/>
      <c r="G506" s="29"/>
      <c r="H506" s="30"/>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c r="AQ506" s="29"/>
      <c r="AR506" s="29"/>
    </row>
    <row r="507">
      <c r="A507" s="29"/>
      <c r="B507" s="29"/>
      <c r="C507" s="29"/>
      <c r="D507" s="29"/>
      <c r="E507" s="29"/>
      <c r="F507" s="29"/>
      <c r="G507" s="29"/>
      <c r="H507" s="30"/>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c r="AQ507" s="29"/>
      <c r="AR507" s="29"/>
    </row>
    <row r="508">
      <c r="A508" s="29"/>
      <c r="B508" s="29"/>
      <c r="C508" s="29"/>
      <c r="D508" s="29"/>
      <c r="E508" s="29"/>
      <c r="F508" s="29"/>
      <c r="G508" s="29"/>
      <c r="H508" s="30"/>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c r="AQ508" s="29"/>
      <c r="AR508" s="29"/>
    </row>
    <row r="509">
      <c r="A509" s="29"/>
      <c r="B509" s="29"/>
      <c r="C509" s="29"/>
      <c r="D509" s="29"/>
      <c r="E509" s="29"/>
      <c r="F509" s="29"/>
      <c r="G509" s="29"/>
      <c r="H509" s="30"/>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c r="AQ509" s="29"/>
      <c r="AR509" s="29"/>
    </row>
    <row r="510">
      <c r="A510" s="29"/>
      <c r="B510" s="29"/>
      <c r="C510" s="29"/>
      <c r="D510" s="29"/>
      <c r="E510" s="29"/>
      <c r="F510" s="29"/>
      <c r="G510" s="29"/>
      <c r="H510" s="30"/>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c r="AQ510" s="29"/>
      <c r="AR510" s="29"/>
    </row>
    <row r="511">
      <c r="A511" s="29"/>
      <c r="B511" s="29"/>
      <c r="C511" s="29"/>
      <c r="D511" s="29"/>
      <c r="E511" s="29"/>
      <c r="F511" s="29"/>
      <c r="G511" s="29"/>
      <c r="H511" s="30"/>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c r="AQ511" s="29"/>
      <c r="AR511" s="29"/>
    </row>
    <row r="512">
      <c r="A512" s="29"/>
      <c r="B512" s="29"/>
      <c r="C512" s="29"/>
      <c r="D512" s="29"/>
      <c r="E512" s="29"/>
      <c r="F512" s="29"/>
      <c r="G512" s="29"/>
      <c r="H512" s="30"/>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c r="AQ512" s="29"/>
      <c r="AR512" s="29"/>
    </row>
    <row r="513">
      <c r="A513" s="29"/>
      <c r="B513" s="29"/>
      <c r="C513" s="29"/>
      <c r="D513" s="29"/>
      <c r="E513" s="29"/>
      <c r="F513" s="29"/>
      <c r="G513" s="29"/>
      <c r="H513" s="30"/>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c r="AQ513" s="29"/>
      <c r="AR513" s="29"/>
    </row>
    <row r="514">
      <c r="A514" s="29"/>
      <c r="B514" s="29"/>
      <c r="C514" s="29"/>
      <c r="D514" s="29"/>
      <c r="E514" s="29"/>
      <c r="F514" s="29"/>
      <c r="G514" s="29"/>
      <c r="H514" s="30"/>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c r="AQ514" s="29"/>
      <c r="AR514" s="29"/>
    </row>
    <row r="515">
      <c r="A515" s="29"/>
      <c r="B515" s="29"/>
      <c r="C515" s="29"/>
      <c r="D515" s="29"/>
      <c r="E515" s="29"/>
      <c r="F515" s="29"/>
      <c r="G515" s="29"/>
      <c r="H515" s="30"/>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row>
    <row r="516">
      <c r="A516" s="29"/>
      <c r="B516" s="29"/>
      <c r="C516" s="29"/>
      <c r="D516" s="29"/>
      <c r="E516" s="29"/>
      <c r="F516" s="29"/>
      <c r="G516" s="29"/>
      <c r="H516" s="30"/>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row>
    <row r="517">
      <c r="A517" s="29"/>
      <c r="B517" s="29"/>
      <c r="C517" s="29"/>
      <c r="D517" s="29"/>
      <c r="E517" s="29"/>
      <c r="F517" s="29"/>
      <c r="G517" s="29"/>
      <c r="H517" s="30"/>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c r="AQ517" s="29"/>
      <c r="AR517" s="29"/>
    </row>
    <row r="518">
      <c r="A518" s="29"/>
      <c r="B518" s="29"/>
      <c r="C518" s="29"/>
      <c r="D518" s="29"/>
      <c r="E518" s="29"/>
      <c r="F518" s="29"/>
      <c r="G518" s="29"/>
      <c r="H518" s="30"/>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H518" s="29"/>
      <c r="AI518" s="29"/>
      <c r="AJ518" s="29"/>
      <c r="AK518" s="29"/>
      <c r="AL518" s="29"/>
      <c r="AM518" s="29"/>
      <c r="AN518" s="29"/>
      <c r="AO518" s="29"/>
      <c r="AP518" s="29"/>
      <c r="AQ518" s="29"/>
      <c r="AR518" s="29"/>
    </row>
    <row r="519">
      <c r="A519" s="29"/>
      <c r="B519" s="29"/>
      <c r="C519" s="29"/>
      <c r="D519" s="29"/>
      <c r="E519" s="29"/>
      <c r="F519" s="29"/>
      <c r="G519" s="29"/>
      <c r="H519" s="30"/>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H519" s="29"/>
      <c r="AI519" s="29"/>
      <c r="AJ519" s="29"/>
      <c r="AK519" s="29"/>
      <c r="AL519" s="29"/>
      <c r="AM519" s="29"/>
      <c r="AN519" s="29"/>
      <c r="AO519" s="29"/>
      <c r="AP519" s="29"/>
      <c r="AQ519" s="29"/>
      <c r="AR519" s="29"/>
    </row>
    <row r="520">
      <c r="A520" s="29"/>
      <c r="B520" s="29"/>
      <c r="C520" s="29"/>
      <c r="D520" s="29"/>
      <c r="E520" s="29"/>
      <c r="F520" s="29"/>
      <c r="G520" s="29"/>
      <c r="H520" s="30"/>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H520" s="29"/>
      <c r="AI520" s="29"/>
      <c r="AJ520" s="29"/>
      <c r="AK520" s="29"/>
      <c r="AL520" s="29"/>
      <c r="AM520" s="29"/>
      <c r="AN520" s="29"/>
      <c r="AO520" s="29"/>
      <c r="AP520" s="29"/>
      <c r="AQ520" s="29"/>
      <c r="AR520" s="29"/>
    </row>
    <row r="521">
      <c r="A521" s="29"/>
      <c r="B521" s="29"/>
      <c r="C521" s="29"/>
      <c r="D521" s="29"/>
      <c r="E521" s="29"/>
      <c r="F521" s="29"/>
      <c r="G521" s="29"/>
      <c r="H521" s="30"/>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9"/>
      <c r="AH521" s="29"/>
      <c r="AI521" s="29"/>
      <c r="AJ521" s="29"/>
      <c r="AK521" s="29"/>
      <c r="AL521" s="29"/>
      <c r="AM521" s="29"/>
      <c r="AN521" s="29"/>
      <c r="AO521" s="29"/>
      <c r="AP521" s="29"/>
      <c r="AQ521" s="29"/>
      <c r="AR521" s="29"/>
    </row>
    <row r="522">
      <c r="A522" s="29"/>
      <c r="B522" s="29"/>
      <c r="C522" s="29"/>
      <c r="D522" s="29"/>
      <c r="E522" s="29"/>
      <c r="F522" s="29"/>
      <c r="G522" s="29"/>
      <c r="H522" s="30"/>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9"/>
      <c r="AH522" s="29"/>
      <c r="AI522" s="29"/>
      <c r="AJ522" s="29"/>
      <c r="AK522" s="29"/>
      <c r="AL522" s="29"/>
      <c r="AM522" s="29"/>
      <c r="AN522" s="29"/>
      <c r="AO522" s="29"/>
      <c r="AP522" s="29"/>
      <c r="AQ522" s="29"/>
      <c r="AR522" s="29"/>
    </row>
    <row r="523">
      <c r="A523" s="29"/>
      <c r="B523" s="29"/>
      <c r="C523" s="29"/>
      <c r="D523" s="29"/>
      <c r="E523" s="29"/>
      <c r="F523" s="29"/>
      <c r="G523" s="29"/>
      <c r="H523" s="30"/>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9"/>
      <c r="AH523" s="29"/>
      <c r="AI523" s="29"/>
      <c r="AJ523" s="29"/>
      <c r="AK523" s="29"/>
      <c r="AL523" s="29"/>
      <c r="AM523" s="29"/>
      <c r="AN523" s="29"/>
      <c r="AO523" s="29"/>
      <c r="AP523" s="29"/>
      <c r="AQ523" s="29"/>
      <c r="AR523" s="29"/>
    </row>
    <row r="524">
      <c r="A524" s="29"/>
      <c r="B524" s="29"/>
      <c r="C524" s="29"/>
      <c r="D524" s="29"/>
      <c r="E524" s="29"/>
      <c r="F524" s="29"/>
      <c r="G524" s="29"/>
      <c r="H524" s="30"/>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c r="AJ524" s="29"/>
      <c r="AK524" s="29"/>
      <c r="AL524" s="29"/>
      <c r="AM524" s="29"/>
      <c r="AN524" s="29"/>
      <c r="AO524" s="29"/>
      <c r="AP524" s="29"/>
      <c r="AQ524" s="29"/>
      <c r="AR524" s="29"/>
    </row>
    <row r="525">
      <c r="A525" s="29"/>
      <c r="B525" s="29"/>
      <c r="C525" s="29"/>
      <c r="D525" s="29"/>
      <c r="E525" s="29"/>
      <c r="F525" s="29"/>
      <c r="G525" s="29"/>
      <c r="H525" s="30"/>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c r="AJ525" s="29"/>
      <c r="AK525" s="29"/>
      <c r="AL525" s="29"/>
      <c r="AM525" s="29"/>
      <c r="AN525" s="29"/>
      <c r="AO525" s="29"/>
      <c r="AP525" s="29"/>
      <c r="AQ525" s="29"/>
      <c r="AR525" s="29"/>
    </row>
    <row r="526">
      <c r="A526" s="29"/>
      <c r="B526" s="29"/>
      <c r="C526" s="29"/>
      <c r="D526" s="29"/>
      <c r="E526" s="29"/>
      <c r="F526" s="29"/>
      <c r="G526" s="29"/>
      <c r="H526" s="30"/>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9"/>
      <c r="AH526" s="29"/>
      <c r="AI526" s="29"/>
      <c r="AJ526" s="29"/>
      <c r="AK526" s="29"/>
      <c r="AL526" s="29"/>
      <c r="AM526" s="29"/>
      <c r="AN526" s="29"/>
      <c r="AO526" s="29"/>
      <c r="AP526" s="29"/>
      <c r="AQ526" s="29"/>
      <c r="AR526" s="29"/>
    </row>
    <row r="527">
      <c r="A527" s="29"/>
      <c r="B527" s="29"/>
      <c r="C527" s="29"/>
      <c r="D527" s="29"/>
      <c r="E527" s="29"/>
      <c r="F527" s="29"/>
      <c r="G527" s="29"/>
      <c r="H527" s="30"/>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row>
    <row r="528">
      <c r="A528" s="29"/>
      <c r="B528" s="29"/>
      <c r="C528" s="29"/>
      <c r="D528" s="29"/>
      <c r="E528" s="29"/>
      <c r="F528" s="29"/>
      <c r="G528" s="29"/>
      <c r="H528" s="30"/>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row>
    <row r="529">
      <c r="A529" s="29"/>
      <c r="B529" s="29"/>
      <c r="C529" s="29"/>
      <c r="D529" s="29"/>
      <c r="E529" s="29"/>
      <c r="F529" s="29"/>
      <c r="G529" s="29"/>
      <c r="H529" s="30"/>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9"/>
      <c r="AH529" s="29"/>
      <c r="AI529" s="29"/>
      <c r="AJ529" s="29"/>
      <c r="AK529" s="29"/>
      <c r="AL529" s="29"/>
      <c r="AM529" s="29"/>
      <c r="AN529" s="29"/>
      <c r="AO529" s="29"/>
      <c r="AP529" s="29"/>
      <c r="AQ529" s="29"/>
      <c r="AR529" s="29"/>
    </row>
    <row r="530">
      <c r="A530" s="29"/>
      <c r="B530" s="29"/>
      <c r="C530" s="29"/>
      <c r="D530" s="29"/>
      <c r="E530" s="29"/>
      <c r="F530" s="29"/>
      <c r="G530" s="29"/>
      <c r="H530" s="30"/>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c r="AQ530" s="29"/>
      <c r="AR530" s="29"/>
    </row>
    <row r="531">
      <c r="A531" s="29"/>
      <c r="B531" s="29"/>
      <c r="C531" s="29"/>
      <c r="D531" s="29"/>
      <c r="E531" s="29"/>
      <c r="F531" s="29"/>
      <c r="G531" s="29"/>
      <c r="H531" s="30"/>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9"/>
      <c r="AH531" s="29"/>
      <c r="AI531" s="29"/>
      <c r="AJ531" s="29"/>
      <c r="AK531" s="29"/>
      <c r="AL531" s="29"/>
      <c r="AM531" s="29"/>
      <c r="AN531" s="29"/>
      <c r="AO531" s="29"/>
      <c r="AP531" s="29"/>
      <c r="AQ531" s="29"/>
      <c r="AR531" s="29"/>
    </row>
    <row r="532">
      <c r="A532" s="29"/>
      <c r="B532" s="29"/>
      <c r="C532" s="29"/>
      <c r="D532" s="29"/>
      <c r="E532" s="29"/>
      <c r="F532" s="29"/>
      <c r="G532" s="29"/>
      <c r="H532" s="30"/>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9"/>
      <c r="AH532" s="29"/>
      <c r="AI532" s="29"/>
      <c r="AJ532" s="29"/>
      <c r="AK532" s="29"/>
      <c r="AL532" s="29"/>
      <c r="AM532" s="29"/>
      <c r="AN532" s="29"/>
      <c r="AO532" s="29"/>
      <c r="AP532" s="29"/>
      <c r="AQ532" s="29"/>
      <c r="AR532" s="29"/>
    </row>
    <row r="533">
      <c r="A533" s="29"/>
      <c r="B533" s="29"/>
      <c r="C533" s="29"/>
      <c r="D533" s="29"/>
      <c r="E533" s="29"/>
      <c r="F533" s="29"/>
      <c r="G533" s="29"/>
      <c r="H533" s="30"/>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9"/>
      <c r="AH533" s="29"/>
      <c r="AI533" s="29"/>
      <c r="AJ533" s="29"/>
      <c r="AK533" s="29"/>
      <c r="AL533" s="29"/>
      <c r="AM533" s="29"/>
      <c r="AN533" s="29"/>
      <c r="AO533" s="29"/>
      <c r="AP533" s="29"/>
      <c r="AQ533" s="29"/>
      <c r="AR533" s="29"/>
    </row>
    <row r="534">
      <c r="A534" s="29"/>
      <c r="B534" s="29"/>
      <c r="C534" s="29"/>
      <c r="D534" s="29"/>
      <c r="E534" s="29"/>
      <c r="F534" s="29"/>
      <c r="G534" s="29"/>
      <c r="H534" s="30"/>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9"/>
      <c r="AH534" s="29"/>
      <c r="AI534" s="29"/>
      <c r="AJ534" s="29"/>
      <c r="AK534" s="29"/>
      <c r="AL534" s="29"/>
      <c r="AM534" s="29"/>
      <c r="AN534" s="29"/>
      <c r="AO534" s="29"/>
      <c r="AP534" s="29"/>
      <c r="AQ534" s="29"/>
      <c r="AR534" s="29"/>
    </row>
    <row r="535">
      <c r="A535" s="29"/>
      <c r="B535" s="29"/>
      <c r="C535" s="29"/>
      <c r="D535" s="29"/>
      <c r="E535" s="29"/>
      <c r="F535" s="29"/>
      <c r="G535" s="29"/>
      <c r="H535" s="30"/>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c r="AQ535" s="29"/>
      <c r="AR535" s="29"/>
    </row>
    <row r="536">
      <c r="A536" s="29"/>
      <c r="B536" s="29"/>
      <c r="C536" s="29"/>
      <c r="D536" s="29"/>
      <c r="E536" s="29"/>
      <c r="F536" s="29"/>
      <c r="G536" s="29"/>
      <c r="H536" s="30"/>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c r="AJ536" s="29"/>
      <c r="AK536" s="29"/>
      <c r="AL536" s="29"/>
      <c r="AM536" s="29"/>
      <c r="AN536" s="29"/>
      <c r="AO536" s="29"/>
      <c r="AP536" s="29"/>
      <c r="AQ536" s="29"/>
      <c r="AR536" s="29"/>
    </row>
    <row r="537">
      <c r="A537" s="29"/>
      <c r="B537" s="29"/>
      <c r="C537" s="29"/>
      <c r="D537" s="29"/>
      <c r="E537" s="29"/>
      <c r="F537" s="29"/>
      <c r="G537" s="29"/>
      <c r="H537" s="30"/>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c r="AJ537" s="29"/>
      <c r="AK537" s="29"/>
      <c r="AL537" s="29"/>
      <c r="AM537" s="29"/>
      <c r="AN537" s="29"/>
      <c r="AO537" s="29"/>
      <c r="AP537" s="29"/>
      <c r="AQ537" s="29"/>
      <c r="AR537" s="29"/>
    </row>
    <row r="538">
      <c r="A538" s="29"/>
      <c r="B538" s="29"/>
      <c r="C538" s="29"/>
      <c r="D538" s="29"/>
      <c r="E538" s="29"/>
      <c r="F538" s="29"/>
      <c r="G538" s="29"/>
      <c r="H538" s="30"/>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H538" s="29"/>
      <c r="AI538" s="29"/>
      <c r="AJ538" s="29"/>
      <c r="AK538" s="29"/>
      <c r="AL538" s="29"/>
      <c r="AM538" s="29"/>
      <c r="AN538" s="29"/>
      <c r="AO538" s="29"/>
      <c r="AP538" s="29"/>
      <c r="AQ538" s="29"/>
      <c r="AR538" s="29"/>
    </row>
    <row r="539">
      <c r="A539" s="29"/>
      <c r="B539" s="29"/>
      <c r="C539" s="29"/>
      <c r="D539" s="29"/>
      <c r="E539" s="29"/>
      <c r="F539" s="29"/>
      <c r="G539" s="29"/>
      <c r="H539" s="30"/>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row>
    <row r="540">
      <c r="A540" s="29"/>
      <c r="B540" s="29"/>
      <c r="C540" s="29"/>
      <c r="D540" s="29"/>
      <c r="E540" s="29"/>
      <c r="F540" s="29"/>
      <c r="G540" s="29"/>
      <c r="H540" s="30"/>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row>
    <row r="541">
      <c r="A541" s="29"/>
      <c r="B541" s="29"/>
      <c r="C541" s="29"/>
      <c r="D541" s="29"/>
      <c r="E541" s="29"/>
      <c r="F541" s="29"/>
      <c r="G541" s="29"/>
      <c r="H541" s="30"/>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9"/>
      <c r="AH541" s="29"/>
      <c r="AI541" s="29"/>
      <c r="AJ541" s="29"/>
      <c r="AK541" s="29"/>
      <c r="AL541" s="29"/>
      <c r="AM541" s="29"/>
      <c r="AN541" s="29"/>
      <c r="AO541" s="29"/>
      <c r="AP541" s="29"/>
      <c r="AQ541" s="29"/>
      <c r="AR541" s="29"/>
    </row>
    <row r="542">
      <c r="A542" s="29"/>
      <c r="B542" s="29"/>
      <c r="C542" s="29"/>
      <c r="D542" s="29"/>
      <c r="E542" s="29"/>
      <c r="F542" s="29"/>
      <c r="G542" s="29"/>
      <c r="H542" s="30"/>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9"/>
      <c r="AH542" s="29"/>
      <c r="AI542" s="29"/>
      <c r="AJ542" s="29"/>
      <c r="AK542" s="29"/>
      <c r="AL542" s="29"/>
      <c r="AM542" s="29"/>
      <c r="AN542" s="29"/>
      <c r="AO542" s="29"/>
      <c r="AP542" s="29"/>
      <c r="AQ542" s="29"/>
      <c r="AR542" s="29"/>
    </row>
    <row r="543">
      <c r="A543" s="29"/>
      <c r="B543" s="29"/>
      <c r="C543" s="29"/>
      <c r="D543" s="29"/>
      <c r="E543" s="29"/>
      <c r="F543" s="29"/>
      <c r="G543" s="29"/>
      <c r="H543" s="30"/>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9"/>
      <c r="AH543" s="29"/>
      <c r="AI543" s="29"/>
      <c r="AJ543" s="29"/>
      <c r="AK543" s="29"/>
      <c r="AL543" s="29"/>
      <c r="AM543" s="29"/>
      <c r="AN543" s="29"/>
      <c r="AO543" s="29"/>
      <c r="AP543" s="29"/>
      <c r="AQ543" s="29"/>
      <c r="AR543" s="29"/>
    </row>
    <row r="544">
      <c r="A544" s="29"/>
      <c r="B544" s="29"/>
      <c r="C544" s="29"/>
      <c r="D544" s="29"/>
      <c r="E544" s="29"/>
      <c r="F544" s="29"/>
      <c r="G544" s="29"/>
      <c r="H544" s="30"/>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9"/>
      <c r="AH544" s="29"/>
      <c r="AI544" s="29"/>
      <c r="AJ544" s="29"/>
      <c r="AK544" s="29"/>
      <c r="AL544" s="29"/>
      <c r="AM544" s="29"/>
      <c r="AN544" s="29"/>
      <c r="AO544" s="29"/>
      <c r="AP544" s="29"/>
      <c r="AQ544" s="29"/>
      <c r="AR544" s="29"/>
    </row>
    <row r="545">
      <c r="A545" s="29"/>
      <c r="B545" s="29"/>
      <c r="C545" s="29"/>
      <c r="D545" s="29"/>
      <c r="E545" s="29"/>
      <c r="F545" s="29"/>
      <c r="G545" s="29"/>
      <c r="H545" s="30"/>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9"/>
      <c r="AH545" s="29"/>
      <c r="AI545" s="29"/>
      <c r="AJ545" s="29"/>
      <c r="AK545" s="29"/>
      <c r="AL545" s="29"/>
      <c r="AM545" s="29"/>
      <c r="AN545" s="29"/>
      <c r="AO545" s="29"/>
      <c r="AP545" s="29"/>
      <c r="AQ545" s="29"/>
      <c r="AR545" s="29"/>
    </row>
    <row r="546">
      <c r="A546" s="29"/>
      <c r="B546" s="29"/>
      <c r="C546" s="29"/>
      <c r="D546" s="29"/>
      <c r="E546" s="29"/>
      <c r="F546" s="29"/>
      <c r="G546" s="29"/>
      <c r="H546" s="30"/>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9"/>
      <c r="AH546" s="29"/>
      <c r="AI546" s="29"/>
      <c r="AJ546" s="29"/>
      <c r="AK546" s="29"/>
      <c r="AL546" s="29"/>
      <c r="AM546" s="29"/>
      <c r="AN546" s="29"/>
      <c r="AO546" s="29"/>
      <c r="AP546" s="29"/>
      <c r="AQ546" s="29"/>
      <c r="AR546" s="29"/>
    </row>
    <row r="547">
      <c r="A547" s="29"/>
      <c r="B547" s="29"/>
      <c r="C547" s="29"/>
      <c r="D547" s="29"/>
      <c r="E547" s="29"/>
      <c r="F547" s="29"/>
      <c r="G547" s="29"/>
      <c r="H547" s="30"/>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9"/>
      <c r="AH547" s="29"/>
      <c r="AI547" s="29"/>
      <c r="AJ547" s="29"/>
      <c r="AK547" s="29"/>
      <c r="AL547" s="29"/>
      <c r="AM547" s="29"/>
      <c r="AN547" s="29"/>
      <c r="AO547" s="29"/>
      <c r="AP547" s="29"/>
      <c r="AQ547" s="29"/>
      <c r="AR547" s="29"/>
    </row>
    <row r="548">
      <c r="A548" s="29"/>
      <c r="B548" s="29"/>
      <c r="C548" s="29"/>
      <c r="D548" s="29"/>
      <c r="E548" s="29"/>
      <c r="F548" s="29"/>
      <c r="G548" s="29"/>
      <c r="H548" s="30"/>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c r="AJ548" s="29"/>
      <c r="AK548" s="29"/>
      <c r="AL548" s="29"/>
      <c r="AM548" s="29"/>
      <c r="AN548" s="29"/>
      <c r="AO548" s="29"/>
      <c r="AP548" s="29"/>
      <c r="AQ548" s="29"/>
      <c r="AR548" s="29"/>
    </row>
    <row r="549">
      <c r="A549" s="29"/>
      <c r="B549" s="29"/>
      <c r="C549" s="29"/>
      <c r="D549" s="29"/>
      <c r="E549" s="29"/>
      <c r="F549" s="29"/>
      <c r="G549" s="29"/>
      <c r="H549" s="30"/>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c r="AJ549" s="29"/>
      <c r="AK549" s="29"/>
      <c r="AL549" s="29"/>
      <c r="AM549" s="29"/>
      <c r="AN549" s="29"/>
      <c r="AO549" s="29"/>
      <c r="AP549" s="29"/>
      <c r="AQ549" s="29"/>
      <c r="AR549" s="29"/>
    </row>
    <row r="550">
      <c r="A550" s="29"/>
      <c r="B550" s="29"/>
      <c r="C550" s="29"/>
      <c r="D550" s="29"/>
      <c r="E550" s="29"/>
      <c r="F550" s="29"/>
      <c r="G550" s="29"/>
      <c r="H550" s="30"/>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9"/>
      <c r="AH550" s="29"/>
      <c r="AI550" s="29"/>
      <c r="AJ550" s="29"/>
      <c r="AK550" s="29"/>
      <c r="AL550" s="29"/>
      <c r="AM550" s="29"/>
      <c r="AN550" s="29"/>
      <c r="AO550" s="29"/>
      <c r="AP550" s="29"/>
      <c r="AQ550" s="29"/>
      <c r="AR550" s="29"/>
    </row>
    <row r="551">
      <c r="A551" s="29"/>
      <c r="B551" s="29"/>
      <c r="C551" s="29"/>
      <c r="D551" s="29"/>
      <c r="E551" s="29"/>
      <c r="F551" s="29"/>
      <c r="G551" s="29"/>
      <c r="H551" s="30"/>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row>
    <row r="552">
      <c r="A552" s="29"/>
      <c r="B552" s="29"/>
      <c r="C552" s="29"/>
      <c r="D552" s="29"/>
      <c r="E552" s="29"/>
      <c r="F552" s="29"/>
      <c r="G552" s="29"/>
      <c r="H552" s="30"/>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row>
    <row r="553">
      <c r="A553" s="29"/>
      <c r="B553" s="29"/>
      <c r="C553" s="29"/>
      <c r="D553" s="29"/>
      <c r="E553" s="29"/>
      <c r="F553" s="29"/>
      <c r="G553" s="29"/>
      <c r="H553" s="30"/>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9"/>
      <c r="AH553" s="29"/>
      <c r="AI553" s="29"/>
      <c r="AJ553" s="29"/>
      <c r="AK553" s="29"/>
      <c r="AL553" s="29"/>
      <c r="AM553" s="29"/>
      <c r="AN553" s="29"/>
      <c r="AO553" s="29"/>
      <c r="AP553" s="29"/>
      <c r="AQ553" s="29"/>
      <c r="AR553" s="29"/>
    </row>
    <row r="554">
      <c r="A554" s="29"/>
      <c r="B554" s="29"/>
      <c r="C554" s="29"/>
      <c r="D554" s="29"/>
      <c r="E554" s="29"/>
      <c r="F554" s="29"/>
      <c r="G554" s="29"/>
      <c r="H554" s="30"/>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9"/>
      <c r="AH554" s="29"/>
      <c r="AI554" s="29"/>
      <c r="AJ554" s="29"/>
      <c r="AK554" s="29"/>
      <c r="AL554" s="29"/>
      <c r="AM554" s="29"/>
      <c r="AN554" s="29"/>
      <c r="AO554" s="29"/>
      <c r="AP554" s="29"/>
      <c r="AQ554" s="29"/>
      <c r="AR554" s="29"/>
    </row>
    <row r="555">
      <c r="A555" s="29"/>
      <c r="B555" s="29"/>
      <c r="C555" s="29"/>
      <c r="D555" s="29"/>
      <c r="E555" s="29"/>
      <c r="F555" s="29"/>
      <c r="G555" s="29"/>
      <c r="H555" s="30"/>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9"/>
      <c r="AH555" s="29"/>
      <c r="AI555" s="29"/>
      <c r="AJ555" s="29"/>
      <c r="AK555" s="29"/>
      <c r="AL555" s="29"/>
      <c r="AM555" s="29"/>
      <c r="AN555" s="29"/>
      <c r="AO555" s="29"/>
      <c r="AP555" s="29"/>
      <c r="AQ555" s="29"/>
      <c r="AR555" s="29"/>
    </row>
    <row r="556">
      <c r="A556" s="29"/>
      <c r="B556" s="29"/>
      <c r="C556" s="29"/>
      <c r="D556" s="29"/>
      <c r="E556" s="29"/>
      <c r="F556" s="29"/>
      <c r="G556" s="29"/>
      <c r="H556" s="30"/>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9"/>
      <c r="AH556" s="29"/>
      <c r="AI556" s="29"/>
      <c r="AJ556" s="29"/>
      <c r="AK556" s="29"/>
      <c r="AL556" s="29"/>
      <c r="AM556" s="29"/>
      <c r="AN556" s="29"/>
      <c r="AO556" s="29"/>
      <c r="AP556" s="29"/>
      <c r="AQ556" s="29"/>
      <c r="AR556" s="29"/>
    </row>
    <row r="557">
      <c r="A557" s="29"/>
      <c r="B557" s="29"/>
      <c r="C557" s="29"/>
      <c r="D557" s="29"/>
      <c r="E557" s="29"/>
      <c r="F557" s="29"/>
      <c r="G557" s="29"/>
      <c r="H557" s="30"/>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9"/>
      <c r="AH557" s="29"/>
      <c r="AI557" s="29"/>
      <c r="AJ557" s="29"/>
      <c r="AK557" s="29"/>
      <c r="AL557" s="29"/>
      <c r="AM557" s="29"/>
      <c r="AN557" s="29"/>
      <c r="AO557" s="29"/>
      <c r="AP557" s="29"/>
      <c r="AQ557" s="29"/>
      <c r="AR557" s="29"/>
    </row>
    <row r="558">
      <c r="A558" s="29"/>
      <c r="B558" s="29"/>
      <c r="C558" s="29"/>
      <c r="D558" s="29"/>
      <c r="E558" s="29"/>
      <c r="F558" s="29"/>
      <c r="G558" s="29"/>
      <c r="H558" s="30"/>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9"/>
      <c r="AH558" s="29"/>
      <c r="AI558" s="29"/>
      <c r="AJ558" s="29"/>
      <c r="AK558" s="29"/>
      <c r="AL558" s="29"/>
      <c r="AM558" s="29"/>
      <c r="AN558" s="29"/>
      <c r="AO558" s="29"/>
      <c r="AP558" s="29"/>
      <c r="AQ558" s="29"/>
      <c r="AR558" s="29"/>
    </row>
    <row r="559">
      <c r="A559" s="29"/>
      <c r="B559" s="29"/>
      <c r="C559" s="29"/>
      <c r="D559" s="29"/>
      <c r="E559" s="29"/>
      <c r="F559" s="29"/>
      <c r="G559" s="29"/>
      <c r="H559" s="30"/>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c r="AQ559" s="29"/>
      <c r="AR559" s="29"/>
    </row>
    <row r="560">
      <c r="A560" s="29"/>
      <c r="B560" s="29"/>
      <c r="C560" s="29"/>
      <c r="D560" s="29"/>
      <c r="E560" s="29"/>
      <c r="F560" s="29"/>
      <c r="G560" s="29"/>
      <c r="H560" s="30"/>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9"/>
      <c r="AH560" s="29"/>
      <c r="AI560" s="29"/>
      <c r="AJ560" s="29"/>
      <c r="AK560" s="29"/>
      <c r="AL560" s="29"/>
      <c r="AM560" s="29"/>
      <c r="AN560" s="29"/>
      <c r="AO560" s="29"/>
      <c r="AP560" s="29"/>
      <c r="AQ560" s="29"/>
      <c r="AR560" s="29"/>
    </row>
    <row r="561">
      <c r="A561" s="29"/>
      <c r="B561" s="29"/>
      <c r="C561" s="29"/>
      <c r="D561" s="29"/>
      <c r="E561" s="29"/>
      <c r="F561" s="29"/>
      <c r="G561" s="29"/>
      <c r="H561" s="30"/>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9"/>
      <c r="AH561" s="29"/>
      <c r="AI561" s="29"/>
      <c r="AJ561" s="29"/>
      <c r="AK561" s="29"/>
      <c r="AL561" s="29"/>
      <c r="AM561" s="29"/>
      <c r="AN561" s="29"/>
      <c r="AO561" s="29"/>
      <c r="AP561" s="29"/>
      <c r="AQ561" s="29"/>
      <c r="AR561" s="29"/>
    </row>
    <row r="562">
      <c r="A562" s="29"/>
      <c r="B562" s="29"/>
      <c r="C562" s="29"/>
      <c r="D562" s="29"/>
      <c r="E562" s="29"/>
      <c r="F562" s="29"/>
      <c r="G562" s="29"/>
      <c r="H562" s="30"/>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9"/>
      <c r="AH562" s="29"/>
      <c r="AI562" s="29"/>
      <c r="AJ562" s="29"/>
      <c r="AK562" s="29"/>
      <c r="AL562" s="29"/>
      <c r="AM562" s="29"/>
      <c r="AN562" s="29"/>
      <c r="AO562" s="29"/>
      <c r="AP562" s="29"/>
      <c r="AQ562" s="29"/>
      <c r="AR562" s="29"/>
    </row>
    <row r="563">
      <c r="A563" s="29"/>
      <c r="B563" s="29"/>
      <c r="C563" s="29"/>
      <c r="D563" s="29"/>
      <c r="E563" s="29"/>
      <c r="F563" s="29"/>
      <c r="G563" s="29"/>
      <c r="H563" s="30"/>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row>
    <row r="564">
      <c r="A564" s="29"/>
      <c r="B564" s="29"/>
      <c r="C564" s="29"/>
      <c r="D564" s="29"/>
      <c r="E564" s="29"/>
      <c r="F564" s="29"/>
      <c r="G564" s="29"/>
      <c r="H564" s="30"/>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row>
    <row r="565">
      <c r="A565" s="29"/>
      <c r="B565" s="29"/>
      <c r="C565" s="29"/>
      <c r="D565" s="29"/>
      <c r="E565" s="29"/>
      <c r="F565" s="29"/>
      <c r="G565" s="29"/>
      <c r="H565" s="30"/>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c r="AQ565" s="29"/>
      <c r="AR565" s="29"/>
    </row>
    <row r="566">
      <c r="A566" s="29"/>
      <c r="B566" s="29"/>
      <c r="C566" s="29"/>
      <c r="D566" s="29"/>
      <c r="E566" s="29"/>
      <c r="F566" s="29"/>
      <c r="G566" s="29"/>
      <c r="H566" s="30"/>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9"/>
      <c r="AH566" s="29"/>
      <c r="AI566" s="29"/>
      <c r="AJ566" s="29"/>
      <c r="AK566" s="29"/>
      <c r="AL566" s="29"/>
      <c r="AM566" s="29"/>
      <c r="AN566" s="29"/>
      <c r="AO566" s="29"/>
      <c r="AP566" s="29"/>
      <c r="AQ566" s="29"/>
      <c r="AR566" s="29"/>
    </row>
    <row r="567">
      <c r="A567" s="29"/>
      <c r="B567" s="29"/>
      <c r="C567" s="29"/>
      <c r="D567" s="29"/>
      <c r="E567" s="29"/>
      <c r="F567" s="29"/>
      <c r="G567" s="29"/>
      <c r="H567" s="30"/>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H567" s="29"/>
      <c r="AI567" s="29"/>
      <c r="AJ567" s="29"/>
      <c r="AK567" s="29"/>
      <c r="AL567" s="29"/>
      <c r="AM567" s="29"/>
      <c r="AN567" s="29"/>
      <c r="AO567" s="29"/>
      <c r="AP567" s="29"/>
      <c r="AQ567" s="29"/>
      <c r="AR567" s="29"/>
    </row>
    <row r="568">
      <c r="A568" s="29"/>
      <c r="B568" s="29"/>
      <c r="C568" s="29"/>
      <c r="D568" s="29"/>
      <c r="E568" s="29"/>
      <c r="F568" s="29"/>
      <c r="G568" s="29"/>
      <c r="H568" s="30"/>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9"/>
      <c r="AH568" s="29"/>
      <c r="AI568" s="29"/>
      <c r="AJ568" s="29"/>
      <c r="AK568" s="29"/>
      <c r="AL568" s="29"/>
      <c r="AM568" s="29"/>
      <c r="AN568" s="29"/>
      <c r="AO568" s="29"/>
      <c r="AP568" s="29"/>
      <c r="AQ568" s="29"/>
      <c r="AR568" s="29"/>
    </row>
    <row r="569">
      <c r="A569" s="29"/>
      <c r="B569" s="29"/>
      <c r="C569" s="29"/>
      <c r="D569" s="29"/>
      <c r="E569" s="29"/>
      <c r="F569" s="29"/>
      <c r="G569" s="29"/>
      <c r="H569" s="30"/>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c r="AQ569" s="29"/>
      <c r="AR569" s="29"/>
    </row>
    <row r="570">
      <c r="A570" s="29"/>
      <c r="B570" s="29"/>
      <c r="C570" s="29"/>
      <c r="D570" s="29"/>
      <c r="E570" s="29"/>
      <c r="F570" s="29"/>
      <c r="G570" s="29"/>
      <c r="H570" s="30"/>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9"/>
      <c r="AH570" s="29"/>
      <c r="AI570" s="29"/>
      <c r="AJ570" s="29"/>
      <c r="AK570" s="29"/>
      <c r="AL570" s="29"/>
      <c r="AM570" s="29"/>
      <c r="AN570" s="29"/>
      <c r="AO570" s="29"/>
      <c r="AP570" s="29"/>
      <c r="AQ570" s="29"/>
      <c r="AR570" s="29"/>
    </row>
    <row r="571">
      <c r="A571" s="29"/>
      <c r="B571" s="29"/>
      <c r="C571" s="29"/>
      <c r="D571" s="29"/>
      <c r="E571" s="29"/>
      <c r="F571" s="29"/>
      <c r="G571" s="29"/>
      <c r="H571" s="30"/>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c r="AQ571" s="29"/>
      <c r="AR571" s="29"/>
    </row>
    <row r="572">
      <c r="A572" s="29"/>
      <c r="B572" s="29"/>
      <c r="C572" s="29"/>
      <c r="D572" s="29"/>
      <c r="E572" s="29"/>
      <c r="F572" s="29"/>
      <c r="G572" s="29"/>
      <c r="H572" s="30"/>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c r="AQ572" s="29"/>
      <c r="AR572" s="29"/>
    </row>
    <row r="573">
      <c r="A573" s="29"/>
      <c r="B573" s="29"/>
      <c r="C573" s="29"/>
      <c r="D573" s="29"/>
      <c r="E573" s="29"/>
      <c r="F573" s="29"/>
      <c r="G573" s="29"/>
      <c r="H573" s="30"/>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c r="AQ573" s="29"/>
      <c r="AR573" s="29"/>
    </row>
    <row r="574">
      <c r="A574" s="29"/>
      <c r="B574" s="29"/>
      <c r="C574" s="29"/>
      <c r="D574" s="29"/>
      <c r="E574" s="29"/>
      <c r="F574" s="29"/>
      <c r="G574" s="29"/>
      <c r="H574" s="30"/>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9"/>
      <c r="AH574" s="29"/>
      <c r="AI574" s="29"/>
      <c r="AJ574" s="29"/>
      <c r="AK574" s="29"/>
      <c r="AL574" s="29"/>
      <c r="AM574" s="29"/>
      <c r="AN574" s="29"/>
      <c r="AO574" s="29"/>
      <c r="AP574" s="29"/>
      <c r="AQ574" s="29"/>
      <c r="AR574" s="29"/>
    </row>
    <row r="575">
      <c r="A575" s="29"/>
      <c r="B575" s="29"/>
      <c r="C575" s="29"/>
      <c r="D575" s="29"/>
      <c r="E575" s="29"/>
      <c r="F575" s="29"/>
      <c r="G575" s="29"/>
      <c r="H575" s="30"/>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row>
    <row r="576">
      <c r="A576" s="29"/>
      <c r="B576" s="29"/>
      <c r="C576" s="29"/>
      <c r="D576" s="29"/>
      <c r="E576" s="29"/>
      <c r="F576" s="29"/>
      <c r="G576" s="29"/>
      <c r="H576" s="30"/>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row>
    <row r="577">
      <c r="A577" s="29"/>
      <c r="B577" s="29"/>
      <c r="C577" s="29"/>
      <c r="D577" s="29"/>
      <c r="E577" s="29"/>
      <c r="F577" s="29"/>
      <c r="G577" s="29"/>
      <c r="H577" s="30"/>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c r="AQ577" s="29"/>
      <c r="AR577" s="29"/>
    </row>
    <row r="578">
      <c r="A578" s="29"/>
      <c r="B578" s="29"/>
      <c r="C578" s="29"/>
      <c r="D578" s="29"/>
      <c r="E578" s="29"/>
      <c r="F578" s="29"/>
      <c r="G578" s="29"/>
      <c r="H578" s="30"/>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9"/>
      <c r="AH578" s="29"/>
      <c r="AI578" s="29"/>
      <c r="AJ578" s="29"/>
      <c r="AK578" s="29"/>
      <c r="AL578" s="29"/>
      <c r="AM578" s="29"/>
      <c r="AN578" s="29"/>
      <c r="AO578" s="29"/>
      <c r="AP578" s="29"/>
      <c r="AQ578" s="29"/>
      <c r="AR578" s="29"/>
    </row>
    <row r="579">
      <c r="A579" s="29"/>
      <c r="B579" s="29"/>
      <c r="C579" s="29"/>
      <c r="D579" s="29"/>
      <c r="E579" s="29"/>
      <c r="F579" s="29"/>
      <c r="G579" s="29"/>
      <c r="H579" s="30"/>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H579" s="29"/>
      <c r="AI579" s="29"/>
      <c r="AJ579" s="29"/>
      <c r="AK579" s="29"/>
      <c r="AL579" s="29"/>
      <c r="AM579" s="29"/>
      <c r="AN579" s="29"/>
      <c r="AO579" s="29"/>
      <c r="AP579" s="29"/>
      <c r="AQ579" s="29"/>
      <c r="AR579" s="29"/>
    </row>
    <row r="580">
      <c r="A580" s="29"/>
      <c r="B580" s="29"/>
      <c r="C580" s="29"/>
      <c r="D580" s="29"/>
      <c r="E580" s="29"/>
      <c r="F580" s="29"/>
      <c r="G580" s="29"/>
      <c r="H580" s="30"/>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H580" s="29"/>
      <c r="AI580" s="29"/>
      <c r="AJ580" s="29"/>
      <c r="AK580" s="29"/>
      <c r="AL580" s="29"/>
      <c r="AM580" s="29"/>
      <c r="AN580" s="29"/>
      <c r="AO580" s="29"/>
      <c r="AP580" s="29"/>
      <c r="AQ580" s="29"/>
      <c r="AR580" s="29"/>
    </row>
    <row r="581">
      <c r="A581" s="29"/>
      <c r="B581" s="29"/>
      <c r="C581" s="29"/>
      <c r="D581" s="29"/>
      <c r="E581" s="29"/>
      <c r="F581" s="29"/>
      <c r="G581" s="29"/>
      <c r="H581" s="30"/>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c r="AJ581" s="29"/>
      <c r="AK581" s="29"/>
      <c r="AL581" s="29"/>
      <c r="AM581" s="29"/>
      <c r="AN581" s="29"/>
      <c r="AO581" s="29"/>
      <c r="AP581" s="29"/>
      <c r="AQ581" s="29"/>
      <c r="AR581" s="29"/>
    </row>
    <row r="582">
      <c r="A582" s="29"/>
      <c r="B582" s="29"/>
      <c r="C582" s="29"/>
      <c r="D582" s="29"/>
      <c r="E582" s="29"/>
      <c r="F582" s="29"/>
      <c r="G582" s="29"/>
      <c r="H582" s="30"/>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c r="AJ582" s="29"/>
      <c r="AK582" s="29"/>
      <c r="AL582" s="29"/>
      <c r="AM582" s="29"/>
      <c r="AN582" s="29"/>
      <c r="AO582" s="29"/>
      <c r="AP582" s="29"/>
      <c r="AQ582" s="29"/>
      <c r="AR582" s="29"/>
    </row>
    <row r="583">
      <c r="A583" s="29"/>
      <c r="B583" s="29"/>
      <c r="C583" s="29"/>
      <c r="D583" s="29"/>
      <c r="E583" s="29"/>
      <c r="F583" s="29"/>
      <c r="G583" s="29"/>
      <c r="H583" s="30"/>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c r="AJ583" s="29"/>
      <c r="AK583" s="29"/>
      <c r="AL583" s="29"/>
      <c r="AM583" s="29"/>
      <c r="AN583" s="29"/>
      <c r="AO583" s="29"/>
      <c r="AP583" s="29"/>
      <c r="AQ583" s="29"/>
      <c r="AR583" s="29"/>
    </row>
    <row r="584">
      <c r="A584" s="29"/>
      <c r="B584" s="29"/>
      <c r="C584" s="29"/>
      <c r="D584" s="29"/>
      <c r="E584" s="29"/>
      <c r="F584" s="29"/>
      <c r="G584" s="29"/>
      <c r="H584" s="30"/>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c r="AL584" s="29"/>
      <c r="AM584" s="29"/>
      <c r="AN584" s="29"/>
      <c r="AO584" s="29"/>
      <c r="AP584" s="29"/>
      <c r="AQ584" s="29"/>
      <c r="AR584" s="29"/>
    </row>
    <row r="585">
      <c r="A585" s="29"/>
      <c r="B585" s="29"/>
      <c r="C585" s="29"/>
      <c r="D585" s="29"/>
      <c r="E585" s="29"/>
      <c r="F585" s="29"/>
      <c r="G585" s="29"/>
      <c r="H585" s="30"/>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c r="AQ585" s="29"/>
      <c r="AR585" s="29"/>
    </row>
    <row r="586">
      <c r="A586" s="29"/>
      <c r="B586" s="29"/>
      <c r="C586" s="29"/>
      <c r="D586" s="29"/>
      <c r="E586" s="29"/>
      <c r="F586" s="29"/>
      <c r="G586" s="29"/>
      <c r="H586" s="30"/>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c r="AJ586" s="29"/>
      <c r="AK586" s="29"/>
      <c r="AL586" s="29"/>
      <c r="AM586" s="29"/>
      <c r="AN586" s="29"/>
      <c r="AO586" s="29"/>
      <c r="AP586" s="29"/>
      <c r="AQ586" s="29"/>
      <c r="AR586" s="29"/>
    </row>
    <row r="587">
      <c r="A587" s="29"/>
      <c r="B587" s="29"/>
      <c r="C587" s="29"/>
      <c r="D587" s="29"/>
      <c r="E587" s="29"/>
      <c r="F587" s="29"/>
      <c r="G587" s="29"/>
      <c r="H587" s="30"/>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row>
    <row r="588">
      <c r="A588" s="29"/>
      <c r="B588" s="29"/>
      <c r="C588" s="29"/>
      <c r="D588" s="29"/>
      <c r="E588" s="29"/>
      <c r="F588" s="29"/>
      <c r="G588" s="29"/>
      <c r="H588" s="30"/>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row>
    <row r="589">
      <c r="A589" s="29"/>
      <c r="B589" s="29"/>
      <c r="C589" s="29"/>
      <c r="D589" s="29"/>
      <c r="E589" s="29"/>
      <c r="F589" s="29"/>
      <c r="G589" s="29"/>
      <c r="H589" s="30"/>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c r="AQ589" s="29"/>
      <c r="AR589" s="29"/>
    </row>
    <row r="590">
      <c r="A590" s="29"/>
      <c r="B590" s="29"/>
      <c r="C590" s="29"/>
      <c r="D590" s="29"/>
      <c r="E590" s="29"/>
      <c r="F590" s="29"/>
      <c r="G590" s="29"/>
      <c r="H590" s="30"/>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c r="AJ590" s="29"/>
      <c r="AK590" s="29"/>
      <c r="AL590" s="29"/>
      <c r="AM590" s="29"/>
      <c r="AN590" s="29"/>
      <c r="AO590" s="29"/>
      <c r="AP590" s="29"/>
      <c r="AQ590" s="29"/>
      <c r="AR590" s="29"/>
    </row>
    <row r="591">
      <c r="A591" s="29"/>
      <c r="B591" s="29"/>
      <c r="C591" s="29"/>
      <c r="D591" s="29"/>
      <c r="E591" s="29"/>
      <c r="F591" s="29"/>
      <c r="G591" s="29"/>
      <c r="H591" s="30"/>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c r="AJ591" s="29"/>
      <c r="AK591" s="29"/>
      <c r="AL591" s="29"/>
      <c r="AM591" s="29"/>
      <c r="AN591" s="29"/>
      <c r="AO591" s="29"/>
      <c r="AP591" s="29"/>
      <c r="AQ591" s="29"/>
      <c r="AR591" s="29"/>
    </row>
    <row r="592">
      <c r="A592" s="29"/>
      <c r="B592" s="29"/>
      <c r="C592" s="29"/>
      <c r="D592" s="29"/>
      <c r="E592" s="29"/>
      <c r="F592" s="29"/>
      <c r="G592" s="29"/>
      <c r="H592" s="30"/>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c r="AJ592" s="29"/>
      <c r="AK592" s="29"/>
      <c r="AL592" s="29"/>
      <c r="AM592" s="29"/>
      <c r="AN592" s="29"/>
      <c r="AO592" s="29"/>
      <c r="AP592" s="29"/>
      <c r="AQ592" s="29"/>
      <c r="AR592" s="29"/>
    </row>
    <row r="593">
      <c r="A593" s="29"/>
      <c r="B593" s="29"/>
      <c r="C593" s="29"/>
      <c r="D593" s="29"/>
      <c r="E593" s="29"/>
      <c r="F593" s="29"/>
      <c r="G593" s="29"/>
      <c r="H593" s="30"/>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c r="AJ593" s="29"/>
      <c r="AK593" s="29"/>
      <c r="AL593" s="29"/>
      <c r="AM593" s="29"/>
      <c r="AN593" s="29"/>
      <c r="AO593" s="29"/>
      <c r="AP593" s="29"/>
      <c r="AQ593" s="29"/>
      <c r="AR593" s="29"/>
    </row>
    <row r="594">
      <c r="A594" s="29"/>
      <c r="B594" s="29"/>
      <c r="C594" s="29"/>
      <c r="D594" s="29"/>
      <c r="E594" s="29"/>
      <c r="F594" s="29"/>
      <c r="G594" s="29"/>
      <c r="H594" s="30"/>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c r="AJ594" s="29"/>
      <c r="AK594" s="29"/>
      <c r="AL594" s="29"/>
      <c r="AM594" s="29"/>
      <c r="AN594" s="29"/>
      <c r="AO594" s="29"/>
      <c r="AP594" s="29"/>
      <c r="AQ594" s="29"/>
      <c r="AR594" s="29"/>
    </row>
    <row r="595">
      <c r="A595" s="29"/>
      <c r="B595" s="29"/>
      <c r="C595" s="29"/>
      <c r="D595" s="29"/>
      <c r="E595" s="29"/>
      <c r="F595" s="29"/>
      <c r="G595" s="29"/>
      <c r="H595" s="30"/>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c r="AJ595" s="29"/>
      <c r="AK595" s="29"/>
      <c r="AL595" s="29"/>
      <c r="AM595" s="29"/>
      <c r="AN595" s="29"/>
      <c r="AO595" s="29"/>
      <c r="AP595" s="29"/>
      <c r="AQ595" s="29"/>
      <c r="AR595" s="29"/>
    </row>
    <row r="596">
      <c r="A596" s="29"/>
      <c r="B596" s="29"/>
      <c r="C596" s="29"/>
      <c r="D596" s="29"/>
      <c r="E596" s="29"/>
      <c r="F596" s="29"/>
      <c r="G596" s="29"/>
      <c r="H596" s="30"/>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c r="AJ596" s="29"/>
      <c r="AK596" s="29"/>
      <c r="AL596" s="29"/>
      <c r="AM596" s="29"/>
      <c r="AN596" s="29"/>
      <c r="AO596" s="29"/>
      <c r="AP596" s="29"/>
      <c r="AQ596" s="29"/>
      <c r="AR596" s="29"/>
    </row>
    <row r="597">
      <c r="A597" s="29"/>
      <c r="B597" s="29"/>
      <c r="C597" s="29"/>
      <c r="D597" s="29"/>
      <c r="E597" s="29"/>
      <c r="F597" s="29"/>
      <c r="G597" s="29"/>
      <c r="H597" s="30"/>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c r="AJ597" s="29"/>
      <c r="AK597" s="29"/>
      <c r="AL597" s="29"/>
      <c r="AM597" s="29"/>
      <c r="AN597" s="29"/>
      <c r="AO597" s="29"/>
      <c r="AP597" s="29"/>
      <c r="AQ597" s="29"/>
      <c r="AR597" s="29"/>
    </row>
    <row r="598">
      <c r="A598" s="29"/>
      <c r="B598" s="29"/>
      <c r="C598" s="29"/>
      <c r="D598" s="29"/>
      <c r="E598" s="29"/>
      <c r="F598" s="29"/>
      <c r="G598" s="29"/>
      <c r="H598" s="30"/>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c r="AJ598" s="29"/>
      <c r="AK598" s="29"/>
      <c r="AL598" s="29"/>
      <c r="AM598" s="29"/>
      <c r="AN598" s="29"/>
      <c r="AO598" s="29"/>
      <c r="AP598" s="29"/>
      <c r="AQ598" s="29"/>
      <c r="AR598" s="29"/>
    </row>
    <row r="599">
      <c r="A599" s="29"/>
      <c r="B599" s="29"/>
      <c r="C599" s="29"/>
      <c r="D599" s="29"/>
      <c r="E599" s="29"/>
      <c r="F599" s="29"/>
      <c r="G599" s="29"/>
      <c r="H599" s="30"/>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row>
    <row r="600">
      <c r="A600" s="29"/>
      <c r="B600" s="29"/>
      <c r="C600" s="29"/>
      <c r="D600" s="29"/>
      <c r="E600" s="29"/>
      <c r="F600" s="29"/>
      <c r="G600" s="29"/>
      <c r="H600" s="30"/>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row>
    <row r="601">
      <c r="A601" s="29"/>
      <c r="B601" s="29"/>
      <c r="C601" s="29"/>
      <c r="D601" s="29"/>
      <c r="E601" s="29"/>
      <c r="F601" s="29"/>
      <c r="G601" s="29"/>
      <c r="H601" s="30"/>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9"/>
      <c r="AH601" s="29"/>
      <c r="AI601" s="29"/>
      <c r="AJ601" s="29"/>
      <c r="AK601" s="29"/>
      <c r="AL601" s="29"/>
      <c r="AM601" s="29"/>
      <c r="AN601" s="29"/>
      <c r="AO601" s="29"/>
      <c r="AP601" s="29"/>
      <c r="AQ601" s="29"/>
      <c r="AR601" s="29"/>
    </row>
    <row r="602">
      <c r="A602" s="29"/>
      <c r="B602" s="29"/>
      <c r="C602" s="29"/>
      <c r="D602" s="29"/>
      <c r="E602" s="29"/>
      <c r="F602" s="29"/>
      <c r="G602" s="29"/>
      <c r="H602" s="30"/>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9"/>
      <c r="AH602" s="29"/>
      <c r="AI602" s="29"/>
      <c r="AJ602" s="29"/>
      <c r="AK602" s="29"/>
      <c r="AL602" s="29"/>
      <c r="AM602" s="29"/>
      <c r="AN602" s="29"/>
      <c r="AO602" s="29"/>
      <c r="AP602" s="29"/>
      <c r="AQ602" s="29"/>
      <c r="AR602" s="29"/>
    </row>
    <row r="603">
      <c r="A603" s="29"/>
      <c r="B603" s="29"/>
      <c r="C603" s="29"/>
      <c r="D603" s="29"/>
      <c r="E603" s="29"/>
      <c r="F603" s="29"/>
      <c r="G603" s="29"/>
      <c r="H603" s="30"/>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9"/>
      <c r="AH603" s="29"/>
      <c r="AI603" s="29"/>
      <c r="AJ603" s="29"/>
      <c r="AK603" s="29"/>
      <c r="AL603" s="29"/>
      <c r="AM603" s="29"/>
      <c r="AN603" s="29"/>
      <c r="AO603" s="29"/>
      <c r="AP603" s="29"/>
      <c r="AQ603" s="29"/>
      <c r="AR603" s="29"/>
    </row>
    <row r="604">
      <c r="A604" s="29"/>
      <c r="B604" s="29"/>
      <c r="C604" s="29"/>
      <c r="D604" s="29"/>
      <c r="E604" s="29"/>
      <c r="F604" s="29"/>
      <c r="G604" s="29"/>
      <c r="H604" s="30"/>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9"/>
      <c r="AH604" s="29"/>
      <c r="AI604" s="29"/>
      <c r="AJ604" s="29"/>
      <c r="AK604" s="29"/>
      <c r="AL604" s="29"/>
      <c r="AM604" s="29"/>
      <c r="AN604" s="29"/>
      <c r="AO604" s="29"/>
      <c r="AP604" s="29"/>
      <c r="AQ604" s="29"/>
      <c r="AR604" s="29"/>
    </row>
    <row r="605">
      <c r="A605" s="29"/>
      <c r="B605" s="29"/>
      <c r="C605" s="29"/>
      <c r="D605" s="29"/>
      <c r="E605" s="29"/>
      <c r="F605" s="29"/>
      <c r="G605" s="29"/>
      <c r="H605" s="30"/>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9"/>
      <c r="AH605" s="29"/>
      <c r="AI605" s="29"/>
      <c r="AJ605" s="29"/>
      <c r="AK605" s="29"/>
      <c r="AL605" s="29"/>
      <c r="AM605" s="29"/>
      <c r="AN605" s="29"/>
      <c r="AO605" s="29"/>
      <c r="AP605" s="29"/>
      <c r="AQ605" s="29"/>
      <c r="AR605" s="29"/>
    </row>
    <row r="606">
      <c r="A606" s="29"/>
      <c r="B606" s="29"/>
      <c r="C606" s="29"/>
      <c r="D606" s="29"/>
      <c r="E606" s="29"/>
      <c r="F606" s="29"/>
      <c r="G606" s="29"/>
      <c r="H606" s="30"/>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9"/>
      <c r="AH606" s="29"/>
      <c r="AI606" s="29"/>
      <c r="AJ606" s="29"/>
      <c r="AK606" s="29"/>
      <c r="AL606" s="29"/>
      <c r="AM606" s="29"/>
      <c r="AN606" s="29"/>
      <c r="AO606" s="29"/>
      <c r="AP606" s="29"/>
      <c r="AQ606" s="29"/>
      <c r="AR606" s="29"/>
    </row>
    <row r="607">
      <c r="A607" s="29"/>
      <c r="B607" s="29"/>
      <c r="C607" s="29"/>
      <c r="D607" s="29"/>
      <c r="E607" s="29"/>
      <c r="F607" s="29"/>
      <c r="G607" s="29"/>
      <c r="H607" s="30"/>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9"/>
      <c r="AH607" s="29"/>
      <c r="AI607" s="29"/>
      <c r="AJ607" s="29"/>
      <c r="AK607" s="29"/>
      <c r="AL607" s="29"/>
      <c r="AM607" s="29"/>
      <c r="AN607" s="29"/>
      <c r="AO607" s="29"/>
      <c r="AP607" s="29"/>
      <c r="AQ607" s="29"/>
      <c r="AR607" s="29"/>
    </row>
    <row r="608">
      <c r="A608" s="29"/>
      <c r="B608" s="29"/>
      <c r="C608" s="29"/>
      <c r="D608" s="29"/>
      <c r="E608" s="29"/>
      <c r="F608" s="29"/>
      <c r="G608" s="29"/>
      <c r="H608" s="30"/>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9"/>
      <c r="AH608" s="29"/>
      <c r="AI608" s="29"/>
      <c r="AJ608" s="29"/>
      <c r="AK608" s="29"/>
      <c r="AL608" s="29"/>
      <c r="AM608" s="29"/>
      <c r="AN608" s="29"/>
      <c r="AO608" s="29"/>
      <c r="AP608" s="29"/>
      <c r="AQ608" s="29"/>
      <c r="AR608" s="29"/>
    </row>
    <row r="609">
      <c r="A609" s="29"/>
      <c r="B609" s="29"/>
      <c r="C609" s="29"/>
      <c r="D609" s="29"/>
      <c r="E609" s="29"/>
      <c r="F609" s="29"/>
      <c r="G609" s="29"/>
      <c r="H609" s="30"/>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9"/>
      <c r="AH609" s="29"/>
      <c r="AI609" s="29"/>
      <c r="AJ609" s="29"/>
      <c r="AK609" s="29"/>
      <c r="AL609" s="29"/>
      <c r="AM609" s="29"/>
      <c r="AN609" s="29"/>
      <c r="AO609" s="29"/>
      <c r="AP609" s="29"/>
      <c r="AQ609" s="29"/>
      <c r="AR609" s="29"/>
    </row>
    <row r="610">
      <c r="A610" s="29"/>
      <c r="B610" s="29"/>
      <c r="C610" s="29"/>
      <c r="D610" s="29"/>
      <c r="E610" s="29"/>
      <c r="F610" s="29"/>
      <c r="G610" s="29"/>
      <c r="H610" s="30"/>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9"/>
      <c r="AH610" s="29"/>
      <c r="AI610" s="29"/>
      <c r="AJ610" s="29"/>
      <c r="AK610" s="29"/>
      <c r="AL610" s="29"/>
      <c r="AM610" s="29"/>
      <c r="AN610" s="29"/>
      <c r="AO610" s="29"/>
      <c r="AP610" s="29"/>
      <c r="AQ610" s="29"/>
      <c r="AR610" s="29"/>
    </row>
    <row r="611">
      <c r="A611" s="29"/>
      <c r="B611" s="29"/>
      <c r="C611" s="29"/>
      <c r="D611" s="29"/>
      <c r="E611" s="29"/>
      <c r="F611" s="29"/>
      <c r="G611" s="29"/>
      <c r="H611" s="30"/>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row>
    <row r="612">
      <c r="A612" s="29"/>
      <c r="B612" s="29"/>
      <c r="C612" s="29"/>
      <c r="D612" s="29"/>
      <c r="E612" s="29"/>
      <c r="F612" s="29"/>
      <c r="G612" s="29"/>
      <c r="H612" s="30"/>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row>
    <row r="613">
      <c r="A613" s="29"/>
      <c r="B613" s="29"/>
      <c r="C613" s="29"/>
      <c r="D613" s="29"/>
      <c r="E613" s="29"/>
      <c r="F613" s="29"/>
      <c r="G613" s="29"/>
      <c r="H613" s="30"/>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9"/>
      <c r="AH613" s="29"/>
      <c r="AI613" s="29"/>
      <c r="AJ613" s="29"/>
      <c r="AK613" s="29"/>
      <c r="AL613" s="29"/>
      <c r="AM613" s="29"/>
      <c r="AN613" s="29"/>
      <c r="AO613" s="29"/>
      <c r="AP613" s="29"/>
      <c r="AQ613" s="29"/>
      <c r="AR613" s="29"/>
    </row>
    <row r="614">
      <c r="A614" s="29"/>
      <c r="B614" s="29"/>
      <c r="C614" s="29"/>
      <c r="D614" s="29"/>
      <c r="E614" s="29"/>
      <c r="F614" s="29"/>
      <c r="G614" s="29"/>
      <c r="H614" s="30"/>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9"/>
      <c r="AH614" s="29"/>
      <c r="AI614" s="29"/>
      <c r="AJ614" s="29"/>
      <c r="AK614" s="29"/>
      <c r="AL614" s="29"/>
      <c r="AM614" s="29"/>
      <c r="AN614" s="29"/>
      <c r="AO614" s="29"/>
      <c r="AP614" s="29"/>
      <c r="AQ614" s="29"/>
      <c r="AR614" s="29"/>
    </row>
    <row r="615">
      <c r="A615" s="29"/>
      <c r="B615" s="29"/>
      <c r="C615" s="29"/>
      <c r="D615" s="29"/>
      <c r="E615" s="29"/>
      <c r="F615" s="29"/>
      <c r="G615" s="29"/>
      <c r="H615" s="30"/>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9"/>
      <c r="AH615" s="29"/>
      <c r="AI615" s="29"/>
      <c r="AJ615" s="29"/>
      <c r="AK615" s="29"/>
      <c r="AL615" s="29"/>
      <c r="AM615" s="29"/>
      <c r="AN615" s="29"/>
      <c r="AO615" s="29"/>
      <c r="AP615" s="29"/>
      <c r="AQ615" s="29"/>
      <c r="AR615" s="29"/>
    </row>
    <row r="616">
      <c r="A616" s="29"/>
      <c r="B616" s="29"/>
      <c r="C616" s="29"/>
      <c r="D616" s="29"/>
      <c r="E616" s="29"/>
      <c r="F616" s="29"/>
      <c r="G616" s="29"/>
      <c r="H616" s="30"/>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9"/>
      <c r="AH616" s="29"/>
      <c r="AI616" s="29"/>
      <c r="AJ616" s="29"/>
      <c r="AK616" s="29"/>
      <c r="AL616" s="29"/>
      <c r="AM616" s="29"/>
      <c r="AN616" s="29"/>
      <c r="AO616" s="29"/>
      <c r="AP616" s="29"/>
      <c r="AQ616" s="29"/>
      <c r="AR616" s="29"/>
    </row>
    <row r="617">
      <c r="A617" s="29"/>
      <c r="B617" s="29"/>
      <c r="C617" s="29"/>
      <c r="D617" s="29"/>
      <c r="E617" s="29"/>
      <c r="F617" s="29"/>
      <c r="G617" s="29"/>
      <c r="H617" s="30"/>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9"/>
      <c r="AH617" s="29"/>
      <c r="AI617" s="29"/>
      <c r="AJ617" s="29"/>
      <c r="AK617" s="29"/>
      <c r="AL617" s="29"/>
      <c r="AM617" s="29"/>
      <c r="AN617" s="29"/>
      <c r="AO617" s="29"/>
      <c r="AP617" s="29"/>
      <c r="AQ617" s="29"/>
      <c r="AR617" s="29"/>
    </row>
    <row r="618">
      <c r="A618" s="29"/>
      <c r="B618" s="29"/>
      <c r="C618" s="29"/>
      <c r="D618" s="29"/>
      <c r="E618" s="29"/>
      <c r="F618" s="29"/>
      <c r="G618" s="29"/>
      <c r="H618" s="30"/>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9"/>
      <c r="AH618" s="29"/>
      <c r="AI618" s="29"/>
      <c r="AJ618" s="29"/>
      <c r="AK618" s="29"/>
      <c r="AL618" s="29"/>
      <c r="AM618" s="29"/>
      <c r="AN618" s="29"/>
      <c r="AO618" s="29"/>
      <c r="AP618" s="29"/>
      <c r="AQ618" s="29"/>
      <c r="AR618" s="29"/>
    </row>
    <row r="619">
      <c r="A619" s="29"/>
      <c r="B619" s="29"/>
      <c r="C619" s="29"/>
      <c r="D619" s="29"/>
      <c r="E619" s="29"/>
      <c r="F619" s="29"/>
      <c r="G619" s="29"/>
      <c r="H619" s="30"/>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9"/>
      <c r="AH619" s="29"/>
      <c r="AI619" s="29"/>
      <c r="AJ619" s="29"/>
      <c r="AK619" s="29"/>
      <c r="AL619" s="29"/>
      <c r="AM619" s="29"/>
      <c r="AN619" s="29"/>
      <c r="AO619" s="29"/>
      <c r="AP619" s="29"/>
      <c r="AQ619" s="29"/>
      <c r="AR619" s="29"/>
    </row>
    <row r="620">
      <c r="A620" s="29"/>
      <c r="B620" s="29"/>
      <c r="C620" s="29"/>
      <c r="D620" s="29"/>
      <c r="E620" s="29"/>
      <c r="F620" s="29"/>
      <c r="G620" s="29"/>
      <c r="H620" s="30"/>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9"/>
      <c r="AH620" s="29"/>
      <c r="AI620" s="29"/>
      <c r="AJ620" s="29"/>
      <c r="AK620" s="29"/>
      <c r="AL620" s="29"/>
      <c r="AM620" s="29"/>
      <c r="AN620" s="29"/>
      <c r="AO620" s="29"/>
      <c r="AP620" s="29"/>
      <c r="AQ620" s="29"/>
      <c r="AR620" s="29"/>
    </row>
    <row r="621">
      <c r="A621" s="29"/>
      <c r="B621" s="29"/>
      <c r="C621" s="29"/>
      <c r="D621" s="29"/>
      <c r="E621" s="29"/>
      <c r="F621" s="29"/>
      <c r="G621" s="29"/>
      <c r="H621" s="30"/>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9"/>
      <c r="AH621" s="29"/>
      <c r="AI621" s="29"/>
      <c r="AJ621" s="29"/>
      <c r="AK621" s="29"/>
      <c r="AL621" s="29"/>
      <c r="AM621" s="29"/>
      <c r="AN621" s="29"/>
      <c r="AO621" s="29"/>
      <c r="AP621" s="29"/>
      <c r="AQ621" s="29"/>
      <c r="AR621" s="29"/>
    </row>
    <row r="622">
      <c r="A622" s="29"/>
      <c r="B622" s="29"/>
      <c r="C622" s="29"/>
      <c r="D622" s="29"/>
      <c r="E622" s="29"/>
      <c r="F622" s="29"/>
      <c r="G622" s="29"/>
      <c r="H622" s="30"/>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9"/>
      <c r="AH622" s="29"/>
      <c r="AI622" s="29"/>
      <c r="AJ622" s="29"/>
      <c r="AK622" s="29"/>
      <c r="AL622" s="29"/>
      <c r="AM622" s="29"/>
      <c r="AN622" s="29"/>
      <c r="AO622" s="29"/>
      <c r="AP622" s="29"/>
      <c r="AQ622" s="29"/>
      <c r="AR622" s="29"/>
    </row>
    <row r="623">
      <c r="A623" s="29"/>
      <c r="B623" s="29"/>
      <c r="C623" s="29"/>
      <c r="D623" s="29"/>
      <c r="E623" s="29"/>
      <c r="F623" s="29"/>
      <c r="G623" s="29"/>
      <c r="H623" s="30"/>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c r="AJ623" s="29"/>
      <c r="AK623" s="29"/>
      <c r="AL623" s="29"/>
      <c r="AM623" s="29"/>
      <c r="AN623" s="29"/>
      <c r="AO623" s="29"/>
      <c r="AP623" s="29"/>
      <c r="AQ623" s="29"/>
      <c r="AR623" s="29"/>
    </row>
    <row r="624">
      <c r="A624" s="29"/>
      <c r="B624" s="29"/>
      <c r="C624" s="29"/>
      <c r="D624" s="29"/>
      <c r="E624" s="29"/>
      <c r="F624" s="29"/>
      <c r="G624" s="29"/>
      <c r="H624" s="30"/>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c r="AJ624" s="29"/>
      <c r="AK624" s="29"/>
      <c r="AL624" s="29"/>
      <c r="AM624" s="29"/>
      <c r="AN624" s="29"/>
      <c r="AO624" s="29"/>
      <c r="AP624" s="29"/>
      <c r="AQ624" s="29"/>
      <c r="AR624" s="29"/>
    </row>
    <row r="625">
      <c r="A625" s="29"/>
      <c r="B625" s="29"/>
      <c r="C625" s="29"/>
      <c r="D625" s="29"/>
      <c r="E625" s="29"/>
      <c r="F625" s="29"/>
      <c r="G625" s="29"/>
      <c r="H625" s="30"/>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9"/>
      <c r="AH625" s="29"/>
      <c r="AI625" s="29"/>
      <c r="AJ625" s="29"/>
      <c r="AK625" s="29"/>
      <c r="AL625" s="29"/>
      <c r="AM625" s="29"/>
      <c r="AN625" s="29"/>
      <c r="AO625" s="29"/>
      <c r="AP625" s="29"/>
      <c r="AQ625" s="29"/>
      <c r="AR625" s="29"/>
    </row>
    <row r="626">
      <c r="A626" s="29"/>
      <c r="B626" s="29"/>
      <c r="C626" s="29"/>
      <c r="D626" s="29"/>
      <c r="E626" s="29"/>
      <c r="F626" s="29"/>
      <c r="G626" s="29"/>
      <c r="H626" s="30"/>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row>
    <row r="627">
      <c r="A627" s="29"/>
      <c r="B627" s="29"/>
      <c r="C627" s="29"/>
      <c r="D627" s="29"/>
      <c r="E627" s="29"/>
      <c r="F627" s="29"/>
      <c r="G627" s="29"/>
      <c r="H627" s="30"/>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row>
    <row r="628">
      <c r="A628" s="29"/>
      <c r="B628" s="29"/>
      <c r="C628" s="29"/>
      <c r="D628" s="29"/>
      <c r="E628" s="29"/>
      <c r="F628" s="29"/>
      <c r="G628" s="29"/>
      <c r="H628" s="30"/>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9"/>
      <c r="AH628" s="29"/>
      <c r="AI628" s="29"/>
      <c r="AJ628" s="29"/>
      <c r="AK628" s="29"/>
      <c r="AL628" s="29"/>
      <c r="AM628" s="29"/>
      <c r="AN628" s="29"/>
      <c r="AO628" s="29"/>
      <c r="AP628" s="29"/>
      <c r="AQ628" s="29"/>
      <c r="AR628" s="29"/>
    </row>
    <row r="629">
      <c r="A629" s="29"/>
      <c r="B629" s="29"/>
      <c r="C629" s="29"/>
      <c r="D629" s="29"/>
      <c r="E629" s="29"/>
      <c r="F629" s="29"/>
      <c r="G629" s="29"/>
      <c r="H629" s="30"/>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9"/>
      <c r="AH629" s="29"/>
      <c r="AI629" s="29"/>
      <c r="AJ629" s="29"/>
      <c r="AK629" s="29"/>
      <c r="AL629" s="29"/>
      <c r="AM629" s="29"/>
      <c r="AN629" s="29"/>
      <c r="AO629" s="29"/>
      <c r="AP629" s="29"/>
      <c r="AQ629" s="29"/>
      <c r="AR629" s="29"/>
    </row>
    <row r="630">
      <c r="A630" s="29"/>
      <c r="B630" s="29"/>
      <c r="C630" s="29"/>
      <c r="D630" s="29"/>
      <c r="E630" s="29"/>
      <c r="F630" s="29"/>
      <c r="G630" s="29"/>
      <c r="H630" s="30"/>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9"/>
      <c r="AH630" s="29"/>
      <c r="AI630" s="29"/>
      <c r="AJ630" s="29"/>
      <c r="AK630" s="29"/>
      <c r="AL630" s="29"/>
      <c r="AM630" s="29"/>
      <c r="AN630" s="29"/>
      <c r="AO630" s="29"/>
      <c r="AP630" s="29"/>
      <c r="AQ630" s="29"/>
      <c r="AR630" s="29"/>
    </row>
    <row r="631">
      <c r="A631" s="29"/>
      <c r="B631" s="29"/>
      <c r="C631" s="29"/>
      <c r="D631" s="29"/>
      <c r="E631" s="29"/>
      <c r="F631" s="29"/>
      <c r="G631" s="29"/>
      <c r="H631" s="30"/>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9"/>
      <c r="AH631" s="29"/>
      <c r="AI631" s="29"/>
      <c r="AJ631" s="29"/>
      <c r="AK631" s="29"/>
      <c r="AL631" s="29"/>
      <c r="AM631" s="29"/>
      <c r="AN631" s="29"/>
      <c r="AO631" s="29"/>
      <c r="AP631" s="29"/>
      <c r="AQ631" s="29"/>
      <c r="AR631" s="29"/>
    </row>
    <row r="632">
      <c r="A632" s="29"/>
      <c r="B632" s="29"/>
      <c r="C632" s="29"/>
      <c r="D632" s="29"/>
      <c r="E632" s="29"/>
      <c r="F632" s="29"/>
      <c r="G632" s="29"/>
      <c r="H632" s="30"/>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9"/>
      <c r="AH632" s="29"/>
      <c r="AI632" s="29"/>
      <c r="AJ632" s="29"/>
      <c r="AK632" s="29"/>
      <c r="AL632" s="29"/>
      <c r="AM632" s="29"/>
      <c r="AN632" s="29"/>
      <c r="AO632" s="29"/>
      <c r="AP632" s="29"/>
      <c r="AQ632" s="29"/>
      <c r="AR632" s="29"/>
    </row>
    <row r="633">
      <c r="A633" s="29"/>
      <c r="B633" s="29"/>
      <c r="C633" s="29"/>
      <c r="D633" s="29"/>
      <c r="E633" s="29"/>
      <c r="F633" s="29"/>
      <c r="G633" s="29"/>
      <c r="H633" s="30"/>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9"/>
      <c r="AH633" s="29"/>
      <c r="AI633" s="29"/>
      <c r="AJ633" s="29"/>
      <c r="AK633" s="29"/>
      <c r="AL633" s="29"/>
      <c r="AM633" s="29"/>
      <c r="AN633" s="29"/>
      <c r="AO633" s="29"/>
      <c r="AP633" s="29"/>
      <c r="AQ633" s="29"/>
      <c r="AR633" s="29"/>
    </row>
    <row r="634">
      <c r="A634" s="29"/>
      <c r="B634" s="29"/>
      <c r="C634" s="29"/>
      <c r="D634" s="29"/>
      <c r="E634" s="29"/>
      <c r="F634" s="29"/>
      <c r="G634" s="29"/>
      <c r="H634" s="30"/>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9"/>
      <c r="AH634" s="29"/>
      <c r="AI634" s="29"/>
      <c r="AJ634" s="29"/>
      <c r="AK634" s="29"/>
      <c r="AL634" s="29"/>
      <c r="AM634" s="29"/>
      <c r="AN634" s="29"/>
      <c r="AO634" s="29"/>
      <c r="AP634" s="29"/>
      <c r="AQ634" s="29"/>
      <c r="AR634" s="29"/>
    </row>
    <row r="635">
      <c r="A635" s="29"/>
      <c r="B635" s="29"/>
      <c r="C635" s="29"/>
      <c r="D635" s="29"/>
      <c r="E635" s="29"/>
      <c r="F635" s="29"/>
      <c r="G635" s="29"/>
      <c r="H635" s="30"/>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c r="AJ635" s="29"/>
      <c r="AK635" s="29"/>
      <c r="AL635" s="29"/>
      <c r="AM635" s="29"/>
      <c r="AN635" s="29"/>
      <c r="AO635" s="29"/>
      <c r="AP635" s="29"/>
      <c r="AQ635" s="29"/>
      <c r="AR635" s="29"/>
    </row>
    <row r="636">
      <c r="A636" s="29"/>
      <c r="B636" s="29"/>
      <c r="C636" s="29"/>
      <c r="D636" s="29"/>
      <c r="E636" s="29"/>
      <c r="F636" s="29"/>
      <c r="G636" s="29"/>
      <c r="H636" s="30"/>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c r="AJ636" s="29"/>
      <c r="AK636" s="29"/>
      <c r="AL636" s="29"/>
      <c r="AM636" s="29"/>
      <c r="AN636" s="29"/>
      <c r="AO636" s="29"/>
      <c r="AP636" s="29"/>
      <c r="AQ636" s="29"/>
      <c r="AR636" s="29"/>
    </row>
    <row r="637">
      <c r="A637" s="29"/>
      <c r="B637" s="29"/>
      <c r="C637" s="29"/>
      <c r="D637" s="29"/>
      <c r="E637" s="29"/>
      <c r="F637" s="29"/>
      <c r="G637" s="29"/>
      <c r="H637" s="30"/>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9"/>
      <c r="AH637" s="29"/>
      <c r="AI637" s="29"/>
      <c r="AJ637" s="29"/>
      <c r="AK637" s="29"/>
      <c r="AL637" s="29"/>
      <c r="AM637" s="29"/>
      <c r="AN637" s="29"/>
      <c r="AO637" s="29"/>
      <c r="AP637" s="29"/>
      <c r="AQ637" s="29"/>
      <c r="AR637" s="29"/>
    </row>
    <row r="638">
      <c r="A638" s="29"/>
      <c r="B638" s="29"/>
      <c r="C638" s="29"/>
      <c r="D638" s="29"/>
      <c r="E638" s="29"/>
      <c r="F638" s="29"/>
      <c r="G638" s="29"/>
      <c r="H638" s="30"/>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row>
    <row r="639">
      <c r="A639" s="29"/>
      <c r="B639" s="29"/>
      <c r="C639" s="29"/>
      <c r="D639" s="29"/>
      <c r="E639" s="29"/>
      <c r="F639" s="29"/>
      <c r="G639" s="29"/>
      <c r="H639" s="30"/>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row>
    <row r="640">
      <c r="A640" s="29"/>
      <c r="B640" s="29"/>
      <c r="C640" s="29"/>
      <c r="D640" s="29"/>
      <c r="E640" s="29"/>
      <c r="F640" s="29"/>
      <c r="G640" s="29"/>
      <c r="H640" s="30"/>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9"/>
      <c r="AH640" s="29"/>
      <c r="AI640" s="29"/>
      <c r="AJ640" s="29"/>
      <c r="AK640" s="29"/>
      <c r="AL640" s="29"/>
      <c r="AM640" s="29"/>
      <c r="AN640" s="29"/>
      <c r="AO640" s="29"/>
      <c r="AP640" s="29"/>
      <c r="AQ640" s="29"/>
      <c r="AR640" s="29"/>
    </row>
    <row r="641">
      <c r="A641" s="29"/>
      <c r="B641" s="29"/>
      <c r="C641" s="29"/>
      <c r="D641" s="29"/>
      <c r="E641" s="29"/>
      <c r="F641" s="29"/>
      <c r="G641" s="29"/>
      <c r="H641" s="30"/>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9"/>
      <c r="AH641" s="29"/>
      <c r="AI641" s="29"/>
      <c r="AJ641" s="29"/>
      <c r="AK641" s="29"/>
      <c r="AL641" s="29"/>
      <c r="AM641" s="29"/>
      <c r="AN641" s="29"/>
      <c r="AO641" s="29"/>
      <c r="AP641" s="29"/>
      <c r="AQ641" s="29"/>
      <c r="AR641" s="29"/>
    </row>
    <row r="642">
      <c r="A642" s="29"/>
      <c r="B642" s="29"/>
      <c r="C642" s="29"/>
      <c r="D642" s="29"/>
      <c r="E642" s="29"/>
      <c r="F642" s="29"/>
      <c r="G642" s="29"/>
      <c r="H642" s="30"/>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9"/>
      <c r="AH642" s="29"/>
      <c r="AI642" s="29"/>
      <c r="AJ642" s="29"/>
      <c r="AK642" s="29"/>
      <c r="AL642" s="29"/>
      <c r="AM642" s="29"/>
      <c r="AN642" s="29"/>
      <c r="AO642" s="29"/>
      <c r="AP642" s="29"/>
      <c r="AQ642" s="29"/>
      <c r="AR642" s="29"/>
    </row>
    <row r="643">
      <c r="A643" s="29"/>
      <c r="B643" s="29"/>
      <c r="C643" s="29"/>
      <c r="D643" s="29"/>
      <c r="E643" s="29"/>
      <c r="F643" s="29"/>
      <c r="G643" s="29"/>
      <c r="H643" s="30"/>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9"/>
      <c r="AH643" s="29"/>
      <c r="AI643" s="29"/>
      <c r="AJ643" s="29"/>
      <c r="AK643" s="29"/>
      <c r="AL643" s="29"/>
      <c r="AM643" s="29"/>
      <c r="AN643" s="29"/>
      <c r="AO643" s="29"/>
      <c r="AP643" s="29"/>
      <c r="AQ643" s="29"/>
      <c r="AR643" s="29"/>
    </row>
    <row r="644">
      <c r="A644" s="29"/>
      <c r="B644" s="29"/>
      <c r="C644" s="29"/>
      <c r="D644" s="29"/>
      <c r="E644" s="29"/>
      <c r="F644" s="29"/>
      <c r="G644" s="29"/>
      <c r="H644" s="30"/>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9"/>
      <c r="AH644" s="29"/>
      <c r="AI644" s="29"/>
      <c r="AJ644" s="29"/>
      <c r="AK644" s="29"/>
      <c r="AL644" s="29"/>
      <c r="AM644" s="29"/>
      <c r="AN644" s="29"/>
      <c r="AO644" s="29"/>
      <c r="AP644" s="29"/>
      <c r="AQ644" s="29"/>
      <c r="AR644" s="29"/>
    </row>
    <row r="645">
      <c r="A645" s="29"/>
      <c r="B645" s="29"/>
      <c r="C645" s="29"/>
      <c r="D645" s="29"/>
      <c r="E645" s="29"/>
      <c r="F645" s="29"/>
      <c r="G645" s="29"/>
      <c r="H645" s="30"/>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H645" s="29"/>
      <c r="AI645" s="29"/>
      <c r="AJ645" s="29"/>
      <c r="AK645" s="29"/>
      <c r="AL645" s="29"/>
      <c r="AM645" s="29"/>
      <c r="AN645" s="29"/>
      <c r="AO645" s="29"/>
      <c r="AP645" s="29"/>
      <c r="AQ645" s="29"/>
      <c r="AR645" s="29"/>
    </row>
    <row r="646">
      <c r="A646" s="29"/>
      <c r="B646" s="29"/>
      <c r="C646" s="29"/>
      <c r="D646" s="29"/>
      <c r="E646" s="29"/>
      <c r="F646" s="29"/>
      <c r="G646" s="29"/>
      <c r="H646" s="30"/>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9"/>
      <c r="AH646" s="29"/>
      <c r="AI646" s="29"/>
      <c r="AJ646" s="29"/>
      <c r="AK646" s="29"/>
      <c r="AL646" s="29"/>
      <c r="AM646" s="29"/>
      <c r="AN646" s="29"/>
      <c r="AO646" s="29"/>
      <c r="AP646" s="29"/>
      <c r="AQ646" s="29"/>
      <c r="AR646" s="29"/>
    </row>
    <row r="647">
      <c r="A647" s="29"/>
      <c r="B647" s="29"/>
      <c r="C647" s="29"/>
      <c r="D647" s="29"/>
      <c r="E647" s="29"/>
      <c r="F647" s="29"/>
      <c r="G647" s="29"/>
      <c r="H647" s="30"/>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c r="AJ647" s="29"/>
      <c r="AK647" s="29"/>
      <c r="AL647" s="29"/>
      <c r="AM647" s="29"/>
      <c r="AN647" s="29"/>
      <c r="AO647" s="29"/>
      <c r="AP647" s="29"/>
      <c r="AQ647" s="29"/>
      <c r="AR647" s="29"/>
    </row>
    <row r="648">
      <c r="A648" s="29"/>
      <c r="B648" s="29"/>
      <c r="C648" s="29"/>
      <c r="D648" s="29"/>
      <c r="E648" s="29"/>
      <c r="F648" s="29"/>
      <c r="G648" s="29"/>
      <c r="H648" s="30"/>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c r="AJ648" s="29"/>
      <c r="AK648" s="29"/>
      <c r="AL648" s="29"/>
      <c r="AM648" s="29"/>
      <c r="AN648" s="29"/>
      <c r="AO648" s="29"/>
      <c r="AP648" s="29"/>
      <c r="AQ648" s="29"/>
      <c r="AR648" s="29"/>
    </row>
    <row r="649">
      <c r="A649" s="29"/>
      <c r="B649" s="29"/>
      <c r="C649" s="29"/>
      <c r="D649" s="29"/>
      <c r="E649" s="29"/>
      <c r="F649" s="29"/>
      <c r="G649" s="29"/>
      <c r="H649" s="30"/>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H649" s="29"/>
      <c r="AI649" s="29"/>
      <c r="AJ649" s="29"/>
      <c r="AK649" s="29"/>
      <c r="AL649" s="29"/>
      <c r="AM649" s="29"/>
      <c r="AN649" s="29"/>
      <c r="AO649" s="29"/>
      <c r="AP649" s="29"/>
      <c r="AQ649" s="29"/>
      <c r="AR649" s="29"/>
    </row>
    <row r="650">
      <c r="A650" s="29"/>
      <c r="B650" s="29"/>
      <c r="C650" s="29"/>
      <c r="D650" s="29"/>
      <c r="E650" s="29"/>
      <c r="F650" s="29"/>
      <c r="G650" s="29"/>
      <c r="H650" s="30"/>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row>
    <row r="651">
      <c r="A651" s="29"/>
      <c r="B651" s="29"/>
      <c r="C651" s="29"/>
      <c r="D651" s="29"/>
      <c r="E651" s="29"/>
      <c r="F651" s="29"/>
      <c r="G651" s="29"/>
      <c r="H651" s="30"/>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row>
    <row r="652">
      <c r="A652" s="29"/>
      <c r="B652" s="29"/>
      <c r="C652" s="29"/>
      <c r="D652" s="29"/>
      <c r="E652" s="29"/>
      <c r="F652" s="29"/>
      <c r="G652" s="29"/>
      <c r="H652" s="30"/>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9"/>
      <c r="AH652" s="29"/>
      <c r="AI652" s="29"/>
      <c r="AJ652" s="29"/>
      <c r="AK652" s="29"/>
      <c r="AL652" s="29"/>
      <c r="AM652" s="29"/>
      <c r="AN652" s="29"/>
      <c r="AO652" s="29"/>
      <c r="AP652" s="29"/>
      <c r="AQ652" s="29"/>
      <c r="AR652" s="29"/>
    </row>
    <row r="653">
      <c r="A653" s="29"/>
      <c r="B653" s="29"/>
      <c r="C653" s="29"/>
      <c r="D653" s="29"/>
      <c r="E653" s="29"/>
      <c r="F653" s="29"/>
      <c r="G653" s="29"/>
      <c r="H653" s="30"/>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9"/>
      <c r="AH653" s="29"/>
      <c r="AI653" s="29"/>
      <c r="AJ653" s="29"/>
      <c r="AK653" s="29"/>
      <c r="AL653" s="29"/>
      <c r="AM653" s="29"/>
      <c r="AN653" s="29"/>
      <c r="AO653" s="29"/>
      <c r="AP653" s="29"/>
      <c r="AQ653" s="29"/>
      <c r="AR653" s="29"/>
    </row>
    <row r="654">
      <c r="A654" s="29"/>
      <c r="B654" s="29"/>
      <c r="C654" s="29"/>
      <c r="D654" s="29"/>
      <c r="E654" s="29"/>
      <c r="F654" s="29"/>
      <c r="G654" s="29"/>
      <c r="H654" s="30"/>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9"/>
      <c r="AH654" s="29"/>
      <c r="AI654" s="29"/>
      <c r="AJ654" s="29"/>
      <c r="AK654" s="29"/>
      <c r="AL654" s="29"/>
      <c r="AM654" s="29"/>
      <c r="AN654" s="29"/>
      <c r="AO654" s="29"/>
      <c r="AP654" s="29"/>
      <c r="AQ654" s="29"/>
      <c r="AR654" s="29"/>
    </row>
    <row r="655">
      <c r="A655" s="29"/>
      <c r="B655" s="29"/>
      <c r="C655" s="29"/>
      <c r="D655" s="29"/>
      <c r="E655" s="29"/>
      <c r="F655" s="29"/>
      <c r="G655" s="29"/>
      <c r="H655" s="30"/>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9"/>
      <c r="AH655" s="29"/>
      <c r="AI655" s="29"/>
      <c r="AJ655" s="29"/>
      <c r="AK655" s="29"/>
      <c r="AL655" s="29"/>
      <c r="AM655" s="29"/>
      <c r="AN655" s="29"/>
      <c r="AO655" s="29"/>
      <c r="AP655" s="29"/>
      <c r="AQ655" s="29"/>
      <c r="AR655" s="29"/>
    </row>
    <row r="656">
      <c r="A656" s="29"/>
      <c r="B656" s="29"/>
      <c r="C656" s="29"/>
      <c r="D656" s="29"/>
      <c r="E656" s="29"/>
      <c r="F656" s="29"/>
      <c r="G656" s="29"/>
      <c r="H656" s="30"/>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9"/>
      <c r="AH656" s="29"/>
      <c r="AI656" s="29"/>
      <c r="AJ656" s="29"/>
      <c r="AK656" s="29"/>
      <c r="AL656" s="29"/>
      <c r="AM656" s="29"/>
      <c r="AN656" s="29"/>
      <c r="AO656" s="29"/>
      <c r="AP656" s="29"/>
      <c r="AQ656" s="29"/>
      <c r="AR656" s="29"/>
    </row>
    <row r="657">
      <c r="A657" s="29"/>
      <c r="B657" s="29"/>
      <c r="C657" s="29"/>
      <c r="D657" s="29"/>
      <c r="E657" s="29"/>
      <c r="F657" s="29"/>
      <c r="G657" s="29"/>
      <c r="H657" s="30"/>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9"/>
      <c r="AH657" s="29"/>
      <c r="AI657" s="29"/>
      <c r="AJ657" s="29"/>
      <c r="AK657" s="29"/>
      <c r="AL657" s="29"/>
      <c r="AM657" s="29"/>
      <c r="AN657" s="29"/>
      <c r="AO657" s="29"/>
      <c r="AP657" s="29"/>
      <c r="AQ657" s="29"/>
      <c r="AR657" s="29"/>
    </row>
    <row r="658">
      <c r="A658" s="29"/>
      <c r="B658" s="29"/>
      <c r="C658" s="29"/>
      <c r="D658" s="29"/>
      <c r="E658" s="29"/>
      <c r="F658" s="29"/>
      <c r="G658" s="29"/>
      <c r="H658" s="30"/>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9"/>
      <c r="AH658" s="29"/>
      <c r="AI658" s="29"/>
      <c r="AJ658" s="29"/>
      <c r="AK658" s="29"/>
      <c r="AL658" s="29"/>
      <c r="AM658" s="29"/>
      <c r="AN658" s="29"/>
      <c r="AO658" s="29"/>
      <c r="AP658" s="29"/>
      <c r="AQ658" s="29"/>
      <c r="AR658" s="29"/>
    </row>
    <row r="659">
      <c r="A659" s="29"/>
      <c r="B659" s="29"/>
      <c r="C659" s="29"/>
      <c r="D659" s="29"/>
      <c r="E659" s="29"/>
      <c r="F659" s="29"/>
      <c r="G659" s="29"/>
      <c r="H659" s="30"/>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H659" s="29"/>
      <c r="AI659" s="29"/>
      <c r="AJ659" s="29"/>
      <c r="AK659" s="29"/>
      <c r="AL659" s="29"/>
      <c r="AM659" s="29"/>
      <c r="AN659" s="29"/>
      <c r="AO659" s="29"/>
      <c r="AP659" s="29"/>
      <c r="AQ659" s="29"/>
      <c r="AR659" s="29"/>
    </row>
    <row r="660">
      <c r="A660" s="29"/>
      <c r="B660" s="29"/>
      <c r="C660" s="29"/>
      <c r="D660" s="29"/>
      <c r="E660" s="29"/>
      <c r="F660" s="29"/>
      <c r="G660" s="29"/>
      <c r="H660" s="30"/>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9"/>
      <c r="AH660" s="29"/>
      <c r="AI660" s="29"/>
      <c r="AJ660" s="29"/>
      <c r="AK660" s="29"/>
      <c r="AL660" s="29"/>
      <c r="AM660" s="29"/>
      <c r="AN660" s="29"/>
      <c r="AO660" s="29"/>
      <c r="AP660" s="29"/>
      <c r="AQ660" s="29"/>
      <c r="AR660" s="29"/>
    </row>
    <row r="661">
      <c r="A661" s="29"/>
      <c r="B661" s="29"/>
      <c r="C661" s="29"/>
      <c r="D661" s="29"/>
      <c r="E661" s="29"/>
      <c r="F661" s="29"/>
      <c r="G661" s="29"/>
      <c r="H661" s="30"/>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9"/>
      <c r="AH661" s="29"/>
      <c r="AI661" s="29"/>
      <c r="AJ661" s="29"/>
      <c r="AK661" s="29"/>
      <c r="AL661" s="29"/>
      <c r="AM661" s="29"/>
      <c r="AN661" s="29"/>
      <c r="AO661" s="29"/>
      <c r="AP661" s="29"/>
      <c r="AQ661" s="29"/>
      <c r="AR661" s="29"/>
    </row>
    <row r="662">
      <c r="A662" s="29"/>
      <c r="B662" s="29"/>
      <c r="C662" s="29"/>
      <c r="D662" s="29"/>
      <c r="E662" s="29"/>
      <c r="F662" s="29"/>
      <c r="G662" s="29"/>
      <c r="H662" s="30"/>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row>
    <row r="663">
      <c r="A663" s="29"/>
      <c r="B663" s="29"/>
      <c r="C663" s="29"/>
      <c r="D663" s="29"/>
      <c r="E663" s="29"/>
      <c r="F663" s="29"/>
      <c r="G663" s="29"/>
      <c r="H663" s="30"/>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row>
    <row r="664">
      <c r="A664" s="29"/>
      <c r="B664" s="29"/>
      <c r="C664" s="29"/>
      <c r="D664" s="29"/>
      <c r="E664" s="29"/>
      <c r="F664" s="29"/>
      <c r="G664" s="29"/>
      <c r="H664" s="30"/>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9"/>
      <c r="AH664" s="29"/>
      <c r="AI664" s="29"/>
      <c r="AJ664" s="29"/>
      <c r="AK664" s="29"/>
      <c r="AL664" s="29"/>
      <c r="AM664" s="29"/>
      <c r="AN664" s="29"/>
      <c r="AO664" s="29"/>
      <c r="AP664" s="29"/>
      <c r="AQ664" s="29"/>
      <c r="AR664" s="29"/>
    </row>
    <row r="665">
      <c r="A665" s="29"/>
      <c r="B665" s="29"/>
      <c r="C665" s="29"/>
      <c r="D665" s="29"/>
      <c r="E665" s="29"/>
      <c r="F665" s="29"/>
      <c r="G665" s="29"/>
      <c r="H665" s="30"/>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9"/>
      <c r="AH665" s="29"/>
      <c r="AI665" s="29"/>
      <c r="AJ665" s="29"/>
      <c r="AK665" s="29"/>
      <c r="AL665" s="29"/>
      <c r="AM665" s="29"/>
      <c r="AN665" s="29"/>
      <c r="AO665" s="29"/>
      <c r="AP665" s="29"/>
      <c r="AQ665" s="29"/>
      <c r="AR665" s="29"/>
    </row>
    <row r="666">
      <c r="A666" s="29"/>
      <c r="B666" s="29"/>
      <c r="C666" s="29"/>
      <c r="D666" s="29"/>
      <c r="E666" s="29"/>
      <c r="F666" s="29"/>
      <c r="G666" s="29"/>
      <c r="H666" s="30"/>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row>
    <row r="667">
      <c r="A667" s="29"/>
      <c r="B667" s="29"/>
      <c r="C667" s="29"/>
      <c r="D667" s="29"/>
      <c r="E667" s="29"/>
      <c r="F667" s="29"/>
      <c r="G667" s="29"/>
      <c r="H667" s="30"/>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9"/>
      <c r="AH667" s="29"/>
      <c r="AI667" s="29"/>
      <c r="AJ667" s="29"/>
      <c r="AK667" s="29"/>
      <c r="AL667" s="29"/>
      <c r="AM667" s="29"/>
      <c r="AN667" s="29"/>
      <c r="AO667" s="29"/>
      <c r="AP667" s="29"/>
      <c r="AQ667" s="29"/>
      <c r="AR667" s="29"/>
    </row>
    <row r="668">
      <c r="A668" s="29"/>
      <c r="B668" s="29"/>
      <c r="C668" s="29"/>
      <c r="D668" s="29"/>
      <c r="E668" s="29"/>
      <c r="F668" s="29"/>
      <c r="G668" s="29"/>
      <c r="H668" s="30"/>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9"/>
      <c r="AH668" s="29"/>
      <c r="AI668" s="29"/>
      <c r="AJ668" s="29"/>
      <c r="AK668" s="29"/>
      <c r="AL668" s="29"/>
      <c r="AM668" s="29"/>
      <c r="AN668" s="29"/>
      <c r="AO668" s="29"/>
      <c r="AP668" s="29"/>
      <c r="AQ668" s="29"/>
      <c r="AR668" s="29"/>
    </row>
    <row r="669">
      <c r="A669" s="29"/>
      <c r="B669" s="29"/>
      <c r="C669" s="29"/>
      <c r="D669" s="29"/>
      <c r="E669" s="29"/>
      <c r="F669" s="29"/>
      <c r="G669" s="29"/>
      <c r="H669" s="30"/>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9"/>
      <c r="AH669" s="29"/>
      <c r="AI669" s="29"/>
      <c r="AJ669" s="29"/>
      <c r="AK669" s="29"/>
      <c r="AL669" s="29"/>
      <c r="AM669" s="29"/>
      <c r="AN669" s="29"/>
      <c r="AO669" s="29"/>
      <c r="AP669" s="29"/>
      <c r="AQ669" s="29"/>
      <c r="AR669" s="29"/>
    </row>
    <row r="670">
      <c r="A670" s="29"/>
      <c r="B670" s="29"/>
      <c r="C670" s="29"/>
      <c r="D670" s="29"/>
      <c r="E670" s="29"/>
      <c r="F670" s="29"/>
      <c r="G670" s="29"/>
      <c r="H670" s="30"/>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9"/>
      <c r="AH670" s="29"/>
      <c r="AI670" s="29"/>
      <c r="AJ670" s="29"/>
      <c r="AK670" s="29"/>
      <c r="AL670" s="29"/>
      <c r="AM670" s="29"/>
      <c r="AN670" s="29"/>
      <c r="AO670" s="29"/>
      <c r="AP670" s="29"/>
      <c r="AQ670" s="29"/>
      <c r="AR670" s="29"/>
    </row>
    <row r="671">
      <c r="A671" s="29"/>
      <c r="B671" s="29"/>
      <c r="C671" s="29"/>
      <c r="D671" s="29"/>
      <c r="E671" s="29"/>
      <c r="F671" s="29"/>
      <c r="G671" s="29"/>
      <c r="H671" s="30"/>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9"/>
      <c r="AH671" s="29"/>
      <c r="AI671" s="29"/>
      <c r="AJ671" s="29"/>
      <c r="AK671" s="29"/>
      <c r="AL671" s="29"/>
      <c r="AM671" s="29"/>
      <c r="AN671" s="29"/>
      <c r="AO671" s="29"/>
      <c r="AP671" s="29"/>
      <c r="AQ671" s="29"/>
      <c r="AR671" s="29"/>
    </row>
    <row r="672">
      <c r="A672" s="29"/>
      <c r="B672" s="29"/>
      <c r="C672" s="29"/>
      <c r="D672" s="29"/>
      <c r="E672" s="29"/>
      <c r="F672" s="29"/>
      <c r="G672" s="29"/>
      <c r="H672" s="30"/>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9"/>
      <c r="AH672" s="29"/>
      <c r="AI672" s="29"/>
      <c r="AJ672" s="29"/>
      <c r="AK672" s="29"/>
      <c r="AL672" s="29"/>
      <c r="AM672" s="29"/>
      <c r="AN672" s="29"/>
      <c r="AO672" s="29"/>
      <c r="AP672" s="29"/>
      <c r="AQ672" s="29"/>
      <c r="AR672" s="29"/>
    </row>
    <row r="673">
      <c r="A673" s="29"/>
      <c r="B673" s="29"/>
      <c r="C673" s="29"/>
      <c r="D673" s="29"/>
      <c r="E673" s="29"/>
      <c r="F673" s="29"/>
      <c r="G673" s="29"/>
      <c r="H673" s="30"/>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9"/>
      <c r="AH673" s="29"/>
      <c r="AI673" s="29"/>
      <c r="AJ673" s="29"/>
      <c r="AK673" s="29"/>
      <c r="AL673" s="29"/>
      <c r="AM673" s="29"/>
      <c r="AN673" s="29"/>
      <c r="AO673" s="29"/>
      <c r="AP673" s="29"/>
      <c r="AQ673" s="29"/>
      <c r="AR673" s="29"/>
    </row>
    <row r="674">
      <c r="A674" s="29"/>
      <c r="B674" s="29"/>
      <c r="C674" s="29"/>
      <c r="D674" s="29"/>
      <c r="E674" s="29"/>
      <c r="F674" s="29"/>
      <c r="G674" s="29"/>
      <c r="H674" s="30"/>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row>
    <row r="675">
      <c r="A675" s="29"/>
      <c r="B675" s="29"/>
      <c r="C675" s="29"/>
      <c r="D675" s="29"/>
      <c r="E675" s="29"/>
      <c r="F675" s="29"/>
      <c r="G675" s="29"/>
      <c r="H675" s="30"/>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row>
    <row r="676">
      <c r="A676" s="29"/>
      <c r="B676" s="29"/>
      <c r="C676" s="29"/>
      <c r="D676" s="29"/>
      <c r="E676" s="29"/>
      <c r="F676" s="29"/>
      <c r="G676" s="29"/>
      <c r="H676" s="30"/>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9"/>
      <c r="AH676" s="29"/>
      <c r="AI676" s="29"/>
      <c r="AJ676" s="29"/>
      <c r="AK676" s="29"/>
      <c r="AL676" s="29"/>
      <c r="AM676" s="29"/>
      <c r="AN676" s="29"/>
      <c r="AO676" s="29"/>
      <c r="AP676" s="29"/>
      <c r="AQ676" s="29"/>
      <c r="AR676" s="29"/>
    </row>
    <row r="677">
      <c r="A677" s="29"/>
      <c r="B677" s="29"/>
      <c r="C677" s="29"/>
      <c r="D677" s="29"/>
      <c r="E677" s="29"/>
      <c r="F677" s="29"/>
      <c r="G677" s="29"/>
      <c r="H677" s="30"/>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c r="AF677" s="29"/>
      <c r="AG677" s="29"/>
      <c r="AH677" s="29"/>
      <c r="AI677" s="29"/>
      <c r="AJ677" s="29"/>
      <c r="AK677" s="29"/>
      <c r="AL677" s="29"/>
      <c r="AM677" s="29"/>
      <c r="AN677" s="29"/>
      <c r="AO677" s="29"/>
      <c r="AP677" s="29"/>
      <c r="AQ677" s="29"/>
      <c r="AR677" s="29"/>
    </row>
    <row r="678">
      <c r="A678" s="29"/>
      <c r="B678" s="29"/>
      <c r="C678" s="29"/>
      <c r="D678" s="29"/>
      <c r="E678" s="29"/>
      <c r="F678" s="29"/>
      <c r="G678" s="29"/>
      <c r="H678" s="30"/>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c r="AF678" s="29"/>
      <c r="AG678" s="29"/>
      <c r="AH678" s="29"/>
      <c r="AI678" s="29"/>
      <c r="AJ678" s="29"/>
      <c r="AK678" s="29"/>
      <c r="AL678" s="29"/>
      <c r="AM678" s="29"/>
      <c r="AN678" s="29"/>
      <c r="AO678" s="29"/>
      <c r="AP678" s="29"/>
      <c r="AQ678" s="29"/>
      <c r="AR678" s="29"/>
    </row>
    <row r="679">
      <c r="A679" s="29"/>
      <c r="B679" s="29"/>
      <c r="C679" s="29"/>
      <c r="D679" s="29"/>
      <c r="E679" s="29"/>
      <c r="F679" s="29"/>
      <c r="G679" s="29"/>
      <c r="H679" s="30"/>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c r="AF679" s="29"/>
      <c r="AG679" s="29"/>
      <c r="AH679" s="29"/>
      <c r="AI679" s="29"/>
      <c r="AJ679" s="29"/>
      <c r="AK679" s="29"/>
      <c r="AL679" s="29"/>
      <c r="AM679" s="29"/>
      <c r="AN679" s="29"/>
      <c r="AO679" s="29"/>
      <c r="AP679" s="29"/>
      <c r="AQ679" s="29"/>
      <c r="AR679" s="29"/>
    </row>
    <row r="680">
      <c r="A680" s="29"/>
      <c r="B680" s="29"/>
      <c r="C680" s="29"/>
      <c r="D680" s="29"/>
      <c r="E680" s="29"/>
      <c r="F680" s="29"/>
      <c r="G680" s="29"/>
      <c r="H680" s="30"/>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c r="AF680" s="29"/>
      <c r="AG680" s="29"/>
      <c r="AH680" s="29"/>
      <c r="AI680" s="29"/>
      <c r="AJ680" s="29"/>
      <c r="AK680" s="29"/>
      <c r="AL680" s="29"/>
      <c r="AM680" s="29"/>
      <c r="AN680" s="29"/>
      <c r="AO680" s="29"/>
      <c r="AP680" s="29"/>
      <c r="AQ680" s="29"/>
      <c r="AR680" s="29"/>
    </row>
    <row r="681">
      <c r="A681" s="29"/>
      <c r="B681" s="29"/>
      <c r="C681" s="29"/>
      <c r="D681" s="29"/>
      <c r="E681" s="29"/>
      <c r="F681" s="29"/>
      <c r="G681" s="29"/>
      <c r="H681" s="30"/>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c r="AF681" s="29"/>
      <c r="AG681" s="29"/>
      <c r="AH681" s="29"/>
      <c r="AI681" s="29"/>
      <c r="AJ681" s="29"/>
      <c r="AK681" s="29"/>
      <c r="AL681" s="29"/>
      <c r="AM681" s="29"/>
      <c r="AN681" s="29"/>
      <c r="AO681" s="29"/>
      <c r="AP681" s="29"/>
      <c r="AQ681" s="29"/>
      <c r="AR681" s="29"/>
    </row>
    <row r="682">
      <c r="A682" s="29"/>
      <c r="B682" s="29"/>
      <c r="C682" s="29"/>
      <c r="D682" s="29"/>
      <c r="E682" s="29"/>
      <c r="F682" s="29"/>
      <c r="G682" s="29"/>
      <c r="H682" s="30"/>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c r="AF682" s="29"/>
      <c r="AG682" s="29"/>
      <c r="AH682" s="29"/>
      <c r="AI682" s="29"/>
      <c r="AJ682" s="29"/>
      <c r="AK682" s="29"/>
      <c r="AL682" s="29"/>
      <c r="AM682" s="29"/>
      <c r="AN682" s="29"/>
      <c r="AO682" s="29"/>
      <c r="AP682" s="29"/>
      <c r="AQ682" s="29"/>
      <c r="AR682" s="29"/>
    </row>
    <row r="683">
      <c r="A683" s="29"/>
      <c r="B683" s="29"/>
      <c r="C683" s="29"/>
      <c r="D683" s="29"/>
      <c r="E683" s="29"/>
      <c r="F683" s="29"/>
      <c r="G683" s="29"/>
      <c r="H683" s="30"/>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c r="AF683" s="29"/>
      <c r="AG683" s="29"/>
      <c r="AH683" s="29"/>
      <c r="AI683" s="29"/>
      <c r="AJ683" s="29"/>
      <c r="AK683" s="29"/>
      <c r="AL683" s="29"/>
      <c r="AM683" s="29"/>
      <c r="AN683" s="29"/>
      <c r="AO683" s="29"/>
      <c r="AP683" s="29"/>
      <c r="AQ683" s="29"/>
      <c r="AR683" s="29"/>
    </row>
    <row r="684">
      <c r="A684" s="29"/>
      <c r="B684" s="29"/>
      <c r="C684" s="29"/>
      <c r="D684" s="29"/>
      <c r="E684" s="29"/>
      <c r="F684" s="29"/>
      <c r="G684" s="29"/>
      <c r="H684" s="30"/>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c r="AF684" s="29"/>
      <c r="AG684" s="29"/>
      <c r="AH684" s="29"/>
      <c r="AI684" s="29"/>
      <c r="AJ684" s="29"/>
      <c r="AK684" s="29"/>
      <c r="AL684" s="29"/>
      <c r="AM684" s="29"/>
      <c r="AN684" s="29"/>
      <c r="AO684" s="29"/>
      <c r="AP684" s="29"/>
      <c r="AQ684" s="29"/>
      <c r="AR684" s="29"/>
    </row>
    <row r="685">
      <c r="A685" s="29"/>
      <c r="B685" s="29"/>
      <c r="C685" s="29"/>
      <c r="D685" s="29"/>
      <c r="E685" s="29"/>
      <c r="F685" s="29"/>
      <c r="G685" s="29"/>
      <c r="H685" s="30"/>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c r="AF685" s="29"/>
      <c r="AG685" s="29"/>
      <c r="AH685" s="29"/>
      <c r="AI685" s="29"/>
      <c r="AJ685" s="29"/>
      <c r="AK685" s="29"/>
      <c r="AL685" s="29"/>
      <c r="AM685" s="29"/>
      <c r="AN685" s="29"/>
      <c r="AO685" s="29"/>
      <c r="AP685" s="29"/>
      <c r="AQ685" s="29"/>
      <c r="AR685" s="29"/>
    </row>
    <row r="686">
      <c r="A686" s="29"/>
      <c r="B686" s="29"/>
      <c r="C686" s="29"/>
      <c r="D686" s="29"/>
      <c r="E686" s="29"/>
      <c r="F686" s="29"/>
      <c r="G686" s="29"/>
      <c r="H686" s="30"/>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row>
    <row r="687">
      <c r="A687" s="29"/>
      <c r="B687" s="29"/>
      <c r="C687" s="29"/>
      <c r="D687" s="29"/>
      <c r="E687" s="29"/>
      <c r="F687" s="29"/>
      <c r="G687" s="29"/>
      <c r="H687" s="30"/>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row>
    <row r="688">
      <c r="A688" s="29"/>
      <c r="B688" s="29"/>
      <c r="C688" s="29"/>
      <c r="D688" s="29"/>
      <c r="E688" s="29"/>
      <c r="F688" s="29"/>
      <c r="G688" s="29"/>
      <c r="H688" s="30"/>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c r="AF688" s="29"/>
      <c r="AG688" s="29"/>
      <c r="AH688" s="29"/>
      <c r="AI688" s="29"/>
      <c r="AJ688" s="29"/>
      <c r="AK688" s="29"/>
      <c r="AL688" s="29"/>
      <c r="AM688" s="29"/>
      <c r="AN688" s="29"/>
      <c r="AO688" s="29"/>
      <c r="AP688" s="29"/>
      <c r="AQ688" s="29"/>
      <c r="AR688" s="29"/>
    </row>
    <row r="689">
      <c r="A689" s="29"/>
      <c r="B689" s="29"/>
      <c r="C689" s="29"/>
      <c r="D689" s="29"/>
      <c r="E689" s="29"/>
      <c r="F689" s="29"/>
      <c r="G689" s="29"/>
      <c r="H689" s="30"/>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c r="AF689" s="29"/>
      <c r="AG689" s="29"/>
      <c r="AH689" s="29"/>
      <c r="AI689" s="29"/>
      <c r="AJ689" s="29"/>
      <c r="AK689" s="29"/>
      <c r="AL689" s="29"/>
      <c r="AM689" s="29"/>
      <c r="AN689" s="29"/>
      <c r="AO689" s="29"/>
      <c r="AP689" s="29"/>
      <c r="AQ689" s="29"/>
      <c r="AR689" s="29"/>
    </row>
    <row r="690">
      <c r="A690" s="29"/>
      <c r="B690" s="29"/>
      <c r="C690" s="29"/>
      <c r="D690" s="29"/>
      <c r="E690" s="29"/>
      <c r="F690" s="29"/>
      <c r="G690" s="29"/>
      <c r="H690" s="30"/>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c r="AF690" s="29"/>
      <c r="AG690" s="29"/>
      <c r="AH690" s="29"/>
      <c r="AI690" s="29"/>
      <c r="AJ690" s="29"/>
      <c r="AK690" s="29"/>
      <c r="AL690" s="29"/>
      <c r="AM690" s="29"/>
      <c r="AN690" s="29"/>
      <c r="AO690" s="29"/>
      <c r="AP690" s="29"/>
      <c r="AQ690" s="29"/>
      <c r="AR690" s="29"/>
    </row>
    <row r="691">
      <c r="A691" s="29"/>
      <c r="B691" s="29"/>
      <c r="C691" s="29"/>
      <c r="D691" s="29"/>
      <c r="E691" s="29"/>
      <c r="F691" s="29"/>
      <c r="G691" s="29"/>
      <c r="H691" s="30"/>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c r="AF691" s="29"/>
      <c r="AG691" s="29"/>
      <c r="AH691" s="29"/>
      <c r="AI691" s="29"/>
      <c r="AJ691" s="29"/>
      <c r="AK691" s="29"/>
      <c r="AL691" s="29"/>
      <c r="AM691" s="29"/>
      <c r="AN691" s="29"/>
      <c r="AO691" s="29"/>
      <c r="AP691" s="29"/>
      <c r="AQ691" s="29"/>
      <c r="AR691" s="29"/>
    </row>
    <row r="692">
      <c r="A692" s="29"/>
      <c r="B692" s="29"/>
      <c r="C692" s="29"/>
      <c r="D692" s="29"/>
      <c r="E692" s="29"/>
      <c r="F692" s="29"/>
      <c r="G692" s="29"/>
      <c r="H692" s="30"/>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c r="AF692" s="29"/>
      <c r="AG692" s="29"/>
      <c r="AH692" s="29"/>
      <c r="AI692" s="29"/>
      <c r="AJ692" s="29"/>
      <c r="AK692" s="29"/>
      <c r="AL692" s="29"/>
      <c r="AM692" s="29"/>
      <c r="AN692" s="29"/>
      <c r="AO692" s="29"/>
      <c r="AP692" s="29"/>
      <c r="AQ692" s="29"/>
      <c r="AR692" s="29"/>
    </row>
    <row r="693">
      <c r="A693" s="29"/>
      <c r="B693" s="29"/>
      <c r="C693" s="29"/>
      <c r="D693" s="29"/>
      <c r="E693" s="29"/>
      <c r="F693" s="29"/>
      <c r="G693" s="29"/>
      <c r="H693" s="30"/>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c r="AF693" s="29"/>
      <c r="AG693" s="29"/>
      <c r="AH693" s="29"/>
      <c r="AI693" s="29"/>
      <c r="AJ693" s="29"/>
      <c r="AK693" s="29"/>
      <c r="AL693" s="29"/>
      <c r="AM693" s="29"/>
      <c r="AN693" s="29"/>
      <c r="AO693" s="29"/>
      <c r="AP693" s="29"/>
      <c r="AQ693" s="29"/>
      <c r="AR693" s="29"/>
    </row>
    <row r="694">
      <c r="A694" s="29"/>
      <c r="B694" s="29"/>
      <c r="C694" s="29"/>
      <c r="D694" s="29"/>
      <c r="E694" s="29"/>
      <c r="F694" s="29"/>
      <c r="G694" s="29"/>
      <c r="H694" s="30"/>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c r="AF694" s="29"/>
      <c r="AG694" s="29"/>
      <c r="AH694" s="29"/>
      <c r="AI694" s="29"/>
      <c r="AJ694" s="29"/>
      <c r="AK694" s="29"/>
      <c r="AL694" s="29"/>
      <c r="AM694" s="29"/>
      <c r="AN694" s="29"/>
      <c r="AO694" s="29"/>
      <c r="AP694" s="29"/>
      <c r="AQ694" s="29"/>
      <c r="AR694" s="29"/>
    </row>
    <row r="695">
      <c r="A695" s="29"/>
      <c r="B695" s="29"/>
      <c r="C695" s="29"/>
      <c r="D695" s="29"/>
      <c r="E695" s="29"/>
      <c r="F695" s="29"/>
      <c r="G695" s="29"/>
      <c r="H695" s="30"/>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c r="AF695" s="29"/>
      <c r="AG695" s="29"/>
      <c r="AH695" s="29"/>
      <c r="AI695" s="29"/>
      <c r="AJ695" s="29"/>
      <c r="AK695" s="29"/>
      <c r="AL695" s="29"/>
      <c r="AM695" s="29"/>
      <c r="AN695" s="29"/>
      <c r="AO695" s="29"/>
      <c r="AP695" s="29"/>
      <c r="AQ695" s="29"/>
      <c r="AR695" s="29"/>
    </row>
    <row r="696">
      <c r="A696" s="29"/>
      <c r="B696" s="29"/>
      <c r="C696" s="29"/>
      <c r="D696" s="29"/>
      <c r="E696" s="29"/>
      <c r="F696" s="29"/>
      <c r="G696" s="29"/>
      <c r="H696" s="30"/>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c r="AF696" s="29"/>
      <c r="AG696" s="29"/>
      <c r="AH696" s="29"/>
      <c r="AI696" s="29"/>
      <c r="AJ696" s="29"/>
      <c r="AK696" s="29"/>
      <c r="AL696" s="29"/>
      <c r="AM696" s="29"/>
      <c r="AN696" s="29"/>
      <c r="AO696" s="29"/>
      <c r="AP696" s="29"/>
      <c r="AQ696" s="29"/>
      <c r="AR696" s="29"/>
    </row>
    <row r="697">
      <c r="A697" s="29"/>
      <c r="B697" s="29"/>
      <c r="C697" s="29"/>
      <c r="D697" s="29"/>
      <c r="E697" s="29"/>
      <c r="F697" s="29"/>
      <c r="G697" s="29"/>
      <c r="H697" s="30"/>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c r="AF697" s="29"/>
      <c r="AG697" s="29"/>
      <c r="AH697" s="29"/>
      <c r="AI697" s="29"/>
      <c r="AJ697" s="29"/>
      <c r="AK697" s="29"/>
      <c r="AL697" s="29"/>
      <c r="AM697" s="29"/>
      <c r="AN697" s="29"/>
      <c r="AO697" s="29"/>
      <c r="AP697" s="29"/>
      <c r="AQ697" s="29"/>
      <c r="AR697" s="29"/>
    </row>
    <row r="698">
      <c r="A698" s="29"/>
      <c r="B698" s="29"/>
      <c r="C698" s="29"/>
      <c r="D698" s="29"/>
      <c r="E698" s="29"/>
      <c r="F698" s="29"/>
      <c r="G698" s="29"/>
      <c r="H698" s="30"/>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row>
    <row r="699">
      <c r="A699" s="29"/>
      <c r="B699" s="29"/>
      <c r="C699" s="29"/>
      <c r="D699" s="29"/>
      <c r="E699" s="29"/>
      <c r="F699" s="29"/>
      <c r="G699" s="29"/>
      <c r="H699" s="30"/>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row>
    <row r="700">
      <c r="A700" s="29"/>
      <c r="B700" s="29"/>
      <c r="C700" s="29"/>
      <c r="D700" s="29"/>
      <c r="E700" s="29"/>
      <c r="F700" s="29"/>
      <c r="G700" s="29"/>
      <c r="H700" s="30"/>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c r="AF700" s="29"/>
      <c r="AG700" s="29"/>
      <c r="AH700" s="29"/>
      <c r="AI700" s="29"/>
      <c r="AJ700" s="29"/>
      <c r="AK700" s="29"/>
      <c r="AL700" s="29"/>
      <c r="AM700" s="29"/>
      <c r="AN700" s="29"/>
      <c r="AO700" s="29"/>
      <c r="AP700" s="29"/>
      <c r="AQ700" s="29"/>
      <c r="AR700" s="29"/>
    </row>
    <row r="701">
      <c r="A701" s="29"/>
      <c r="B701" s="29"/>
      <c r="C701" s="29"/>
      <c r="D701" s="29"/>
      <c r="E701" s="29"/>
      <c r="F701" s="29"/>
      <c r="G701" s="29"/>
      <c r="H701" s="30"/>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c r="AF701" s="29"/>
      <c r="AG701" s="29"/>
      <c r="AH701" s="29"/>
      <c r="AI701" s="29"/>
      <c r="AJ701" s="29"/>
      <c r="AK701" s="29"/>
      <c r="AL701" s="29"/>
      <c r="AM701" s="29"/>
      <c r="AN701" s="29"/>
      <c r="AO701" s="29"/>
      <c r="AP701" s="29"/>
      <c r="AQ701" s="29"/>
      <c r="AR701" s="29"/>
    </row>
    <row r="702">
      <c r="A702" s="29"/>
      <c r="B702" s="29"/>
      <c r="C702" s="29"/>
      <c r="D702" s="29"/>
      <c r="E702" s="29"/>
      <c r="F702" s="29"/>
      <c r="G702" s="29"/>
      <c r="H702" s="30"/>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c r="AF702" s="29"/>
      <c r="AG702" s="29"/>
      <c r="AH702" s="29"/>
      <c r="AI702" s="29"/>
      <c r="AJ702" s="29"/>
      <c r="AK702" s="29"/>
      <c r="AL702" s="29"/>
      <c r="AM702" s="29"/>
      <c r="AN702" s="29"/>
      <c r="AO702" s="29"/>
      <c r="AP702" s="29"/>
      <c r="AQ702" s="29"/>
      <c r="AR702" s="29"/>
    </row>
    <row r="703">
      <c r="A703" s="29"/>
      <c r="B703" s="29"/>
      <c r="C703" s="29"/>
      <c r="D703" s="29"/>
      <c r="E703" s="29"/>
      <c r="F703" s="29"/>
      <c r="G703" s="29"/>
      <c r="H703" s="30"/>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c r="AF703" s="29"/>
      <c r="AG703" s="29"/>
      <c r="AH703" s="29"/>
      <c r="AI703" s="29"/>
      <c r="AJ703" s="29"/>
      <c r="AK703" s="29"/>
      <c r="AL703" s="29"/>
      <c r="AM703" s="29"/>
      <c r="AN703" s="29"/>
      <c r="AO703" s="29"/>
      <c r="AP703" s="29"/>
      <c r="AQ703" s="29"/>
      <c r="AR703" s="29"/>
    </row>
    <row r="704">
      <c r="A704" s="29"/>
      <c r="B704" s="29"/>
      <c r="C704" s="29"/>
      <c r="D704" s="29"/>
      <c r="E704" s="29"/>
      <c r="F704" s="29"/>
      <c r="G704" s="29"/>
      <c r="H704" s="30"/>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c r="AF704" s="29"/>
      <c r="AG704" s="29"/>
      <c r="AH704" s="29"/>
      <c r="AI704" s="29"/>
      <c r="AJ704" s="29"/>
      <c r="AK704" s="29"/>
      <c r="AL704" s="29"/>
      <c r="AM704" s="29"/>
      <c r="AN704" s="29"/>
      <c r="AO704" s="29"/>
      <c r="AP704" s="29"/>
      <c r="AQ704" s="29"/>
      <c r="AR704" s="29"/>
    </row>
    <row r="705">
      <c r="A705" s="29"/>
      <c r="B705" s="29"/>
      <c r="C705" s="29"/>
      <c r="D705" s="29"/>
      <c r="E705" s="29"/>
      <c r="F705" s="29"/>
      <c r="G705" s="29"/>
      <c r="H705" s="30"/>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c r="AF705" s="29"/>
      <c r="AG705" s="29"/>
      <c r="AH705" s="29"/>
      <c r="AI705" s="29"/>
      <c r="AJ705" s="29"/>
      <c r="AK705" s="29"/>
      <c r="AL705" s="29"/>
      <c r="AM705" s="29"/>
      <c r="AN705" s="29"/>
      <c r="AO705" s="29"/>
      <c r="AP705" s="29"/>
      <c r="AQ705" s="29"/>
      <c r="AR705" s="29"/>
    </row>
    <row r="706">
      <c r="A706" s="29"/>
      <c r="B706" s="29"/>
      <c r="C706" s="29"/>
      <c r="D706" s="29"/>
      <c r="E706" s="29"/>
      <c r="F706" s="29"/>
      <c r="G706" s="29"/>
      <c r="H706" s="30"/>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c r="AF706" s="29"/>
      <c r="AG706" s="29"/>
      <c r="AH706" s="29"/>
      <c r="AI706" s="29"/>
      <c r="AJ706" s="29"/>
      <c r="AK706" s="29"/>
      <c r="AL706" s="29"/>
      <c r="AM706" s="29"/>
      <c r="AN706" s="29"/>
      <c r="AO706" s="29"/>
      <c r="AP706" s="29"/>
      <c r="AQ706" s="29"/>
      <c r="AR706" s="29"/>
    </row>
    <row r="707">
      <c r="A707" s="29"/>
      <c r="B707" s="29"/>
      <c r="C707" s="29"/>
      <c r="D707" s="29"/>
      <c r="E707" s="29"/>
      <c r="F707" s="29"/>
      <c r="G707" s="29"/>
      <c r="H707" s="30"/>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c r="AF707" s="29"/>
      <c r="AG707" s="29"/>
      <c r="AH707" s="29"/>
      <c r="AI707" s="29"/>
      <c r="AJ707" s="29"/>
      <c r="AK707" s="29"/>
      <c r="AL707" s="29"/>
      <c r="AM707" s="29"/>
      <c r="AN707" s="29"/>
      <c r="AO707" s="29"/>
      <c r="AP707" s="29"/>
      <c r="AQ707" s="29"/>
      <c r="AR707" s="29"/>
    </row>
    <row r="708">
      <c r="A708" s="29"/>
      <c r="B708" s="29"/>
      <c r="C708" s="29"/>
      <c r="D708" s="29"/>
      <c r="E708" s="29"/>
      <c r="F708" s="29"/>
      <c r="G708" s="29"/>
      <c r="H708" s="30"/>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c r="AF708" s="29"/>
      <c r="AG708" s="29"/>
      <c r="AH708" s="29"/>
      <c r="AI708" s="29"/>
      <c r="AJ708" s="29"/>
      <c r="AK708" s="29"/>
      <c r="AL708" s="29"/>
      <c r="AM708" s="29"/>
      <c r="AN708" s="29"/>
      <c r="AO708" s="29"/>
      <c r="AP708" s="29"/>
      <c r="AQ708" s="29"/>
      <c r="AR708" s="29"/>
    </row>
    <row r="709">
      <c r="A709" s="29"/>
      <c r="B709" s="29"/>
      <c r="C709" s="29"/>
      <c r="D709" s="29"/>
      <c r="E709" s="29"/>
      <c r="F709" s="29"/>
      <c r="G709" s="29"/>
      <c r="H709" s="30"/>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c r="AF709" s="29"/>
      <c r="AG709" s="29"/>
      <c r="AH709" s="29"/>
      <c r="AI709" s="29"/>
      <c r="AJ709" s="29"/>
      <c r="AK709" s="29"/>
      <c r="AL709" s="29"/>
      <c r="AM709" s="29"/>
      <c r="AN709" s="29"/>
      <c r="AO709" s="29"/>
      <c r="AP709" s="29"/>
      <c r="AQ709" s="29"/>
      <c r="AR709" s="29"/>
    </row>
    <row r="710">
      <c r="A710" s="29"/>
      <c r="B710" s="29"/>
      <c r="C710" s="29"/>
      <c r="D710" s="29"/>
      <c r="E710" s="29"/>
      <c r="F710" s="29"/>
      <c r="G710" s="29"/>
      <c r="H710" s="30"/>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row>
    <row r="711">
      <c r="A711" s="29"/>
      <c r="B711" s="29"/>
      <c r="C711" s="29"/>
      <c r="D711" s="29"/>
      <c r="E711" s="29"/>
      <c r="F711" s="29"/>
      <c r="G711" s="29"/>
      <c r="H711" s="30"/>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row>
    <row r="712">
      <c r="A712" s="29"/>
      <c r="B712" s="29"/>
      <c r="C712" s="29"/>
      <c r="D712" s="29"/>
      <c r="E712" s="29"/>
      <c r="F712" s="29"/>
      <c r="G712" s="29"/>
      <c r="H712" s="30"/>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c r="AF712" s="29"/>
      <c r="AG712" s="29"/>
      <c r="AH712" s="29"/>
      <c r="AI712" s="29"/>
      <c r="AJ712" s="29"/>
      <c r="AK712" s="29"/>
      <c r="AL712" s="29"/>
      <c r="AM712" s="29"/>
      <c r="AN712" s="29"/>
      <c r="AO712" s="29"/>
      <c r="AP712" s="29"/>
      <c r="AQ712" s="29"/>
      <c r="AR712" s="29"/>
    </row>
    <row r="713">
      <c r="A713" s="29"/>
      <c r="B713" s="29"/>
      <c r="C713" s="29"/>
      <c r="D713" s="29"/>
      <c r="E713" s="29"/>
      <c r="F713" s="29"/>
      <c r="G713" s="29"/>
      <c r="H713" s="30"/>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c r="AF713" s="29"/>
      <c r="AG713" s="29"/>
      <c r="AH713" s="29"/>
      <c r="AI713" s="29"/>
      <c r="AJ713" s="29"/>
      <c r="AK713" s="29"/>
      <c r="AL713" s="29"/>
      <c r="AM713" s="29"/>
      <c r="AN713" s="29"/>
      <c r="AO713" s="29"/>
      <c r="AP713" s="29"/>
      <c r="AQ713" s="29"/>
      <c r="AR713" s="29"/>
    </row>
    <row r="714">
      <c r="A714" s="29"/>
      <c r="B714" s="29"/>
      <c r="C714" s="29"/>
      <c r="D714" s="29"/>
      <c r="E714" s="29"/>
      <c r="F714" s="29"/>
      <c r="G714" s="29"/>
      <c r="H714" s="30"/>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c r="AF714" s="29"/>
      <c r="AG714" s="29"/>
      <c r="AH714" s="29"/>
      <c r="AI714" s="29"/>
      <c r="AJ714" s="29"/>
      <c r="AK714" s="29"/>
      <c r="AL714" s="29"/>
      <c r="AM714" s="29"/>
      <c r="AN714" s="29"/>
      <c r="AO714" s="29"/>
      <c r="AP714" s="29"/>
      <c r="AQ714" s="29"/>
      <c r="AR714" s="29"/>
    </row>
    <row r="715">
      <c r="A715" s="29"/>
      <c r="B715" s="29"/>
      <c r="C715" s="29"/>
      <c r="D715" s="29"/>
      <c r="E715" s="29"/>
      <c r="F715" s="29"/>
      <c r="G715" s="29"/>
      <c r="H715" s="30"/>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c r="AF715" s="29"/>
      <c r="AG715" s="29"/>
      <c r="AH715" s="29"/>
      <c r="AI715" s="29"/>
      <c r="AJ715" s="29"/>
      <c r="AK715" s="29"/>
      <c r="AL715" s="29"/>
      <c r="AM715" s="29"/>
      <c r="AN715" s="29"/>
      <c r="AO715" s="29"/>
      <c r="AP715" s="29"/>
      <c r="AQ715" s="29"/>
      <c r="AR715" s="29"/>
    </row>
    <row r="716">
      <c r="A716" s="29"/>
      <c r="B716" s="29"/>
      <c r="C716" s="29"/>
      <c r="D716" s="29"/>
      <c r="E716" s="29"/>
      <c r="F716" s="29"/>
      <c r="G716" s="29"/>
      <c r="H716" s="30"/>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c r="AF716" s="29"/>
      <c r="AG716" s="29"/>
      <c r="AH716" s="29"/>
      <c r="AI716" s="29"/>
      <c r="AJ716" s="29"/>
      <c r="AK716" s="29"/>
      <c r="AL716" s="29"/>
      <c r="AM716" s="29"/>
      <c r="AN716" s="29"/>
      <c r="AO716" s="29"/>
      <c r="AP716" s="29"/>
      <c r="AQ716" s="29"/>
      <c r="AR716" s="29"/>
    </row>
    <row r="717">
      <c r="A717" s="29"/>
      <c r="B717" s="29"/>
      <c r="C717" s="29"/>
      <c r="D717" s="29"/>
      <c r="E717" s="29"/>
      <c r="F717" s="29"/>
      <c r="G717" s="29"/>
      <c r="H717" s="30"/>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c r="AF717" s="29"/>
      <c r="AG717" s="29"/>
      <c r="AH717" s="29"/>
      <c r="AI717" s="29"/>
      <c r="AJ717" s="29"/>
      <c r="AK717" s="29"/>
      <c r="AL717" s="29"/>
      <c r="AM717" s="29"/>
      <c r="AN717" s="29"/>
      <c r="AO717" s="29"/>
      <c r="AP717" s="29"/>
      <c r="AQ717" s="29"/>
      <c r="AR717" s="29"/>
    </row>
    <row r="718">
      <c r="A718" s="29"/>
      <c r="B718" s="29"/>
      <c r="C718" s="29"/>
      <c r="D718" s="29"/>
      <c r="E718" s="29"/>
      <c r="F718" s="29"/>
      <c r="G718" s="29"/>
      <c r="H718" s="30"/>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c r="AF718" s="29"/>
      <c r="AG718" s="29"/>
      <c r="AH718" s="29"/>
      <c r="AI718" s="29"/>
      <c r="AJ718" s="29"/>
      <c r="AK718" s="29"/>
      <c r="AL718" s="29"/>
      <c r="AM718" s="29"/>
      <c r="AN718" s="29"/>
      <c r="AO718" s="29"/>
      <c r="AP718" s="29"/>
      <c r="AQ718" s="29"/>
      <c r="AR718" s="29"/>
    </row>
    <row r="719">
      <c r="A719" s="29"/>
      <c r="B719" s="29"/>
      <c r="C719" s="29"/>
      <c r="D719" s="29"/>
      <c r="E719" s="29"/>
      <c r="F719" s="29"/>
      <c r="G719" s="29"/>
      <c r="H719" s="30"/>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c r="AF719" s="29"/>
      <c r="AG719" s="29"/>
      <c r="AH719" s="29"/>
      <c r="AI719" s="29"/>
      <c r="AJ719" s="29"/>
      <c r="AK719" s="29"/>
      <c r="AL719" s="29"/>
      <c r="AM719" s="29"/>
      <c r="AN719" s="29"/>
      <c r="AO719" s="29"/>
      <c r="AP719" s="29"/>
      <c r="AQ719" s="29"/>
      <c r="AR719" s="29"/>
    </row>
    <row r="720">
      <c r="A720" s="29"/>
      <c r="B720" s="29"/>
      <c r="C720" s="29"/>
      <c r="D720" s="29"/>
      <c r="E720" s="29"/>
      <c r="F720" s="29"/>
      <c r="G720" s="29"/>
      <c r="H720" s="30"/>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c r="AF720" s="29"/>
      <c r="AG720" s="29"/>
      <c r="AH720" s="29"/>
      <c r="AI720" s="29"/>
      <c r="AJ720" s="29"/>
      <c r="AK720" s="29"/>
      <c r="AL720" s="29"/>
      <c r="AM720" s="29"/>
      <c r="AN720" s="29"/>
      <c r="AO720" s="29"/>
      <c r="AP720" s="29"/>
      <c r="AQ720" s="29"/>
      <c r="AR720" s="29"/>
    </row>
    <row r="721">
      <c r="A721" s="29"/>
      <c r="B721" s="29"/>
      <c r="C721" s="29"/>
      <c r="D721" s="29"/>
      <c r="E721" s="29"/>
      <c r="F721" s="29"/>
      <c r="G721" s="29"/>
      <c r="H721" s="30"/>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c r="AF721" s="29"/>
      <c r="AG721" s="29"/>
      <c r="AH721" s="29"/>
      <c r="AI721" s="29"/>
      <c r="AJ721" s="29"/>
      <c r="AK721" s="29"/>
      <c r="AL721" s="29"/>
      <c r="AM721" s="29"/>
      <c r="AN721" s="29"/>
      <c r="AO721" s="29"/>
      <c r="AP721" s="29"/>
      <c r="AQ721" s="29"/>
      <c r="AR721" s="29"/>
    </row>
    <row r="722">
      <c r="A722" s="29"/>
      <c r="B722" s="29"/>
      <c r="C722" s="29"/>
      <c r="D722" s="29"/>
      <c r="E722" s="29"/>
      <c r="F722" s="29"/>
      <c r="G722" s="29"/>
      <c r="H722" s="30"/>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row>
    <row r="723">
      <c r="A723" s="29"/>
      <c r="B723" s="29"/>
      <c r="C723" s="29"/>
      <c r="D723" s="29"/>
      <c r="E723" s="29"/>
      <c r="F723" s="29"/>
      <c r="G723" s="29"/>
      <c r="H723" s="30"/>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row>
    <row r="724">
      <c r="A724" s="29"/>
      <c r="B724" s="29"/>
      <c r="C724" s="29"/>
      <c r="D724" s="29"/>
      <c r="E724" s="29"/>
      <c r="F724" s="29"/>
      <c r="G724" s="29"/>
      <c r="H724" s="30"/>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c r="AF724" s="29"/>
      <c r="AG724" s="29"/>
      <c r="AH724" s="29"/>
      <c r="AI724" s="29"/>
      <c r="AJ724" s="29"/>
      <c r="AK724" s="29"/>
      <c r="AL724" s="29"/>
      <c r="AM724" s="29"/>
      <c r="AN724" s="29"/>
      <c r="AO724" s="29"/>
      <c r="AP724" s="29"/>
      <c r="AQ724" s="29"/>
      <c r="AR724" s="29"/>
    </row>
    <row r="725">
      <c r="A725" s="29"/>
      <c r="B725" s="29"/>
      <c r="C725" s="29"/>
      <c r="D725" s="29"/>
      <c r="E725" s="29"/>
      <c r="F725" s="29"/>
      <c r="G725" s="29"/>
      <c r="H725" s="30"/>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9"/>
      <c r="AH725" s="29"/>
      <c r="AI725" s="29"/>
      <c r="AJ725" s="29"/>
      <c r="AK725" s="29"/>
      <c r="AL725" s="29"/>
      <c r="AM725" s="29"/>
      <c r="AN725" s="29"/>
      <c r="AO725" s="29"/>
      <c r="AP725" s="29"/>
      <c r="AQ725" s="29"/>
      <c r="AR725" s="29"/>
    </row>
    <row r="726">
      <c r="A726" s="29"/>
      <c r="B726" s="29"/>
      <c r="C726" s="29"/>
      <c r="D726" s="29"/>
      <c r="E726" s="29"/>
      <c r="F726" s="29"/>
      <c r="G726" s="29"/>
      <c r="H726" s="30"/>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9"/>
      <c r="AH726" s="29"/>
      <c r="AI726" s="29"/>
      <c r="AJ726" s="29"/>
      <c r="AK726" s="29"/>
      <c r="AL726" s="29"/>
      <c r="AM726" s="29"/>
      <c r="AN726" s="29"/>
      <c r="AO726" s="29"/>
      <c r="AP726" s="29"/>
      <c r="AQ726" s="29"/>
      <c r="AR726" s="29"/>
    </row>
    <row r="727">
      <c r="A727" s="29"/>
      <c r="B727" s="29"/>
      <c r="C727" s="29"/>
      <c r="D727" s="29"/>
      <c r="E727" s="29"/>
      <c r="F727" s="29"/>
      <c r="G727" s="29"/>
      <c r="H727" s="30"/>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9"/>
      <c r="AH727" s="29"/>
      <c r="AI727" s="29"/>
      <c r="AJ727" s="29"/>
      <c r="AK727" s="29"/>
      <c r="AL727" s="29"/>
      <c r="AM727" s="29"/>
      <c r="AN727" s="29"/>
      <c r="AO727" s="29"/>
      <c r="AP727" s="29"/>
      <c r="AQ727" s="29"/>
      <c r="AR727" s="29"/>
    </row>
    <row r="728">
      <c r="A728" s="29"/>
      <c r="B728" s="29"/>
      <c r="C728" s="29"/>
      <c r="D728" s="29"/>
      <c r="E728" s="29"/>
      <c r="F728" s="29"/>
      <c r="G728" s="29"/>
      <c r="H728" s="30"/>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9"/>
      <c r="AH728" s="29"/>
      <c r="AI728" s="29"/>
      <c r="AJ728" s="29"/>
      <c r="AK728" s="29"/>
      <c r="AL728" s="29"/>
      <c r="AM728" s="29"/>
      <c r="AN728" s="29"/>
      <c r="AO728" s="29"/>
      <c r="AP728" s="29"/>
      <c r="AQ728" s="29"/>
      <c r="AR728" s="29"/>
    </row>
    <row r="729">
      <c r="A729" s="29"/>
      <c r="B729" s="29"/>
      <c r="C729" s="29"/>
      <c r="D729" s="29"/>
      <c r="E729" s="29"/>
      <c r="F729" s="29"/>
      <c r="G729" s="29"/>
      <c r="H729" s="30"/>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9"/>
      <c r="AH729" s="29"/>
      <c r="AI729" s="29"/>
      <c r="AJ729" s="29"/>
      <c r="AK729" s="29"/>
      <c r="AL729" s="29"/>
      <c r="AM729" s="29"/>
      <c r="AN729" s="29"/>
      <c r="AO729" s="29"/>
      <c r="AP729" s="29"/>
      <c r="AQ729" s="29"/>
      <c r="AR729" s="29"/>
    </row>
    <row r="730">
      <c r="A730" s="29"/>
      <c r="B730" s="29"/>
      <c r="C730" s="29"/>
      <c r="D730" s="29"/>
      <c r="E730" s="29"/>
      <c r="F730" s="29"/>
      <c r="G730" s="29"/>
      <c r="H730" s="30"/>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9"/>
      <c r="AH730" s="29"/>
      <c r="AI730" s="29"/>
      <c r="AJ730" s="29"/>
      <c r="AK730" s="29"/>
      <c r="AL730" s="29"/>
      <c r="AM730" s="29"/>
      <c r="AN730" s="29"/>
      <c r="AO730" s="29"/>
      <c r="AP730" s="29"/>
      <c r="AQ730" s="29"/>
      <c r="AR730" s="29"/>
    </row>
    <row r="731">
      <c r="A731" s="29"/>
      <c r="B731" s="29"/>
      <c r="C731" s="29"/>
      <c r="D731" s="29"/>
      <c r="E731" s="29"/>
      <c r="F731" s="29"/>
      <c r="G731" s="29"/>
      <c r="H731" s="30"/>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9"/>
      <c r="AH731" s="29"/>
      <c r="AI731" s="29"/>
      <c r="AJ731" s="29"/>
      <c r="AK731" s="29"/>
      <c r="AL731" s="29"/>
      <c r="AM731" s="29"/>
      <c r="AN731" s="29"/>
      <c r="AO731" s="29"/>
      <c r="AP731" s="29"/>
      <c r="AQ731" s="29"/>
      <c r="AR731" s="29"/>
    </row>
    <row r="732">
      <c r="A732" s="29"/>
      <c r="B732" s="29"/>
      <c r="C732" s="29"/>
      <c r="D732" s="29"/>
      <c r="E732" s="29"/>
      <c r="F732" s="29"/>
      <c r="G732" s="29"/>
      <c r="H732" s="30"/>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9"/>
      <c r="AH732" s="29"/>
      <c r="AI732" s="29"/>
      <c r="AJ732" s="29"/>
      <c r="AK732" s="29"/>
      <c r="AL732" s="29"/>
      <c r="AM732" s="29"/>
      <c r="AN732" s="29"/>
      <c r="AO732" s="29"/>
      <c r="AP732" s="29"/>
      <c r="AQ732" s="29"/>
      <c r="AR732" s="29"/>
    </row>
    <row r="733">
      <c r="A733" s="29"/>
      <c r="B733" s="29"/>
      <c r="C733" s="29"/>
      <c r="D733" s="29"/>
      <c r="E733" s="29"/>
      <c r="F733" s="29"/>
      <c r="G733" s="29"/>
      <c r="H733" s="30"/>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9"/>
      <c r="AH733" s="29"/>
      <c r="AI733" s="29"/>
      <c r="AJ733" s="29"/>
      <c r="AK733" s="29"/>
      <c r="AL733" s="29"/>
      <c r="AM733" s="29"/>
      <c r="AN733" s="29"/>
      <c r="AO733" s="29"/>
      <c r="AP733" s="29"/>
      <c r="AQ733" s="29"/>
      <c r="AR733" s="29"/>
    </row>
    <row r="734">
      <c r="A734" s="29"/>
      <c r="B734" s="29"/>
      <c r="C734" s="29"/>
      <c r="D734" s="29"/>
      <c r="E734" s="29"/>
      <c r="F734" s="29"/>
      <c r="G734" s="29"/>
      <c r="H734" s="30"/>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c r="AJ734" s="29"/>
      <c r="AK734" s="29"/>
      <c r="AL734" s="29"/>
      <c r="AM734" s="29"/>
      <c r="AN734" s="29"/>
      <c r="AO734" s="29"/>
      <c r="AP734" s="29"/>
      <c r="AQ734" s="29"/>
      <c r="AR734" s="29"/>
    </row>
    <row r="735">
      <c r="A735" s="29"/>
      <c r="B735" s="29"/>
      <c r="C735" s="29"/>
      <c r="D735" s="29"/>
      <c r="E735" s="29"/>
      <c r="F735" s="29"/>
      <c r="G735" s="29"/>
      <c r="H735" s="30"/>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c r="AJ735" s="29"/>
      <c r="AK735" s="29"/>
      <c r="AL735" s="29"/>
      <c r="AM735" s="29"/>
      <c r="AN735" s="29"/>
      <c r="AO735" s="29"/>
      <c r="AP735" s="29"/>
      <c r="AQ735" s="29"/>
      <c r="AR735" s="29"/>
    </row>
    <row r="736">
      <c r="A736" s="29"/>
      <c r="B736" s="29"/>
      <c r="C736" s="29"/>
      <c r="D736" s="29"/>
      <c r="E736" s="29"/>
      <c r="F736" s="29"/>
      <c r="G736" s="29"/>
      <c r="H736" s="30"/>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9"/>
      <c r="AH736" s="29"/>
      <c r="AI736" s="29"/>
      <c r="AJ736" s="29"/>
      <c r="AK736" s="29"/>
      <c r="AL736" s="29"/>
      <c r="AM736" s="29"/>
      <c r="AN736" s="29"/>
      <c r="AO736" s="29"/>
      <c r="AP736" s="29"/>
      <c r="AQ736" s="29"/>
      <c r="AR736" s="29"/>
    </row>
    <row r="737">
      <c r="A737" s="29"/>
      <c r="B737" s="29"/>
      <c r="C737" s="29"/>
      <c r="D737" s="29"/>
      <c r="E737" s="29"/>
      <c r="F737" s="29"/>
      <c r="G737" s="29"/>
      <c r="H737" s="30"/>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row>
    <row r="738">
      <c r="A738" s="29"/>
      <c r="B738" s="29"/>
      <c r="C738" s="29"/>
      <c r="D738" s="29"/>
      <c r="E738" s="29"/>
      <c r="F738" s="29"/>
      <c r="G738" s="29"/>
      <c r="H738" s="30"/>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row>
    <row r="739">
      <c r="A739" s="29"/>
      <c r="B739" s="29"/>
      <c r="C739" s="29"/>
      <c r="D739" s="29"/>
      <c r="E739" s="29"/>
      <c r="F739" s="29"/>
      <c r="G739" s="29"/>
      <c r="H739" s="30"/>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9"/>
      <c r="AH739" s="29"/>
      <c r="AI739" s="29"/>
      <c r="AJ739" s="29"/>
      <c r="AK739" s="29"/>
      <c r="AL739" s="29"/>
      <c r="AM739" s="29"/>
      <c r="AN739" s="29"/>
      <c r="AO739" s="29"/>
      <c r="AP739" s="29"/>
      <c r="AQ739" s="29"/>
      <c r="AR739" s="29"/>
    </row>
    <row r="740">
      <c r="A740" s="29"/>
      <c r="B740" s="29"/>
      <c r="C740" s="29"/>
      <c r="D740" s="29"/>
      <c r="E740" s="29"/>
      <c r="F740" s="29"/>
      <c r="G740" s="29"/>
      <c r="H740" s="30"/>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9"/>
      <c r="AH740" s="29"/>
      <c r="AI740" s="29"/>
      <c r="AJ740" s="29"/>
      <c r="AK740" s="29"/>
      <c r="AL740" s="29"/>
      <c r="AM740" s="29"/>
      <c r="AN740" s="29"/>
      <c r="AO740" s="29"/>
      <c r="AP740" s="29"/>
      <c r="AQ740" s="29"/>
      <c r="AR740" s="29"/>
    </row>
    <row r="741">
      <c r="A741" s="29"/>
      <c r="B741" s="29"/>
      <c r="C741" s="29"/>
      <c r="D741" s="29"/>
      <c r="E741" s="29"/>
      <c r="F741" s="29"/>
      <c r="G741" s="29"/>
      <c r="H741" s="30"/>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9"/>
      <c r="AH741" s="29"/>
      <c r="AI741" s="29"/>
      <c r="AJ741" s="29"/>
      <c r="AK741" s="29"/>
      <c r="AL741" s="29"/>
      <c r="AM741" s="29"/>
      <c r="AN741" s="29"/>
      <c r="AO741" s="29"/>
      <c r="AP741" s="29"/>
      <c r="AQ741" s="29"/>
      <c r="AR741" s="29"/>
    </row>
    <row r="742">
      <c r="A742" s="29"/>
      <c r="B742" s="29"/>
      <c r="C742" s="29"/>
      <c r="D742" s="29"/>
      <c r="E742" s="29"/>
      <c r="F742" s="29"/>
      <c r="G742" s="29"/>
      <c r="H742" s="30"/>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9"/>
      <c r="AH742" s="29"/>
      <c r="AI742" s="29"/>
      <c r="AJ742" s="29"/>
      <c r="AK742" s="29"/>
      <c r="AL742" s="29"/>
      <c r="AM742" s="29"/>
      <c r="AN742" s="29"/>
      <c r="AO742" s="29"/>
      <c r="AP742" s="29"/>
      <c r="AQ742" s="29"/>
      <c r="AR742" s="29"/>
    </row>
    <row r="743">
      <c r="A743" s="29"/>
      <c r="B743" s="29"/>
      <c r="C743" s="29"/>
      <c r="D743" s="29"/>
      <c r="E743" s="29"/>
      <c r="F743" s="29"/>
      <c r="G743" s="29"/>
      <c r="H743" s="30"/>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9"/>
      <c r="AH743" s="29"/>
      <c r="AI743" s="29"/>
      <c r="AJ743" s="29"/>
      <c r="AK743" s="29"/>
      <c r="AL743" s="29"/>
      <c r="AM743" s="29"/>
      <c r="AN743" s="29"/>
      <c r="AO743" s="29"/>
      <c r="AP743" s="29"/>
      <c r="AQ743" s="29"/>
      <c r="AR743" s="29"/>
    </row>
    <row r="744">
      <c r="A744" s="29"/>
      <c r="B744" s="29"/>
      <c r="C744" s="29"/>
      <c r="D744" s="29"/>
      <c r="E744" s="29"/>
      <c r="F744" s="29"/>
      <c r="G744" s="29"/>
      <c r="H744" s="30"/>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9"/>
      <c r="AH744" s="29"/>
      <c r="AI744" s="29"/>
      <c r="AJ744" s="29"/>
      <c r="AK744" s="29"/>
      <c r="AL744" s="29"/>
      <c r="AM744" s="29"/>
      <c r="AN744" s="29"/>
      <c r="AO744" s="29"/>
      <c r="AP744" s="29"/>
      <c r="AQ744" s="29"/>
      <c r="AR744" s="29"/>
    </row>
    <row r="745">
      <c r="A745" s="29"/>
      <c r="B745" s="29"/>
      <c r="C745" s="29"/>
      <c r="D745" s="29"/>
      <c r="E745" s="29"/>
      <c r="F745" s="29"/>
      <c r="G745" s="29"/>
      <c r="H745" s="30"/>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9"/>
      <c r="AH745" s="29"/>
      <c r="AI745" s="29"/>
      <c r="AJ745" s="29"/>
      <c r="AK745" s="29"/>
      <c r="AL745" s="29"/>
      <c r="AM745" s="29"/>
      <c r="AN745" s="29"/>
      <c r="AO745" s="29"/>
      <c r="AP745" s="29"/>
      <c r="AQ745" s="29"/>
      <c r="AR745" s="29"/>
    </row>
    <row r="746">
      <c r="A746" s="29"/>
      <c r="B746" s="29"/>
      <c r="C746" s="29"/>
      <c r="D746" s="29"/>
      <c r="E746" s="29"/>
      <c r="F746" s="29"/>
      <c r="G746" s="29"/>
      <c r="H746" s="30"/>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c r="AJ746" s="29"/>
      <c r="AK746" s="29"/>
      <c r="AL746" s="29"/>
      <c r="AM746" s="29"/>
      <c r="AN746" s="29"/>
      <c r="AO746" s="29"/>
      <c r="AP746" s="29"/>
      <c r="AQ746" s="29"/>
      <c r="AR746" s="29"/>
    </row>
    <row r="747">
      <c r="A747" s="29"/>
      <c r="B747" s="29"/>
      <c r="C747" s="29"/>
      <c r="D747" s="29"/>
      <c r="E747" s="29"/>
      <c r="F747" s="29"/>
      <c r="G747" s="29"/>
      <c r="H747" s="30"/>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c r="AJ747" s="29"/>
      <c r="AK747" s="29"/>
      <c r="AL747" s="29"/>
      <c r="AM747" s="29"/>
      <c r="AN747" s="29"/>
      <c r="AO747" s="29"/>
      <c r="AP747" s="29"/>
      <c r="AQ747" s="29"/>
      <c r="AR747" s="29"/>
    </row>
    <row r="748">
      <c r="A748" s="29"/>
      <c r="B748" s="29"/>
      <c r="C748" s="29"/>
      <c r="D748" s="29"/>
      <c r="E748" s="29"/>
      <c r="F748" s="29"/>
      <c r="G748" s="29"/>
      <c r="H748" s="30"/>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9"/>
      <c r="AH748" s="29"/>
      <c r="AI748" s="29"/>
      <c r="AJ748" s="29"/>
      <c r="AK748" s="29"/>
      <c r="AL748" s="29"/>
      <c r="AM748" s="29"/>
      <c r="AN748" s="29"/>
      <c r="AO748" s="29"/>
      <c r="AP748" s="29"/>
      <c r="AQ748" s="29"/>
      <c r="AR748" s="29"/>
    </row>
    <row r="749">
      <c r="A749" s="29"/>
      <c r="B749" s="29"/>
      <c r="C749" s="29"/>
      <c r="D749" s="29"/>
      <c r="E749" s="29"/>
      <c r="F749" s="29"/>
      <c r="G749" s="29"/>
      <c r="H749" s="30"/>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row>
    <row r="750">
      <c r="A750" s="29"/>
      <c r="B750" s="29"/>
      <c r="C750" s="29"/>
      <c r="D750" s="29"/>
      <c r="E750" s="29"/>
      <c r="F750" s="29"/>
      <c r="G750" s="29"/>
      <c r="H750" s="30"/>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row>
    <row r="751">
      <c r="A751" s="29"/>
      <c r="B751" s="29"/>
      <c r="C751" s="29"/>
      <c r="D751" s="29"/>
      <c r="E751" s="29"/>
      <c r="F751" s="29"/>
      <c r="G751" s="29"/>
      <c r="H751" s="30"/>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9"/>
      <c r="AH751" s="29"/>
      <c r="AI751" s="29"/>
      <c r="AJ751" s="29"/>
      <c r="AK751" s="29"/>
      <c r="AL751" s="29"/>
      <c r="AM751" s="29"/>
      <c r="AN751" s="29"/>
      <c r="AO751" s="29"/>
      <c r="AP751" s="29"/>
      <c r="AQ751" s="29"/>
      <c r="AR751" s="29"/>
    </row>
    <row r="752">
      <c r="A752" s="29"/>
      <c r="B752" s="29"/>
      <c r="C752" s="29"/>
      <c r="D752" s="29"/>
      <c r="E752" s="29"/>
      <c r="F752" s="29"/>
      <c r="G752" s="29"/>
      <c r="H752" s="30"/>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9"/>
      <c r="AH752" s="29"/>
      <c r="AI752" s="29"/>
      <c r="AJ752" s="29"/>
      <c r="AK752" s="29"/>
      <c r="AL752" s="29"/>
      <c r="AM752" s="29"/>
      <c r="AN752" s="29"/>
      <c r="AO752" s="29"/>
      <c r="AP752" s="29"/>
      <c r="AQ752" s="29"/>
      <c r="AR752" s="29"/>
    </row>
    <row r="753">
      <c r="A753" s="29"/>
      <c r="B753" s="29"/>
      <c r="C753" s="29"/>
      <c r="D753" s="29"/>
      <c r="E753" s="29"/>
      <c r="F753" s="29"/>
      <c r="G753" s="29"/>
      <c r="H753" s="30"/>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9"/>
      <c r="AH753" s="29"/>
      <c r="AI753" s="29"/>
      <c r="AJ753" s="29"/>
      <c r="AK753" s="29"/>
      <c r="AL753" s="29"/>
      <c r="AM753" s="29"/>
      <c r="AN753" s="29"/>
      <c r="AO753" s="29"/>
      <c r="AP753" s="29"/>
      <c r="AQ753" s="29"/>
      <c r="AR753" s="29"/>
    </row>
    <row r="754">
      <c r="A754" s="29"/>
      <c r="B754" s="29"/>
      <c r="C754" s="29"/>
      <c r="D754" s="29"/>
      <c r="E754" s="29"/>
      <c r="F754" s="29"/>
      <c r="G754" s="29"/>
      <c r="H754" s="30"/>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9"/>
      <c r="AH754" s="29"/>
      <c r="AI754" s="29"/>
      <c r="AJ754" s="29"/>
      <c r="AK754" s="29"/>
      <c r="AL754" s="29"/>
      <c r="AM754" s="29"/>
      <c r="AN754" s="29"/>
      <c r="AO754" s="29"/>
      <c r="AP754" s="29"/>
      <c r="AQ754" s="29"/>
      <c r="AR754" s="29"/>
    </row>
    <row r="755">
      <c r="A755" s="29"/>
      <c r="B755" s="29"/>
      <c r="C755" s="29"/>
      <c r="D755" s="29"/>
      <c r="E755" s="29"/>
      <c r="F755" s="29"/>
      <c r="G755" s="29"/>
      <c r="H755" s="30"/>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9"/>
      <c r="AH755" s="29"/>
      <c r="AI755" s="29"/>
      <c r="AJ755" s="29"/>
      <c r="AK755" s="29"/>
      <c r="AL755" s="29"/>
      <c r="AM755" s="29"/>
      <c r="AN755" s="29"/>
      <c r="AO755" s="29"/>
      <c r="AP755" s="29"/>
      <c r="AQ755" s="29"/>
      <c r="AR755" s="29"/>
    </row>
    <row r="756">
      <c r="A756" s="29"/>
      <c r="B756" s="29"/>
      <c r="C756" s="29"/>
      <c r="D756" s="29"/>
      <c r="E756" s="29"/>
      <c r="F756" s="29"/>
      <c r="G756" s="29"/>
      <c r="H756" s="30"/>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9"/>
      <c r="AH756" s="29"/>
      <c r="AI756" s="29"/>
      <c r="AJ756" s="29"/>
      <c r="AK756" s="29"/>
      <c r="AL756" s="29"/>
      <c r="AM756" s="29"/>
      <c r="AN756" s="29"/>
      <c r="AO756" s="29"/>
      <c r="AP756" s="29"/>
      <c r="AQ756" s="29"/>
      <c r="AR756" s="29"/>
    </row>
    <row r="757">
      <c r="A757" s="29"/>
      <c r="B757" s="29"/>
      <c r="C757" s="29"/>
      <c r="D757" s="29"/>
      <c r="E757" s="29"/>
      <c r="F757" s="29"/>
      <c r="G757" s="29"/>
      <c r="H757" s="30"/>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9"/>
      <c r="AH757" s="29"/>
      <c r="AI757" s="29"/>
      <c r="AJ757" s="29"/>
      <c r="AK757" s="29"/>
      <c r="AL757" s="29"/>
      <c r="AM757" s="29"/>
      <c r="AN757" s="29"/>
      <c r="AO757" s="29"/>
      <c r="AP757" s="29"/>
      <c r="AQ757" s="29"/>
      <c r="AR757" s="29"/>
    </row>
    <row r="758">
      <c r="A758" s="29"/>
      <c r="B758" s="29"/>
      <c r="C758" s="29"/>
      <c r="D758" s="29"/>
      <c r="E758" s="29"/>
      <c r="F758" s="29"/>
      <c r="G758" s="29"/>
      <c r="H758" s="30"/>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9"/>
      <c r="AH758" s="29"/>
      <c r="AI758" s="29"/>
      <c r="AJ758" s="29"/>
      <c r="AK758" s="29"/>
      <c r="AL758" s="29"/>
      <c r="AM758" s="29"/>
      <c r="AN758" s="29"/>
      <c r="AO758" s="29"/>
      <c r="AP758" s="29"/>
      <c r="AQ758" s="29"/>
      <c r="AR758" s="29"/>
    </row>
    <row r="759">
      <c r="A759" s="29"/>
      <c r="B759" s="29"/>
      <c r="C759" s="29"/>
      <c r="D759" s="29"/>
      <c r="E759" s="29"/>
      <c r="F759" s="29"/>
      <c r="G759" s="29"/>
      <c r="H759" s="30"/>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9"/>
      <c r="AH759" s="29"/>
      <c r="AI759" s="29"/>
      <c r="AJ759" s="29"/>
      <c r="AK759" s="29"/>
      <c r="AL759" s="29"/>
      <c r="AM759" s="29"/>
      <c r="AN759" s="29"/>
      <c r="AO759" s="29"/>
      <c r="AP759" s="29"/>
      <c r="AQ759" s="29"/>
      <c r="AR759" s="29"/>
    </row>
    <row r="760">
      <c r="A760" s="29"/>
      <c r="B760" s="29"/>
      <c r="C760" s="29"/>
      <c r="D760" s="29"/>
      <c r="E760" s="29"/>
      <c r="F760" s="29"/>
      <c r="G760" s="29"/>
      <c r="H760" s="30"/>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9"/>
      <c r="AH760" s="29"/>
      <c r="AI760" s="29"/>
      <c r="AJ760" s="29"/>
      <c r="AK760" s="29"/>
      <c r="AL760" s="29"/>
      <c r="AM760" s="29"/>
      <c r="AN760" s="29"/>
      <c r="AO760" s="29"/>
      <c r="AP760" s="29"/>
      <c r="AQ760" s="29"/>
      <c r="AR760" s="29"/>
    </row>
    <row r="761">
      <c r="A761" s="29"/>
      <c r="B761" s="29"/>
      <c r="C761" s="29"/>
      <c r="D761" s="29"/>
      <c r="E761" s="29"/>
      <c r="F761" s="29"/>
      <c r="G761" s="29"/>
      <c r="H761" s="30"/>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row>
    <row r="762">
      <c r="A762" s="29"/>
      <c r="B762" s="29"/>
      <c r="C762" s="29"/>
      <c r="D762" s="29"/>
      <c r="E762" s="29"/>
      <c r="F762" s="29"/>
      <c r="G762" s="29"/>
      <c r="H762" s="30"/>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row>
    <row r="763">
      <c r="A763" s="29"/>
      <c r="B763" s="29"/>
      <c r="C763" s="29"/>
      <c r="D763" s="29"/>
      <c r="E763" s="29"/>
      <c r="F763" s="29"/>
      <c r="G763" s="29"/>
      <c r="H763" s="30"/>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9"/>
      <c r="AH763" s="29"/>
      <c r="AI763" s="29"/>
      <c r="AJ763" s="29"/>
      <c r="AK763" s="29"/>
      <c r="AL763" s="29"/>
      <c r="AM763" s="29"/>
      <c r="AN763" s="29"/>
      <c r="AO763" s="29"/>
      <c r="AP763" s="29"/>
      <c r="AQ763" s="29"/>
      <c r="AR763" s="29"/>
    </row>
    <row r="764">
      <c r="A764" s="29"/>
      <c r="B764" s="29"/>
      <c r="C764" s="29"/>
      <c r="D764" s="29"/>
      <c r="E764" s="29"/>
      <c r="F764" s="29"/>
      <c r="G764" s="29"/>
      <c r="H764" s="30"/>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9"/>
      <c r="AH764" s="29"/>
      <c r="AI764" s="29"/>
      <c r="AJ764" s="29"/>
      <c r="AK764" s="29"/>
      <c r="AL764" s="29"/>
      <c r="AM764" s="29"/>
      <c r="AN764" s="29"/>
      <c r="AO764" s="29"/>
      <c r="AP764" s="29"/>
      <c r="AQ764" s="29"/>
      <c r="AR764" s="29"/>
    </row>
    <row r="765">
      <c r="A765" s="29"/>
      <c r="B765" s="29"/>
      <c r="C765" s="29"/>
      <c r="D765" s="29"/>
      <c r="E765" s="29"/>
      <c r="F765" s="29"/>
      <c r="G765" s="29"/>
      <c r="H765" s="30"/>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9"/>
      <c r="AH765" s="29"/>
      <c r="AI765" s="29"/>
      <c r="AJ765" s="29"/>
      <c r="AK765" s="29"/>
      <c r="AL765" s="29"/>
      <c r="AM765" s="29"/>
      <c r="AN765" s="29"/>
      <c r="AO765" s="29"/>
      <c r="AP765" s="29"/>
      <c r="AQ765" s="29"/>
      <c r="AR765" s="29"/>
    </row>
    <row r="766">
      <c r="A766" s="29"/>
      <c r="B766" s="29"/>
      <c r="C766" s="29"/>
      <c r="D766" s="29"/>
      <c r="E766" s="29"/>
      <c r="F766" s="29"/>
      <c r="G766" s="29"/>
      <c r="H766" s="30"/>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9"/>
      <c r="AH766" s="29"/>
      <c r="AI766" s="29"/>
      <c r="AJ766" s="29"/>
      <c r="AK766" s="29"/>
      <c r="AL766" s="29"/>
      <c r="AM766" s="29"/>
      <c r="AN766" s="29"/>
      <c r="AO766" s="29"/>
      <c r="AP766" s="29"/>
      <c r="AQ766" s="29"/>
      <c r="AR766" s="29"/>
    </row>
    <row r="767">
      <c r="A767" s="29"/>
      <c r="B767" s="29"/>
      <c r="C767" s="29"/>
      <c r="D767" s="29"/>
      <c r="E767" s="29"/>
      <c r="F767" s="29"/>
      <c r="G767" s="29"/>
      <c r="H767" s="30"/>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9"/>
      <c r="AH767" s="29"/>
      <c r="AI767" s="29"/>
      <c r="AJ767" s="29"/>
      <c r="AK767" s="29"/>
      <c r="AL767" s="29"/>
      <c r="AM767" s="29"/>
      <c r="AN767" s="29"/>
      <c r="AO767" s="29"/>
      <c r="AP767" s="29"/>
      <c r="AQ767" s="29"/>
      <c r="AR767" s="29"/>
    </row>
    <row r="768">
      <c r="A768" s="29"/>
      <c r="B768" s="29"/>
      <c r="C768" s="29"/>
      <c r="D768" s="29"/>
      <c r="E768" s="29"/>
      <c r="F768" s="29"/>
      <c r="G768" s="29"/>
      <c r="H768" s="30"/>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9"/>
      <c r="AH768" s="29"/>
      <c r="AI768" s="29"/>
      <c r="AJ768" s="29"/>
      <c r="AK768" s="29"/>
      <c r="AL768" s="29"/>
      <c r="AM768" s="29"/>
      <c r="AN768" s="29"/>
      <c r="AO768" s="29"/>
      <c r="AP768" s="29"/>
      <c r="AQ768" s="29"/>
      <c r="AR768" s="29"/>
    </row>
    <row r="769">
      <c r="A769" s="29"/>
      <c r="B769" s="29"/>
      <c r="C769" s="29"/>
      <c r="D769" s="29"/>
      <c r="E769" s="29"/>
      <c r="F769" s="29"/>
      <c r="G769" s="29"/>
      <c r="H769" s="30"/>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9"/>
      <c r="AH769" s="29"/>
      <c r="AI769" s="29"/>
      <c r="AJ769" s="29"/>
      <c r="AK769" s="29"/>
      <c r="AL769" s="29"/>
      <c r="AM769" s="29"/>
      <c r="AN769" s="29"/>
      <c r="AO769" s="29"/>
      <c r="AP769" s="29"/>
      <c r="AQ769" s="29"/>
      <c r="AR769" s="29"/>
    </row>
    <row r="770">
      <c r="A770" s="29"/>
      <c r="B770" s="29"/>
      <c r="C770" s="29"/>
      <c r="D770" s="29"/>
      <c r="E770" s="29"/>
      <c r="F770" s="29"/>
      <c r="G770" s="29"/>
      <c r="H770" s="30"/>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9"/>
      <c r="AH770" s="29"/>
      <c r="AI770" s="29"/>
      <c r="AJ770" s="29"/>
      <c r="AK770" s="29"/>
      <c r="AL770" s="29"/>
      <c r="AM770" s="29"/>
      <c r="AN770" s="29"/>
      <c r="AO770" s="29"/>
      <c r="AP770" s="29"/>
      <c r="AQ770" s="29"/>
      <c r="AR770" s="29"/>
    </row>
    <row r="771">
      <c r="A771" s="29"/>
      <c r="B771" s="29"/>
      <c r="C771" s="29"/>
      <c r="D771" s="29"/>
      <c r="E771" s="29"/>
      <c r="F771" s="29"/>
      <c r="G771" s="29"/>
      <c r="H771" s="30"/>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9"/>
      <c r="AH771" s="29"/>
      <c r="AI771" s="29"/>
      <c r="AJ771" s="29"/>
      <c r="AK771" s="29"/>
      <c r="AL771" s="29"/>
      <c r="AM771" s="29"/>
      <c r="AN771" s="29"/>
      <c r="AO771" s="29"/>
      <c r="AP771" s="29"/>
      <c r="AQ771" s="29"/>
      <c r="AR771" s="29"/>
    </row>
    <row r="772">
      <c r="A772" s="29"/>
      <c r="B772" s="29"/>
      <c r="C772" s="29"/>
      <c r="D772" s="29"/>
      <c r="E772" s="29"/>
      <c r="F772" s="29"/>
      <c r="G772" s="29"/>
      <c r="H772" s="30"/>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9"/>
      <c r="AH772" s="29"/>
      <c r="AI772" s="29"/>
      <c r="AJ772" s="29"/>
      <c r="AK772" s="29"/>
      <c r="AL772" s="29"/>
      <c r="AM772" s="29"/>
      <c r="AN772" s="29"/>
      <c r="AO772" s="29"/>
      <c r="AP772" s="29"/>
      <c r="AQ772" s="29"/>
      <c r="AR772" s="29"/>
    </row>
    <row r="773">
      <c r="A773" s="29"/>
      <c r="B773" s="29"/>
      <c r="C773" s="29"/>
      <c r="D773" s="29"/>
      <c r="E773" s="29"/>
      <c r="F773" s="29"/>
      <c r="G773" s="29"/>
      <c r="H773" s="30"/>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row>
    <row r="774">
      <c r="A774" s="29"/>
      <c r="B774" s="29"/>
      <c r="C774" s="29"/>
      <c r="D774" s="29"/>
      <c r="E774" s="29"/>
      <c r="F774" s="29"/>
      <c r="G774" s="29"/>
      <c r="H774" s="30"/>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row>
    <row r="775">
      <c r="A775" s="29"/>
      <c r="B775" s="29"/>
      <c r="C775" s="29"/>
      <c r="D775" s="29"/>
      <c r="E775" s="29"/>
      <c r="F775" s="29"/>
      <c r="G775" s="29"/>
      <c r="H775" s="30"/>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AH775" s="29"/>
      <c r="AI775" s="29"/>
      <c r="AJ775" s="29"/>
      <c r="AK775" s="29"/>
      <c r="AL775" s="29"/>
      <c r="AM775" s="29"/>
      <c r="AN775" s="29"/>
      <c r="AO775" s="29"/>
      <c r="AP775" s="29"/>
      <c r="AQ775" s="29"/>
      <c r="AR775" s="29"/>
    </row>
    <row r="776">
      <c r="A776" s="29"/>
      <c r="B776" s="29"/>
      <c r="C776" s="29"/>
      <c r="D776" s="29"/>
      <c r="E776" s="29"/>
      <c r="F776" s="29"/>
      <c r="G776" s="29"/>
      <c r="H776" s="30"/>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9"/>
      <c r="AH776" s="29"/>
      <c r="AI776" s="29"/>
      <c r="AJ776" s="29"/>
      <c r="AK776" s="29"/>
      <c r="AL776" s="29"/>
      <c r="AM776" s="29"/>
      <c r="AN776" s="29"/>
      <c r="AO776" s="29"/>
      <c r="AP776" s="29"/>
      <c r="AQ776" s="29"/>
      <c r="AR776" s="29"/>
    </row>
    <row r="777">
      <c r="A777" s="29"/>
      <c r="B777" s="29"/>
      <c r="C777" s="29"/>
      <c r="D777" s="29"/>
      <c r="E777" s="29"/>
      <c r="F777" s="29"/>
      <c r="G777" s="29"/>
      <c r="H777" s="30"/>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9"/>
      <c r="AH777" s="29"/>
      <c r="AI777" s="29"/>
      <c r="AJ777" s="29"/>
      <c r="AK777" s="29"/>
      <c r="AL777" s="29"/>
      <c r="AM777" s="29"/>
      <c r="AN777" s="29"/>
      <c r="AO777" s="29"/>
      <c r="AP777" s="29"/>
      <c r="AQ777" s="29"/>
      <c r="AR777" s="29"/>
    </row>
    <row r="778">
      <c r="A778" s="29"/>
      <c r="B778" s="29"/>
      <c r="C778" s="29"/>
      <c r="D778" s="29"/>
      <c r="E778" s="29"/>
      <c r="F778" s="29"/>
      <c r="G778" s="29"/>
      <c r="H778" s="30"/>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9"/>
      <c r="AH778" s="29"/>
      <c r="AI778" s="29"/>
      <c r="AJ778" s="29"/>
      <c r="AK778" s="29"/>
      <c r="AL778" s="29"/>
      <c r="AM778" s="29"/>
      <c r="AN778" s="29"/>
      <c r="AO778" s="29"/>
      <c r="AP778" s="29"/>
      <c r="AQ778" s="29"/>
      <c r="AR778" s="29"/>
    </row>
    <row r="779">
      <c r="A779" s="29"/>
      <c r="B779" s="29"/>
      <c r="C779" s="29"/>
      <c r="D779" s="29"/>
      <c r="E779" s="29"/>
      <c r="F779" s="29"/>
      <c r="G779" s="29"/>
      <c r="H779" s="30"/>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9"/>
      <c r="AH779" s="29"/>
      <c r="AI779" s="29"/>
      <c r="AJ779" s="29"/>
      <c r="AK779" s="29"/>
      <c r="AL779" s="29"/>
      <c r="AM779" s="29"/>
      <c r="AN779" s="29"/>
      <c r="AO779" s="29"/>
      <c r="AP779" s="29"/>
      <c r="AQ779" s="29"/>
      <c r="AR779" s="29"/>
    </row>
    <row r="780">
      <c r="A780" s="29"/>
      <c r="B780" s="29"/>
      <c r="C780" s="29"/>
      <c r="D780" s="29"/>
      <c r="E780" s="29"/>
      <c r="F780" s="29"/>
      <c r="G780" s="29"/>
      <c r="H780" s="30"/>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9"/>
      <c r="AH780" s="29"/>
      <c r="AI780" s="29"/>
      <c r="AJ780" s="29"/>
      <c r="AK780" s="29"/>
      <c r="AL780" s="29"/>
      <c r="AM780" s="29"/>
      <c r="AN780" s="29"/>
      <c r="AO780" s="29"/>
      <c r="AP780" s="29"/>
      <c r="AQ780" s="29"/>
      <c r="AR780" s="29"/>
    </row>
    <row r="781">
      <c r="A781" s="29"/>
      <c r="B781" s="29"/>
      <c r="C781" s="29"/>
      <c r="D781" s="29"/>
      <c r="E781" s="29"/>
      <c r="F781" s="29"/>
      <c r="G781" s="29"/>
      <c r="H781" s="30"/>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9"/>
      <c r="AH781" s="29"/>
      <c r="AI781" s="29"/>
      <c r="AJ781" s="29"/>
      <c r="AK781" s="29"/>
      <c r="AL781" s="29"/>
      <c r="AM781" s="29"/>
      <c r="AN781" s="29"/>
      <c r="AO781" s="29"/>
      <c r="AP781" s="29"/>
      <c r="AQ781" s="29"/>
      <c r="AR781" s="29"/>
    </row>
    <row r="782">
      <c r="A782" s="29"/>
      <c r="B782" s="29"/>
      <c r="C782" s="29"/>
      <c r="D782" s="29"/>
      <c r="E782" s="29"/>
      <c r="F782" s="29"/>
      <c r="G782" s="29"/>
      <c r="H782" s="30"/>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9"/>
      <c r="AH782" s="29"/>
      <c r="AI782" s="29"/>
      <c r="AJ782" s="29"/>
      <c r="AK782" s="29"/>
      <c r="AL782" s="29"/>
      <c r="AM782" s="29"/>
      <c r="AN782" s="29"/>
      <c r="AO782" s="29"/>
      <c r="AP782" s="29"/>
      <c r="AQ782" s="29"/>
      <c r="AR782" s="29"/>
    </row>
    <row r="783">
      <c r="A783" s="29"/>
      <c r="B783" s="29"/>
      <c r="C783" s="29"/>
      <c r="D783" s="29"/>
      <c r="E783" s="29"/>
      <c r="F783" s="29"/>
      <c r="G783" s="29"/>
      <c r="H783" s="30"/>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9"/>
      <c r="AH783" s="29"/>
      <c r="AI783" s="29"/>
      <c r="AJ783" s="29"/>
      <c r="AK783" s="29"/>
      <c r="AL783" s="29"/>
      <c r="AM783" s="29"/>
      <c r="AN783" s="29"/>
      <c r="AO783" s="29"/>
      <c r="AP783" s="29"/>
      <c r="AQ783" s="29"/>
      <c r="AR783" s="29"/>
    </row>
    <row r="784">
      <c r="A784" s="29"/>
      <c r="B784" s="29"/>
      <c r="C784" s="29"/>
      <c r="D784" s="29"/>
      <c r="E784" s="29"/>
      <c r="F784" s="29"/>
      <c r="G784" s="29"/>
      <c r="H784" s="30"/>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9"/>
      <c r="AH784" s="29"/>
      <c r="AI784" s="29"/>
      <c r="AJ784" s="29"/>
      <c r="AK784" s="29"/>
      <c r="AL784" s="29"/>
      <c r="AM784" s="29"/>
      <c r="AN784" s="29"/>
      <c r="AO784" s="29"/>
      <c r="AP784" s="29"/>
      <c r="AQ784" s="29"/>
      <c r="AR784" s="29"/>
    </row>
    <row r="785">
      <c r="A785" s="29"/>
      <c r="B785" s="29"/>
      <c r="C785" s="29"/>
      <c r="D785" s="29"/>
      <c r="E785" s="29"/>
      <c r="F785" s="29"/>
      <c r="G785" s="29"/>
      <c r="H785" s="30"/>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row>
    <row r="786">
      <c r="A786" s="29"/>
      <c r="B786" s="29"/>
      <c r="C786" s="29"/>
      <c r="D786" s="29"/>
      <c r="E786" s="29"/>
      <c r="F786" s="29"/>
      <c r="G786" s="29"/>
      <c r="H786" s="30"/>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row>
    <row r="787">
      <c r="A787" s="29"/>
      <c r="B787" s="29"/>
      <c r="C787" s="29"/>
      <c r="D787" s="29"/>
      <c r="E787" s="29"/>
      <c r="F787" s="29"/>
      <c r="G787" s="29"/>
      <c r="H787" s="30"/>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c r="AF787" s="29"/>
      <c r="AG787" s="29"/>
      <c r="AH787" s="29"/>
      <c r="AI787" s="29"/>
      <c r="AJ787" s="29"/>
      <c r="AK787" s="29"/>
      <c r="AL787" s="29"/>
      <c r="AM787" s="29"/>
      <c r="AN787" s="29"/>
      <c r="AO787" s="29"/>
      <c r="AP787" s="29"/>
      <c r="AQ787" s="29"/>
      <c r="AR787" s="29"/>
    </row>
    <row r="788">
      <c r="A788" s="29"/>
      <c r="B788" s="29"/>
      <c r="C788" s="29"/>
      <c r="D788" s="29"/>
      <c r="E788" s="29"/>
      <c r="F788" s="29"/>
      <c r="G788" s="29"/>
      <c r="H788" s="30"/>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c r="AF788" s="29"/>
      <c r="AG788" s="29"/>
      <c r="AH788" s="29"/>
      <c r="AI788" s="29"/>
      <c r="AJ788" s="29"/>
      <c r="AK788" s="29"/>
      <c r="AL788" s="29"/>
      <c r="AM788" s="29"/>
      <c r="AN788" s="29"/>
      <c r="AO788" s="29"/>
      <c r="AP788" s="29"/>
      <c r="AQ788" s="29"/>
      <c r="AR788" s="29"/>
    </row>
    <row r="789">
      <c r="A789" s="29"/>
      <c r="B789" s="29"/>
      <c r="C789" s="29"/>
      <c r="D789" s="29"/>
      <c r="E789" s="29"/>
      <c r="F789" s="29"/>
      <c r="G789" s="29"/>
      <c r="H789" s="30"/>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c r="AF789" s="29"/>
      <c r="AG789" s="29"/>
      <c r="AH789" s="29"/>
      <c r="AI789" s="29"/>
      <c r="AJ789" s="29"/>
      <c r="AK789" s="29"/>
      <c r="AL789" s="29"/>
      <c r="AM789" s="29"/>
      <c r="AN789" s="29"/>
      <c r="AO789" s="29"/>
      <c r="AP789" s="29"/>
      <c r="AQ789" s="29"/>
      <c r="AR789" s="29"/>
    </row>
    <row r="790">
      <c r="A790" s="29"/>
      <c r="B790" s="29"/>
      <c r="C790" s="29"/>
      <c r="D790" s="29"/>
      <c r="E790" s="29"/>
      <c r="F790" s="29"/>
      <c r="G790" s="29"/>
      <c r="H790" s="30"/>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c r="AF790" s="29"/>
      <c r="AG790" s="29"/>
      <c r="AH790" s="29"/>
      <c r="AI790" s="29"/>
      <c r="AJ790" s="29"/>
      <c r="AK790" s="29"/>
      <c r="AL790" s="29"/>
      <c r="AM790" s="29"/>
      <c r="AN790" s="29"/>
      <c r="AO790" s="29"/>
      <c r="AP790" s="29"/>
      <c r="AQ790" s="29"/>
      <c r="AR790" s="29"/>
    </row>
    <row r="791">
      <c r="A791" s="29"/>
      <c r="B791" s="29"/>
      <c r="C791" s="29"/>
      <c r="D791" s="29"/>
      <c r="E791" s="29"/>
      <c r="F791" s="29"/>
      <c r="G791" s="29"/>
      <c r="H791" s="30"/>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c r="AF791" s="29"/>
      <c r="AG791" s="29"/>
      <c r="AH791" s="29"/>
      <c r="AI791" s="29"/>
      <c r="AJ791" s="29"/>
      <c r="AK791" s="29"/>
      <c r="AL791" s="29"/>
      <c r="AM791" s="29"/>
      <c r="AN791" s="29"/>
      <c r="AO791" s="29"/>
      <c r="AP791" s="29"/>
      <c r="AQ791" s="29"/>
      <c r="AR791" s="29"/>
    </row>
    <row r="792">
      <c r="A792" s="29"/>
      <c r="B792" s="29"/>
      <c r="C792" s="29"/>
      <c r="D792" s="29"/>
      <c r="E792" s="29"/>
      <c r="F792" s="29"/>
      <c r="G792" s="29"/>
      <c r="H792" s="30"/>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c r="AF792" s="29"/>
      <c r="AG792" s="29"/>
      <c r="AH792" s="29"/>
      <c r="AI792" s="29"/>
      <c r="AJ792" s="29"/>
      <c r="AK792" s="29"/>
      <c r="AL792" s="29"/>
      <c r="AM792" s="29"/>
      <c r="AN792" s="29"/>
      <c r="AO792" s="29"/>
      <c r="AP792" s="29"/>
      <c r="AQ792" s="29"/>
      <c r="AR792" s="29"/>
    </row>
    <row r="793">
      <c r="A793" s="29"/>
      <c r="B793" s="29"/>
      <c r="C793" s="29"/>
      <c r="D793" s="29"/>
      <c r="E793" s="29"/>
      <c r="F793" s="29"/>
      <c r="G793" s="29"/>
      <c r="H793" s="30"/>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c r="AF793" s="29"/>
      <c r="AG793" s="29"/>
      <c r="AH793" s="29"/>
      <c r="AI793" s="29"/>
      <c r="AJ793" s="29"/>
      <c r="AK793" s="29"/>
      <c r="AL793" s="29"/>
      <c r="AM793" s="29"/>
      <c r="AN793" s="29"/>
      <c r="AO793" s="29"/>
      <c r="AP793" s="29"/>
      <c r="AQ793" s="29"/>
      <c r="AR793" s="29"/>
    </row>
    <row r="794">
      <c r="A794" s="29"/>
      <c r="B794" s="29"/>
      <c r="C794" s="29"/>
      <c r="D794" s="29"/>
      <c r="E794" s="29"/>
      <c r="F794" s="29"/>
      <c r="G794" s="29"/>
      <c r="H794" s="30"/>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c r="AF794" s="29"/>
      <c r="AG794" s="29"/>
      <c r="AH794" s="29"/>
      <c r="AI794" s="29"/>
      <c r="AJ794" s="29"/>
      <c r="AK794" s="29"/>
      <c r="AL794" s="29"/>
      <c r="AM794" s="29"/>
      <c r="AN794" s="29"/>
      <c r="AO794" s="29"/>
      <c r="AP794" s="29"/>
      <c r="AQ794" s="29"/>
      <c r="AR794" s="29"/>
    </row>
    <row r="795">
      <c r="A795" s="29"/>
      <c r="B795" s="29"/>
      <c r="C795" s="29"/>
      <c r="D795" s="29"/>
      <c r="E795" s="29"/>
      <c r="F795" s="29"/>
      <c r="G795" s="29"/>
      <c r="H795" s="30"/>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c r="AF795" s="29"/>
      <c r="AG795" s="29"/>
      <c r="AH795" s="29"/>
      <c r="AI795" s="29"/>
      <c r="AJ795" s="29"/>
      <c r="AK795" s="29"/>
      <c r="AL795" s="29"/>
      <c r="AM795" s="29"/>
      <c r="AN795" s="29"/>
      <c r="AO795" s="29"/>
      <c r="AP795" s="29"/>
      <c r="AQ795" s="29"/>
      <c r="AR795" s="29"/>
    </row>
    <row r="796">
      <c r="A796" s="29"/>
      <c r="B796" s="29"/>
      <c r="C796" s="29"/>
      <c r="D796" s="29"/>
      <c r="E796" s="29"/>
      <c r="F796" s="29"/>
      <c r="G796" s="29"/>
      <c r="H796" s="30"/>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c r="AF796" s="29"/>
      <c r="AG796" s="29"/>
      <c r="AH796" s="29"/>
      <c r="AI796" s="29"/>
      <c r="AJ796" s="29"/>
      <c r="AK796" s="29"/>
      <c r="AL796" s="29"/>
      <c r="AM796" s="29"/>
      <c r="AN796" s="29"/>
      <c r="AO796" s="29"/>
      <c r="AP796" s="29"/>
      <c r="AQ796" s="29"/>
      <c r="AR796" s="29"/>
    </row>
    <row r="797">
      <c r="A797" s="29"/>
      <c r="B797" s="29"/>
      <c r="C797" s="29"/>
      <c r="D797" s="29"/>
      <c r="E797" s="29"/>
      <c r="F797" s="29"/>
      <c r="G797" s="29"/>
      <c r="H797" s="30"/>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row>
    <row r="798">
      <c r="A798" s="29"/>
      <c r="B798" s="29"/>
      <c r="C798" s="29"/>
      <c r="D798" s="29"/>
      <c r="E798" s="29"/>
      <c r="F798" s="29"/>
      <c r="G798" s="29"/>
      <c r="H798" s="30"/>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row>
    <row r="799">
      <c r="A799" s="29"/>
      <c r="B799" s="29"/>
      <c r="C799" s="29"/>
      <c r="D799" s="29"/>
      <c r="E799" s="29"/>
      <c r="F799" s="29"/>
      <c r="G799" s="29"/>
      <c r="H799" s="30"/>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c r="AF799" s="29"/>
      <c r="AG799" s="29"/>
      <c r="AH799" s="29"/>
      <c r="AI799" s="29"/>
      <c r="AJ799" s="29"/>
      <c r="AK799" s="29"/>
      <c r="AL799" s="29"/>
      <c r="AM799" s="29"/>
      <c r="AN799" s="29"/>
      <c r="AO799" s="29"/>
      <c r="AP799" s="29"/>
      <c r="AQ799" s="29"/>
      <c r="AR799" s="29"/>
    </row>
    <row r="800">
      <c r="A800" s="29"/>
      <c r="B800" s="29"/>
      <c r="C800" s="29"/>
      <c r="D800" s="29"/>
      <c r="E800" s="29"/>
      <c r="F800" s="29"/>
      <c r="G800" s="29"/>
      <c r="H800" s="30"/>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c r="AF800" s="29"/>
      <c r="AG800" s="29"/>
      <c r="AH800" s="29"/>
      <c r="AI800" s="29"/>
      <c r="AJ800" s="29"/>
      <c r="AK800" s="29"/>
      <c r="AL800" s="29"/>
      <c r="AM800" s="29"/>
      <c r="AN800" s="29"/>
      <c r="AO800" s="29"/>
      <c r="AP800" s="29"/>
      <c r="AQ800" s="29"/>
      <c r="AR800" s="29"/>
    </row>
    <row r="801">
      <c r="A801" s="29"/>
      <c r="B801" s="29"/>
      <c r="C801" s="29"/>
      <c r="D801" s="29"/>
      <c r="E801" s="29"/>
      <c r="F801" s="29"/>
      <c r="G801" s="29"/>
      <c r="H801" s="30"/>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c r="AF801" s="29"/>
      <c r="AG801" s="29"/>
      <c r="AH801" s="29"/>
      <c r="AI801" s="29"/>
      <c r="AJ801" s="29"/>
      <c r="AK801" s="29"/>
      <c r="AL801" s="29"/>
      <c r="AM801" s="29"/>
      <c r="AN801" s="29"/>
      <c r="AO801" s="29"/>
      <c r="AP801" s="29"/>
      <c r="AQ801" s="29"/>
      <c r="AR801" s="29"/>
    </row>
    <row r="802">
      <c r="A802" s="29"/>
      <c r="B802" s="29"/>
      <c r="C802" s="29"/>
      <c r="D802" s="29"/>
      <c r="E802" s="29"/>
      <c r="F802" s="29"/>
      <c r="G802" s="29"/>
      <c r="H802" s="30"/>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c r="AF802" s="29"/>
      <c r="AG802" s="29"/>
      <c r="AH802" s="29"/>
      <c r="AI802" s="29"/>
      <c r="AJ802" s="29"/>
      <c r="AK802" s="29"/>
      <c r="AL802" s="29"/>
      <c r="AM802" s="29"/>
      <c r="AN802" s="29"/>
      <c r="AO802" s="29"/>
      <c r="AP802" s="29"/>
      <c r="AQ802" s="29"/>
      <c r="AR802" s="29"/>
    </row>
    <row r="803">
      <c r="A803" s="29"/>
      <c r="B803" s="29"/>
      <c r="C803" s="29"/>
      <c r="D803" s="29"/>
      <c r="E803" s="29"/>
      <c r="F803" s="29"/>
      <c r="G803" s="29"/>
      <c r="H803" s="30"/>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c r="AF803" s="29"/>
      <c r="AG803" s="29"/>
      <c r="AH803" s="29"/>
      <c r="AI803" s="29"/>
      <c r="AJ803" s="29"/>
      <c r="AK803" s="29"/>
      <c r="AL803" s="29"/>
      <c r="AM803" s="29"/>
      <c r="AN803" s="29"/>
      <c r="AO803" s="29"/>
      <c r="AP803" s="29"/>
      <c r="AQ803" s="29"/>
      <c r="AR803" s="29"/>
    </row>
    <row r="804">
      <c r="A804" s="29"/>
      <c r="B804" s="29"/>
      <c r="C804" s="29"/>
      <c r="D804" s="29"/>
      <c r="E804" s="29"/>
      <c r="F804" s="29"/>
      <c r="G804" s="29"/>
      <c r="H804" s="30"/>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c r="AF804" s="29"/>
      <c r="AG804" s="29"/>
      <c r="AH804" s="29"/>
      <c r="AI804" s="29"/>
      <c r="AJ804" s="29"/>
      <c r="AK804" s="29"/>
      <c r="AL804" s="29"/>
      <c r="AM804" s="29"/>
      <c r="AN804" s="29"/>
      <c r="AO804" s="29"/>
      <c r="AP804" s="29"/>
      <c r="AQ804" s="29"/>
      <c r="AR804" s="29"/>
    </row>
    <row r="805">
      <c r="A805" s="29"/>
      <c r="B805" s="29"/>
      <c r="C805" s="29"/>
      <c r="D805" s="29"/>
      <c r="E805" s="29"/>
      <c r="F805" s="29"/>
      <c r="G805" s="29"/>
      <c r="H805" s="30"/>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9"/>
      <c r="AH805" s="29"/>
      <c r="AI805" s="29"/>
      <c r="AJ805" s="29"/>
      <c r="AK805" s="29"/>
      <c r="AL805" s="29"/>
      <c r="AM805" s="29"/>
      <c r="AN805" s="29"/>
      <c r="AO805" s="29"/>
      <c r="AP805" s="29"/>
      <c r="AQ805" s="29"/>
      <c r="AR805" s="29"/>
    </row>
    <row r="806">
      <c r="A806" s="29"/>
      <c r="B806" s="29"/>
      <c r="C806" s="29"/>
      <c r="D806" s="29"/>
      <c r="E806" s="29"/>
      <c r="F806" s="29"/>
      <c r="G806" s="29"/>
      <c r="H806" s="30"/>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c r="AF806" s="29"/>
      <c r="AG806" s="29"/>
      <c r="AH806" s="29"/>
      <c r="AI806" s="29"/>
      <c r="AJ806" s="29"/>
      <c r="AK806" s="29"/>
      <c r="AL806" s="29"/>
      <c r="AM806" s="29"/>
      <c r="AN806" s="29"/>
      <c r="AO806" s="29"/>
      <c r="AP806" s="29"/>
      <c r="AQ806" s="29"/>
      <c r="AR806" s="29"/>
    </row>
    <row r="807">
      <c r="A807" s="29"/>
      <c r="B807" s="29"/>
      <c r="C807" s="29"/>
      <c r="D807" s="29"/>
      <c r="E807" s="29"/>
      <c r="F807" s="29"/>
      <c r="G807" s="29"/>
      <c r="H807" s="30"/>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c r="AF807" s="29"/>
      <c r="AG807" s="29"/>
      <c r="AH807" s="29"/>
      <c r="AI807" s="29"/>
      <c r="AJ807" s="29"/>
      <c r="AK807" s="29"/>
      <c r="AL807" s="29"/>
      <c r="AM807" s="29"/>
      <c r="AN807" s="29"/>
      <c r="AO807" s="29"/>
      <c r="AP807" s="29"/>
      <c r="AQ807" s="29"/>
      <c r="AR807" s="29"/>
    </row>
    <row r="808">
      <c r="A808" s="29"/>
      <c r="B808" s="29"/>
      <c r="C808" s="29"/>
      <c r="D808" s="29"/>
      <c r="E808" s="29"/>
      <c r="F808" s="29"/>
      <c r="G808" s="29"/>
      <c r="H808" s="30"/>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c r="AF808" s="29"/>
      <c r="AG808" s="29"/>
      <c r="AH808" s="29"/>
      <c r="AI808" s="29"/>
      <c r="AJ808" s="29"/>
      <c r="AK808" s="29"/>
      <c r="AL808" s="29"/>
      <c r="AM808" s="29"/>
      <c r="AN808" s="29"/>
      <c r="AO808" s="29"/>
      <c r="AP808" s="29"/>
      <c r="AQ808" s="29"/>
      <c r="AR808" s="29"/>
    </row>
    <row r="809">
      <c r="A809" s="29"/>
      <c r="B809" s="29"/>
      <c r="C809" s="29"/>
      <c r="D809" s="29"/>
      <c r="E809" s="29"/>
      <c r="F809" s="29"/>
      <c r="G809" s="29"/>
      <c r="H809" s="30"/>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row>
    <row r="810">
      <c r="A810" s="29"/>
      <c r="B810" s="29"/>
      <c r="C810" s="29"/>
      <c r="D810" s="29"/>
      <c r="E810" s="29"/>
      <c r="F810" s="29"/>
      <c r="G810" s="29"/>
      <c r="H810" s="30"/>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row>
    <row r="811">
      <c r="A811" s="29"/>
      <c r="B811" s="29"/>
      <c r="C811" s="29"/>
      <c r="D811" s="29"/>
      <c r="E811" s="29"/>
      <c r="F811" s="29"/>
      <c r="G811" s="29"/>
      <c r="H811" s="30"/>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c r="AF811" s="29"/>
      <c r="AG811" s="29"/>
      <c r="AH811" s="29"/>
      <c r="AI811" s="29"/>
      <c r="AJ811" s="29"/>
      <c r="AK811" s="29"/>
      <c r="AL811" s="29"/>
      <c r="AM811" s="29"/>
      <c r="AN811" s="29"/>
      <c r="AO811" s="29"/>
      <c r="AP811" s="29"/>
      <c r="AQ811" s="29"/>
      <c r="AR811" s="29"/>
    </row>
    <row r="812">
      <c r="A812" s="29"/>
      <c r="B812" s="29"/>
      <c r="C812" s="29"/>
      <c r="D812" s="29"/>
      <c r="E812" s="29"/>
      <c r="F812" s="29"/>
      <c r="G812" s="29"/>
      <c r="H812" s="30"/>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c r="AF812" s="29"/>
      <c r="AG812" s="29"/>
      <c r="AH812" s="29"/>
      <c r="AI812" s="29"/>
      <c r="AJ812" s="29"/>
      <c r="AK812" s="29"/>
      <c r="AL812" s="29"/>
      <c r="AM812" s="29"/>
      <c r="AN812" s="29"/>
      <c r="AO812" s="29"/>
      <c r="AP812" s="29"/>
      <c r="AQ812" s="29"/>
      <c r="AR812" s="29"/>
    </row>
    <row r="813">
      <c r="A813" s="29"/>
      <c r="B813" s="29"/>
      <c r="C813" s="29"/>
      <c r="D813" s="29"/>
      <c r="E813" s="29"/>
      <c r="F813" s="29"/>
      <c r="G813" s="29"/>
      <c r="H813" s="30"/>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9"/>
      <c r="AH813" s="29"/>
      <c r="AI813" s="29"/>
      <c r="AJ813" s="29"/>
      <c r="AK813" s="29"/>
      <c r="AL813" s="29"/>
      <c r="AM813" s="29"/>
      <c r="AN813" s="29"/>
      <c r="AO813" s="29"/>
      <c r="AP813" s="29"/>
      <c r="AQ813" s="29"/>
      <c r="AR813" s="29"/>
    </row>
    <row r="814">
      <c r="A814" s="29"/>
      <c r="B814" s="29"/>
      <c r="C814" s="29"/>
      <c r="D814" s="29"/>
      <c r="E814" s="29"/>
      <c r="F814" s="29"/>
      <c r="G814" s="29"/>
      <c r="H814" s="30"/>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c r="AF814" s="29"/>
      <c r="AG814" s="29"/>
      <c r="AH814" s="29"/>
      <c r="AI814" s="29"/>
      <c r="AJ814" s="29"/>
      <c r="AK814" s="29"/>
      <c r="AL814" s="29"/>
      <c r="AM814" s="29"/>
      <c r="AN814" s="29"/>
      <c r="AO814" s="29"/>
      <c r="AP814" s="29"/>
      <c r="AQ814" s="29"/>
      <c r="AR814" s="29"/>
    </row>
    <row r="815">
      <c r="A815" s="29"/>
      <c r="B815" s="29"/>
      <c r="C815" s="29"/>
      <c r="D815" s="29"/>
      <c r="E815" s="29"/>
      <c r="F815" s="29"/>
      <c r="G815" s="29"/>
      <c r="H815" s="30"/>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c r="AF815" s="29"/>
      <c r="AG815" s="29"/>
      <c r="AH815" s="29"/>
      <c r="AI815" s="29"/>
      <c r="AJ815" s="29"/>
      <c r="AK815" s="29"/>
      <c r="AL815" s="29"/>
      <c r="AM815" s="29"/>
      <c r="AN815" s="29"/>
      <c r="AO815" s="29"/>
      <c r="AP815" s="29"/>
      <c r="AQ815" s="29"/>
      <c r="AR815" s="29"/>
    </row>
    <row r="816">
      <c r="A816" s="29"/>
      <c r="B816" s="29"/>
      <c r="C816" s="29"/>
      <c r="D816" s="29"/>
      <c r="E816" s="29"/>
      <c r="F816" s="29"/>
      <c r="G816" s="29"/>
      <c r="H816" s="30"/>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c r="AF816" s="29"/>
      <c r="AG816" s="29"/>
      <c r="AH816" s="29"/>
      <c r="AI816" s="29"/>
      <c r="AJ816" s="29"/>
      <c r="AK816" s="29"/>
      <c r="AL816" s="29"/>
      <c r="AM816" s="29"/>
      <c r="AN816" s="29"/>
      <c r="AO816" s="29"/>
      <c r="AP816" s="29"/>
      <c r="AQ816" s="29"/>
      <c r="AR816" s="29"/>
    </row>
    <row r="817">
      <c r="A817" s="29"/>
      <c r="B817" s="29"/>
      <c r="C817" s="29"/>
      <c r="D817" s="29"/>
      <c r="E817" s="29"/>
      <c r="F817" s="29"/>
      <c r="G817" s="29"/>
      <c r="H817" s="30"/>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c r="AF817" s="29"/>
      <c r="AG817" s="29"/>
      <c r="AH817" s="29"/>
      <c r="AI817" s="29"/>
      <c r="AJ817" s="29"/>
      <c r="AK817" s="29"/>
      <c r="AL817" s="29"/>
      <c r="AM817" s="29"/>
      <c r="AN817" s="29"/>
      <c r="AO817" s="29"/>
      <c r="AP817" s="29"/>
      <c r="AQ817" s="29"/>
      <c r="AR817" s="29"/>
    </row>
    <row r="818">
      <c r="A818" s="29"/>
      <c r="B818" s="29"/>
      <c r="C818" s="29"/>
      <c r="D818" s="29"/>
      <c r="E818" s="29"/>
      <c r="F818" s="29"/>
      <c r="G818" s="29"/>
      <c r="H818" s="30"/>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c r="AF818" s="29"/>
      <c r="AG818" s="29"/>
      <c r="AH818" s="29"/>
      <c r="AI818" s="29"/>
      <c r="AJ818" s="29"/>
      <c r="AK818" s="29"/>
      <c r="AL818" s="29"/>
      <c r="AM818" s="29"/>
      <c r="AN818" s="29"/>
      <c r="AO818" s="29"/>
      <c r="AP818" s="29"/>
      <c r="AQ818" s="29"/>
      <c r="AR818" s="29"/>
    </row>
    <row r="819">
      <c r="A819" s="29"/>
      <c r="B819" s="29"/>
      <c r="C819" s="29"/>
      <c r="D819" s="29"/>
      <c r="E819" s="29"/>
      <c r="F819" s="29"/>
      <c r="G819" s="29"/>
      <c r="H819" s="30"/>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c r="AF819" s="29"/>
      <c r="AG819" s="29"/>
      <c r="AH819" s="29"/>
      <c r="AI819" s="29"/>
      <c r="AJ819" s="29"/>
      <c r="AK819" s="29"/>
      <c r="AL819" s="29"/>
      <c r="AM819" s="29"/>
      <c r="AN819" s="29"/>
      <c r="AO819" s="29"/>
      <c r="AP819" s="29"/>
      <c r="AQ819" s="29"/>
      <c r="AR819" s="29"/>
    </row>
    <row r="820">
      <c r="A820" s="29"/>
      <c r="B820" s="29"/>
      <c r="C820" s="29"/>
      <c r="D820" s="29"/>
      <c r="E820" s="29"/>
      <c r="F820" s="29"/>
      <c r="G820" s="29"/>
      <c r="H820" s="30"/>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c r="AF820" s="29"/>
      <c r="AG820" s="29"/>
      <c r="AH820" s="29"/>
      <c r="AI820" s="29"/>
      <c r="AJ820" s="29"/>
      <c r="AK820" s="29"/>
      <c r="AL820" s="29"/>
      <c r="AM820" s="29"/>
      <c r="AN820" s="29"/>
      <c r="AO820" s="29"/>
      <c r="AP820" s="29"/>
      <c r="AQ820" s="29"/>
      <c r="AR820" s="29"/>
    </row>
    <row r="821">
      <c r="A821" s="29"/>
      <c r="B821" s="29"/>
      <c r="C821" s="29"/>
      <c r="D821" s="29"/>
      <c r="E821" s="29"/>
      <c r="F821" s="29"/>
      <c r="G821" s="29"/>
      <c r="H821" s="30"/>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row>
    <row r="822">
      <c r="A822" s="29"/>
      <c r="B822" s="29"/>
      <c r="C822" s="29"/>
      <c r="D822" s="29"/>
      <c r="E822" s="29"/>
      <c r="F822" s="29"/>
      <c r="G822" s="29"/>
      <c r="H822" s="30"/>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row>
    <row r="823">
      <c r="A823" s="29"/>
      <c r="B823" s="29"/>
      <c r="C823" s="29"/>
      <c r="D823" s="29"/>
      <c r="E823" s="29"/>
      <c r="F823" s="29"/>
      <c r="G823" s="29"/>
      <c r="H823" s="30"/>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c r="AF823" s="29"/>
      <c r="AG823" s="29"/>
      <c r="AH823" s="29"/>
      <c r="AI823" s="29"/>
      <c r="AJ823" s="29"/>
      <c r="AK823" s="29"/>
      <c r="AL823" s="29"/>
      <c r="AM823" s="29"/>
      <c r="AN823" s="29"/>
      <c r="AO823" s="29"/>
      <c r="AP823" s="29"/>
      <c r="AQ823" s="29"/>
      <c r="AR823" s="29"/>
    </row>
    <row r="824">
      <c r="A824" s="29"/>
      <c r="B824" s="29"/>
      <c r="C824" s="29"/>
      <c r="D824" s="29"/>
      <c r="E824" s="29"/>
      <c r="F824" s="29"/>
      <c r="G824" s="29"/>
      <c r="H824" s="30"/>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c r="AF824" s="29"/>
      <c r="AG824" s="29"/>
      <c r="AH824" s="29"/>
      <c r="AI824" s="29"/>
      <c r="AJ824" s="29"/>
      <c r="AK824" s="29"/>
      <c r="AL824" s="29"/>
      <c r="AM824" s="29"/>
      <c r="AN824" s="29"/>
      <c r="AO824" s="29"/>
      <c r="AP824" s="29"/>
      <c r="AQ824" s="29"/>
      <c r="AR824" s="29"/>
    </row>
    <row r="825">
      <c r="A825" s="29"/>
      <c r="B825" s="29"/>
      <c r="C825" s="29"/>
      <c r="D825" s="29"/>
      <c r="E825" s="29"/>
      <c r="F825" s="29"/>
      <c r="G825" s="29"/>
      <c r="H825" s="30"/>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c r="AF825" s="29"/>
      <c r="AG825" s="29"/>
      <c r="AH825" s="29"/>
      <c r="AI825" s="29"/>
      <c r="AJ825" s="29"/>
      <c r="AK825" s="29"/>
      <c r="AL825" s="29"/>
      <c r="AM825" s="29"/>
      <c r="AN825" s="29"/>
      <c r="AO825" s="29"/>
      <c r="AP825" s="29"/>
      <c r="AQ825" s="29"/>
      <c r="AR825" s="29"/>
    </row>
    <row r="826">
      <c r="A826" s="29"/>
      <c r="B826" s="29"/>
      <c r="C826" s="29"/>
      <c r="D826" s="29"/>
      <c r="E826" s="29"/>
      <c r="F826" s="29"/>
      <c r="G826" s="29"/>
      <c r="H826" s="30"/>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c r="AF826" s="29"/>
      <c r="AG826" s="29"/>
      <c r="AH826" s="29"/>
      <c r="AI826" s="29"/>
      <c r="AJ826" s="29"/>
      <c r="AK826" s="29"/>
      <c r="AL826" s="29"/>
      <c r="AM826" s="29"/>
      <c r="AN826" s="29"/>
      <c r="AO826" s="29"/>
      <c r="AP826" s="29"/>
      <c r="AQ826" s="29"/>
      <c r="AR826" s="29"/>
    </row>
    <row r="827">
      <c r="A827" s="29"/>
      <c r="B827" s="29"/>
      <c r="C827" s="29"/>
      <c r="D827" s="29"/>
      <c r="E827" s="29"/>
      <c r="F827" s="29"/>
      <c r="G827" s="29"/>
      <c r="H827" s="30"/>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c r="AF827" s="29"/>
      <c r="AG827" s="29"/>
      <c r="AH827" s="29"/>
      <c r="AI827" s="29"/>
      <c r="AJ827" s="29"/>
      <c r="AK827" s="29"/>
      <c r="AL827" s="29"/>
      <c r="AM827" s="29"/>
      <c r="AN827" s="29"/>
      <c r="AO827" s="29"/>
      <c r="AP827" s="29"/>
      <c r="AQ827" s="29"/>
      <c r="AR827" s="29"/>
    </row>
    <row r="828">
      <c r="A828" s="29"/>
      <c r="B828" s="29"/>
      <c r="C828" s="29"/>
      <c r="D828" s="29"/>
      <c r="E828" s="29"/>
      <c r="F828" s="29"/>
      <c r="G828" s="29"/>
      <c r="H828" s="30"/>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c r="AF828" s="29"/>
      <c r="AG828" s="29"/>
      <c r="AH828" s="29"/>
      <c r="AI828" s="29"/>
      <c r="AJ828" s="29"/>
      <c r="AK828" s="29"/>
      <c r="AL828" s="29"/>
      <c r="AM828" s="29"/>
      <c r="AN828" s="29"/>
      <c r="AO828" s="29"/>
      <c r="AP828" s="29"/>
      <c r="AQ828" s="29"/>
      <c r="AR828" s="29"/>
    </row>
    <row r="829">
      <c r="A829" s="29"/>
      <c r="B829" s="29"/>
      <c r="C829" s="29"/>
      <c r="D829" s="29"/>
      <c r="E829" s="29"/>
      <c r="F829" s="29"/>
      <c r="G829" s="29"/>
      <c r="H829" s="30"/>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c r="AF829" s="29"/>
      <c r="AG829" s="29"/>
      <c r="AH829" s="29"/>
      <c r="AI829" s="29"/>
      <c r="AJ829" s="29"/>
      <c r="AK829" s="29"/>
      <c r="AL829" s="29"/>
      <c r="AM829" s="29"/>
      <c r="AN829" s="29"/>
      <c r="AO829" s="29"/>
      <c r="AP829" s="29"/>
      <c r="AQ829" s="29"/>
      <c r="AR829" s="29"/>
    </row>
    <row r="830">
      <c r="A830" s="29"/>
      <c r="B830" s="29"/>
      <c r="C830" s="29"/>
      <c r="D830" s="29"/>
      <c r="E830" s="29"/>
      <c r="F830" s="29"/>
      <c r="G830" s="29"/>
      <c r="H830" s="30"/>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c r="AF830" s="29"/>
      <c r="AG830" s="29"/>
      <c r="AH830" s="29"/>
      <c r="AI830" s="29"/>
      <c r="AJ830" s="29"/>
      <c r="AK830" s="29"/>
      <c r="AL830" s="29"/>
      <c r="AM830" s="29"/>
      <c r="AN830" s="29"/>
      <c r="AO830" s="29"/>
      <c r="AP830" s="29"/>
      <c r="AQ830" s="29"/>
      <c r="AR830" s="29"/>
    </row>
    <row r="831">
      <c r="A831" s="29"/>
      <c r="B831" s="29"/>
      <c r="C831" s="29"/>
      <c r="D831" s="29"/>
      <c r="E831" s="29"/>
      <c r="F831" s="29"/>
      <c r="G831" s="29"/>
      <c r="H831" s="30"/>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c r="AF831" s="29"/>
      <c r="AG831" s="29"/>
      <c r="AH831" s="29"/>
      <c r="AI831" s="29"/>
      <c r="AJ831" s="29"/>
      <c r="AK831" s="29"/>
      <c r="AL831" s="29"/>
      <c r="AM831" s="29"/>
      <c r="AN831" s="29"/>
      <c r="AO831" s="29"/>
      <c r="AP831" s="29"/>
      <c r="AQ831" s="29"/>
      <c r="AR831" s="29"/>
    </row>
    <row r="832">
      <c r="A832" s="29"/>
      <c r="B832" s="29"/>
      <c r="C832" s="29"/>
      <c r="D832" s="29"/>
      <c r="E832" s="29"/>
      <c r="F832" s="29"/>
      <c r="G832" s="29"/>
      <c r="H832" s="30"/>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c r="AF832" s="29"/>
      <c r="AG832" s="29"/>
      <c r="AH832" s="29"/>
      <c r="AI832" s="29"/>
      <c r="AJ832" s="29"/>
      <c r="AK832" s="29"/>
      <c r="AL832" s="29"/>
      <c r="AM832" s="29"/>
      <c r="AN832" s="29"/>
      <c r="AO832" s="29"/>
      <c r="AP832" s="29"/>
      <c r="AQ832" s="29"/>
      <c r="AR832" s="29"/>
    </row>
    <row r="833">
      <c r="A833" s="29"/>
      <c r="B833" s="29"/>
      <c r="C833" s="29"/>
      <c r="D833" s="29"/>
      <c r="E833" s="29"/>
      <c r="F833" s="29"/>
      <c r="G833" s="29"/>
      <c r="H833" s="30"/>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row>
    <row r="834">
      <c r="A834" s="29"/>
      <c r="B834" s="29"/>
      <c r="C834" s="29"/>
      <c r="D834" s="29"/>
      <c r="E834" s="29"/>
      <c r="F834" s="29"/>
      <c r="G834" s="29"/>
      <c r="H834" s="30"/>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row>
    <row r="835">
      <c r="A835" s="29"/>
      <c r="B835" s="29"/>
      <c r="C835" s="29"/>
      <c r="D835" s="29"/>
      <c r="E835" s="29"/>
      <c r="F835" s="29"/>
      <c r="G835" s="29"/>
      <c r="H835" s="30"/>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c r="AF835" s="29"/>
      <c r="AG835" s="29"/>
      <c r="AH835" s="29"/>
      <c r="AI835" s="29"/>
      <c r="AJ835" s="29"/>
      <c r="AK835" s="29"/>
      <c r="AL835" s="29"/>
      <c r="AM835" s="29"/>
      <c r="AN835" s="29"/>
      <c r="AO835" s="29"/>
      <c r="AP835" s="29"/>
      <c r="AQ835" s="29"/>
      <c r="AR835" s="29"/>
    </row>
    <row r="836">
      <c r="A836" s="29"/>
      <c r="B836" s="29"/>
      <c r="C836" s="29"/>
      <c r="D836" s="29"/>
      <c r="E836" s="29"/>
      <c r="F836" s="29"/>
      <c r="G836" s="29"/>
      <c r="H836" s="30"/>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c r="AF836" s="29"/>
      <c r="AG836" s="29"/>
      <c r="AH836" s="29"/>
      <c r="AI836" s="29"/>
      <c r="AJ836" s="29"/>
      <c r="AK836" s="29"/>
      <c r="AL836" s="29"/>
      <c r="AM836" s="29"/>
      <c r="AN836" s="29"/>
      <c r="AO836" s="29"/>
      <c r="AP836" s="29"/>
      <c r="AQ836" s="29"/>
      <c r="AR836" s="29"/>
    </row>
    <row r="837">
      <c r="A837" s="29"/>
      <c r="B837" s="29"/>
      <c r="C837" s="29"/>
      <c r="D837" s="29"/>
      <c r="E837" s="29"/>
      <c r="F837" s="29"/>
      <c r="G837" s="29"/>
      <c r="H837" s="30"/>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c r="AF837" s="29"/>
      <c r="AG837" s="29"/>
      <c r="AH837" s="29"/>
      <c r="AI837" s="29"/>
      <c r="AJ837" s="29"/>
      <c r="AK837" s="29"/>
      <c r="AL837" s="29"/>
      <c r="AM837" s="29"/>
      <c r="AN837" s="29"/>
      <c r="AO837" s="29"/>
      <c r="AP837" s="29"/>
      <c r="AQ837" s="29"/>
      <c r="AR837" s="29"/>
    </row>
    <row r="838">
      <c r="A838" s="29"/>
      <c r="B838" s="29"/>
      <c r="C838" s="29"/>
      <c r="D838" s="29"/>
      <c r="E838" s="29"/>
      <c r="F838" s="29"/>
      <c r="G838" s="29"/>
      <c r="H838" s="30"/>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c r="AF838" s="29"/>
      <c r="AG838" s="29"/>
      <c r="AH838" s="29"/>
      <c r="AI838" s="29"/>
      <c r="AJ838" s="29"/>
      <c r="AK838" s="29"/>
      <c r="AL838" s="29"/>
      <c r="AM838" s="29"/>
      <c r="AN838" s="29"/>
      <c r="AO838" s="29"/>
      <c r="AP838" s="29"/>
      <c r="AQ838" s="29"/>
      <c r="AR838" s="29"/>
    </row>
    <row r="839">
      <c r="A839" s="29"/>
      <c r="B839" s="29"/>
      <c r="C839" s="29"/>
      <c r="D839" s="29"/>
      <c r="E839" s="29"/>
      <c r="F839" s="29"/>
      <c r="G839" s="29"/>
      <c r="H839" s="30"/>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c r="AF839" s="29"/>
      <c r="AG839" s="29"/>
      <c r="AH839" s="29"/>
      <c r="AI839" s="29"/>
      <c r="AJ839" s="29"/>
      <c r="AK839" s="29"/>
      <c r="AL839" s="29"/>
      <c r="AM839" s="29"/>
      <c r="AN839" s="29"/>
      <c r="AO839" s="29"/>
      <c r="AP839" s="29"/>
      <c r="AQ839" s="29"/>
      <c r="AR839" s="29"/>
    </row>
    <row r="840">
      <c r="A840" s="29"/>
      <c r="B840" s="29"/>
      <c r="C840" s="29"/>
      <c r="D840" s="29"/>
      <c r="E840" s="29"/>
      <c r="F840" s="29"/>
      <c r="G840" s="29"/>
      <c r="H840" s="30"/>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c r="AF840" s="29"/>
      <c r="AG840" s="29"/>
      <c r="AH840" s="29"/>
      <c r="AI840" s="29"/>
      <c r="AJ840" s="29"/>
      <c r="AK840" s="29"/>
      <c r="AL840" s="29"/>
      <c r="AM840" s="29"/>
      <c r="AN840" s="29"/>
      <c r="AO840" s="29"/>
      <c r="AP840" s="29"/>
      <c r="AQ840" s="29"/>
      <c r="AR840" s="29"/>
    </row>
    <row r="841">
      <c r="A841" s="29"/>
      <c r="B841" s="29"/>
      <c r="C841" s="29"/>
      <c r="D841" s="29"/>
      <c r="E841" s="29"/>
      <c r="F841" s="29"/>
      <c r="G841" s="29"/>
      <c r="H841" s="30"/>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c r="AF841" s="29"/>
      <c r="AG841" s="29"/>
      <c r="AH841" s="29"/>
      <c r="AI841" s="29"/>
      <c r="AJ841" s="29"/>
      <c r="AK841" s="29"/>
      <c r="AL841" s="29"/>
      <c r="AM841" s="29"/>
      <c r="AN841" s="29"/>
      <c r="AO841" s="29"/>
      <c r="AP841" s="29"/>
      <c r="AQ841" s="29"/>
      <c r="AR841" s="29"/>
    </row>
    <row r="842">
      <c r="A842" s="29"/>
      <c r="B842" s="29"/>
      <c r="C842" s="29"/>
      <c r="D842" s="29"/>
      <c r="E842" s="29"/>
      <c r="F842" s="29"/>
      <c r="G842" s="29"/>
      <c r="H842" s="30"/>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c r="AF842" s="29"/>
      <c r="AG842" s="29"/>
      <c r="AH842" s="29"/>
      <c r="AI842" s="29"/>
      <c r="AJ842" s="29"/>
      <c r="AK842" s="29"/>
      <c r="AL842" s="29"/>
      <c r="AM842" s="29"/>
      <c r="AN842" s="29"/>
      <c r="AO842" s="29"/>
      <c r="AP842" s="29"/>
      <c r="AQ842" s="29"/>
      <c r="AR842" s="29"/>
    </row>
    <row r="843">
      <c r="A843" s="29"/>
      <c r="B843" s="29"/>
      <c r="C843" s="29"/>
      <c r="D843" s="29"/>
      <c r="E843" s="29"/>
      <c r="F843" s="29"/>
      <c r="G843" s="29"/>
      <c r="H843" s="30"/>
      <c r="I843" s="29"/>
      <c r="J843" s="29"/>
      <c r="K843" s="29"/>
      <c r="L843" s="29"/>
      <c r="M843" s="29"/>
      <c r="N843" s="29"/>
      <c r="O843" s="29"/>
      <c r="P843" s="29"/>
      <c r="Q843" s="29"/>
      <c r="R843" s="29"/>
      <c r="S843" s="29"/>
      <c r="T843" s="29"/>
      <c r="U843" s="29"/>
      <c r="V843" s="29"/>
      <c r="W843" s="29"/>
      <c r="X843" s="29"/>
      <c r="Y843" s="29"/>
      <c r="Z843" s="29"/>
      <c r="AA843" s="29"/>
      <c r="AB843" s="29"/>
      <c r="AC843" s="29"/>
      <c r="AD843" s="29"/>
      <c r="AE843" s="29"/>
      <c r="AF843" s="29"/>
      <c r="AG843" s="29"/>
      <c r="AH843" s="29"/>
      <c r="AI843" s="29"/>
      <c r="AJ843" s="29"/>
      <c r="AK843" s="29"/>
      <c r="AL843" s="29"/>
      <c r="AM843" s="29"/>
      <c r="AN843" s="29"/>
      <c r="AO843" s="29"/>
      <c r="AP843" s="29"/>
      <c r="AQ843" s="29"/>
      <c r="AR843" s="29"/>
    </row>
    <row r="844">
      <c r="A844" s="29"/>
      <c r="B844" s="29"/>
      <c r="C844" s="29"/>
      <c r="D844" s="29"/>
      <c r="E844" s="29"/>
      <c r="F844" s="29"/>
      <c r="G844" s="29"/>
      <c r="H844" s="30"/>
      <c r="I844" s="29"/>
      <c r="J844" s="29"/>
      <c r="K844" s="29"/>
      <c r="L844" s="29"/>
      <c r="M844" s="29"/>
      <c r="N844" s="29"/>
      <c r="O844" s="29"/>
      <c r="P844" s="29"/>
      <c r="Q844" s="29"/>
      <c r="R844" s="29"/>
      <c r="S844" s="29"/>
      <c r="T844" s="29"/>
      <c r="U844" s="29"/>
      <c r="V844" s="29"/>
      <c r="W844" s="29"/>
      <c r="X844" s="29"/>
      <c r="Y844" s="29"/>
      <c r="Z844" s="29"/>
      <c r="AA844" s="29"/>
      <c r="AB844" s="29"/>
      <c r="AC844" s="29"/>
      <c r="AD844" s="29"/>
      <c r="AE844" s="29"/>
      <c r="AF844" s="29"/>
      <c r="AG844" s="29"/>
      <c r="AH844" s="29"/>
      <c r="AI844" s="29"/>
      <c r="AJ844" s="29"/>
      <c r="AK844" s="29"/>
      <c r="AL844" s="29"/>
      <c r="AM844" s="29"/>
      <c r="AN844" s="29"/>
      <c r="AO844" s="29"/>
      <c r="AP844" s="29"/>
      <c r="AQ844" s="29"/>
      <c r="AR844" s="29"/>
    </row>
    <row r="845">
      <c r="A845" s="29"/>
      <c r="B845" s="29"/>
      <c r="C845" s="29"/>
      <c r="D845" s="29"/>
      <c r="E845" s="29"/>
      <c r="F845" s="29"/>
      <c r="G845" s="29"/>
      <c r="H845" s="30"/>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9"/>
      <c r="AH845" s="29"/>
      <c r="AI845" s="29"/>
      <c r="AJ845" s="29"/>
      <c r="AK845" s="29"/>
      <c r="AL845" s="29"/>
      <c r="AM845" s="29"/>
      <c r="AN845" s="29"/>
      <c r="AO845" s="29"/>
      <c r="AP845" s="29"/>
      <c r="AQ845" s="29"/>
      <c r="AR845" s="29"/>
    </row>
    <row r="846">
      <c r="A846" s="29"/>
      <c r="B846" s="29"/>
      <c r="C846" s="29"/>
      <c r="D846" s="29"/>
      <c r="E846" s="29"/>
      <c r="F846" s="29"/>
      <c r="G846" s="29"/>
      <c r="H846" s="30"/>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9"/>
      <c r="AH846" s="29"/>
      <c r="AI846" s="29"/>
      <c r="AJ846" s="29"/>
      <c r="AK846" s="29"/>
      <c r="AL846" s="29"/>
      <c r="AM846" s="29"/>
      <c r="AN846" s="29"/>
      <c r="AO846" s="29"/>
      <c r="AP846" s="29"/>
      <c r="AQ846" s="29"/>
      <c r="AR846" s="29"/>
    </row>
    <row r="847">
      <c r="A847" s="29"/>
      <c r="B847" s="29"/>
      <c r="C847" s="29"/>
      <c r="D847" s="29"/>
      <c r="E847" s="29"/>
      <c r="F847" s="29"/>
      <c r="G847" s="29"/>
      <c r="H847" s="30"/>
      <c r="I847" s="29"/>
      <c r="J847" s="29"/>
      <c r="K847" s="29"/>
      <c r="L847" s="29"/>
      <c r="M847" s="29"/>
      <c r="N847" s="29"/>
      <c r="O847" s="29"/>
      <c r="P847" s="29"/>
      <c r="Q847" s="29"/>
      <c r="R847" s="29"/>
      <c r="S847" s="29"/>
      <c r="T847" s="29"/>
      <c r="U847" s="29"/>
      <c r="V847" s="29"/>
      <c r="W847" s="29"/>
      <c r="X847" s="29"/>
      <c r="Y847" s="29"/>
      <c r="Z847" s="29"/>
      <c r="AA847" s="29"/>
      <c r="AB847" s="29"/>
      <c r="AC847" s="29"/>
      <c r="AD847" s="29"/>
      <c r="AE847" s="29"/>
      <c r="AF847" s="29"/>
      <c r="AG847" s="29"/>
      <c r="AH847" s="29"/>
      <c r="AI847" s="29"/>
      <c r="AJ847" s="29"/>
      <c r="AK847" s="29"/>
      <c r="AL847" s="29"/>
      <c r="AM847" s="29"/>
      <c r="AN847" s="29"/>
      <c r="AO847" s="29"/>
      <c r="AP847" s="29"/>
      <c r="AQ847" s="29"/>
      <c r="AR847" s="29"/>
    </row>
    <row r="848">
      <c r="A848" s="29"/>
      <c r="B848" s="29"/>
      <c r="C848" s="29"/>
      <c r="D848" s="29"/>
      <c r="E848" s="29"/>
      <c r="F848" s="29"/>
      <c r="G848" s="29"/>
      <c r="H848" s="30"/>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row>
    <row r="849">
      <c r="A849" s="29"/>
      <c r="B849" s="29"/>
      <c r="C849" s="29"/>
      <c r="D849" s="29"/>
      <c r="E849" s="29"/>
      <c r="F849" s="29"/>
      <c r="G849" s="29"/>
      <c r="H849" s="30"/>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row>
    <row r="850">
      <c r="A850" s="29"/>
      <c r="B850" s="29"/>
      <c r="C850" s="29"/>
      <c r="D850" s="29"/>
      <c r="E850" s="29"/>
      <c r="F850" s="29"/>
      <c r="G850" s="29"/>
      <c r="H850" s="30"/>
      <c r="I850" s="29"/>
      <c r="J850" s="29"/>
      <c r="K850" s="29"/>
      <c r="L850" s="29"/>
      <c r="M850" s="29"/>
      <c r="N850" s="29"/>
      <c r="O850" s="29"/>
      <c r="P850" s="29"/>
      <c r="Q850" s="29"/>
      <c r="R850" s="29"/>
      <c r="S850" s="29"/>
      <c r="T850" s="29"/>
      <c r="U850" s="29"/>
      <c r="V850" s="29"/>
      <c r="W850" s="29"/>
      <c r="X850" s="29"/>
      <c r="Y850" s="29"/>
      <c r="Z850" s="29"/>
      <c r="AA850" s="29"/>
      <c r="AB850" s="29"/>
      <c r="AC850" s="29"/>
      <c r="AD850" s="29"/>
      <c r="AE850" s="29"/>
      <c r="AF850" s="29"/>
      <c r="AG850" s="29"/>
      <c r="AH850" s="29"/>
      <c r="AI850" s="29"/>
      <c r="AJ850" s="29"/>
      <c r="AK850" s="29"/>
      <c r="AL850" s="29"/>
      <c r="AM850" s="29"/>
      <c r="AN850" s="29"/>
      <c r="AO850" s="29"/>
      <c r="AP850" s="29"/>
      <c r="AQ850" s="29"/>
      <c r="AR850" s="29"/>
    </row>
    <row r="851">
      <c r="A851" s="29"/>
      <c r="B851" s="29"/>
      <c r="C851" s="29"/>
      <c r="D851" s="29"/>
      <c r="E851" s="29"/>
      <c r="F851" s="29"/>
      <c r="G851" s="29"/>
      <c r="H851" s="30"/>
      <c r="I851" s="29"/>
      <c r="J851" s="29"/>
      <c r="K851" s="29"/>
      <c r="L851" s="29"/>
      <c r="M851" s="29"/>
      <c r="N851" s="29"/>
      <c r="O851" s="29"/>
      <c r="P851" s="29"/>
      <c r="Q851" s="29"/>
      <c r="R851" s="29"/>
      <c r="S851" s="29"/>
      <c r="T851" s="29"/>
      <c r="U851" s="29"/>
      <c r="V851" s="29"/>
      <c r="W851" s="29"/>
      <c r="X851" s="29"/>
      <c r="Y851" s="29"/>
      <c r="Z851" s="29"/>
      <c r="AA851" s="29"/>
      <c r="AB851" s="29"/>
      <c r="AC851" s="29"/>
      <c r="AD851" s="29"/>
      <c r="AE851" s="29"/>
      <c r="AF851" s="29"/>
      <c r="AG851" s="29"/>
      <c r="AH851" s="29"/>
      <c r="AI851" s="29"/>
      <c r="AJ851" s="29"/>
      <c r="AK851" s="29"/>
      <c r="AL851" s="29"/>
      <c r="AM851" s="29"/>
      <c r="AN851" s="29"/>
      <c r="AO851" s="29"/>
      <c r="AP851" s="29"/>
      <c r="AQ851" s="29"/>
      <c r="AR851" s="29"/>
    </row>
    <row r="852">
      <c r="A852" s="29"/>
      <c r="B852" s="29"/>
      <c r="C852" s="29"/>
      <c r="D852" s="29"/>
      <c r="E852" s="29"/>
      <c r="F852" s="29"/>
      <c r="G852" s="29"/>
      <c r="H852" s="30"/>
      <c r="I852" s="29"/>
      <c r="J852" s="29"/>
      <c r="K852" s="29"/>
      <c r="L852" s="29"/>
      <c r="M852" s="29"/>
      <c r="N852" s="29"/>
      <c r="O852" s="29"/>
      <c r="P852" s="29"/>
      <c r="Q852" s="29"/>
      <c r="R852" s="29"/>
      <c r="S852" s="29"/>
      <c r="T852" s="29"/>
      <c r="U852" s="29"/>
      <c r="V852" s="29"/>
      <c r="W852" s="29"/>
      <c r="X852" s="29"/>
      <c r="Y852" s="29"/>
      <c r="Z852" s="29"/>
      <c r="AA852" s="29"/>
      <c r="AB852" s="29"/>
      <c r="AC852" s="29"/>
      <c r="AD852" s="29"/>
      <c r="AE852" s="29"/>
      <c r="AF852" s="29"/>
      <c r="AG852" s="29"/>
      <c r="AH852" s="29"/>
      <c r="AI852" s="29"/>
      <c r="AJ852" s="29"/>
      <c r="AK852" s="29"/>
      <c r="AL852" s="29"/>
      <c r="AM852" s="29"/>
      <c r="AN852" s="29"/>
      <c r="AO852" s="29"/>
      <c r="AP852" s="29"/>
      <c r="AQ852" s="29"/>
      <c r="AR852" s="29"/>
    </row>
    <row r="853">
      <c r="A853" s="29"/>
      <c r="B853" s="29"/>
      <c r="C853" s="29"/>
      <c r="D853" s="29"/>
      <c r="E853" s="29"/>
      <c r="F853" s="29"/>
      <c r="G853" s="29"/>
      <c r="H853" s="30"/>
      <c r="I853" s="29"/>
      <c r="J853" s="29"/>
      <c r="K853" s="29"/>
      <c r="L853" s="29"/>
      <c r="M853" s="29"/>
      <c r="N853" s="29"/>
      <c r="O853" s="29"/>
      <c r="P853" s="29"/>
      <c r="Q853" s="29"/>
      <c r="R853" s="29"/>
      <c r="S853" s="29"/>
      <c r="T853" s="29"/>
      <c r="U853" s="29"/>
      <c r="V853" s="29"/>
      <c r="W853" s="29"/>
      <c r="X853" s="29"/>
      <c r="Y853" s="29"/>
      <c r="Z853" s="29"/>
      <c r="AA853" s="29"/>
      <c r="AB853" s="29"/>
      <c r="AC853" s="29"/>
      <c r="AD853" s="29"/>
      <c r="AE853" s="29"/>
      <c r="AF853" s="29"/>
      <c r="AG853" s="29"/>
      <c r="AH853" s="29"/>
      <c r="AI853" s="29"/>
      <c r="AJ853" s="29"/>
      <c r="AK853" s="29"/>
      <c r="AL853" s="29"/>
      <c r="AM853" s="29"/>
      <c r="AN853" s="29"/>
      <c r="AO853" s="29"/>
      <c r="AP853" s="29"/>
      <c r="AQ853" s="29"/>
      <c r="AR853" s="29"/>
    </row>
    <row r="854">
      <c r="A854" s="29"/>
      <c r="B854" s="29"/>
      <c r="C854" s="29"/>
      <c r="D854" s="29"/>
      <c r="E854" s="29"/>
      <c r="F854" s="29"/>
      <c r="G854" s="29"/>
      <c r="H854" s="30"/>
      <c r="I854" s="29"/>
      <c r="J854" s="29"/>
      <c r="K854" s="29"/>
      <c r="L854" s="29"/>
      <c r="M854" s="29"/>
      <c r="N854" s="29"/>
      <c r="O854" s="29"/>
      <c r="P854" s="29"/>
      <c r="Q854" s="29"/>
      <c r="R854" s="29"/>
      <c r="S854" s="29"/>
      <c r="T854" s="29"/>
      <c r="U854" s="29"/>
      <c r="V854" s="29"/>
      <c r="W854" s="29"/>
      <c r="X854" s="29"/>
      <c r="Y854" s="29"/>
      <c r="Z854" s="29"/>
      <c r="AA854" s="29"/>
      <c r="AB854" s="29"/>
      <c r="AC854" s="29"/>
      <c r="AD854" s="29"/>
      <c r="AE854" s="29"/>
      <c r="AF854" s="29"/>
      <c r="AG854" s="29"/>
      <c r="AH854" s="29"/>
      <c r="AI854" s="29"/>
      <c r="AJ854" s="29"/>
      <c r="AK854" s="29"/>
      <c r="AL854" s="29"/>
      <c r="AM854" s="29"/>
      <c r="AN854" s="29"/>
      <c r="AO854" s="29"/>
      <c r="AP854" s="29"/>
      <c r="AQ854" s="29"/>
      <c r="AR854" s="29"/>
    </row>
    <row r="855">
      <c r="A855" s="29"/>
      <c r="B855" s="29"/>
      <c r="C855" s="29"/>
      <c r="D855" s="29"/>
      <c r="E855" s="29"/>
      <c r="F855" s="29"/>
      <c r="G855" s="29"/>
      <c r="H855" s="30"/>
      <c r="I855" s="29"/>
      <c r="J855" s="29"/>
      <c r="K855" s="29"/>
      <c r="L855" s="29"/>
      <c r="M855" s="29"/>
      <c r="N855" s="29"/>
      <c r="O855" s="29"/>
      <c r="P855" s="29"/>
      <c r="Q855" s="29"/>
      <c r="R855" s="29"/>
      <c r="S855" s="29"/>
      <c r="T855" s="29"/>
      <c r="U855" s="29"/>
      <c r="V855" s="29"/>
      <c r="W855" s="29"/>
      <c r="X855" s="29"/>
      <c r="Y855" s="29"/>
      <c r="Z855" s="29"/>
      <c r="AA855" s="29"/>
      <c r="AB855" s="29"/>
      <c r="AC855" s="29"/>
      <c r="AD855" s="29"/>
      <c r="AE855" s="29"/>
      <c r="AF855" s="29"/>
      <c r="AG855" s="29"/>
      <c r="AH855" s="29"/>
      <c r="AI855" s="29"/>
      <c r="AJ855" s="29"/>
      <c r="AK855" s="29"/>
      <c r="AL855" s="29"/>
      <c r="AM855" s="29"/>
      <c r="AN855" s="29"/>
      <c r="AO855" s="29"/>
      <c r="AP855" s="29"/>
      <c r="AQ855" s="29"/>
      <c r="AR855" s="29"/>
    </row>
    <row r="856">
      <c r="A856" s="29"/>
      <c r="B856" s="29"/>
      <c r="C856" s="29"/>
      <c r="D856" s="29"/>
      <c r="E856" s="29"/>
      <c r="F856" s="29"/>
      <c r="G856" s="29"/>
      <c r="H856" s="30"/>
      <c r="I856" s="29"/>
      <c r="J856" s="29"/>
      <c r="K856" s="29"/>
      <c r="L856" s="29"/>
      <c r="M856" s="29"/>
      <c r="N856" s="29"/>
      <c r="O856" s="29"/>
      <c r="P856" s="29"/>
      <c r="Q856" s="29"/>
      <c r="R856" s="29"/>
      <c r="S856" s="29"/>
      <c r="T856" s="29"/>
      <c r="U856" s="29"/>
      <c r="V856" s="29"/>
      <c r="W856" s="29"/>
      <c r="X856" s="29"/>
      <c r="Y856" s="29"/>
      <c r="Z856" s="29"/>
      <c r="AA856" s="29"/>
      <c r="AB856" s="29"/>
      <c r="AC856" s="29"/>
      <c r="AD856" s="29"/>
      <c r="AE856" s="29"/>
      <c r="AF856" s="29"/>
      <c r="AG856" s="29"/>
      <c r="AH856" s="29"/>
      <c r="AI856" s="29"/>
      <c r="AJ856" s="29"/>
      <c r="AK856" s="29"/>
      <c r="AL856" s="29"/>
      <c r="AM856" s="29"/>
      <c r="AN856" s="29"/>
      <c r="AO856" s="29"/>
      <c r="AP856" s="29"/>
      <c r="AQ856" s="29"/>
      <c r="AR856" s="29"/>
    </row>
    <row r="857">
      <c r="A857" s="29"/>
      <c r="B857" s="29"/>
      <c r="C857" s="29"/>
      <c r="D857" s="29"/>
      <c r="E857" s="29"/>
      <c r="F857" s="29"/>
      <c r="G857" s="29"/>
      <c r="H857" s="30"/>
      <c r="I857" s="29"/>
      <c r="J857" s="29"/>
      <c r="K857" s="29"/>
      <c r="L857" s="29"/>
      <c r="M857" s="29"/>
      <c r="N857" s="29"/>
      <c r="O857" s="29"/>
      <c r="P857" s="29"/>
      <c r="Q857" s="29"/>
      <c r="R857" s="29"/>
      <c r="S857" s="29"/>
      <c r="T857" s="29"/>
      <c r="U857" s="29"/>
      <c r="V857" s="29"/>
      <c r="W857" s="29"/>
      <c r="X857" s="29"/>
      <c r="Y857" s="29"/>
      <c r="Z857" s="29"/>
      <c r="AA857" s="29"/>
      <c r="AB857" s="29"/>
      <c r="AC857" s="29"/>
      <c r="AD857" s="29"/>
      <c r="AE857" s="29"/>
      <c r="AF857" s="29"/>
      <c r="AG857" s="29"/>
      <c r="AH857" s="29"/>
      <c r="AI857" s="29"/>
      <c r="AJ857" s="29"/>
      <c r="AK857" s="29"/>
      <c r="AL857" s="29"/>
      <c r="AM857" s="29"/>
      <c r="AN857" s="29"/>
      <c r="AO857" s="29"/>
      <c r="AP857" s="29"/>
      <c r="AQ857" s="29"/>
      <c r="AR857" s="29"/>
    </row>
    <row r="858">
      <c r="A858" s="29"/>
      <c r="B858" s="29"/>
      <c r="C858" s="29"/>
      <c r="D858" s="29"/>
      <c r="E858" s="29"/>
      <c r="F858" s="29"/>
      <c r="G858" s="29"/>
      <c r="H858" s="30"/>
      <c r="I858" s="29"/>
      <c r="J858" s="29"/>
      <c r="K858" s="29"/>
      <c r="L858" s="29"/>
      <c r="M858" s="29"/>
      <c r="N858" s="29"/>
      <c r="O858" s="29"/>
      <c r="P858" s="29"/>
      <c r="Q858" s="29"/>
      <c r="R858" s="29"/>
      <c r="S858" s="29"/>
      <c r="T858" s="29"/>
      <c r="U858" s="29"/>
      <c r="V858" s="29"/>
      <c r="W858" s="29"/>
      <c r="X858" s="29"/>
      <c r="Y858" s="29"/>
      <c r="Z858" s="29"/>
      <c r="AA858" s="29"/>
      <c r="AB858" s="29"/>
      <c r="AC858" s="29"/>
      <c r="AD858" s="29"/>
      <c r="AE858" s="29"/>
      <c r="AF858" s="29"/>
      <c r="AG858" s="29"/>
      <c r="AH858" s="29"/>
      <c r="AI858" s="29"/>
      <c r="AJ858" s="29"/>
      <c r="AK858" s="29"/>
      <c r="AL858" s="29"/>
      <c r="AM858" s="29"/>
      <c r="AN858" s="29"/>
      <c r="AO858" s="29"/>
      <c r="AP858" s="29"/>
      <c r="AQ858" s="29"/>
      <c r="AR858" s="29"/>
    </row>
    <row r="859">
      <c r="A859" s="29"/>
      <c r="B859" s="29"/>
      <c r="C859" s="29"/>
      <c r="D859" s="29"/>
      <c r="E859" s="29"/>
      <c r="F859" s="29"/>
      <c r="G859" s="29"/>
      <c r="H859" s="30"/>
      <c r="I859" s="29"/>
      <c r="J859" s="29"/>
      <c r="K859" s="29"/>
      <c r="L859" s="29"/>
      <c r="M859" s="29"/>
      <c r="N859" s="29"/>
      <c r="O859" s="29"/>
      <c r="P859" s="29"/>
      <c r="Q859" s="29"/>
      <c r="R859" s="29"/>
      <c r="S859" s="29"/>
      <c r="T859" s="29"/>
      <c r="U859" s="29"/>
      <c r="V859" s="29"/>
      <c r="W859" s="29"/>
      <c r="X859" s="29"/>
      <c r="Y859" s="29"/>
      <c r="Z859" s="29"/>
      <c r="AA859" s="29"/>
      <c r="AB859" s="29"/>
      <c r="AC859" s="29"/>
      <c r="AD859" s="29"/>
      <c r="AE859" s="29"/>
      <c r="AF859" s="29"/>
      <c r="AG859" s="29"/>
      <c r="AH859" s="29"/>
      <c r="AI859" s="29"/>
      <c r="AJ859" s="29"/>
      <c r="AK859" s="29"/>
      <c r="AL859" s="29"/>
      <c r="AM859" s="29"/>
      <c r="AN859" s="29"/>
      <c r="AO859" s="29"/>
      <c r="AP859" s="29"/>
      <c r="AQ859" s="29"/>
      <c r="AR859" s="29"/>
    </row>
    <row r="860">
      <c r="A860" s="29"/>
      <c r="B860" s="29"/>
      <c r="C860" s="29"/>
      <c r="D860" s="29"/>
      <c r="E860" s="29"/>
      <c r="F860" s="29"/>
      <c r="G860" s="29"/>
      <c r="H860" s="30"/>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row>
    <row r="861">
      <c r="A861" s="29"/>
      <c r="B861" s="29"/>
      <c r="C861" s="29"/>
      <c r="D861" s="29"/>
      <c r="E861" s="29"/>
      <c r="F861" s="29"/>
      <c r="G861" s="29"/>
      <c r="H861" s="30"/>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row>
    <row r="862">
      <c r="A862" s="29"/>
      <c r="B862" s="29"/>
      <c r="C862" s="29"/>
      <c r="D862" s="29"/>
      <c r="E862" s="29"/>
      <c r="F862" s="29"/>
      <c r="G862" s="29"/>
      <c r="H862" s="30"/>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9"/>
      <c r="AH862" s="29"/>
      <c r="AI862" s="29"/>
      <c r="AJ862" s="29"/>
      <c r="AK862" s="29"/>
      <c r="AL862" s="29"/>
      <c r="AM862" s="29"/>
      <c r="AN862" s="29"/>
      <c r="AO862" s="29"/>
      <c r="AP862" s="29"/>
      <c r="AQ862" s="29"/>
      <c r="AR862" s="29"/>
    </row>
    <row r="863">
      <c r="A863" s="29"/>
      <c r="B863" s="29"/>
      <c r="C863" s="29"/>
      <c r="D863" s="29"/>
      <c r="E863" s="29"/>
      <c r="F863" s="29"/>
      <c r="G863" s="29"/>
      <c r="H863" s="30"/>
      <c r="I863" s="29"/>
      <c r="J863" s="29"/>
      <c r="K863" s="29"/>
      <c r="L863" s="29"/>
      <c r="M863" s="29"/>
      <c r="N863" s="29"/>
      <c r="O863" s="29"/>
      <c r="P863" s="29"/>
      <c r="Q863" s="29"/>
      <c r="R863" s="29"/>
      <c r="S863" s="29"/>
      <c r="T863" s="29"/>
      <c r="U863" s="29"/>
      <c r="V863" s="29"/>
      <c r="W863" s="29"/>
      <c r="X863" s="29"/>
      <c r="Y863" s="29"/>
      <c r="Z863" s="29"/>
      <c r="AA863" s="29"/>
      <c r="AB863" s="29"/>
      <c r="AC863" s="29"/>
      <c r="AD863" s="29"/>
      <c r="AE863" s="29"/>
      <c r="AF863" s="29"/>
      <c r="AG863" s="29"/>
      <c r="AH863" s="29"/>
      <c r="AI863" s="29"/>
      <c r="AJ863" s="29"/>
      <c r="AK863" s="29"/>
      <c r="AL863" s="29"/>
      <c r="AM863" s="29"/>
      <c r="AN863" s="29"/>
      <c r="AO863" s="29"/>
      <c r="AP863" s="29"/>
      <c r="AQ863" s="29"/>
      <c r="AR863" s="29"/>
    </row>
    <row r="864">
      <c r="A864" s="29"/>
      <c r="B864" s="29"/>
      <c r="C864" s="29"/>
      <c r="D864" s="29"/>
      <c r="E864" s="29"/>
      <c r="F864" s="29"/>
      <c r="G864" s="29"/>
      <c r="H864" s="30"/>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9"/>
      <c r="AH864" s="29"/>
      <c r="AI864" s="29"/>
      <c r="AJ864" s="29"/>
      <c r="AK864" s="29"/>
      <c r="AL864" s="29"/>
      <c r="AM864" s="29"/>
      <c r="AN864" s="29"/>
      <c r="AO864" s="29"/>
      <c r="AP864" s="29"/>
      <c r="AQ864" s="29"/>
      <c r="AR864" s="29"/>
    </row>
    <row r="865">
      <c r="A865" s="29"/>
      <c r="B865" s="29"/>
      <c r="C865" s="29"/>
      <c r="D865" s="29"/>
      <c r="E865" s="29"/>
      <c r="F865" s="29"/>
      <c r="G865" s="29"/>
      <c r="H865" s="30"/>
      <c r="I865" s="29"/>
      <c r="J865" s="29"/>
      <c r="K865" s="29"/>
      <c r="L865" s="29"/>
      <c r="M865" s="29"/>
      <c r="N865" s="29"/>
      <c r="O865" s="29"/>
      <c r="P865" s="29"/>
      <c r="Q865" s="29"/>
      <c r="R865" s="29"/>
      <c r="S865" s="29"/>
      <c r="T865" s="29"/>
      <c r="U865" s="29"/>
      <c r="V865" s="29"/>
      <c r="W865" s="29"/>
      <c r="X865" s="29"/>
      <c r="Y865" s="29"/>
      <c r="Z865" s="29"/>
      <c r="AA865" s="29"/>
      <c r="AB865" s="29"/>
      <c r="AC865" s="29"/>
      <c r="AD865" s="29"/>
      <c r="AE865" s="29"/>
      <c r="AF865" s="29"/>
      <c r="AG865" s="29"/>
      <c r="AH865" s="29"/>
      <c r="AI865" s="29"/>
      <c r="AJ865" s="29"/>
      <c r="AK865" s="29"/>
      <c r="AL865" s="29"/>
      <c r="AM865" s="29"/>
      <c r="AN865" s="29"/>
      <c r="AO865" s="29"/>
      <c r="AP865" s="29"/>
      <c r="AQ865" s="29"/>
      <c r="AR865" s="29"/>
    </row>
    <row r="866">
      <c r="A866" s="29"/>
      <c r="B866" s="29"/>
      <c r="C866" s="29"/>
      <c r="D866" s="29"/>
      <c r="E866" s="29"/>
      <c r="F866" s="29"/>
      <c r="G866" s="29"/>
      <c r="H866" s="30"/>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9"/>
      <c r="AH866" s="29"/>
      <c r="AI866" s="29"/>
      <c r="AJ866" s="29"/>
      <c r="AK866" s="29"/>
      <c r="AL866" s="29"/>
      <c r="AM866" s="29"/>
      <c r="AN866" s="29"/>
      <c r="AO866" s="29"/>
      <c r="AP866" s="29"/>
      <c r="AQ866" s="29"/>
      <c r="AR866" s="29"/>
    </row>
    <row r="867">
      <c r="A867" s="29"/>
      <c r="B867" s="29"/>
      <c r="C867" s="29"/>
      <c r="D867" s="29"/>
      <c r="E867" s="29"/>
      <c r="F867" s="29"/>
      <c r="G867" s="29"/>
      <c r="H867" s="30"/>
      <c r="I867" s="29"/>
      <c r="J867" s="29"/>
      <c r="K867" s="29"/>
      <c r="L867" s="29"/>
      <c r="M867" s="29"/>
      <c r="N867" s="29"/>
      <c r="O867" s="29"/>
      <c r="P867" s="29"/>
      <c r="Q867" s="29"/>
      <c r="R867" s="29"/>
      <c r="S867" s="29"/>
      <c r="T867" s="29"/>
      <c r="U867" s="29"/>
      <c r="V867" s="29"/>
      <c r="W867" s="29"/>
      <c r="X867" s="29"/>
      <c r="Y867" s="29"/>
      <c r="Z867" s="29"/>
      <c r="AA867" s="29"/>
      <c r="AB867" s="29"/>
      <c r="AC867" s="29"/>
      <c r="AD867" s="29"/>
      <c r="AE867" s="29"/>
      <c r="AF867" s="29"/>
      <c r="AG867" s="29"/>
      <c r="AH867" s="29"/>
      <c r="AI867" s="29"/>
      <c r="AJ867" s="29"/>
      <c r="AK867" s="29"/>
      <c r="AL867" s="29"/>
      <c r="AM867" s="29"/>
      <c r="AN867" s="29"/>
      <c r="AO867" s="29"/>
      <c r="AP867" s="29"/>
      <c r="AQ867" s="29"/>
      <c r="AR867" s="29"/>
    </row>
    <row r="868">
      <c r="A868" s="29"/>
      <c r="B868" s="29"/>
      <c r="C868" s="29"/>
      <c r="D868" s="29"/>
      <c r="E868" s="29"/>
      <c r="F868" s="29"/>
      <c r="G868" s="29"/>
      <c r="H868" s="30"/>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9"/>
      <c r="AH868" s="29"/>
      <c r="AI868" s="29"/>
      <c r="AJ868" s="29"/>
      <c r="AK868" s="29"/>
      <c r="AL868" s="29"/>
      <c r="AM868" s="29"/>
      <c r="AN868" s="29"/>
      <c r="AO868" s="29"/>
      <c r="AP868" s="29"/>
      <c r="AQ868" s="29"/>
      <c r="AR868" s="29"/>
    </row>
    <row r="869">
      <c r="A869" s="29"/>
      <c r="B869" s="29"/>
      <c r="C869" s="29"/>
      <c r="D869" s="29"/>
      <c r="E869" s="29"/>
      <c r="F869" s="29"/>
      <c r="G869" s="29"/>
      <c r="H869" s="30"/>
      <c r="I869" s="29"/>
      <c r="J869" s="29"/>
      <c r="K869" s="29"/>
      <c r="L869" s="29"/>
      <c r="M869" s="29"/>
      <c r="N869" s="29"/>
      <c r="O869" s="29"/>
      <c r="P869" s="29"/>
      <c r="Q869" s="29"/>
      <c r="R869" s="29"/>
      <c r="S869" s="29"/>
      <c r="T869" s="29"/>
      <c r="U869" s="29"/>
      <c r="V869" s="29"/>
      <c r="W869" s="29"/>
      <c r="X869" s="29"/>
      <c r="Y869" s="29"/>
      <c r="Z869" s="29"/>
      <c r="AA869" s="29"/>
      <c r="AB869" s="29"/>
      <c r="AC869" s="29"/>
      <c r="AD869" s="29"/>
      <c r="AE869" s="29"/>
      <c r="AF869" s="29"/>
      <c r="AG869" s="29"/>
      <c r="AH869" s="29"/>
      <c r="AI869" s="29"/>
      <c r="AJ869" s="29"/>
      <c r="AK869" s="29"/>
      <c r="AL869" s="29"/>
      <c r="AM869" s="29"/>
      <c r="AN869" s="29"/>
      <c r="AO869" s="29"/>
      <c r="AP869" s="29"/>
      <c r="AQ869" s="29"/>
      <c r="AR869" s="29"/>
    </row>
    <row r="870">
      <c r="A870" s="29"/>
      <c r="B870" s="29"/>
      <c r="C870" s="29"/>
      <c r="D870" s="29"/>
      <c r="E870" s="29"/>
      <c r="F870" s="29"/>
      <c r="G870" s="29"/>
      <c r="H870" s="30"/>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9"/>
      <c r="AH870" s="29"/>
      <c r="AI870" s="29"/>
      <c r="AJ870" s="29"/>
      <c r="AK870" s="29"/>
      <c r="AL870" s="29"/>
      <c r="AM870" s="29"/>
      <c r="AN870" s="29"/>
      <c r="AO870" s="29"/>
      <c r="AP870" s="29"/>
      <c r="AQ870" s="29"/>
      <c r="AR870" s="29"/>
    </row>
    <row r="871">
      <c r="A871" s="29"/>
      <c r="B871" s="29"/>
      <c r="C871" s="29"/>
      <c r="D871" s="29"/>
      <c r="E871" s="29"/>
      <c r="F871" s="29"/>
      <c r="G871" s="29"/>
      <c r="H871" s="30"/>
      <c r="I871" s="29"/>
      <c r="J871" s="29"/>
      <c r="K871" s="29"/>
      <c r="L871" s="29"/>
      <c r="M871" s="29"/>
      <c r="N871" s="29"/>
      <c r="O871" s="29"/>
      <c r="P871" s="29"/>
      <c r="Q871" s="29"/>
      <c r="R871" s="29"/>
      <c r="S871" s="29"/>
      <c r="T871" s="29"/>
      <c r="U871" s="29"/>
      <c r="V871" s="29"/>
      <c r="W871" s="29"/>
      <c r="X871" s="29"/>
      <c r="Y871" s="29"/>
      <c r="Z871" s="29"/>
      <c r="AA871" s="29"/>
      <c r="AB871" s="29"/>
      <c r="AC871" s="29"/>
      <c r="AD871" s="29"/>
      <c r="AE871" s="29"/>
      <c r="AF871" s="29"/>
      <c r="AG871" s="29"/>
      <c r="AH871" s="29"/>
      <c r="AI871" s="29"/>
      <c r="AJ871" s="29"/>
      <c r="AK871" s="29"/>
      <c r="AL871" s="29"/>
      <c r="AM871" s="29"/>
      <c r="AN871" s="29"/>
      <c r="AO871" s="29"/>
      <c r="AP871" s="29"/>
      <c r="AQ871" s="29"/>
      <c r="AR871" s="29"/>
    </row>
    <row r="872">
      <c r="A872" s="29"/>
      <c r="B872" s="29"/>
      <c r="C872" s="29"/>
      <c r="D872" s="29"/>
      <c r="E872" s="29"/>
      <c r="F872" s="29"/>
      <c r="G872" s="29"/>
      <c r="H872" s="30"/>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row>
    <row r="873">
      <c r="A873" s="29"/>
      <c r="B873" s="29"/>
      <c r="C873" s="29"/>
      <c r="D873" s="29"/>
      <c r="E873" s="29"/>
      <c r="F873" s="29"/>
      <c r="G873" s="29"/>
      <c r="H873" s="30"/>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row>
    <row r="874">
      <c r="A874" s="29"/>
      <c r="B874" s="29"/>
      <c r="C874" s="29"/>
      <c r="D874" s="29"/>
      <c r="E874" s="29"/>
      <c r="F874" s="29"/>
      <c r="G874" s="29"/>
      <c r="H874" s="30"/>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9"/>
      <c r="AH874" s="29"/>
      <c r="AI874" s="29"/>
      <c r="AJ874" s="29"/>
      <c r="AK874" s="29"/>
      <c r="AL874" s="29"/>
      <c r="AM874" s="29"/>
      <c r="AN874" s="29"/>
      <c r="AO874" s="29"/>
      <c r="AP874" s="29"/>
      <c r="AQ874" s="29"/>
      <c r="AR874" s="29"/>
    </row>
    <row r="875">
      <c r="A875" s="29"/>
      <c r="B875" s="29"/>
      <c r="C875" s="29"/>
      <c r="D875" s="29"/>
      <c r="E875" s="29"/>
      <c r="F875" s="29"/>
      <c r="G875" s="29"/>
      <c r="H875" s="30"/>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c r="AF875" s="29"/>
      <c r="AG875" s="29"/>
      <c r="AH875" s="29"/>
      <c r="AI875" s="29"/>
      <c r="AJ875" s="29"/>
      <c r="AK875" s="29"/>
      <c r="AL875" s="29"/>
      <c r="AM875" s="29"/>
      <c r="AN875" s="29"/>
      <c r="AO875" s="29"/>
      <c r="AP875" s="29"/>
      <c r="AQ875" s="29"/>
      <c r="AR875" s="29"/>
    </row>
    <row r="876">
      <c r="A876" s="29"/>
      <c r="B876" s="29"/>
      <c r="C876" s="29"/>
      <c r="D876" s="29"/>
      <c r="E876" s="29"/>
      <c r="F876" s="29"/>
      <c r="G876" s="29"/>
      <c r="H876" s="30"/>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AH876" s="29"/>
      <c r="AI876" s="29"/>
      <c r="AJ876" s="29"/>
      <c r="AK876" s="29"/>
      <c r="AL876" s="29"/>
      <c r="AM876" s="29"/>
      <c r="AN876" s="29"/>
      <c r="AO876" s="29"/>
      <c r="AP876" s="29"/>
      <c r="AQ876" s="29"/>
      <c r="AR876" s="29"/>
    </row>
    <row r="877">
      <c r="A877" s="29"/>
      <c r="B877" s="29"/>
      <c r="C877" s="29"/>
      <c r="D877" s="29"/>
      <c r="E877" s="29"/>
      <c r="F877" s="29"/>
      <c r="G877" s="29"/>
      <c r="H877" s="30"/>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c r="AF877" s="29"/>
      <c r="AG877" s="29"/>
      <c r="AH877" s="29"/>
      <c r="AI877" s="29"/>
      <c r="AJ877" s="29"/>
      <c r="AK877" s="29"/>
      <c r="AL877" s="29"/>
      <c r="AM877" s="29"/>
      <c r="AN877" s="29"/>
      <c r="AO877" s="29"/>
      <c r="AP877" s="29"/>
      <c r="AQ877" s="29"/>
      <c r="AR877" s="29"/>
    </row>
    <row r="878">
      <c r="A878" s="29"/>
      <c r="B878" s="29"/>
      <c r="C878" s="29"/>
      <c r="D878" s="29"/>
      <c r="E878" s="29"/>
      <c r="F878" s="29"/>
      <c r="G878" s="29"/>
      <c r="H878" s="30"/>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AH878" s="29"/>
      <c r="AI878" s="29"/>
      <c r="AJ878" s="29"/>
      <c r="AK878" s="29"/>
      <c r="AL878" s="29"/>
      <c r="AM878" s="29"/>
      <c r="AN878" s="29"/>
      <c r="AO878" s="29"/>
      <c r="AP878" s="29"/>
      <c r="AQ878" s="29"/>
      <c r="AR878" s="29"/>
    </row>
    <row r="879">
      <c r="A879" s="29"/>
      <c r="B879" s="29"/>
      <c r="C879" s="29"/>
      <c r="D879" s="29"/>
      <c r="E879" s="29"/>
      <c r="F879" s="29"/>
      <c r="G879" s="29"/>
      <c r="H879" s="30"/>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c r="AF879" s="29"/>
      <c r="AG879" s="29"/>
      <c r="AH879" s="29"/>
      <c r="AI879" s="29"/>
      <c r="AJ879" s="29"/>
      <c r="AK879" s="29"/>
      <c r="AL879" s="29"/>
      <c r="AM879" s="29"/>
      <c r="AN879" s="29"/>
      <c r="AO879" s="29"/>
      <c r="AP879" s="29"/>
      <c r="AQ879" s="29"/>
      <c r="AR879" s="29"/>
    </row>
    <row r="880">
      <c r="A880" s="29"/>
      <c r="B880" s="29"/>
      <c r="C880" s="29"/>
      <c r="D880" s="29"/>
      <c r="E880" s="29"/>
      <c r="F880" s="29"/>
      <c r="G880" s="29"/>
      <c r="H880" s="30"/>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AH880" s="29"/>
      <c r="AI880" s="29"/>
      <c r="AJ880" s="29"/>
      <c r="AK880" s="29"/>
      <c r="AL880" s="29"/>
      <c r="AM880" s="29"/>
      <c r="AN880" s="29"/>
      <c r="AO880" s="29"/>
      <c r="AP880" s="29"/>
      <c r="AQ880" s="29"/>
      <c r="AR880" s="29"/>
    </row>
    <row r="881">
      <c r="A881" s="29"/>
      <c r="B881" s="29"/>
      <c r="C881" s="29"/>
      <c r="D881" s="29"/>
      <c r="E881" s="29"/>
      <c r="F881" s="29"/>
      <c r="G881" s="29"/>
      <c r="H881" s="30"/>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c r="AF881" s="29"/>
      <c r="AG881" s="29"/>
      <c r="AH881" s="29"/>
      <c r="AI881" s="29"/>
      <c r="AJ881" s="29"/>
      <c r="AK881" s="29"/>
      <c r="AL881" s="29"/>
      <c r="AM881" s="29"/>
      <c r="AN881" s="29"/>
      <c r="AO881" s="29"/>
      <c r="AP881" s="29"/>
      <c r="AQ881" s="29"/>
      <c r="AR881" s="29"/>
    </row>
    <row r="882">
      <c r="A882" s="29"/>
      <c r="B882" s="29"/>
      <c r="C882" s="29"/>
      <c r="D882" s="29"/>
      <c r="E882" s="29"/>
      <c r="F882" s="29"/>
      <c r="G882" s="29"/>
      <c r="H882" s="30"/>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AH882" s="29"/>
      <c r="AI882" s="29"/>
      <c r="AJ882" s="29"/>
      <c r="AK882" s="29"/>
      <c r="AL882" s="29"/>
      <c r="AM882" s="29"/>
      <c r="AN882" s="29"/>
      <c r="AO882" s="29"/>
      <c r="AP882" s="29"/>
      <c r="AQ882" s="29"/>
      <c r="AR882" s="29"/>
    </row>
    <row r="883">
      <c r="A883" s="29"/>
      <c r="B883" s="29"/>
      <c r="C883" s="29"/>
      <c r="D883" s="29"/>
      <c r="E883" s="29"/>
      <c r="F883" s="29"/>
      <c r="G883" s="29"/>
      <c r="H883" s="30"/>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c r="AF883" s="29"/>
      <c r="AG883" s="29"/>
      <c r="AH883" s="29"/>
      <c r="AI883" s="29"/>
      <c r="AJ883" s="29"/>
      <c r="AK883" s="29"/>
      <c r="AL883" s="29"/>
      <c r="AM883" s="29"/>
      <c r="AN883" s="29"/>
      <c r="AO883" s="29"/>
      <c r="AP883" s="29"/>
      <c r="AQ883" s="29"/>
      <c r="AR883" s="29"/>
    </row>
    <row r="884">
      <c r="A884" s="29"/>
      <c r="B884" s="29"/>
      <c r="C884" s="29"/>
      <c r="D884" s="29"/>
      <c r="E884" s="29"/>
      <c r="F884" s="29"/>
      <c r="G884" s="29"/>
      <c r="H884" s="30"/>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row>
    <row r="885">
      <c r="A885" s="29"/>
      <c r="B885" s="29"/>
      <c r="C885" s="29"/>
      <c r="D885" s="29"/>
      <c r="E885" s="29"/>
      <c r="F885" s="29"/>
      <c r="G885" s="29"/>
      <c r="H885" s="30"/>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row>
    <row r="886">
      <c r="A886" s="29"/>
      <c r="B886" s="29"/>
      <c r="C886" s="29"/>
      <c r="D886" s="29"/>
      <c r="E886" s="29"/>
      <c r="F886" s="29"/>
      <c r="G886" s="29"/>
      <c r="H886" s="30"/>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AH886" s="29"/>
      <c r="AI886" s="29"/>
      <c r="AJ886" s="29"/>
      <c r="AK886" s="29"/>
      <c r="AL886" s="29"/>
      <c r="AM886" s="29"/>
      <c r="AN886" s="29"/>
      <c r="AO886" s="29"/>
      <c r="AP886" s="29"/>
      <c r="AQ886" s="29"/>
      <c r="AR886" s="29"/>
    </row>
    <row r="887">
      <c r="A887" s="29"/>
      <c r="B887" s="29"/>
      <c r="C887" s="29"/>
      <c r="D887" s="29"/>
      <c r="E887" s="29"/>
      <c r="F887" s="29"/>
      <c r="G887" s="29"/>
      <c r="H887" s="30"/>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c r="AF887" s="29"/>
      <c r="AG887" s="29"/>
      <c r="AH887" s="29"/>
      <c r="AI887" s="29"/>
      <c r="AJ887" s="29"/>
      <c r="AK887" s="29"/>
      <c r="AL887" s="29"/>
      <c r="AM887" s="29"/>
      <c r="AN887" s="29"/>
      <c r="AO887" s="29"/>
      <c r="AP887" s="29"/>
      <c r="AQ887" s="29"/>
      <c r="AR887" s="29"/>
    </row>
    <row r="888">
      <c r="A888" s="29"/>
      <c r="B888" s="29"/>
      <c r="C888" s="29"/>
      <c r="D888" s="29"/>
      <c r="E888" s="29"/>
      <c r="F888" s="29"/>
      <c r="G888" s="29"/>
      <c r="H888" s="30"/>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AH888" s="29"/>
      <c r="AI888" s="29"/>
      <c r="AJ888" s="29"/>
      <c r="AK888" s="29"/>
      <c r="AL888" s="29"/>
      <c r="AM888" s="29"/>
      <c r="AN888" s="29"/>
      <c r="AO888" s="29"/>
      <c r="AP888" s="29"/>
      <c r="AQ888" s="29"/>
      <c r="AR888" s="29"/>
    </row>
    <row r="889">
      <c r="A889" s="29"/>
      <c r="B889" s="29"/>
      <c r="C889" s="29"/>
      <c r="D889" s="29"/>
      <c r="E889" s="29"/>
      <c r="F889" s="29"/>
      <c r="G889" s="29"/>
      <c r="H889" s="30"/>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c r="AF889" s="29"/>
      <c r="AG889" s="29"/>
      <c r="AH889" s="29"/>
      <c r="AI889" s="29"/>
      <c r="AJ889" s="29"/>
      <c r="AK889" s="29"/>
      <c r="AL889" s="29"/>
      <c r="AM889" s="29"/>
      <c r="AN889" s="29"/>
      <c r="AO889" s="29"/>
      <c r="AP889" s="29"/>
      <c r="AQ889" s="29"/>
      <c r="AR889" s="29"/>
    </row>
    <row r="890">
      <c r="A890" s="29"/>
      <c r="B890" s="29"/>
      <c r="C890" s="29"/>
      <c r="D890" s="29"/>
      <c r="E890" s="29"/>
      <c r="F890" s="29"/>
      <c r="G890" s="29"/>
      <c r="H890" s="30"/>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AH890" s="29"/>
      <c r="AI890" s="29"/>
      <c r="AJ890" s="29"/>
      <c r="AK890" s="29"/>
      <c r="AL890" s="29"/>
      <c r="AM890" s="29"/>
      <c r="AN890" s="29"/>
      <c r="AO890" s="29"/>
      <c r="AP890" s="29"/>
      <c r="AQ890" s="29"/>
      <c r="AR890" s="29"/>
    </row>
    <row r="891">
      <c r="A891" s="29"/>
      <c r="B891" s="29"/>
      <c r="C891" s="29"/>
      <c r="D891" s="29"/>
      <c r="E891" s="29"/>
      <c r="F891" s="29"/>
      <c r="G891" s="29"/>
      <c r="H891" s="30"/>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c r="AF891" s="29"/>
      <c r="AG891" s="29"/>
      <c r="AH891" s="29"/>
      <c r="AI891" s="29"/>
      <c r="AJ891" s="29"/>
      <c r="AK891" s="29"/>
      <c r="AL891" s="29"/>
      <c r="AM891" s="29"/>
      <c r="AN891" s="29"/>
      <c r="AO891" s="29"/>
      <c r="AP891" s="29"/>
      <c r="AQ891" s="29"/>
      <c r="AR891" s="29"/>
    </row>
    <row r="892">
      <c r="A892" s="29"/>
      <c r="B892" s="29"/>
      <c r="C892" s="29"/>
      <c r="D892" s="29"/>
      <c r="E892" s="29"/>
      <c r="F892" s="29"/>
      <c r="G892" s="29"/>
      <c r="H892" s="30"/>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AH892" s="29"/>
      <c r="AI892" s="29"/>
      <c r="AJ892" s="29"/>
      <c r="AK892" s="29"/>
      <c r="AL892" s="29"/>
      <c r="AM892" s="29"/>
      <c r="AN892" s="29"/>
      <c r="AO892" s="29"/>
      <c r="AP892" s="29"/>
      <c r="AQ892" s="29"/>
      <c r="AR892" s="29"/>
    </row>
    <row r="893">
      <c r="A893" s="29"/>
      <c r="B893" s="29"/>
      <c r="C893" s="29"/>
      <c r="D893" s="29"/>
      <c r="E893" s="29"/>
      <c r="F893" s="29"/>
      <c r="G893" s="29"/>
      <c r="H893" s="30"/>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c r="AF893" s="29"/>
      <c r="AG893" s="29"/>
      <c r="AH893" s="29"/>
      <c r="AI893" s="29"/>
      <c r="AJ893" s="29"/>
      <c r="AK893" s="29"/>
      <c r="AL893" s="29"/>
      <c r="AM893" s="29"/>
      <c r="AN893" s="29"/>
      <c r="AO893" s="29"/>
      <c r="AP893" s="29"/>
      <c r="AQ893" s="29"/>
      <c r="AR893" s="29"/>
    </row>
    <row r="894">
      <c r="A894" s="29"/>
      <c r="B894" s="29"/>
      <c r="C894" s="29"/>
      <c r="D894" s="29"/>
      <c r="E894" s="29"/>
      <c r="F894" s="29"/>
      <c r="G894" s="29"/>
      <c r="H894" s="30"/>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AH894" s="29"/>
      <c r="AI894" s="29"/>
      <c r="AJ894" s="29"/>
      <c r="AK894" s="29"/>
      <c r="AL894" s="29"/>
      <c r="AM894" s="29"/>
      <c r="AN894" s="29"/>
      <c r="AO894" s="29"/>
      <c r="AP894" s="29"/>
      <c r="AQ894" s="29"/>
      <c r="AR894" s="29"/>
    </row>
    <row r="895">
      <c r="A895" s="29"/>
      <c r="B895" s="29"/>
      <c r="C895" s="29"/>
      <c r="D895" s="29"/>
      <c r="E895" s="29"/>
      <c r="F895" s="29"/>
      <c r="G895" s="29"/>
      <c r="H895" s="30"/>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c r="AF895" s="29"/>
      <c r="AG895" s="29"/>
      <c r="AH895" s="29"/>
      <c r="AI895" s="29"/>
      <c r="AJ895" s="29"/>
      <c r="AK895" s="29"/>
      <c r="AL895" s="29"/>
      <c r="AM895" s="29"/>
      <c r="AN895" s="29"/>
      <c r="AO895" s="29"/>
      <c r="AP895" s="29"/>
      <c r="AQ895" s="29"/>
      <c r="AR895" s="29"/>
    </row>
    <row r="896">
      <c r="A896" s="29"/>
      <c r="B896" s="29"/>
      <c r="C896" s="29"/>
      <c r="D896" s="29"/>
      <c r="E896" s="29"/>
      <c r="F896" s="29"/>
      <c r="G896" s="29"/>
      <c r="H896" s="30"/>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row>
    <row r="897">
      <c r="A897" s="29"/>
      <c r="B897" s="29"/>
      <c r="C897" s="29"/>
      <c r="D897" s="29"/>
      <c r="E897" s="29"/>
      <c r="F897" s="29"/>
      <c r="G897" s="29"/>
      <c r="H897" s="30"/>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row>
    <row r="898">
      <c r="A898" s="29"/>
      <c r="B898" s="29"/>
      <c r="C898" s="29"/>
      <c r="D898" s="29"/>
      <c r="E898" s="29"/>
      <c r="F898" s="29"/>
      <c r="G898" s="29"/>
      <c r="H898" s="30"/>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c r="AF898" s="29"/>
      <c r="AG898" s="29"/>
      <c r="AH898" s="29"/>
      <c r="AI898" s="29"/>
      <c r="AJ898" s="29"/>
      <c r="AK898" s="29"/>
      <c r="AL898" s="29"/>
      <c r="AM898" s="29"/>
      <c r="AN898" s="29"/>
      <c r="AO898" s="29"/>
      <c r="AP898" s="29"/>
      <c r="AQ898" s="29"/>
      <c r="AR898" s="29"/>
    </row>
    <row r="899">
      <c r="A899" s="29"/>
      <c r="B899" s="29"/>
      <c r="C899" s="29"/>
      <c r="D899" s="29"/>
      <c r="E899" s="29"/>
      <c r="F899" s="29"/>
      <c r="G899" s="29"/>
      <c r="H899" s="30"/>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c r="AF899" s="29"/>
      <c r="AG899" s="29"/>
      <c r="AH899" s="29"/>
      <c r="AI899" s="29"/>
      <c r="AJ899" s="29"/>
      <c r="AK899" s="29"/>
      <c r="AL899" s="29"/>
      <c r="AM899" s="29"/>
      <c r="AN899" s="29"/>
      <c r="AO899" s="29"/>
      <c r="AP899" s="29"/>
      <c r="AQ899" s="29"/>
      <c r="AR899" s="29"/>
    </row>
    <row r="900">
      <c r="A900" s="29"/>
      <c r="B900" s="29"/>
      <c r="C900" s="29"/>
      <c r="D900" s="29"/>
      <c r="E900" s="29"/>
      <c r="F900" s="29"/>
      <c r="G900" s="29"/>
      <c r="H900" s="30"/>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c r="AF900" s="29"/>
      <c r="AG900" s="29"/>
      <c r="AH900" s="29"/>
      <c r="AI900" s="29"/>
      <c r="AJ900" s="29"/>
      <c r="AK900" s="29"/>
      <c r="AL900" s="29"/>
      <c r="AM900" s="29"/>
      <c r="AN900" s="29"/>
      <c r="AO900" s="29"/>
      <c r="AP900" s="29"/>
      <c r="AQ900" s="29"/>
      <c r="AR900" s="29"/>
    </row>
    <row r="901">
      <c r="A901" s="29"/>
      <c r="B901" s="29"/>
      <c r="C901" s="29"/>
      <c r="D901" s="29"/>
      <c r="E901" s="29"/>
      <c r="F901" s="29"/>
      <c r="G901" s="29"/>
      <c r="H901" s="30"/>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c r="AF901" s="29"/>
      <c r="AG901" s="29"/>
      <c r="AH901" s="29"/>
      <c r="AI901" s="29"/>
      <c r="AJ901" s="29"/>
      <c r="AK901" s="29"/>
      <c r="AL901" s="29"/>
      <c r="AM901" s="29"/>
      <c r="AN901" s="29"/>
      <c r="AO901" s="29"/>
      <c r="AP901" s="29"/>
      <c r="AQ901" s="29"/>
      <c r="AR901" s="29"/>
    </row>
    <row r="902">
      <c r="A902" s="29"/>
      <c r="B902" s="29"/>
      <c r="C902" s="29"/>
      <c r="D902" s="29"/>
      <c r="E902" s="29"/>
      <c r="F902" s="29"/>
      <c r="G902" s="29"/>
      <c r="H902" s="30"/>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c r="AF902" s="29"/>
      <c r="AG902" s="29"/>
      <c r="AH902" s="29"/>
      <c r="AI902" s="29"/>
      <c r="AJ902" s="29"/>
      <c r="AK902" s="29"/>
      <c r="AL902" s="29"/>
      <c r="AM902" s="29"/>
      <c r="AN902" s="29"/>
      <c r="AO902" s="29"/>
      <c r="AP902" s="29"/>
      <c r="AQ902" s="29"/>
      <c r="AR902" s="29"/>
    </row>
    <row r="903">
      <c r="A903" s="29"/>
      <c r="B903" s="29"/>
      <c r="C903" s="29"/>
      <c r="D903" s="29"/>
      <c r="E903" s="29"/>
      <c r="F903" s="29"/>
      <c r="G903" s="29"/>
      <c r="H903" s="30"/>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AH903" s="29"/>
      <c r="AI903" s="29"/>
      <c r="AJ903" s="29"/>
      <c r="AK903" s="29"/>
      <c r="AL903" s="29"/>
      <c r="AM903" s="29"/>
      <c r="AN903" s="29"/>
      <c r="AO903" s="29"/>
      <c r="AP903" s="29"/>
      <c r="AQ903" s="29"/>
      <c r="AR903" s="29"/>
    </row>
    <row r="904">
      <c r="A904" s="29"/>
      <c r="B904" s="29"/>
      <c r="C904" s="29"/>
      <c r="D904" s="29"/>
      <c r="E904" s="29"/>
      <c r="F904" s="29"/>
      <c r="G904" s="29"/>
      <c r="H904" s="30"/>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9"/>
      <c r="AH904" s="29"/>
      <c r="AI904" s="29"/>
      <c r="AJ904" s="29"/>
      <c r="AK904" s="29"/>
      <c r="AL904" s="29"/>
      <c r="AM904" s="29"/>
      <c r="AN904" s="29"/>
      <c r="AO904" s="29"/>
      <c r="AP904" s="29"/>
      <c r="AQ904" s="29"/>
      <c r="AR904" s="29"/>
    </row>
    <row r="905">
      <c r="A905" s="29"/>
      <c r="B905" s="29"/>
      <c r="C905" s="29"/>
      <c r="D905" s="29"/>
      <c r="E905" s="29"/>
      <c r="F905" s="29"/>
      <c r="G905" s="29"/>
      <c r="H905" s="30"/>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c r="AJ905" s="29"/>
      <c r="AK905" s="29"/>
      <c r="AL905" s="29"/>
      <c r="AM905" s="29"/>
      <c r="AN905" s="29"/>
      <c r="AO905" s="29"/>
      <c r="AP905" s="29"/>
      <c r="AQ905" s="29"/>
      <c r="AR905" s="29"/>
    </row>
    <row r="906">
      <c r="A906" s="29"/>
      <c r="B906" s="29"/>
      <c r="C906" s="29"/>
      <c r="D906" s="29"/>
      <c r="E906" s="29"/>
      <c r="F906" s="29"/>
      <c r="G906" s="29"/>
      <c r="H906" s="30"/>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9"/>
      <c r="AH906" s="29"/>
      <c r="AI906" s="29"/>
      <c r="AJ906" s="29"/>
      <c r="AK906" s="29"/>
      <c r="AL906" s="29"/>
      <c r="AM906" s="29"/>
      <c r="AN906" s="29"/>
      <c r="AO906" s="29"/>
      <c r="AP906" s="29"/>
      <c r="AQ906" s="29"/>
      <c r="AR906" s="29"/>
    </row>
    <row r="907">
      <c r="A907" s="29"/>
      <c r="B907" s="29"/>
      <c r="C907" s="29"/>
      <c r="D907" s="29"/>
      <c r="E907" s="29"/>
      <c r="F907" s="29"/>
      <c r="G907" s="29"/>
      <c r="H907" s="30"/>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c r="AJ907" s="29"/>
      <c r="AK907" s="29"/>
      <c r="AL907" s="29"/>
      <c r="AM907" s="29"/>
      <c r="AN907" s="29"/>
      <c r="AO907" s="29"/>
      <c r="AP907" s="29"/>
      <c r="AQ907" s="29"/>
      <c r="AR907" s="29"/>
    </row>
    <row r="908">
      <c r="A908" s="29"/>
      <c r="B908" s="29"/>
      <c r="C908" s="29"/>
      <c r="D908" s="29"/>
      <c r="E908" s="29"/>
      <c r="F908" s="29"/>
      <c r="G908" s="29"/>
      <c r="H908" s="30"/>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row>
    <row r="909">
      <c r="A909" s="29"/>
      <c r="B909" s="29"/>
      <c r="C909" s="29"/>
      <c r="D909" s="29"/>
      <c r="E909" s="29"/>
      <c r="F909" s="29"/>
      <c r="G909" s="29"/>
      <c r="H909" s="30"/>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row>
    <row r="910">
      <c r="A910" s="29"/>
      <c r="B910" s="29"/>
      <c r="C910" s="29"/>
      <c r="D910" s="29"/>
      <c r="E910" s="29"/>
      <c r="F910" s="29"/>
      <c r="G910" s="29"/>
      <c r="H910" s="30"/>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9"/>
      <c r="AH910" s="29"/>
      <c r="AI910" s="29"/>
      <c r="AJ910" s="29"/>
      <c r="AK910" s="29"/>
      <c r="AL910" s="29"/>
      <c r="AM910" s="29"/>
      <c r="AN910" s="29"/>
      <c r="AO910" s="29"/>
      <c r="AP910" s="29"/>
      <c r="AQ910" s="29"/>
      <c r="AR910" s="29"/>
    </row>
    <row r="911">
      <c r="A911" s="29"/>
      <c r="B911" s="29"/>
      <c r="C911" s="29"/>
      <c r="D911" s="29"/>
      <c r="E911" s="29"/>
      <c r="F911" s="29"/>
      <c r="G911" s="29"/>
      <c r="H911" s="30"/>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c r="AJ911" s="29"/>
      <c r="AK911" s="29"/>
      <c r="AL911" s="29"/>
      <c r="AM911" s="29"/>
      <c r="AN911" s="29"/>
      <c r="AO911" s="29"/>
      <c r="AP911" s="29"/>
      <c r="AQ911" s="29"/>
      <c r="AR911" s="29"/>
    </row>
    <row r="912">
      <c r="A912" s="29"/>
      <c r="B912" s="29"/>
      <c r="C912" s="29"/>
      <c r="D912" s="29"/>
      <c r="E912" s="29"/>
      <c r="F912" s="29"/>
      <c r="G912" s="29"/>
      <c r="H912" s="30"/>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9"/>
      <c r="AH912" s="29"/>
      <c r="AI912" s="29"/>
      <c r="AJ912" s="29"/>
      <c r="AK912" s="29"/>
      <c r="AL912" s="29"/>
      <c r="AM912" s="29"/>
      <c r="AN912" s="29"/>
      <c r="AO912" s="29"/>
      <c r="AP912" s="29"/>
      <c r="AQ912" s="29"/>
      <c r="AR912" s="29"/>
    </row>
    <row r="913">
      <c r="A913" s="29"/>
      <c r="B913" s="29"/>
      <c r="C913" s="29"/>
      <c r="D913" s="29"/>
      <c r="E913" s="29"/>
      <c r="F913" s="29"/>
      <c r="G913" s="29"/>
      <c r="H913" s="30"/>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c r="AJ913" s="29"/>
      <c r="AK913" s="29"/>
      <c r="AL913" s="29"/>
      <c r="AM913" s="29"/>
      <c r="AN913" s="29"/>
      <c r="AO913" s="29"/>
      <c r="AP913" s="29"/>
      <c r="AQ913" s="29"/>
      <c r="AR913" s="29"/>
    </row>
    <row r="914">
      <c r="A914" s="29"/>
      <c r="B914" s="29"/>
      <c r="C914" s="29"/>
      <c r="D914" s="29"/>
      <c r="E914" s="29"/>
      <c r="F914" s="29"/>
      <c r="G914" s="29"/>
      <c r="H914" s="30"/>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9"/>
      <c r="AH914" s="29"/>
      <c r="AI914" s="29"/>
      <c r="AJ914" s="29"/>
      <c r="AK914" s="29"/>
      <c r="AL914" s="29"/>
      <c r="AM914" s="29"/>
      <c r="AN914" s="29"/>
      <c r="AO914" s="29"/>
      <c r="AP914" s="29"/>
      <c r="AQ914" s="29"/>
      <c r="AR914" s="29"/>
    </row>
    <row r="915">
      <c r="A915" s="29"/>
      <c r="B915" s="29"/>
      <c r="C915" s="29"/>
      <c r="D915" s="29"/>
      <c r="E915" s="29"/>
      <c r="F915" s="29"/>
      <c r="G915" s="29"/>
      <c r="H915" s="30"/>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AH915" s="29"/>
      <c r="AI915" s="29"/>
      <c r="AJ915" s="29"/>
      <c r="AK915" s="29"/>
      <c r="AL915" s="29"/>
      <c r="AM915" s="29"/>
      <c r="AN915" s="29"/>
      <c r="AO915" s="29"/>
      <c r="AP915" s="29"/>
      <c r="AQ915" s="29"/>
      <c r="AR915" s="29"/>
    </row>
    <row r="916">
      <c r="A916" s="29"/>
      <c r="B916" s="29"/>
      <c r="C916" s="29"/>
      <c r="D916" s="29"/>
      <c r="E916" s="29"/>
      <c r="F916" s="29"/>
      <c r="G916" s="29"/>
      <c r="H916" s="30"/>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c r="AF916" s="29"/>
      <c r="AG916" s="29"/>
      <c r="AH916" s="29"/>
      <c r="AI916" s="29"/>
      <c r="AJ916" s="29"/>
      <c r="AK916" s="29"/>
      <c r="AL916" s="29"/>
      <c r="AM916" s="29"/>
      <c r="AN916" s="29"/>
      <c r="AO916" s="29"/>
      <c r="AP916" s="29"/>
      <c r="AQ916" s="29"/>
      <c r="AR916" s="29"/>
    </row>
    <row r="917">
      <c r="A917" s="29"/>
      <c r="B917" s="29"/>
      <c r="C917" s="29"/>
      <c r="D917" s="29"/>
      <c r="E917" s="29"/>
      <c r="F917" s="29"/>
      <c r="G917" s="29"/>
      <c r="H917" s="30"/>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AH917" s="29"/>
      <c r="AI917" s="29"/>
      <c r="AJ917" s="29"/>
      <c r="AK917" s="29"/>
      <c r="AL917" s="29"/>
      <c r="AM917" s="29"/>
      <c r="AN917" s="29"/>
      <c r="AO917" s="29"/>
      <c r="AP917" s="29"/>
      <c r="AQ917" s="29"/>
      <c r="AR917" s="29"/>
    </row>
    <row r="918">
      <c r="A918" s="29"/>
      <c r="B918" s="29"/>
      <c r="C918" s="29"/>
      <c r="D918" s="29"/>
      <c r="E918" s="29"/>
      <c r="F918" s="29"/>
      <c r="G918" s="29"/>
      <c r="H918" s="30"/>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c r="AF918" s="29"/>
      <c r="AG918" s="29"/>
      <c r="AH918" s="29"/>
      <c r="AI918" s="29"/>
      <c r="AJ918" s="29"/>
      <c r="AK918" s="29"/>
      <c r="AL918" s="29"/>
      <c r="AM918" s="29"/>
      <c r="AN918" s="29"/>
      <c r="AO918" s="29"/>
      <c r="AP918" s="29"/>
      <c r="AQ918" s="29"/>
      <c r="AR918" s="29"/>
    </row>
    <row r="919">
      <c r="A919" s="29"/>
      <c r="B919" s="29"/>
      <c r="C919" s="29"/>
      <c r="D919" s="29"/>
      <c r="E919" s="29"/>
      <c r="F919" s="29"/>
      <c r="G919" s="29"/>
      <c r="H919" s="30"/>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AH919" s="29"/>
      <c r="AI919" s="29"/>
      <c r="AJ919" s="29"/>
      <c r="AK919" s="29"/>
      <c r="AL919" s="29"/>
      <c r="AM919" s="29"/>
      <c r="AN919" s="29"/>
      <c r="AO919" s="29"/>
      <c r="AP919" s="29"/>
      <c r="AQ919" s="29"/>
      <c r="AR919" s="29"/>
    </row>
    <row r="920">
      <c r="A920" s="29"/>
      <c r="B920" s="29"/>
      <c r="C920" s="29"/>
      <c r="D920" s="29"/>
      <c r="E920" s="29"/>
      <c r="F920" s="29"/>
      <c r="G920" s="29"/>
      <c r="H920" s="30"/>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row>
    <row r="921">
      <c r="A921" s="29"/>
      <c r="B921" s="29"/>
      <c r="C921" s="29"/>
      <c r="D921" s="29"/>
      <c r="E921" s="29"/>
      <c r="F921" s="29"/>
      <c r="G921" s="29"/>
      <c r="H921" s="30"/>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row>
    <row r="922">
      <c r="A922" s="29"/>
      <c r="B922" s="29"/>
      <c r="C922" s="29"/>
      <c r="D922" s="29"/>
      <c r="E922" s="29"/>
      <c r="F922" s="29"/>
      <c r="G922" s="29"/>
      <c r="H922" s="30"/>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c r="AF922" s="29"/>
      <c r="AG922" s="29"/>
      <c r="AH922" s="29"/>
      <c r="AI922" s="29"/>
      <c r="AJ922" s="29"/>
      <c r="AK922" s="29"/>
      <c r="AL922" s="29"/>
      <c r="AM922" s="29"/>
      <c r="AN922" s="29"/>
      <c r="AO922" s="29"/>
      <c r="AP922" s="29"/>
      <c r="AQ922" s="29"/>
      <c r="AR922" s="29"/>
    </row>
    <row r="923">
      <c r="A923" s="29"/>
      <c r="B923" s="29"/>
      <c r="C923" s="29"/>
      <c r="D923" s="29"/>
      <c r="E923" s="29"/>
      <c r="F923" s="29"/>
      <c r="G923" s="29"/>
      <c r="H923" s="30"/>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AH923" s="29"/>
      <c r="AI923" s="29"/>
      <c r="AJ923" s="29"/>
      <c r="AK923" s="29"/>
      <c r="AL923" s="29"/>
      <c r="AM923" s="29"/>
      <c r="AN923" s="29"/>
      <c r="AO923" s="29"/>
      <c r="AP923" s="29"/>
      <c r="AQ923" s="29"/>
      <c r="AR923" s="29"/>
    </row>
    <row r="924">
      <c r="A924" s="29"/>
      <c r="B924" s="29"/>
      <c r="C924" s="29"/>
      <c r="D924" s="29"/>
      <c r="E924" s="29"/>
      <c r="F924" s="29"/>
      <c r="G924" s="29"/>
      <c r="H924" s="30"/>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c r="AF924" s="29"/>
      <c r="AG924" s="29"/>
      <c r="AH924" s="29"/>
      <c r="AI924" s="29"/>
      <c r="AJ924" s="29"/>
      <c r="AK924" s="29"/>
      <c r="AL924" s="29"/>
      <c r="AM924" s="29"/>
      <c r="AN924" s="29"/>
      <c r="AO924" s="29"/>
      <c r="AP924" s="29"/>
      <c r="AQ924" s="29"/>
      <c r="AR924" s="29"/>
    </row>
    <row r="925">
      <c r="A925" s="29"/>
      <c r="B925" s="29"/>
      <c r="C925" s="29"/>
      <c r="D925" s="29"/>
      <c r="E925" s="29"/>
      <c r="F925" s="29"/>
      <c r="G925" s="29"/>
      <c r="H925" s="30"/>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AH925" s="29"/>
      <c r="AI925" s="29"/>
      <c r="AJ925" s="29"/>
      <c r="AK925" s="29"/>
      <c r="AL925" s="29"/>
      <c r="AM925" s="29"/>
      <c r="AN925" s="29"/>
      <c r="AO925" s="29"/>
      <c r="AP925" s="29"/>
      <c r="AQ925" s="29"/>
      <c r="AR925" s="29"/>
    </row>
    <row r="926">
      <c r="A926" s="29"/>
      <c r="B926" s="29"/>
      <c r="C926" s="29"/>
      <c r="D926" s="29"/>
      <c r="E926" s="29"/>
      <c r="F926" s="29"/>
      <c r="G926" s="29"/>
      <c r="H926" s="30"/>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c r="AF926" s="29"/>
      <c r="AG926" s="29"/>
      <c r="AH926" s="29"/>
      <c r="AI926" s="29"/>
      <c r="AJ926" s="29"/>
      <c r="AK926" s="29"/>
      <c r="AL926" s="29"/>
      <c r="AM926" s="29"/>
      <c r="AN926" s="29"/>
      <c r="AO926" s="29"/>
      <c r="AP926" s="29"/>
      <c r="AQ926" s="29"/>
      <c r="AR926" s="29"/>
    </row>
    <row r="927">
      <c r="A927" s="29"/>
      <c r="B927" s="29"/>
      <c r="C927" s="29"/>
      <c r="D927" s="29"/>
      <c r="E927" s="29"/>
      <c r="F927" s="29"/>
      <c r="G927" s="29"/>
      <c r="H927" s="30"/>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AH927" s="29"/>
      <c r="AI927" s="29"/>
      <c r="AJ927" s="29"/>
      <c r="AK927" s="29"/>
      <c r="AL927" s="29"/>
      <c r="AM927" s="29"/>
      <c r="AN927" s="29"/>
      <c r="AO927" s="29"/>
      <c r="AP927" s="29"/>
      <c r="AQ927" s="29"/>
      <c r="AR927" s="29"/>
    </row>
    <row r="928">
      <c r="A928" s="29"/>
      <c r="B928" s="29"/>
      <c r="C928" s="29"/>
      <c r="D928" s="29"/>
      <c r="E928" s="29"/>
      <c r="F928" s="29"/>
      <c r="G928" s="29"/>
      <c r="H928" s="30"/>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c r="AF928" s="29"/>
      <c r="AG928" s="29"/>
      <c r="AH928" s="29"/>
      <c r="AI928" s="29"/>
      <c r="AJ928" s="29"/>
      <c r="AK928" s="29"/>
      <c r="AL928" s="29"/>
      <c r="AM928" s="29"/>
      <c r="AN928" s="29"/>
      <c r="AO928" s="29"/>
      <c r="AP928" s="29"/>
      <c r="AQ928" s="29"/>
      <c r="AR928" s="29"/>
    </row>
    <row r="929">
      <c r="A929" s="29"/>
      <c r="B929" s="29"/>
      <c r="C929" s="29"/>
      <c r="D929" s="29"/>
      <c r="E929" s="29"/>
      <c r="F929" s="29"/>
      <c r="G929" s="29"/>
      <c r="H929" s="30"/>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AH929" s="29"/>
      <c r="AI929" s="29"/>
      <c r="AJ929" s="29"/>
      <c r="AK929" s="29"/>
      <c r="AL929" s="29"/>
      <c r="AM929" s="29"/>
      <c r="AN929" s="29"/>
      <c r="AO929" s="29"/>
      <c r="AP929" s="29"/>
      <c r="AQ929" s="29"/>
      <c r="AR929" s="29"/>
    </row>
    <row r="930">
      <c r="A930" s="29"/>
      <c r="B930" s="29"/>
      <c r="C930" s="29"/>
      <c r="D930" s="29"/>
      <c r="E930" s="29"/>
      <c r="F930" s="29"/>
      <c r="G930" s="29"/>
      <c r="H930" s="30"/>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9"/>
      <c r="AH930" s="29"/>
      <c r="AI930" s="29"/>
      <c r="AJ930" s="29"/>
      <c r="AK930" s="29"/>
      <c r="AL930" s="29"/>
      <c r="AM930" s="29"/>
      <c r="AN930" s="29"/>
      <c r="AO930" s="29"/>
      <c r="AP930" s="29"/>
      <c r="AQ930" s="29"/>
      <c r="AR930" s="29"/>
    </row>
    <row r="931">
      <c r="A931" s="29"/>
      <c r="B931" s="29"/>
      <c r="C931" s="29"/>
      <c r="D931" s="29"/>
      <c r="E931" s="29"/>
      <c r="F931" s="29"/>
      <c r="G931" s="29"/>
      <c r="H931" s="30"/>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AH931" s="29"/>
      <c r="AI931" s="29"/>
      <c r="AJ931" s="29"/>
      <c r="AK931" s="29"/>
      <c r="AL931" s="29"/>
      <c r="AM931" s="29"/>
      <c r="AN931" s="29"/>
      <c r="AO931" s="29"/>
      <c r="AP931" s="29"/>
      <c r="AQ931" s="29"/>
      <c r="AR931" s="29"/>
    </row>
    <row r="932">
      <c r="A932" s="29"/>
      <c r="B932" s="29"/>
      <c r="C932" s="29"/>
      <c r="D932" s="29"/>
      <c r="E932" s="29"/>
      <c r="F932" s="29"/>
      <c r="G932" s="29"/>
      <c r="H932" s="30"/>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row>
    <row r="933">
      <c r="A933" s="29"/>
      <c r="B933" s="29"/>
      <c r="C933" s="29"/>
      <c r="D933" s="29"/>
      <c r="E933" s="29"/>
      <c r="F933" s="29"/>
      <c r="G933" s="29"/>
      <c r="H933" s="30"/>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row>
    <row r="934">
      <c r="A934" s="29"/>
      <c r="B934" s="29"/>
      <c r="C934" s="29"/>
      <c r="D934" s="29"/>
      <c r="E934" s="29"/>
      <c r="F934" s="29"/>
      <c r="G934" s="29"/>
      <c r="H934" s="30"/>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c r="AF934" s="29"/>
      <c r="AG934" s="29"/>
      <c r="AH934" s="29"/>
      <c r="AI934" s="29"/>
      <c r="AJ934" s="29"/>
      <c r="AK934" s="29"/>
      <c r="AL934" s="29"/>
      <c r="AM934" s="29"/>
      <c r="AN934" s="29"/>
      <c r="AO934" s="29"/>
      <c r="AP934" s="29"/>
      <c r="AQ934" s="29"/>
      <c r="AR934" s="29"/>
    </row>
    <row r="935">
      <c r="A935" s="29"/>
      <c r="B935" s="29"/>
      <c r="C935" s="29"/>
      <c r="D935" s="29"/>
      <c r="E935" s="29"/>
      <c r="F935" s="29"/>
      <c r="G935" s="29"/>
      <c r="H935" s="30"/>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AH935" s="29"/>
      <c r="AI935" s="29"/>
      <c r="AJ935" s="29"/>
      <c r="AK935" s="29"/>
      <c r="AL935" s="29"/>
      <c r="AM935" s="29"/>
      <c r="AN935" s="29"/>
      <c r="AO935" s="29"/>
      <c r="AP935" s="29"/>
      <c r="AQ935" s="29"/>
      <c r="AR935" s="29"/>
    </row>
    <row r="936">
      <c r="A936" s="29"/>
      <c r="B936" s="29"/>
      <c r="C936" s="29"/>
      <c r="D936" s="29"/>
      <c r="E936" s="29"/>
      <c r="F936" s="29"/>
      <c r="G936" s="29"/>
      <c r="H936" s="30"/>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c r="AF936" s="29"/>
      <c r="AG936" s="29"/>
      <c r="AH936" s="29"/>
      <c r="AI936" s="29"/>
      <c r="AJ936" s="29"/>
      <c r="AK936" s="29"/>
      <c r="AL936" s="29"/>
      <c r="AM936" s="29"/>
      <c r="AN936" s="29"/>
      <c r="AO936" s="29"/>
      <c r="AP936" s="29"/>
      <c r="AQ936" s="29"/>
      <c r="AR936" s="29"/>
    </row>
    <row r="937">
      <c r="A937" s="29"/>
      <c r="B937" s="29"/>
      <c r="C937" s="29"/>
      <c r="D937" s="29"/>
      <c r="E937" s="29"/>
      <c r="F937" s="29"/>
      <c r="G937" s="29"/>
      <c r="H937" s="30"/>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c r="AF937" s="29"/>
      <c r="AG937" s="29"/>
      <c r="AH937" s="29"/>
      <c r="AI937" s="29"/>
      <c r="AJ937" s="29"/>
      <c r="AK937" s="29"/>
      <c r="AL937" s="29"/>
      <c r="AM937" s="29"/>
      <c r="AN937" s="29"/>
      <c r="AO937" s="29"/>
      <c r="AP937" s="29"/>
      <c r="AQ937" s="29"/>
      <c r="AR937" s="29"/>
    </row>
    <row r="938">
      <c r="A938" s="29"/>
      <c r="B938" s="29"/>
      <c r="C938" s="29"/>
      <c r="D938" s="29"/>
      <c r="E938" s="29"/>
      <c r="F938" s="29"/>
      <c r="G938" s="29"/>
      <c r="H938" s="30"/>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c r="AF938" s="29"/>
      <c r="AG938" s="29"/>
      <c r="AH938" s="29"/>
      <c r="AI938" s="29"/>
      <c r="AJ938" s="29"/>
      <c r="AK938" s="29"/>
      <c r="AL938" s="29"/>
      <c r="AM938" s="29"/>
      <c r="AN938" s="29"/>
      <c r="AO938" s="29"/>
      <c r="AP938" s="29"/>
      <c r="AQ938" s="29"/>
      <c r="AR938" s="29"/>
    </row>
    <row r="939">
      <c r="A939" s="29"/>
      <c r="B939" s="29"/>
      <c r="C939" s="29"/>
      <c r="D939" s="29"/>
      <c r="E939" s="29"/>
      <c r="F939" s="29"/>
      <c r="G939" s="29"/>
      <c r="H939" s="30"/>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c r="AF939" s="29"/>
      <c r="AG939" s="29"/>
      <c r="AH939" s="29"/>
      <c r="AI939" s="29"/>
      <c r="AJ939" s="29"/>
      <c r="AK939" s="29"/>
      <c r="AL939" s="29"/>
      <c r="AM939" s="29"/>
      <c r="AN939" s="29"/>
      <c r="AO939" s="29"/>
      <c r="AP939" s="29"/>
      <c r="AQ939" s="29"/>
      <c r="AR939" s="29"/>
    </row>
    <row r="940">
      <c r="A940" s="29"/>
      <c r="B940" s="29"/>
      <c r="C940" s="29"/>
      <c r="D940" s="29"/>
      <c r="E940" s="29"/>
      <c r="F940" s="29"/>
      <c r="G940" s="29"/>
      <c r="H940" s="30"/>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c r="AF940" s="29"/>
      <c r="AG940" s="29"/>
      <c r="AH940" s="29"/>
      <c r="AI940" s="29"/>
      <c r="AJ940" s="29"/>
      <c r="AK940" s="29"/>
      <c r="AL940" s="29"/>
      <c r="AM940" s="29"/>
      <c r="AN940" s="29"/>
      <c r="AO940" s="29"/>
      <c r="AP940" s="29"/>
      <c r="AQ940" s="29"/>
      <c r="AR940" s="29"/>
    </row>
    <row r="941">
      <c r="A941" s="29"/>
      <c r="B941" s="29"/>
      <c r="C941" s="29"/>
      <c r="D941" s="29"/>
      <c r="E941" s="29"/>
      <c r="F941" s="29"/>
      <c r="G941" s="29"/>
      <c r="H941" s="30"/>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c r="AF941" s="29"/>
      <c r="AG941" s="29"/>
      <c r="AH941" s="29"/>
      <c r="AI941" s="29"/>
      <c r="AJ941" s="29"/>
      <c r="AK941" s="29"/>
      <c r="AL941" s="29"/>
      <c r="AM941" s="29"/>
      <c r="AN941" s="29"/>
      <c r="AO941" s="29"/>
      <c r="AP941" s="29"/>
      <c r="AQ941" s="29"/>
      <c r="AR941" s="29"/>
    </row>
    <row r="942">
      <c r="A942" s="29"/>
      <c r="B942" s="29"/>
      <c r="C942" s="29"/>
      <c r="D942" s="29"/>
      <c r="E942" s="29"/>
      <c r="F942" s="29"/>
      <c r="G942" s="29"/>
      <c r="H942" s="30"/>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c r="AF942" s="29"/>
      <c r="AG942" s="29"/>
      <c r="AH942" s="29"/>
      <c r="AI942" s="29"/>
      <c r="AJ942" s="29"/>
      <c r="AK942" s="29"/>
      <c r="AL942" s="29"/>
      <c r="AM942" s="29"/>
      <c r="AN942" s="29"/>
      <c r="AO942" s="29"/>
      <c r="AP942" s="29"/>
      <c r="AQ942" s="29"/>
      <c r="AR942" s="29"/>
    </row>
    <row r="943">
      <c r="A943" s="29"/>
      <c r="B943" s="29"/>
      <c r="C943" s="29"/>
      <c r="D943" s="29"/>
      <c r="E943" s="29"/>
      <c r="F943" s="29"/>
      <c r="G943" s="29"/>
      <c r="H943" s="30"/>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c r="AF943" s="29"/>
      <c r="AG943" s="29"/>
      <c r="AH943" s="29"/>
      <c r="AI943" s="29"/>
      <c r="AJ943" s="29"/>
      <c r="AK943" s="29"/>
      <c r="AL943" s="29"/>
      <c r="AM943" s="29"/>
      <c r="AN943" s="29"/>
      <c r="AO943" s="29"/>
      <c r="AP943" s="29"/>
      <c r="AQ943" s="29"/>
      <c r="AR943" s="29"/>
    </row>
    <row r="944">
      <c r="A944" s="29"/>
      <c r="B944" s="29"/>
      <c r="C944" s="29"/>
      <c r="D944" s="29"/>
      <c r="E944" s="29"/>
      <c r="F944" s="29"/>
      <c r="G944" s="29"/>
      <c r="H944" s="30"/>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row>
    <row r="945">
      <c r="A945" s="29"/>
      <c r="B945" s="29"/>
      <c r="C945" s="29"/>
      <c r="D945" s="29"/>
      <c r="E945" s="29"/>
      <c r="F945" s="29"/>
      <c r="G945" s="29"/>
      <c r="H945" s="30"/>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row>
    <row r="946">
      <c r="A946" s="29"/>
      <c r="B946" s="29"/>
      <c r="C946" s="29"/>
      <c r="D946" s="29"/>
      <c r="E946" s="29"/>
      <c r="F946" s="29"/>
      <c r="G946" s="29"/>
      <c r="H946" s="30"/>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c r="AF946" s="29"/>
      <c r="AG946" s="29"/>
      <c r="AH946" s="29"/>
      <c r="AI946" s="29"/>
      <c r="AJ946" s="29"/>
      <c r="AK946" s="29"/>
      <c r="AL946" s="29"/>
      <c r="AM946" s="29"/>
      <c r="AN946" s="29"/>
      <c r="AO946" s="29"/>
      <c r="AP946" s="29"/>
      <c r="AQ946" s="29"/>
      <c r="AR946" s="29"/>
    </row>
    <row r="947">
      <c r="A947" s="29"/>
      <c r="B947" s="29"/>
      <c r="C947" s="29"/>
      <c r="D947" s="29"/>
      <c r="E947" s="29"/>
      <c r="F947" s="29"/>
      <c r="G947" s="29"/>
      <c r="H947" s="30"/>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c r="AF947" s="29"/>
      <c r="AG947" s="29"/>
      <c r="AH947" s="29"/>
      <c r="AI947" s="29"/>
      <c r="AJ947" s="29"/>
      <c r="AK947" s="29"/>
      <c r="AL947" s="29"/>
      <c r="AM947" s="29"/>
      <c r="AN947" s="29"/>
      <c r="AO947" s="29"/>
      <c r="AP947" s="29"/>
      <c r="AQ947" s="29"/>
      <c r="AR947" s="29"/>
    </row>
    <row r="948">
      <c r="A948" s="29"/>
      <c r="B948" s="29"/>
      <c r="C948" s="29"/>
      <c r="D948" s="29"/>
      <c r="E948" s="29"/>
      <c r="F948" s="29"/>
      <c r="G948" s="29"/>
      <c r="H948" s="30"/>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c r="AF948" s="29"/>
      <c r="AG948" s="29"/>
      <c r="AH948" s="29"/>
      <c r="AI948" s="29"/>
      <c r="AJ948" s="29"/>
      <c r="AK948" s="29"/>
      <c r="AL948" s="29"/>
      <c r="AM948" s="29"/>
      <c r="AN948" s="29"/>
      <c r="AO948" s="29"/>
      <c r="AP948" s="29"/>
      <c r="AQ948" s="29"/>
      <c r="AR948" s="29"/>
    </row>
    <row r="949">
      <c r="A949" s="29"/>
      <c r="B949" s="29"/>
      <c r="C949" s="29"/>
      <c r="D949" s="29"/>
      <c r="E949" s="29"/>
      <c r="F949" s="29"/>
      <c r="G949" s="29"/>
      <c r="H949" s="30"/>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c r="AF949" s="29"/>
      <c r="AG949" s="29"/>
      <c r="AH949" s="29"/>
      <c r="AI949" s="29"/>
      <c r="AJ949" s="29"/>
      <c r="AK949" s="29"/>
      <c r="AL949" s="29"/>
      <c r="AM949" s="29"/>
      <c r="AN949" s="29"/>
      <c r="AO949" s="29"/>
      <c r="AP949" s="29"/>
      <c r="AQ949" s="29"/>
      <c r="AR949" s="29"/>
    </row>
    <row r="950">
      <c r="A950" s="29"/>
      <c r="B950" s="29"/>
      <c r="C950" s="29"/>
      <c r="D950" s="29"/>
      <c r="E950" s="29"/>
      <c r="F950" s="29"/>
      <c r="G950" s="29"/>
      <c r="H950" s="30"/>
      <c r="I950" s="29"/>
      <c r="J950" s="29"/>
      <c r="K950" s="29"/>
      <c r="L950" s="29"/>
      <c r="M950" s="29"/>
      <c r="N950" s="29"/>
      <c r="O950" s="29"/>
      <c r="P950" s="29"/>
      <c r="Q950" s="29"/>
      <c r="R950" s="29"/>
      <c r="S950" s="29"/>
      <c r="T950" s="29"/>
      <c r="U950" s="29"/>
      <c r="V950" s="29"/>
      <c r="W950" s="29"/>
      <c r="X950" s="29"/>
      <c r="Y950" s="29"/>
      <c r="Z950" s="29"/>
      <c r="AA950" s="29"/>
      <c r="AB950" s="29"/>
      <c r="AC950" s="29"/>
      <c r="AD950" s="29"/>
      <c r="AE950" s="29"/>
      <c r="AF950" s="29"/>
      <c r="AG950" s="29"/>
      <c r="AH950" s="29"/>
      <c r="AI950" s="29"/>
      <c r="AJ950" s="29"/>
      <c r="AK950" s="29"/>
      <c r="AL950" s="29"/>
      <c r="AM950" s="29"/>
      <c r="AN950" s="29"/>
      <c r="AO950" s="29"/>
      <c r="AP950" s="29"/>
      <c r="AQ950" s="29"/>
      <c r="AR950" s="29"/>
    </row>
    <row r="951">
      <c r="A951" s="29"/>
      <c r="B951" s="29"/>
      <c r="C951" s="29"/>
      <c r="D951" s="29"/>
      <c r="E951" s="29"/>
      <c r="F951" s="29"/>
      <c r="G951" s="29"/>
      <c r="H951" s="30"/>
      <c r="I951" s="29"/>
      <c r="J951" s="29"/>
      <c r="K951" s="29"/>
      <c r="L951" s="29"/>
      <c r="M951" s="29"/>
      <c r="N951" s="29"/>
      <c r="O951" s="29"/>
      <c r="P951" s="29"/>
      <c r="Q951" s="29"/>
      <c r="R951" s="29"/>
      <c r="S951" s="29"/>
      <c r="T951" s="29"/>
      <c r="U951" s="29"/>
      <c r="V951" s="29"/>
      <c r="W951" s="29"/>
      <c r="X951" s="29"/>
      <c r="Y951" s="29"/>
      <c r="Z951" s="29"/>
      <c r="AA951" s="29"/>
      <c r="AB951" s="29"/>
      <c r="AC951" s="29"/>
      <c r="AD951" s="29"/>
      <c r="AE951" s="29"/>
      <c r="AF951" s="29"/>
      <c r="AG951" s="29"/>
      <c r="AH951" s="29"/>
      <c r="AI951" s="29"/>
      <c r="AJ951" s="29"/>
      <c r="AK951" s="29"/>
      <c r="AL951" s="29"/>
      <c r="AM951" s="29"/>
      <c r="AN951" s="29"/>
      <c r="AO951" s="29"/>
      <c r="AP951" s="29"/>
      <c r="AQ951" s="29"/>
      <c r="AR951" s="29"/>
    </row>
    <row r="952">
      <c r="A952" s="29"/>
      <c r="B952" s="29"/>
      <c r="C952" s="29"/>
      <c r="D952" s="29"/>
      <c r="E952" s="29"/>
      <c r="F952" s="29"/>
      <c r="G952" s="29"/>
      <c r="H952" s="30"/>
      <c r="I952" s="29"/>
      <c r="J952" s="29"/>
      <c r="K952" s="29"/>
      <c r="L952" s="29"/>
      <c r="M952" s="29"/>
      <c r="N952" s="29"/>
      <c r="O952" s="29"/>
      <c r="P952" s="29"/>
      <c r="Q952" s="29"/>
      <c r="R952" s="29"/>
      <c r="S952" s="29"/>
      <c r="T952" s="29"/>
      <c r="U952" s="29"/>
      <c r="V952" s="29"/>
      <c r="W952" s="29"/>
      <c r="X952" s="29"/>
      <c r="Y952" s="29"/>
      <c r="Z952" s="29"/>
      <c r="AA952" s="29"/>
      <c r="AB952" s="29"/>
      <c r="AC952" s="29"/>
      <c r="AD952" s="29"/>
      <c r="AE952" s="29"/>
      <c r="AF952" s="29"/>
      <c r="AG952" s="29"/>
      <c r="AH952" s="29"/>
      <c r="AI952" s="29"/>
      <c r="AJ952" s="29"/>
      <c r="AK952" s="29"/>
      <c r="AL952" s="29"/>
      <c r="AM952" s="29"/>
      <c r="AN952" s="29"/>
      <c r="AO952" s="29"/>
      <c r="AP952" s="29"/>
      <c r="AQ952" s="29"/>
      <c r="AR952" s="29"/>
    </row>
    <row r="953">
      <c r="A953" s="29"/>
      <c r="B953" s="29"/>
      <c r="C953" s="29"/>
      <c r="D953" s="29"/>
      <c r="E953" s="29"/>
      <c r="F953" s="29"/>
      <c r="G953" s="29"/>
      <c r="H953" s="30"/>
      <c r="I953" s="29"/>
      <c r="J953" s="29"/>
      <c r="K953" s="29"/>
      <c r="L953" s="29"/>
      <c r="M953" s="29"/>
      <c r="N953" s="29"/>
      <c r="O953" s="29"/>
      <c r="P953" s="29"/>
      <c r="Q953" s="29"/>
      <c r="R953" s="29"/>
      <c r="S953" s="29"/>
      <c r="T953" s="29"/>
      <c r="U953" s="29"/>
      <c r="V953" s="29"/>
      <c r="W953" s="29"/>
      <c r="X953" s="29"/>
      <c r="Y953" s="29"/>
      <c r="Z953" s="29"/>
      <c r="AA953" s="29"/>
      <c r="AB953" s="29"/>
      <c r="AC953" s="29"/>
      <c r="AD953" s="29"/>
      <c r="AE953" s="29"/>
      <c r="AF953" s="29"/>
      <c r="AG953" s="29"/>
      <c r="AH953" s="29"/>
      <c r="AI953" s="29"/>
      <c r="AJ953" s="29"/>
      <c r="AK953" s="29"/>
      <c r="AL953" s="29"/>
      <c r="AM953" s="29"/>
      <c r="AN953" s="29"/>
      <c r="AO953" s="29"/>
      <c r="AP953" s="29"/>
      <c r="AQ953" s="29"/>
      <c r="AR953" s="29"/>
    </row>
    <row r="954">
      <c r="A954" s="29"/>
      <c r="B954" s="29"/>
      <c r="C954" s="29"/>
      <c r="D954" s="29"/>
      <c r="E954" s="29"/>
      <c r="F954" s="29"/>
      <c r="G954" s="29"/>
      <c r="H954" s="30"/>
      <c r="I954" s="29"/>
      <c r="J954" s="29"/>
      <c r="K954" s="29"/>
      <c r="L954" s="29"/>
      <c r="M954" s="29"/>
      <c r="N954" s="29"/>
      <c r="O954" s="29"/>
      <c r="P954" s="29"/>
      <c r="Q954" s="29"/>
      <c r="R954" s="29"/>
      <c r="S954" s="29"/>
      <c r="T954" s="29"/>
      <c r="U954" s="29"/>
      <c r="V954" s="29"/>
      <c r="W954" s="29"/>
      <c r="X954" s="29"/>
      <c r="Y954" s="29"/>
      <c r="Z954" s="29"/>
      <c r="AA954" s="29"/>
      <c r="AB954" s="29"/>
      <c r="AC954" s="29"/>
      <c r="AD954" s="29"/>
      <c r="AE954" s="29"/>
      <c r="AF954" s="29"/>
      <c r="AG954" s="29"/>
      <c r="AH954" s="29"/>
      <c r="AI954" s="29"/>
      <c r="AJ954" s="29"/>
      <c r="AK954" s="29"/>
      <c r="AL954" s="29"/>
      <c r="AM954" s="29"/>
      <c r="AN954" s="29"/>
      <c r="AO954" s="29"/>
      <c r="AP954" s="29"/>
      <c r="AQ954" s="29"/>
      <c r="AR954" s="29"/>
    </row>
    <row r="955">
      <c r="A955" s="29"/>
      <c r="B955" s="29"/>
      <c r="C955" s="29"/>
      <c r="D955" s="29"/>
      <c r="E955" s="29"/>
      <c r="F955" s="29"/>
      <c r="G955" s="29"/>
      <c r="H955" s="30"/>
      <c r="I955" s="29"/>
      <c r="J955" s="29"/>
      <c r="K955" s="29"/>
      <c r="L955" s="29"/>
      <c r="M955" s="29"/>
      <c r="N955" s="29"/>
      <c r="O955" s="29"/>
      <c r="P955" s="29"/>
      <c r="Q955" s="29"/>
      <c r="R955" s="29"/>
      <c r="S955" s="29"/>
      <c r="T955" s="29"/>
      <c r="U955" s="29"/>
      <c r="V955" s="29"/>
      <c r="W955" s="29"/>
      <c r="X955" s="29"/>
      <c r="Y955" s="29"/>
      <c r="Z955" s="29"/>
      <c r="AA955" s="29"/>
      <c r="AB955" s="29"/>
      <c r="AC955" s="29"/>
      <c r="AD955" s="29"/>
      <c r="AE955" s="29"/>
      <c r="AF955" s="29"/>
      <c r="AG955" s="29"/>
      <c r="AH955" s="29"/>
      <c r="AI955" s="29"/>
      <c r="AJ955" s="29"/>
      <c r="AK955" s="29"/>
      <c r="AL955" s="29"/>
      <c r="AM955" s="29"/>
      <c r="AN955" s="29"/>
      <c r="AO955" s="29"/>
      <c r="AP955" s="29"/>
      <c r="AQ955" s="29"/>
      <c r="AR955" s="29"/>
    </row>
    <row r="956">
      <c r="A956" s="29"/>
      <c r="B956" s="29"/>
      <c r="C956" s="29"/>
      <c r="D956" s="29"/>
      <c r="E956" s="29"/>
      <c r="F956" s="29"/>
      <c r="G956" s="29"/>
      <c r="H956" s="30"/>
      <c r="I956" s="29"/>
      <c r="J956" s="29"/>
      <c r="K956" s="29"/>
      <c r="L956" s="29"/>
      <c r="M956" s="29"/>
      <c r="N956" s="29"/>
      <c r="O956" s="29"/>
      <c r="P956" s="29"/>
      <c r="Q956" s="29"/>
      <c r="R956" s="29"/>
      <c r="S956" s="29"/>
      <c r="T956" s="29"/>
      <c r="U956" s="29"/>
      <c r="V956" s="29"/>
      <c r="W956" s="29"/>
      <c r="X956" s="29"/>
      <c r="Y956" s="29"/>
      <c r="Z956" s="29"/>
      <c r="AA956" s="29"/>
      <c r="AB956" s="29"/>
      <c r="AC956" s="29"/>
      <c r="AD956" s="29"/>
      <c r="AE956" s="29"/>
      <c r="AF956" s="29"/>
      <c r="AG956" s="29"/>
      <c r="AH956" s="29"/>
      <c r="AI956" s="29"/>
      <c r="AJ956" s="29"/>
      <c r="AK956" s="29"/>
      <c r="AL956" s="29"/>
      <c r="AM956" s="29"/>
      <c r="AN956" s="29"/>
      <c r="AO956" s="29"/>
      <c r="AP956" s="29"/>
      <c r="AQ956" s="29"/>
      <c r="AR956" s="29"/>
    </row>
    <row r="957">
      <c r="A957" s="29"/>
      <c r="B957" s="29"/>
      <c r="C957" s="29"/>
      <c r="D957" s="29"/>
      <c r="E957" s="29"/>
      <c r="F957" s="29"/>
      <c r="G957" s="29"/>
      <c r="H957" s="30"/>
      <c r="I957" s="29"/>
      <c r="J957" s="29"/>
      <c r="K957" s="29"/>
      <c r="L957" s="29"/>
      <c r="M957" s="29"/>
      <c r="N957" s="29"/>
      <c r="O957" s="29"/>
      <c r="P957" s="29"/>
      <c r="Q957" s="29"/>
      <c r="R957" s="29"/>
      <c r="S957" s="29"/>
      <c r="T957" s="29"/>
      <c r="U957" s="29"/>
      <c r="V957" s="29"/>
      <c r="W957" s="29"/>
      <c r="X957" s="29"/>
      <c r="Y957" s="29"/>
      <c r="Z957" s="29"/>
      <c r="AA957" s="29"/>
      <c r="AB957" s="29"/>
      <c r="AC957" s="29"/>
      <c r="AD957" s="29"/>
      <c r="AE957" s="29"/>
      <c r="AF957" s="29"/>
      <c r="AG957" s="29"/>
      <c r="AH957" s="29"/>
      <c r="AI957" s="29"/>
      <c r="AJ957" s="29"/>
      <c r="AK957" s="29"/>
      <c r="AL957" s="29"/>
      <c r="AM957" s="29"/>
      <c r="AN957" s="29"/>
      <c r="AO957" s="29"/>
      <c r="AP957" s="29"/>
      <c r="AQ957" s="29"/>
      <c r="AR957" s="29"/>
    </row>
    <row r="958">
      <c r="A958" s="29"/>
      <c r="B958" s="29"/>
      <c r="C958" s="29"/>
      <c r="D958" s="29"/>
      <c r="E958" s="29"/>
      <c r="F958" s="29"/>
      <c r="G958" s="29"/>
      <c r="H958" s="30"/>
      <c r="I958" s="29"/>
      <c r="J958" s="29"/>
      <c r="K958" s="29"/>
      <c r="L958" s="29"/>
      <c r="M958" s="29"/>
      <c r="N958" s="29"/>
      <c r="O958" s="29"/>
      <c r="P958" s="29"/>
      <c r="Q958" s="29"/>
      <c r="R958" s="29"/>
      <c r="S958" s="29"/>
      <c r="T958" s="29"/>
      <c r="U958" s="29"/>
      <c r="V958" s="29"/>
      <c r="W958" s="29"/>
      <c r="X958" s="29"/>
      <c r="Y958" s="29"/>
      <c r="Z958" s="29"/>
      <c r="AA958" s="29"/>
      <c r="AB958" s="29"/>
      <c r="AC958" s="29"/>
      <c r="AD958" s="29"/>
      <c r="AE958" s="29"/>
      <c r="AF958" s="29"/>
      <c r="AG958" s="29"/>
      <c r="AH958" s="29"/>
      <c r="AI958" s="29"/>
      <c r="AJ958" s="29"/>
      <c r="AK958" s="29"/>
      <c r="AL958" s="29"/>
      <c r="AM958" s="29"/>
      <c r="AN958" s="29"/>
      <c r="AO958" s="29"/>
      <c r="AP958" s="29"/>
      <c r="AQ958" s="29"/>
      <c r="AR958" s="29"/>
    </row>
    <row r="959">
      <c r="A959" s="29"/>
      <c r="B959" s="29"/>
      <c r="C959" s="29"/>
      <c r="D959" s="29"/>
      <c r="E959" s="29"/>
      <c r="F959" s="29"/>
      <c r="G959" s="29"/>
      <c r="H959" s="30"/>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row>
    <row r="960">
      <c r="A960" s="29"/>
      <c r="B960" s="29"/>
      <c r="C960" s="29"/>
      <c r="D960" s="29"/>
      <c r="E960" s="29"/>
      <c r="F960" s="29"/>
      <c r="G960" s="29"/>
      <c r="H960" s="30"/>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row>
    <row r="961">
      <c r="A961" s="29"/>
      <c r="B961" s="29"/>
      <c r="C961" s="29"/>
      <c r="D961" s="29"/>
      <c r="E961" s="29"/>
      <c r="F961" s="29"/>
      <c r="G961" s="29"/>
      <c r="H961" s="30"/>
      <c r="I961" s="29"/>
      <c r="J961" s="29"/>
      <c r="K961" s="29"/>
      <c r="L961" s="29"/>
      <c r="M961" s="29"/>
      <c r="N961" s="29"/>
      <c r="O961" s="29"/>
      <c r="P961" s="29"/>
      <c r="Q961" s="29"/>
      <c r="R961" s="29"/>
      <c r="S961" s="29"/>
      <c r="T961" s="29"/>
      <c r="U961" s="29"/>
      <c r="V961" s="29"/>
      <c r="W961" s="29"/>
      <c r="X961" s="29"/>
      <c r="Y961" s="29"/>
      <c r="Z961" s="29"/>
      <c r="AA961" s="29"/>
      <c r="AB961" s="29"/>
      <c r="AC961" s="29"/>
      <c r="AD961" s="29"/>
      <c r="AE961" s="29"/>
      <c r="AF961" s="29"/>
      <c r="AG961" s="29"/>
      <c r="AH961" s="29"/>
      <c r="AI961" s="29"/>
      <c r="AJ961" s="29"/>
      <c r="AK961" s="29"/>
      <c r="AL961" s="29"/>
      <c r="AM961" s="29"/>
      <c r="AN961" s="29"/>
      <c r="AO961" s="29"/>
      <c r="AP961" s="29"/>
      <c r="AQ961" s="29"/>
      <c r="AR961" s="29"/>
    </row>
    <row r="962">
      <c r="A962" s="29"/>
      <c r="B962" s="29"/>
      <c r="C962" s="29"/>
      <c r="D962" s="29"/>
      <c r="E962" s="29"/>
      <c r="F962" s="29"/>
      <c r="G962" s="29"/>
      <c r="H962" s="30"/>
      <c r="I962" s="29"/>
      <c r="J962" s="29"/>
      <c r="K962" s="29"/>
      <c r="L962" s="29"/>
      <c r="M962" s="29"/>
      <c r="N962" s="29"/>
      <c r="O962" s="29"/>
      <c r="P962" s="29"/>
      <c r="Q962" s="29"/>
      <c r="R962" s="29"/>
      <c r="S962" s="29"/>
      <c r="T962" s="29"/>
      <c r="U962" s="29"/>
      <c r="V962" s="29"/>
      <c r="W962" s="29"/>
      <c r="X962" s="29"/>
      <c r="Y962" s="29"/>
      <c r="Z962" s="29"/>
      <c r="AA962" s="29"/>
      <c r="AB962" s="29"/>
      <c r="AC962" s="29"/>
      <c r="AD962" s="29"/>
      <c r="AE962" s="29"/>
      <c r="AF962" s="29"/>
      <c r="AG962" s="29"/>
      <c r="AH962" s="29"/>
      <c r="AI962" s="29"/>
      <c r="AJ962" s="29"/>
      <c r="AK962" s="29"/>
      <c r="AL962" s="29"/>
      <c r="AM962" s="29"/>
      <c r="AN962" s="29"/>
      <c r="AO962" s="29"/>
      <c r="AP962" s="29"/>
      <c r="AQ962" s="29"/>
      <c r="AR962" s="29"/>
    </row>
    <row r="963">
      <c r="A963" s="29"/>
      <c r="B963" s="29"/>
      <c r="C963" s="29"/>
      <c r="D963" s="29"/>
      <c r="E963" s="29"/>
      <c r="F963" s="29"/>
      <c r="G963" s="29"/>
      <c r="H963" s="30"/>
      <c r="I963" s="29"/>
      <c r="J963" s="29"/>
      <c r="K963" s="29"/>
      <c r="L963" s="29"/>
      <c r="M963" s="29"/>
      <c r="N963" s="29"/>
      <c r="O963" s="29"/>
      <c r="P963" s="29"/>
      <c r="Q963" s="29"/>
      <c r="R963" s="29"/>
      <c r="S963" s="29"/>
      <c r="T963" s="29"/>
      <c r="U963" s="29"/>
      <c r="V963" s="29"/>
      <c r="W963" s="29"/>
      <c r="X963" s="29"/>
      <c r="Y963" s="29"/>
      <c r="Z963" s="29"/>
      <c r="AA963" s="29"/>
      <c r="AB963" s="29"/>
      <c r="AC963" s="29"/>
      <c r="AD963" s="29"/>
      <c r="AE963" s="29"/>
      <c r="AF963" s="29"/>
      <c r="AG963" s="29"/>
      <c r="AH963" s="29"/>
      <c r="AI963" s="29"/>
      <c r="AJ963" s="29"/>
      <c r="AK963" s="29"/>
      <c r="AL963" s="29"/>
      <c r="AM963" s="29"/>
      <c r="AN963" s="29"/>
      <c r="AO963" s="29"/>
      <c r="AP963" s="29"/>
      <c r="AQ963" s="29"/>
      <c r="AR963" s="29"/>
    </row>
    <row r="964">
      <c r="A964" s="29"/>
      <c r="B964" s="29"/>
      <c r="C964" s="29"/>
      <c r="D964" s="29"/>
      <c r="E964" s="29"/>
      <c r="F964" s="29"/>
      <c r="G964" s="29"/>
      <c r="H964" s="30"/>
      <c r="I964" s="29"/>
      <c r="J964" s="29"/>
      <c r="K964" s="29"/>
      <c r="L964" s="29"/>
      <c r="M964" s="29"/>
      <c r="N964" s="29"/>
      <c r="O964" s="29"/>
      <c r="P964" s="29"/>
      <c r="Q964" s="29"/>
      <c r="R964" s="29"/>
      <c r="S964" s="29"/>
      <c r="T964" s="29"/>
      <c r="U964" s="29"/>
      <c r="V964" s="29"/>
      <c r="W964" s="29"/>
      <c r="X964" s="29"/>
      <c r="Y964" s="29"/>
      <c r="Z964" s="29"/>
      <c r="AA964" s="29"/>
      <c r="AB964" s="29"/>
      <c r="AC964" s="29"/>
      <c r="AD964" s="29"/>
      <c r="AE964" s="29"/>
      <c r="AF964" s="29"/>
      <c r="AG964" s="29"/>
      <c r="AH964" s="29"/>
      <c r="AI964" s="29"/>
      <c r="AJ964" s="29"/>
      <c r="AK964" s="29"/>
      <c r="AL964" s="29"/>
      <c r="AM964" s="29"/>
      <c r="AN964" s="29"/>
      <c r="AO964" s="29"/>
      <c r="AP964" s="29"/>
      <c r="AQ964" s="29"/>
      <c r="AR964" s="29"/>
    </row>
    <row r="965">
      <c r="A965" s="29"/>
      <c r="B965" s="29"/>
      <c r="C965" s="29"/>
      <c r="D965" s="29"/>
      <c r="E965" s="29"/>
      <c r="F965" s="29"/>
      <c r="G965" s="29"/>
      <c r="H965" s="30"/>
      <c r="I965" s="29"/>
      <c r="J965" s="29"/>
      <c r="K965" s="29"/>
      <c r="L965" s="29"/>
      <c r="M965" s="29"/>
      <c r="N965" s="29"/>
      <c r="O965" s="29"/>
      <c r="P965" s="29"/>
      <c r="Q965" s="29"/>
      <c r="R965" s="29"/>
      <c r="S965" s="29"/>
      <c r="T965" s="29"/>
      <c r="U965" s="29"/>
      <c r="V965" s="29"/>
      <c r="W965" s="29"/>
      <c r="X965" s="29"/>
      <c r="Y965" s="29"/>
      <c r="Z965" s="29"/>
      <c r="AA965" s="29"/>
      <c r="AB965" s="29"/>
      <c r="AC965" s="29"/>
      <c r="AD965" s="29"/>
      <c r="AE965" s="29"/>
      <c r="AF965" s="29"/>
      <c r="AG965" s="29"/>
      <c r="AH965" s="29"/>
      <c r="AI965" s="29"/>
      <c r="AJ965" s="29"/>
      <c r="AK965" s="29"/>
      <c r="AL965" s="29"/>
      <c r="AM965" s="29"/>
      <c r="AN965" s="29"/>
      <c r="AO965" s="29"/>
      <c r="AP965" s="29"/>
      <c r="AQ965" s="29"/>
      <c r="AR965" s="29"/>
    </row>
    <row r="966">
      <c r="A966" s="29"/>
      <c r="B966" s="29"/>
      <c r="C966" s="29"/>
      <c r="D966" s="29"/>
      <c r="E966" s="29"/>
      <c r="F966" s="29"/>
      <c r="G966" s="29"/>
      <c r="H966" s="30"/>
      <c r="I966" s="29"/>
      <c r="J966" s="29"/>
      <c r="K966" s="29"/>
      <c r="L966" s="29"/>
      <c r="M966" s="29"/>
      <c r="N966" s="29"/>
      <c r="O966" s="29"/>
      <c r="P966" s="29"/>
      <c r="Q966" s="29"/>
      <c r="R966" s="29"/>
      <c r="S966" s="29"/>
      <c r="T966" s="29"/>
      <c r="U966" s="29"/>
      <c r="V966" s="29"/>
      <c r="W966" s="29"/>
      <c r="X966" s="29"/>
      <c r="Y966" s="29"/>
      <c r="Z966" s="29"/>
      <c r="AA966" s="29"/>
      <c r="AB966" s="29"/>
      <c r="AC966" s="29"/>
      <c r="AD966" s="29"/>
      <c r="AE966" s="29"/>
      <c r="AF966" s="29"/>
      <c r="AG966" s="29"/>
      <c r="AH966" s="29"/>
      <c r="AI966" s="29"/>
      <c r="AJ966" s="29"/>
      <c r="AK966" s="29"/>
      <c r="AL966" s="29"/>
      <c r="AM966" s="29"/>
      <c r="AN966" s="29"/>
      <c r="AO966" s="29"/>
      <c r="AP966" s="29"/>
      <c r="AQ966" s="29"/>
      <c r="AR966" s="29"/>
    </row>
    <row r="967">
      <c r="A967" s="29"/>
      <c r="B967" s="29"/>
      <c r="C967" s="29"/>
      <c r="D967" s="29"/>
      <c r="E967" s="29"/>
      <c r="F967" s="29"/>
      <c r="G967" s="29"/>
      <c r="H967" s="30"/>
      <c r="I967" s="29"/>
      <c r="J967" s="29"/>
      <c r="K967" s="29"/>
      <c r="L967" s="29"/>
      <c r="M967" s="29"/>
      <c r="N967" s="29"/>
      <c r="O967" s="29"/>
      <c r="P967" s="29"/>
      <c r="Q967" s="29"/>
      <c r="R967" s="29"/>
      <c r="S967" s="29"/>
      <c r="T967" s="29"/>
      <c r="U967" s="29"/>
      <c r="V967" s="29"/>
      <c r="W967" s="29"/>
      <c r="X967" s="29"/>
      <c r="Y967" s="29"/>
      <c r="Z967" s="29"/>
      <c r="AA967" s="29"/>
      <c r="AB967" s="29"/>
      <c r="AC967" s="29"/>
      <c r="AD967" s="29"/>
      <c r="AE967" s="29"/>
      <c r="AF967" s="29"/>
      <c r="AG967" s="29"/>
      <c r="AH967" s="29"/>
      <c r="AI967" s="29"/>
      <c r="AJ967" s="29"/>
      <c r="AK967" s="29"/>
      <c r="AL967" s="29"/>
      <c r="AM967" s="29"/>
      <c r="AN967" s="29"/>
      <c r="AO967" s="29"/>
      <c r="AP967" s="29"/>
      <c r="AQ967" s="29"/>
      <c r="AR967" s="29"/>
    </row>
    <row r="968">
      <c r="A968" s="29"/>
      <c r="B968" s="29"/>
      <c r="C968" s="29"/>
      <c r="D968" s="29"/>
      <c r="E968" s="29"/>
      <c r="F968" s="29"/>
      <c r="G968" s="29"/>
      <c r="H968" s="30"/>
      <c r="I968" s="29"/>
      <c r="J968" s="29"/>
      <c r="K968" s="29"/>
      <c r="L968" s="29"/>
      <c r="M968" s="29"/>
      <c r="N968" s="29"/>
      <c r="O968" s="29"/>
      <c r="P968" s="29"/>
      <c r="Q968" s="29"/>
      <c r="R968" s="29"/>
      <c r="S968" s="29"/>
      <c r="T968" s="29"/>
      <c r="U968" s="29"/>
      <c r="V968" s="29"/>
      <c r="W968" s="29"/>
      <c r="X968" s="29"/>
      <c r="Y968" s="29"/>
      <c r="Z968" s="29"/>
      <c r="AA968" s="29"/>
      <c r="AB968" s="29"/>
      <c r="AC968" s="29"/>
      <c r="AD968" s="29"/>
      <c r="AE968" s="29"/>
      <c r="AF968" s="29"/>
      <c r="AG968" s="29"/>
      <c r="AH968" s="29"/>
      <c r="AI968" s="29"/>
      <c r="AJ968" s="29"/>
      <c r="AK968" s="29"/>
      <c r="AL968" s="29"/>
      <c r="AM968" s="29"/>
      <c r="AN968" s="29"/>
      <c r="AO968" s="29"/>
      <c r="AP968" s="29"/>
      <c r="AQ968" s="29"/>
      <c r="AR968" s="29"/>
    </row>
    <row r="969">
      <c r="A969" s="29"/>
      <c r="B969" s="29"/>
      <c r="C969" s="29"/>
      <c r="D969" s="29"/>
      <c r="E969" s="29"/>
      <c r="F969" s="29"/>
      <c r="G969" s="29"/>
      <c r="H969" s="30"/>
      <c r="I969" s="29"/>
      <c r="J969" s="29"/>
      <c r="K969" s="29"/>
      <c r="L969" s="29"/>
      <c r="M969" s="29"/>
      <c r="N969" s="29"/>
      <c r="O969" s="29"/>
      <c r="P969" s="29"/>
      <c r="Q969" s="29"/>
      <c r="R969" s="29"/>
      <c r="S969" s="29"/>
      <c r="T969" s="29"/>
      <c r="U969" s="29"/>
      <c r="V969" s="29"/>
      <c r="W969" s="29"/>
      <c r="X969" s="29"/>
      <c r="Y969" s="29"/>
      <c r="Z969" s="29"/>
      <c r="AA969" s="29"/>
      <c r="AB969" s="29"/>
      <c r="AC969" s="29"/>
      <c r="AD969" s="29"/>
      <c r="AE969" s="29"/>
      <c r="AF969" s="29"/>
      <c r="AG969" s="29"/>
      <c r="AH969" s="29"/>
      <c r="AI969" s="29"/>
      <c r="AJ969" s="29"/>
      <c r="AK969" s="29"/>
      <c r="AL969" s="29"/>
      <c r="AM969" s="29"/>
      <c r="AN969" s="29"/>
      <c r="AO969" s="29"/>
      <c r="AP969" s="29"/>
      <c r="AQ969" s="29"/>
      <c r="AR969" s="29"/>
    </row>
    <row r="970">
      <c r="A970" s="29"/>
      <c r="B970" s="29"/>
      <c r="C970" s="29"/>
      <c r="D970" s="29"/>
      <c r="E970" s="29"/>
      <c r="F970" s="29"/>
      <c r="G970" s="29"/>
      <c r="H970" s="30"/>
      <c r="I970" s="29"/>
      <c r="J970" s="29"/>
      <c r="K970" s="29"/>
      <c r="L970" s="29"/>
      <c r="M970" s="29"/>
      <c r="N970" s="29"/>
      <c r="O970" s="29"/>
      <c r="P970" s="29"/>
      <c r="Q970" s="29"/>
      <c r="R970" s="29"/>
      <c r="S970" s="29"/>
      <c r="T970" s="29"/>
      <c r="U970" s="29"/>
      <c r="V970" s="29"/>
      <c r="W970" s="29"/>
      <c r="X970" s="29"/>
      <c r="Y970" s="29"/>
      <c r="Z970" s="29"/>
      <c r="AA970" s="29"/>
      <c r="AB970" s="29"/>
      <c r="AC970" s="29"/>
      <c r="AD970" s="29"/>
      <c r="AE970" s="29"/>
      <c r="AF970" s="29"/>
      <c r="AG970" s="29"/>
      <c r="AH970" s="29"/>
      <c r="AI970" s="29"/>
      <c r="AJ970" s="29"/>
      <c r="AK970" s="29"/>
      <c r="AL970" s="29"/>
      <c r="AM970" s="29"/>
      <c r="AN970" s="29"/>
      <c r="AO970" s="29"/>
      <c r="AP970" s="29"/>
      <c r="AQ970" s="29"/>
      <c r="AR970" s="29"/>
    </row>
    <row r="971">
      <c r="A971" s="29"/>
      <c r="B971" s="29"/>
      <c r="C971" s="29"/>
      <c r="D971" s="29"/>
      <c r="E971" s="29"/>
      <c r="F971" s="29"/>
      <c r="G971" s="29"/>
      <c r="H971" s="30"/>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row>
    <row r="972">
      <c r="A972" s="29"/>
      <c r="B972" s="29"/>
      <c r="C972" s="29"/>
      <c r="D972" s="29"/>
      <c r="E972" s="29"/>
      <c r="F972" s="29"/>
      <c r="G972" s="29"/>
      <c r="H972" s="30"/>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row>
    <row r="973">
      <c r="A973" s="29"/>
      <c r="B973" s="29"/>
      <c r="C973" s="29"/>
      <c r="D973" s="29"/>
      <c r="E973" s="29"/>
      <c r="F973" s="29"/>
      <c r="G973" s="29"/>
      <c r="H973" s="30"/>
      <c r="I973" s="29"/>
      <c r="J973" s="29"/>
      <c r="K973" s="29"/>
      <c r="L973" s="29"/>
      <c r="M973" s="29"/>
      <c r="N973" s="29"/>
      <c r="O973" s="29"/>
      <c r="P973" s="29"/>
      <c r="Q973" s="29"/>
      <c r="R973" s="29"/>
      <c r="S973" s="29"/>
      <c r="T973" s="29"/>
      <c r="U973" s="29"/>
      <c r="V973" s="29"/>
      <c r="W973" s="29"/>
      <c r="X973" s="29"/>
      <c r="Y973" s="29"/>
      <c r="Z973" s="29"/>
      <c r="AA973" s="29"/>
      <c r="AB973" s="29"/>
      <c r="AC973" s="29"/>
      <c r="AD973" s="29"/>
      <c r="AE973" s="29"/>
      <c r="AF973" s="29"/>
      <c r="AG973" s="29"/>
      <c r="AH973" s="29"/>
      <c r="AI973" s="29"/>
      <c r="AJ973" s="29"/>
      <c r="AK973" s="29"/>
      <c r="AL973" s="29"/>
      <c r="AM973" s="29"/>
      <c r="AN973" s="29"/>
      <c r="AO973" s="29"/>
      <c r="AP973" s="29"/>
      <c r="AQ973" s="29"/>
      <c r="AR973" s="29"/>
    </row>
    <row r="974">
      <c r="A974" s="29"/>
      <c r="B974" s="29"/>
      <c r="C974" s="29"/>
      <c r="D974" s="29"/>
      <c r="E974" s="29"/>
      <c r="F974" s="29"/>
      <c r="G974" s="29"/>
      <c r="H974" s="30"/>
      <c r="I974" s="29"/>
      <c r="J974" s="29"/>
      <c r="K974" s="29"/>
      <c r="L974" s="29"/>
      <c r="M974" s="29"/>
      <c r="N974" s="29"/>
      <c r="O974" s="29"/>
      <c r="P974" s="29"/>
      <c r="Q974" s="29"/>
      <c r="R974" s="29"/>
      <c r="S974" s="29"/>
      <c r="T974" s="29"/>
      <c r="U974" s="29"/>
      <c r="V974" s="29"/>
      <c r="W974" s="29"/>
      <c r="X974" s="29"/>
      <c r="Y974" s="29"/>
      <c r="Z974" s="29"/>
      <c r="AA974" s="29"/>
      <c r="AB974" s="29"/>
      <c r="AC974" s="29"/>
      <c r="AD974" s="29"/>
      <c r="AE974" s="29"/>
      <c r="AF974" s="29"/>
      <c r="AG974" s="29"/>
      <c r="AH974" s="29"/>
      <c r="AI974" s="29"/>
      <c r="AJ974" s="29"/>
      <c r="AK974" s="29"/>
      <c r="AL974" s="29"/>
      <c r="AM974" s="29"/>
      <c r="AN974" s="29"/>
      <c r="AO974" s="29"/>
      <c r="AP974" s="29"/>
      <c r="AQ974" s="29"/>
      <c r="AR974" s="29"/>
    </row>
    <row r="975">
      <c r="A975" s="29"/>
      <c r="B975" s="29"/>
      <c r="C975" s="29"/>
      <c r="D975" s="29"/>
      <c r="E975" s="29"/>
      <c r="F975" s="29"/>
      <c r="G975" s="29"/>
      <c r="H975" s="30"/>
      <c r="I975" s="29"/>
      <c r="J975" s="29"/>
      <c r="K975" s="29"/>
      <c r="L975" s="29"/>
      <c r="M975" s="29"/>
      <c r="N975" s="29"/>
      <c r="O975" s="29"/>
      <c r="P975" s="29"/>
      <c r="Q975" s="29"/>
      <c r="R975" s="29"/>
      <c r="S975" s="29"/>
      <c r="T975" s="29"/>
      <c r="U975" s="29"/>
      <c r="V975" s="29"/>
      <c r="W975" s="29"/>
      <c r="X975" s="29"/>
      <c r="Y975" s="29"/>
      <c r="Z975" s="29"/>
      <c r="AA975" s="29"/>
      <c r="AB975" s="29"/>
      <c r="AC975" s="29"/>
      <c r="AD975" s="29"/>
      <c r="AE975" s="29"/>
      <c r="AF975" s="29"/>
      <c r="AG975" s="29"/>
      <c r="AH975" s="29"/>
      <c r="AI975" s="29"/>
      <c r="AJ975" s="29"/>
      <c r="AK975" s="29"/>
      <c r="AL975" s="29"/>
      <c r="AM975" s="29"/>
      <c r="AN975" s="29"/>
      <c r="AO975" s="29"/>
      <c r="AP975" s="29"/>
      <c r="AQ975" s="29"/>
      <c r="AR975" s="29"/>
    </row>
    <row r="976">
      <c r="A976" s="29"/>
      <c r="B976" s="29"/>
      <c r="C976" s="29"/>
      <c r="D976" s="29"/>
      <c r="E976" s="29"/>
      <c r="F976" s="29"/>
      <c r="G976" s="29"/>
      <c r="H976" s="30"/>
      <c r="I976" s="29"/>
      <c r="J976" s="29"/>
      <c r="K976" s="29"/>
      <c r="L976" s="29"/>
      <c r="M976" s="29"/>
      <c r="N976" s="29"/>
      <c r="O976" s="29"/>
      <c r="P976" s="29"/>
      <c r="Q976" s="29"/>
      <c r="R976" s="29"/>
      <c r="S976" s="29"/>
      <c r="T976" s="29"/>
      <c r="U976" s="29"/>
      <c r="V976" s="29"/>
      <c r="W976" s="29"/>
      <c r="X976" s="29"/>
      <c r="Y976" s="29"/>
      <c r="Z976" s="29"/>
      <c r="AA976" s="29"/>
      <c r="AB976" s="29"/>
      <c r="AC976" s="29"/>
      <c r="AD976" s="29"/>
      <c r="AE976" s="29"/>
      <c r="AF976" s="29"/>
      <c r="AG976" s="29"/>
      <c r="AH976" s="29"/>
      <c r="AI976" s="29"/>
      <c r="AJ976" s="29"/>
      <c r="AK976" s="29"/>
      <c r="AL976" s="29"/>
      <c r="AM976" s="29"/>
      <c r="AN976" s="29"/>
      <c r="AO976" s="29"/>
      <c r="AP976" s="29"/>
      <c r="AQ976" s="29"/>
      <c r="AR976" s="29"/>
    </row>
    <row r="977">
      <c r="A977" s="29"/>
      <c r="B977" s="29"/>
      <c r="C977" s="29"/>
      <c r="D977" s="29"/>
      <c r="E977" s="29"/>
      <c r="F977" s="29"/>
      <c r="G977" s="29"/>
      <c r="H977" s="30"/>
      <c r="I977" s="29"/>
      <c r="J977" s="29"/>
      <c r="K977" s="29"/>
      <c r="L977" s="29"/>
      <c r="M977" s="29"/>
      <c r="N977" s="29"/>
      <c r="O977" s="29"/>
      <c r="P977" s="29"/>
      <c r="Q977" s="29"/>
      <c r="R977" s="29"/>
      <c r="S977" s="29"/>
      <c r="T977" s="29"/>
      <c r="U977" s="29"/>
      <c r="V977" s="29"/>
      <c r="W977" s="29"/>
      <c r="X977" s="29"/>
      <c r="Y977" s="29"/>
      <c r="Z977" s="29"/>
      <c r="AA977" s="29"/>
      <c r="AB977" s="29"/>
      <c r="AC977" s="29"/>
      <c r="AD977" s="29"/>
      <c r="AE977" s="29"/>
      <c r="AF977" s="29"/>
      <c r="AG977" s="29"/>
      <c r="AH977" s="29"/>
      <c r="AI977" s="29"/>
      <c r="AJ977" s="29"/>
      <c r="AK977" s="29"/>
      <c r="AL977" s="29"/>
      <c r="AM977" s="29"/>
      <c r="AN977" s="29"/>
      <c r="AO977" s="29"/>
      <c r="AP977" s="29"/>
      <c r="AQ977" s="29"/>
      <c r="AR977" s="29"/>
    </row>
    <row r="978">
      <c r="A978" s="29"/>
      <c r="B978" s="29"/>
      <c r="C978" s="29"/>
      <c r="D978" s="29"/>
      <c r="E978" s="29"/>
      <c r="F978" s="29"/>
      <c r="G978" s="29"/>
      <c r="H978" s="30"/>
      <c r="I978" s="29"/>
      <c r="J978" s="29"/>
      <c r="K978" s="29"/>
      <c r="L978" s="29"/>
      <c r="M978" s="29"/>
      <c r="N978" s="29"/>
      <c r="O978" s="29"/>
      <c r="P978" s="29"/>
      <c r="Q978" s="29"/>
      <c r="R978" s="29"/>
      <c r="S978" s="29"/>
      <c r="T978" s="29"/>
      <c r="U978" s="29"/>
      <c r="V978" s="29"/>
      <c r="W978" s="29"/>
      <c r="X978" s="29"/>
      <c r="Y978" s="29"/>
      <c r="Z978" s="29"/>
      <c r="AA978" s="29"/>
      <c r="AB978" s="29"/>
      <c r="AC978" s="29"/>
      <c r="AD978" s="29"/>
      <c r="AE978" s="29"/>
      <c r="AF978" s="29"/>
      <c r="AG978" s="29"/>
      <c r="AH978" s="29"/>
      <c r="AI978" s="29"/>
      <c r="AJ978" s="29"/>
      <c r="AK978" s="29"/>
      <c r="AL978" s="29"/>
      <c r="AM978" s="29"/>
      <c r="AN978" s="29"/>
      <c r="AO978" s="29"/>
      <c r="AP978" s="29"/>
      <c r="AQ978" s="29"/>
      <c r="AR978" s="29"/>
    </row>
    <row r="979">
      <c r="A979" s="29"/>
      <c r="B979" s="29"/>
      <c r="C979" s="29"/>
      <c r="D979" s="29"/>
      <c r="E979" s="29"/>
      <c r="F979" s="29"/>
      <c r="G979" s="29"/>
      <c r="H979" s="30"/>
      <c r="I979" s="29"/>
      <c r="J979" s="29"/>
      <c r="K979" s="29"/>
      <c r="L979" s="29"/>
      <c r="M979" s="29"/>
      <c r="N979" s="29"/>
      <c r="O979" s="29"/>
      <c r="P979" s="29"/>
      <c r="Q979" s="29"/>
      <c r="R979" s="29"/>
      <c r="S979" s="29"/>
      <c r="T979" s="29"/>
      <c r="U979" s="29"/>
      <c r="V979" s="29"/>
      <c r="W979" s="29"/>
      <c r="X979" s="29"/>
      <c r="Y979" s="29"/>
      <c r="Z979" s="29"/>
      <c r="AA979" s="29"/>
      <c r="AB979" s="29"/>
      <c r="AC979" s="29"/>
      <c r="AD979" s="29"/>
      <c r="AE979" s="29"/>
      <c r="AF979" s="29"/>
      <c r="AG979" s="29"/>
      <c r="AH979" s="29"/>
      <c r="AI979" s="29"/>
      <c r="AJ979" s="29"/>
      <c r="AK979" s="29"/>
      <c r="AL979" s="29"/>
      <c r="AM979" s="29"/>
      <c r="AN979" s="29"/>
      <c r="AO979" s="29"/>
      <c r="AP979" s="29"/>
      <c r="AQ979" s="29"/>
      <c r="AR979" s="29"/>
    </row>
    <row r="980">
      <c r="A980" s="29"/>
      <c r="B980" s="29"/>
      <c r="C980" s="29"/>
      <c r="D980" s="29"/>
      <c r="E980" s="29"/>
      <c r="F980" s="29"/>
      <c r="G980" s="29"/>
      <c r="H980" s="30"/>
      <c r="I980" s="29"/>
      <c r="J980" s="29"/>
      <c r="K980" s="29"/>
      <c r="L980" s="29"/>
      <c r="M980" s="29"/>
      <c r="N980" s="29"/>
      <c r="O980" s="29"/>
      <c r="P980" s="29"/>
      <c r="Q980" s="29"/>
      <c r="R980" s="29"/>
      <c r="S980" s="29"/>
      <c r="T980" s="29"/>
      <c r="U980" s="29"/>
      <c r="V980" s="29"/>
      <c r="W980" s="29"/>
      <c r="X980" s="29"/>
      <c r="Y980" s="29"/>
      <c r="Z980" s="29"/>
      <c r="AA980" s="29"/>
      <c r="AB980" s="29"/>
      <c r="AC980" s="29"/>
      <c r="AD980" s="29"/>
      <c r="AE980" s="29"/>
      <c r="AF980" s="29"/>
      <c r="AG980" s="29"/>
      <c r="AH980" s="29"/>
      <c r="AI980" s="29"/>
      <c r="AJ980" s="29"/>
      <c r="AK980" s="29"/>
      <c r="AL980" s="29"/>
      <c r="AM980" s="29"/>
      <c r="AN980" s="29"/>
      <c r="AO980" s="29"/>
      <c r="AP980" s="29"/>
      <c r="AQ980" s="29"/>
      <c r="AR980" s="29"/>
    </row>
    <row r="981">
      <c r="A981" s="29"/>
      <c r="B981" s="29"/>
      <c r="C981" s="29"/>
      <c r="D981" s="29"/>
      <c r="E981" s="29"/>
      <c r="F981" s="29"/>
      <c r="G981" s="29"/>
      <c r="H981" s="30"/>
      <c r="I981" s="29"/>
      <c r="J981" s="29"/>
      <c r="K981" s="29"/>
      <c r="L981" s="29"/>
      <c r="M981" s="29"/>
      <c r="N981" s="29"/>
      <c r="O981" s="29"/>
      <c r="P981" s="29"/>
      <c r="Q981" s="29"/>
      <c r="R981" s="29"/>
      <c r="S981" s="29"/>
      <c r="T981" s="29"/>
      <c r="U981" s="29"/>
      <c r="V981" s="29"/>
      <c r="W981" s="29"/>
      <c r="X981" s="29"/>
      <c r="Y981" s="29"/>
      <c r="Z981" s="29"/>
      <c r="AA981" s="29"/>
      <c r="AB981" s="29"/>
      <c r="AC981" s="29"/>
      <c r="AD981" s="29"/>
      <c r="AE981" s="29"/>
      <c r="AF981" s="29"/>
      <c r="AG981" s="29"/>
      <c r="AH981" s="29"/>
      <c r="AI981" s="29"/>
      <c r="AJ981" s="29"/>
      <c r="AK981" s="29"/>
      <c r="AL981" s="29"/>
      <c r="AM981" s="29"/>
      <c r="AN981" s="29"/>
      <c r="AO981" s="29"/>
      <c r="AP981" s="29"/>
      <c r="AQ981" s="29"/>
      <c r="AR981" s="29"/>
    </row>
    <row r="982">
      <c r="A982" s="29"/>
      <c r="B982" s="29"/>
      <c r="C982" s="29"/>
      <c r="D982" s="29"/>
      <c r="E982" s="29"/>
      <c r="F982" s="29"/>
      <c r="G982" s="29"/>
      <c r="H982" s="30"/>
      <c r="I982" s="29"/>
      <c r="J982" s="29"/>
      <c r="K982" s="29"/>
      <c r="L982" s="29"/>
      <c r="M982" s="29"/>
      <c r="N982" s="29"/>
      <c r="O982" s="29"/>
      <c r="P982" s="29"/>
      <c r="Q982" s="29"/>
      <c r="R982" s="29"/>
      <c r="S982" s="29"/>
      <c r="T982" s="29"/>
      <c r="U982" s="29"/>
      <c r="V982" s="29"/>
      <c r="W982" s="29"/>
      <c r="X982" s="29"/>
      <c r="Y982" s="29"/>
      <c r="Z982" s="29"/>
      <c r="AA982" s="29"/>
      <c r="AB982" s="29"/>
      <c r="AC982" s="29"/>
      <c r="AD982" s="29"/>
      <c r="AE982" s="29"/>
      <c r="AF982" s="29"/>
      <c r="AG982" s="29"/>
      <c r="AH982" s="29"/>
      <c r="AI982" s="29"/>
      <c r="AJ982" s="29"/>
      <c r="AK982" s="29"/>
      <c r="AL982" s="29"/>
      <c r="AM982" s="29"/>
      <c r="AN982" s="29"/>
      <c r="AO982" s="29"/>
      <c r="AP982" s="29"/>
      <c r="AQ982" s="29"/>
      <c r="AR982" s="29"/>
    </row>
    <row r="983">
      <c r="A983" s="29"/>
      <c r="B983" s="29"/>
      <c r="C983" s="29"/>
      <c r="D983" s="29"/>
      <c r="E983" s="29"/>
      <c r="F983" s="29"/>
      <c r="G983" s="29"/>
      <c r="H983" s="30"/>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row>
    <row r="984">
      <c r="A984" s="29"/>
      <c r="B984" s="29"/>
      <c r="C984" s="29"/>
      <c r="D984" s="29"/>
      <c r="E984" s="29"/>
      <c r="F984" s="29"/>
      <c r="G984" s="29"/>
      <c r="H984" s="30"/>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row>
    <row r="985">
      <c r="A985" s="29"/>
      <c r="B985" s="29"/>
      <c r="C985" s="29"/>
      <c r="D985" s="29"/>
      <c r="E985" s="29"/>
      <c r="F985" s="29"/>
      <c r="G985" s="29"/>
      <c r="H985" s="30"/>
      <c r="I985" s="29"/>
      <c r="J985" s="29"/>
      <c r="K985" s="29"/>
      <c r="L985" s="29"/>
      <c r="M985" s="29"/>
      <c r="N985" s="29"/>
      <c r="O985" s="29"/>
      <c r="P985" s="29"/>
      <c r="Q985" s="29"/>
      <c r="R985" s="29"/>
      <c r="S985" s="29"/>
      <c r="T985" s="29"/>
      <c r="U985" s="29"/>
      <c r="V985" s="29"/>
      <c r="W985" s="29"/>
      <c r="X985" s="29"/>
      <c r="Y985" s="29"/>
      <c r="Z985" s="29"/>
      <c r="AA985" s="29"/>
      <c r="AB985" s="29"/>
      <c r="AC985" s="29"/>
      <c r="AD985" s="29"/>
      <c r="AE985" s="29"/>
      <c r="AF985" s="29"/>
      <c r="AG985" s="29"/>
      <c r="AH985" s="29"/>
      <c r="AI985" s="29"/>
      <c r="AJ985" s="29"/>
      <c r="AK985" s="29"/>
      <c r="AL985" s="29"/>
      <c r="AM985" s="29"/>
      <c r="AN985" s="29"/>
      <c r="AO985" s="29"/>
      <c r="AP985" s="29"/>
      <c r="AQ985" s="29"/>
      <c r="AR985" s="29"/>
    </row>
    <row r="986">
      <c r="A986" s="29"/>
      <c r="B986" s="29"/>
      <c r="C986" s="29"/>
      <c r="D986" s="29"/>
      <c r="E986" s="29"/>
      <c r="F986" s="29"/>
      <c r="G986" s="29"/>
      <c r="H986" s="30"/>
      <c r="I986" s="29"/>
      <c r="J986" s="29"/>
      <c r="K986" s="29"/>
      <c r="L986" s="29"/>
      <c r="M986" s="29"/>
      <c r="N986" s="29"/>
      <c r="O986" s="29"/>
      <c r="P986" s="29"/>
      <c r="Q986" s="29"/>
      <c r="R986" s="29"/>
      <c r="S986" s="29"/>
      <c r="T986" s="29"/>
      <c r="U986" s="29"/>
      <c r="V986" s="29"/>
      <c r="W986" s="29"/>
      <c r="X986" s="29"/>
      <c r="Y986" s="29"/>
      <c r="Z986" s="29"/>
      <c r="AA986" s="29"/>
      <c r="AB986" s="29"/>
      <c r="AC986" s="29"/>
      <c r="AD986" s="29"/>
      <c r="AE986" s="29"/>
      <c r="AF986" s="29"/>
      <c r="AG986" s="29"/>
      <c r="AH986" s="29"/>
      <c r="AI986" s="29"/>
      <c r="AJ986" s="29"/>
      <c r="AK986" s="29"/>
      <c r="AL986" s="29"/>
      <c r="AM986" s="29"/>
      <c r="AN986" s="29"/>
      <c r="AO986" s="29"/>
      <c r="AP986" s="29"/>
      <c r="AQ986" s="29"/>
      <c r="AR986" s="29"/>
    </row>
    <row r="987">
      <c r="A987" s="29"/>
      <c r="B987" s="29"/>
      <c r="C987" s="29"/>
      <c r="D987" s="29"/>
      <c r="E987" s="29"/>
      <c r="F987" s="29"/>
      <c r="G987" s="29"/>
      <c r="H987" s="30"/>
      <c r="I987" s="29"/>
      <c r="J987" s="29"/>
      <c r="K987" s="29"/>
      <c r="L987" s="29"/>
      <c r="M987" s="29"/>
      <c r="N987" s="29"/>
      <c r="O987" s="29"/>
      <c r="P987" s="29"/>
      <c r="Q987" s="29"/>
      <c r="R987" s="29"/>
      <c r="S987" s="29"/>
      <c r="T987" s="29"/>
      <c r="U987" s="29"/>
      <c r="V987" s="29"/>
      <c r="W987" s="29"/>
      <c r="X987" s="29"/>
      <c r="Y987" s="29"/>
      <c r="Z987" s="29"/>
      <c r="AA987" s="29"/>
      <c r="AB987" s="29"/>
      <c r="AC987" s="29"/>
      <c r="AD987" s="29"/>
      <c r="AE987" s="29"/>
      <c r="AF987" s="29"/>
      <c r="AG987" s="29"/>
      <c r="AH987" s="29"/>
      <c r="AI987" s="29"/>
      <c r="AJ987" s="29"/>
      <c r="AK987" s="29"/>
      <c r="AL987" s="29"/>
      <c r="AM987" s="29"/>
      <c r="AN987" s="29"/>
      <c r="AO987" s="29"/>
      <c r="AP987" s="29"/>
      <c r="AQ987" s="29"/>
      <c r="AR987" s="29"/>
    </row>
    <row r="988">
      <c r="A988" s="29"/>
      <c r="B988" s="29"/>
      <c r="C988" s="29"/>
      <c r="D988" s="29"/>
      <c r="E988" s="29"/>
      <c r="F988" s="29"/>
      <c r="G988" s="29"/>
      <c r="H988" s="30"/>
      <c r="I988" s="29"/>
      <c r="J988" s="29"/>
      <c r="K988" s="29"/>
      <c r="L988" s="29"/>
      <c r="M988" s="29"/>
      <c r="N988" s="29"/>
      <c r="O988" s="29"/>
      <c r="P988" s="29"/>
      <c r="Q988" s="29"/>
      <c r="R988" s="29"/>
      <c r="S988" s="29"/>
      <c r="T988" s="29"/>
      <c r="U988" s="29"/>
      <c r="V988" s="29"/>
      <c r="W988" s="29"/>
      <c r="X988" s="29"/>
      <c r="Y988" s="29"/>
      <c r="Z988" s="29"/>
      <c r="AA988" s="29"/>
      <c r="AB988" s="29"/>
      <c r="AC988" s="29"/>
      <c r="AD988" s="29"/>
      <c r="AE988" s="29"/>
      <c r="AF988" s="29"/>
      <c r="AG988" s="29"/>
      <c r="AH988" s="29"/>
      <c r="AI988" s="29"/>
      <c r="AJ988" s="29"/>
      <c r="AK988" s="29"/>
      <c r="AL988" s="29"/>
      <c r="AM988" s="29"/>
      <c r="AN988" s="29"/>
      <c r="AO988" s="29"/>
      <c r="AP988" s="29"/>
      <c r="AQ988" s="29"/>
      <c r="AR988" s="29"/>
    </row>
    <row r="989">
      <c r="A989" s="29"/>
      <c r="B989" s="29"/>
      <c r="C989" s="29"/>
      <c r="D989" s="29"/>
      <c r="E989" s="29"/>
      <c r="F989" s="29"/>
      <c r="G989" s="29"/>
      <c r="H989" s="30"/>
      <c r="I989" s="29"/>
      <c r="J989" s="29"/>
      <c r="K989" s="29"/>
      <c r="L989" s="29"/>
      <c r="M989" s="29"/>
      <c r="N989" s="29"/>
      <c r="O989" s="29"/>
      <c r="P989" s="29"/>
      <c r="Q989" s="29"/>
      <c r="R989" s="29"/>
      <c r="S989" s="29"/>
      <c r="T989" s="29"/>
      <c r="U989" s="29"/>
      <c r="V989" s="29"/>
      <c r="W989" s="29"/>
      <c r="X989" s="29"/>
      <c r="Y989" s="29"/>
      <c r="Z989" s="29"/>
      <c r="AA989" s="29"/>
      <c r="AB989" s="29"/>
      <c r="AC989" s="29"/>
      <c r="AD989" s="29"/>
      <c r="AE989" s="29"/>
      <c r="AF989" s="29"/>
      <c r="AG989" s="29"/>
      <c r="AH989" s="29"/>
      <c r="AI989" s="29"/>
      <c r="AJ989" s="29"/>
      <c r="AK989" s="29"/>
      <c r="AL989" s="29"/>
      <c r="AM989" s="29"/>
      <c r="AN989" s="29"/>
      <c r="AO989" s="29"/>
      <c r="AP989" s="29"/>
      <c r="AQ989" s="29"/>
      <c r="AR989" s="29"/>
    </row>
    <row r="990">
      <c r="A990" s="29"/>
      <c r="B990" s="29"/>
      <c r="C990" s="29"/>
      <c r="D990" s="29"/>
      <c r="E990" s="29"/>
      <c r="F990" s="29"/>
      <c r="G990" s="29"/>
      <c r="H990" s="30"/>
      <c r="I990" s="29"/>
      <c r="J990" s="29"/>
      <c r="K990" s="29"/>
      <c r="L990" s="29"/>
      <c r="M990" s="29"/>
      <c r="N990" s="29"/>
      <c r="O990" s="29"/>
      <c r="P990" s="29"/>
      <c r="Q990" s="29"/>
      <c r="R990" s="29"/>
      <c r="S990" s="29"/>
      <c r="T990" s="29"/>
      <c r="U990" s="29"/>
      <c r="V990" s="29"/>
      <c r="W990" s="29"/>
      <c r="X990" s="29"/>
      <c r="Y990" s="29"/>
      <c r="Z990" s="29"/>
      <c r="AA990" s="29"/>
      <c r="AB990" s="29"/>
      <c r="AC990" s="29"/>
      <c r="AD990" s="29"/>
      <c r="AE990" s="29"/>
      <c r="AF990" s="29"/>
      <c r="AG990" s="29"/>
      <c r="AH990" s="29"/>
      <c r="AI990" s="29"/>
      <c r="AJ990" s="29"/>
      <c r="AK990" s="29"/>
      <c r="AL990" s="29"/>
      <c r="AM990" s="29"/>
      <c r="AN990" s="29"/>
      <c r="AO990" s="29"/>
      <c r="AP990" s="29"/>
      <c r="AQ990" s="29"/>
      <c r="AR990" s="29"/>
    </row>
    <row r="991">
      <c r="A991" s="29"/>
      <c r="B991" s="29"/>
      <c r="C991" s="29"/>
      <c r="D991" s="29"/>
      <c r="E991" s="29"/>
      <c r="F991" s="29"/>
      <c r="G991" s="29"/>
      <c r="H991" s="30"/>
      <c r="I991" s="29"/>
      <c r="J991" s="29"/>
      <c r="K991" s="29"/>
      <c r="L991" s="29"/>
      <c r="M991" s="29"/>
      <c r="N991" s="29"/>
      <c r="O991" s="29"/>
      <c r="P991" s="29"/>
      <c r="Q991" s="29"/>
      <c r="R991" s="29"/>
      <c r="S991" s="29"/>
      <c r="T991" s="29"/>
      <c r="U991" s="29"/>
      <c r="V991" s="29"/>
      <c r="W991" s="29"/>
      <c r="X991" s="29"/>
      <c r="Y991" s="29"/>
      <c r="Z991" s="29"/>
      <c r="AA991" s="29"/>
      <c r="AB991" s="29"/>
      <c r="AC991" s="29"/>
      <c r="AD991" s="29"/>
      <c r="AE991" s="29"/>
      <c r="AF991" s="29"/>
      <c r="AG991" s="29"/>
      <c r="AH991" s="29"/>
      <c r="AI991" s="29"/>
      <c r="AJ991" s="29"/>
      <c r="AK991" s="29"/>
      <c r="AL991" s="29"/>
      <c r="AM991" s="29"/>
      <c r="AN991" s="29"/>
      <c r="AO991" s="29"/>
      <c r="AP991" s="29"/>
      <c r="AQ991" s="29"/>
      <c r="AR991" s="29"/>
    </row>
    <row r="992">
      <c r="A992" s="29"/>
      <c r="B992" s="29"/>
      <c r="C992" s="29"/>
      <c r="D992" s="29"/>
      <c r="E992" s="29"/>
      <c r="F992" s="29"/>
      <c r="G992" s="29"/>
      <c r="H992" s="30"/>
      <c r="I992" s="29"/>
      <c r="J992" s="29"/>
      <c r="K992" s="29"/>
      <c r="L992" s="29"/>
      <c r="M992" s="29"/>
      <c r="N992" s="29"/>
      <c r="O992" s="29"/>
      <c r="P992" s="29"/>
      <c r="Q992" s="29"/>
      <c r="R992" s="29"/>
      <c r="S992" s="29"/>
      <c r="T992" s="29"/>
      <c r="U992" s="29"/>
      <c r="V992" s="29"/>
      <c r="W992" s="29"/>
      <c r="X992" s="29"/>
      <c r="Y992" s="29"/>
      <c r="Z992" s="29"/>
      <c r="AA992" s="29"/>
      <c r="AB992" s="29"/>
      <c r="AC992" s="29"/>
      <c r="AD992" s="29"/>
      <c r="AE992" s="29"/>
      <c r="AF992" s="29"/>
      <c r="AG992" s="29"/>
      <c r="AH992" s="29"/>
      <c r="AI992" s="29"/>
      <c r="AJ992" s="29"/>
      <c r="AK992" s="29"/>
      <c r="AL992" s="29"/>
      <c r="AM992" s="29"/>
      <c r="AN992" s="29"/>
      <c r="AO992" s="29"/>
      <c r="AP992" s="29"/>
      <c r="AQ992" s="29"/>
      <c r="AR992" s="29"/>
    </row>
    <row r="993">
      <c r="A993" s="29"/>
      <c r="B993" s="29"/>
      <c r="C993" s="29"/>
      <c r="D993" s="29"/>
      <c r="E993" s="29"/>
      <c r="F993" s="29"/>
      <c r="G993" s="29"/>
      <c r="H993" s="30"/>
      <c r="I993" s="29"/>
      <c r="J993" s="29"/>
      <c r="K993" s="29"/>
      <c r="L993" s="29"/>
      <c r="M993" s="29"/>
      <c r="N993" s="29"/>
      <c r="O993" s="29"/>
      <c r="P993" s="29"/>
      <c r="Q993" s="29"/>
      <c r="R993" s="29"/>
      <c r="S993" s="29"/>
      <c r="T993" s="29"/>
      <c r="U993" s="29"/>
      <c r="V993" s="29"/>
      <c r="W993" s="29"/>
      <c r="X993" s="29"/>
      <c r="Y993" s="29"/>
      <c r="Z993" s="29"/>
      <c r="AA993" s="29"/>
      <c r="AB993" s="29"/>
      <c r="AC993" s="29"/>
      <c r="AD993" s="29"/>
      <c r="AE993" s="29"/>
      <c r="AF993" s="29"/>
      <c r="AG993" s="29"/>
      <c r="AH993" s="29"/>
      <c r="AI993" s="29"/>
      <c r="AJ993" s="29"/>
      <c r="AK993" s="29"/>
      <c r="AL993" s="29"/>
      <c r="AM993" s="29"/>
      <c r="AN993" s="29"/>
      <c r="AO993" s="29"/>
      <c r="AP993" s="29"/>
      <c r="AQ993" s="29"/>
      <c r="AR993" s="29"/>
    </row>
    <row r="994">
      <c r="A994" s="29"/>
      <c r="B994" s="29"/>
      <c r="C994" s="29"/>
      <c r="D994" s="29"/>
      <c r="E994" s="29"/>
      <c r="F994" s="29"/>
      <c r="G994" s="29"/>
      <c r="H994" s="30"/>
      <c r="I994" s="29"/>
      <c r="J994" s="29"/>
      <c r="K994" s="29"/>
      <c r="L994" s="29"/>
      <c r="M994" s="29"/>
      <c r="N994" s="29"/>
      <c r="O994" s="29"/>
      <c r="P994" s="29"/>
      <c r="Q994" s="29"/>
      <c r="R994" s="29"/>
      <c r="S994" s="29"/>
      <c r="T994" s="29"/>
      <c r="U994" s="29"/>
      <c r="V994" s="29"/>
      <c r="W994" s="29"/>
      <c r="X994" s="29"/>
      <c r="Y994" s="29"/>
      <c r="Z994" s="29"/>
      <c r="AA994" s="29"/>
      <c r="AB994" s="29"/>
      <c r="AC994" s="29"/>
      <c r="AD994" s="29"/>
      <c r="AE994" s="29"/>
      <c r="AF994" s="29"/>
      <c r="AG994" s="29"/>
      <c r="AH994" s="29"/>
      <c r="AI994" s="29"/>
      <c r="AJ994" s="29"/>
      <c r="AK994" s="29"/>
      <c r="AL994" s="29"/>
      <c r="AM994" s="29"/>
      <c r="AN994" s="29"/>
      <c r="AO994" s="29"/>
      <c r="AP994" s="29"/>
      <c r="AQ994" s="29"/>
      <c r="AR994" s="29"/>
    </row>
    <row r="995">
      <c r="A995" s="29"/>
      <c r="B995" s="29"/>
      <c r="C995" s="29"/>
      <c r="D995" s="29"/>
      <c r="E995" s="29"/>
      <c r="F995" s="29"/>
      <c r="G995" s="29"/>
      <c r="H995" s="30"/>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row>
    <row r="996">
      <c r="A996" s="29"/>
      <c r="B996" s="29"/>
      <c r="C996" s="29"/>
      <c r="D996" s="29"/>
      <c r="E996" s="29"/>
      <c r="F996" s="29"/>
      <c r="G996" s="29"/>
      <c r="H996" s="30"/>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row>
    <row r="997">
      <c r="A997" s="29"/>
      <c r="B997" s="29"/>
      <c r="C997" s="29"/>
      <c r="D997" s="29"/>
      <c r="E997" s="29"/>
      <c r="F997" s="29"/>
      <c r="G997" s="29"/>
      <c r="H997" s="30"/>
      <c r="I997" s="29"/>
      <c r="J997" s="29"/>
      <c r="K997" s="29"/>
      <c r="L997" s="29"/>
      <c r="M997" s="29"/>
      <c r="N997" s="29"/>
      <c r="O997" s="29"/>
      <c r="P997" s="29"/>
      <c r="Q997" s="29"/>
      <c r="R997" s="29"/>
      <c r="S997" s="29"/>
      <c r="T997" s="29"/>
      <c r="U997" s="29"/>
      <c r="V997" s="29"/>
      <c r="W997" s="29"/>
      <c r="X997" s="29"/>
      <c r="Y997" s="29"/>
      <c r="Z997" s="29"/>
      <c r="AA997" s="29"/>
      <c r="AB997" s="29"/>
      <c r="AC997" s="29"/>
      <c r="AD997" s="29"/>
      <c r="AE997" s="29"/>
      <c r="AF997" s="29"/>
      <c r="AG997" s="29"/>
      <c r="AH997" s="29"/>
      <c r="AI997" s="29"/>
      <c r="AJ997" s="29"/>
      <c r="AK997" s="29"/>
      <c r="AL997" s="29"/>
      <c r="AM997" s="29"/>
      <c r="AN997" s="29"/>
      <c r="AO997" s="29"/>
      <c r="AP997" s="29"/>
      <c r="AQ997" s="29"/>
      <c r="AR997" s="2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1.14"/>
    <col customWidth="1" min="3" max="3" width="78.14"/>
    <col customWidth="1" min="4" max="4" width="24.43"/>
    <col customWidth="1" min="5" max="5" width="20.29"/>
    <col customWidth="1" min="6" max="6" width="31.43"/>
    <col customWidth="1" min="7" max="7" width="8.14"/>
    <col customWidth="1" min="8" max="8" width="24.43"/>
    <col customWidth="1" min="9" max="9" width="17.86"/>
    <col customWidth="1" min="10" max="10" width="44.14"/>
    <col customWidth="1" min="11" max="11" width="33.14"/>
    <col customWidth="1" min="12" max="12" width="38.57"/>
    <col customWidth="1" min="13" max="13" width="93.29"/>
    <col customWidth="1" min="14" max="14" width="51.14"/>
    <col customWidth="1" min="15" max="15" width="37.29"/>
    <col customWidth="1" min="16" max="16" width="43.86"/>
    <col customWidth="1" min="17" max="17" width="30.86"/>
    <col customWidth="1" min="18" max="18" width="42.14"/>
    <col customWidth="1" min="19" max="19" width="27.57"/>
    <col customWidth="1" min="20" max="20" width="26.86"/>
    <col customWidth="1" min="21" max="21" width="33.14"/>
    <col customWidth="1" min="22" max="22" width="20.57"/>
    <col customWidth="1" min="23" max="23" width="20.14"/>
    <col customWidth="1" min="24" max="24" width="23.71"/>
  </cols>
  <sheetData>
    <row r="1">
      <c r="A1" s="13" t="s">
        <v>1</v>
      </c>
      <c r="B1" s="13" t="s">
        <v>2</v>
      </c>
      <c r="C1" s="13" t="s">
        <v>3</v>
      </c>
      <c r="D1" s="1" t="s">
        <v>4</v>
      </c>
      <c r="E1" s="1" t="s">
        <v>5</v>
      </c>
      <c r="F1" s="1" t="s">
        <v>6</v>
      </c>
      <c r="G1" s="1" t="s">
        <v>7</v>
      </c>
      <c r="H1" s="3"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41</v>
      </c>
      <c r="AK1" s="1" t="s">
        <v>37</v>
      </c>
      <c r="AL1" s="1" t="s">
        <v>38</v>
      </c>
      <c r="AM1" s="1" t="s">
        <v>39</v>
      </c>
      <c r="AN1" s="1" t="s">
        <v>40</v>
      </c>
      <c r="AO1" s="6" t="s">
        <v>42</v>
      </c>
      <c r="AP1" s="6" t="s">
        <v>43</v>
      </c>
      <c r="AQ1" s="6" t="s">
        <v>44</v>
      </c>
      <c r="AR1" s="6" t="s">
        <v>45</v>
      </c>
    </row>
    <row r="2">
      <c r="A2" s="14" t="s">
        <v>363</v>
      </c>
      <c r="B2" s="14" t="s">
        <v>364</v>
      </c>
      <c r="C2" s="31" t="s">
        <v>816</v>
      </c>
      <c r="D2" s="14" t="s">
        <v>817</v>
      </c>
      <c r="E2" s="32" t="s">
        <v>50</v>
      </c>
      <c r="F2" s="14" t="s">
        <v>818</v>
      </c>
      <c r="G2" s="14"/>
      <c r="H2" s="15" t="s">
        <v>525</v>
      </c>
      <c r="I2" s="14"/>
      <c r="J2" s="14" t="s">
        <v>819</v>
      </c>
      <c r="K2" s="14" t="s">
        <v>54</v>
      </c>
      <c r="L2" s="8"/>
      <c r="M2" s="14" t="s">
        <v>820</v>
      </c>
      <c r="N2" s="8"/>
      <c r="O2" s="14" t="s">
        <v>821</v>
      </c>
      <c r="P2" s="14" t="s">
        <v>54</v>
      </c>
      <c r="Q2" s="8"/>
      <c r="R2" s="8"/>
      <c r="S2" s="8"/>
      <c r="T2" s="8"/>
      <c r="U2" s="8"/>
      <c r="V2" s="8"/>
      <c r="W2" s="8"/>
      <c r="X2" s="8"/>
      <c r="Y2" s="8"/>
      <c r="Z2" s="8"/>
      <c r="AA2" s="8"/>
      <c r="AB2" s="8"/>
      <c r="AC2" s="8"/>
      <c r="AD2" s="8"/>
      <c r="AE2" s="8"/>
      <c r="AF2" s="8"/>
      <c r="AG2" s="8"/>
      <c r="AH2" s="8"/>
      <c r="AI2" s="8"/>
      <c r="AJ2" s="8"/>
      <c r="AK2" s="8"/>
      <c r="AL2" s="8"/>
      <c r="AM2" s="8"/>
      <c r="AN2" s="8"/>
      <c r="AO2" s="8"/>
      <c r="AP2" s="8"/>
      <c r="AQ2" s="8"/>
      <c r="AR2" s="8"/>
    </row>
    <row r="3">
      <c r="A3" s="14" t="s">
        <v>822</v>
      </c>
      <c r="B3" s="14" t="s">
        <v>823</v>
      </c>
      <c r="C3" s="31" t="s">
        <v>824</v>
      </c>
      <c r="D3" s="14" t="s">
        <v>825</v>
      </c>
      <c r="E3" s="23" t="s">
        <v>50</v>
      </c>
      <c r="F3" s="23" t="s">
        <v>818</v>
      </c>
      <c r="G3" s="23"/>
      <c r="H3" s="21" t="s">
        <v>525</v>
      </c>
      <c r="I3" s="16"/>
      <c r="J3" s="14" t="s">
        <v>826</v>
      </c>
      <c r="K3" s="14" t="s">
        <v>54</v>
      </c>
      <c r="L3" s="8"/>
      <c r="M3" s="14" t="s">
        <v>827</v>
      </c>
      <c r="N3" s="8"/>
      <c r="O3" s="14" t="s">
        <v>828</v>
      </c>
      <c r="P3" s="14" t="s">
        <v>54</v>
      </c>
      <c r="Q3" s="8"/>
      <c r="R3" s="8"/>
      <c r="S3" s="8"/>
      <c r="T3" s="8"/>
      <c r="U3" s="8"/>
      <c r="V3" s="8"/>
      <c r="W3" s="8"/>
      <c r="X3" s="8"/>
      <c r="Y3" s="8"/>
      <c r="Z3" s="8"/>
      <c r="AA3" s="8"/>
      <c r="AB3" s="8"/>
      <c r="AC3" s="8"/>
      <c r="AD3" s="8"/>
      <c r="AE3" s="8"/>
      <c r="AF3" s="8"/>
      <c r="AG3" s="8"/>
      <c r="AH3" s="8"/>
      <c r="AI3" s="8"/>
      <c r="AJ3" s="8"/>
      <c r="AK3" s="8"/>
      <c r="AL3" s="8"/>
      <c r="AM3" s="8"/>
      <c r="AN3" s="8"/>
      <c r="AO3" s="8"/>
      <c r="AP3" s="8"/>
      <c r="AQ3" s="8"/>
      <c r="AR3" s="8"/>
    </row>
    <row r="4">
      <c r="A4" s="14" t="s">
        <v>829</v>
      </c>
      <c r="B4" s="14" t="s">
        <v>830</v>
      </c>
      <c r="C4" s="31" t="s">
        <v>831</v>
      </c>
      <c r="D4" s="14" t="s">
        <v>832</v>
      </c>
      <c r="E4" s="23" t="s">
        <v>50</v>
      </c>
      <c r="F4" s="23" t="s">
        <v>818</v>
      </c>
      <c r="G4" s="23"/>
      <c r="H4" s="21" t="s">
        <v>525</v>
      </c>
      <c r="I4" s="16"/>
      <c r="J4" s="14" t="s">
        <v>833</v>
      </c>
      <c r="K4" s="14" t="s">
        <v>54</v>
      </c>
      <c r="L4" s="8"/>
      <c r="M4" s="14" t="s">
        <v>834</v>
      </c>
      <c r="N4" s="8"/>
      <c r="O4" s="14" t="s">
        <v>835</v>
      </c>
      <c r="P4" s="14" t="s">
        <v>54</v>
      </c>
      <c r="Q4" s="8"/>
      <c r="R4" s="8"/>
      <c r="S4" s="8"/>
      <c r="T4" s="8"/>
      <c r="U4" s="8"/>
      <c r="V4" s="8"/>
      <c r="W4" s="8"/>
      <c r="X4" s="8"/>
      <c r="Y4" s="8"/>
      <c r="Z4" s="8"/>
      <c r="AA4" s="8"/>
      <c r="AB4" s="8"/>
      <c r="AC4" s="8"/>
      <c r="AD4" s="8"/>
      <c r="AE4" s="8"/>
      <c r="AF4" s="8"/>
      <c r="AG4" s="8"/>
      <c r="AH4" s="8"/>
      <c r="AI4" s="8"/>
      <c r="AJ4" s="8"/>
      <c r="AK4" s="8"/>
      <c r="AL4" s="8"/>
      <c r="AM4" s="8"/>
      <c r="AN4" s="8"/>
      <c r="AO4" s="8"/>
      <c r="AP4" s="8"/>
      <c r="AQ4" s="8"/>
      <c r="AR4" s="8"/>
    </row>
    <row r="5">
      <c r="A5" s="14" t="s">
        <v>836</v>
      </c>
      <c r="B5" s="14" t="s">
        <v>837</v>
      </c>
      <c r="C5" s="31" t="s">
        <v>838</v>
      </c>
      <c r="D5" s="14" t="s">
        <v>839</v>
      </c>
      <c r="E5" s="23" t="s">
        <v>50</v>
      </c>
      <c r="F5" s="23" t="s">
        <v>818</v>
      </c>
      <c r="G5" s="23"/>
      <c r="H5" s="21" t="s">
        <v>525</v>
      </c>
      <c r="I5" s="16"/>
      <c r="J5" s="14" t="s">
        <v>840</v>
      </c>
      <c r="K5" s="14" t="s">
        <v>54</v>
      </c>
      <c r="L5" s="8"/>
      <c r="M5" s="14" t="s">
        <v>841</v>
      </c>
      <c r="N5" s="8"/>
      <c r="O5" s="14" t="s">
        <v>842</v>
      </c>
      <c r="P5" s="14" t="s">
        <v>54</v>
      </c>
      <c r="Q5" s="8"/>
      <c r="R5" s="8"/>
      <c r="S5" s="8"/>
      <c r="T5" s="8"/>
      <c r="U5" s="8"/>
      <c r="V5" s="8"/>
      <c r="W5" s="8"/>
      <c r="X5" s="8"/>
      <c r="Y5" s="8"/>
      <c r="Z5" s="8"/>
      <c r="AA5" s="8"/>
      <c r="AB5" s="8"/>
      <c r="AC5" s="8"/>
      <c r="AD5" s="8"/>
      <c r="AE5" s="8"/>
      <c r="AF5" s="8"/>
      <c r="AG5" s="8"/>
      <c r="AH5" s="8"/>
      <c r="AI5" s="8"/>
      <c r="AJ5" s="8"/>
      <c r="AK5" s="8"/>
      <c r="AL5" s="8"/>
      <c r="AM5" s="8"/>
      <c r="AN5" s="8"/>
      <c r="AO5" s="8"/>
      <c r="AP5" s="8"/>
      <c r="AQ5" s="8"/>
      <c r="AR5" s="8"/>
    </row>
    <row r="6">
      <c r="A6" s="14" t="s">
        <v>843</v>
      </c>
      <c r="B6" s="14" t="s">
        <v>844</v>
      </c>
      <c r="C6" s="31" t="s">
        <v>845</v>
      </c>
      <c r="D6" s="14" t="s">
        <v>846</v>
      </c>
      <c r="E6" s="23" t="s">
        <v>50</v>
      </c>
      <c r="F6" s="23" t="s">
        <v>818</v>
      </c>
      <c r="G6" s="23"/>
      <c r="H6" s="21" t="s">
        <v>525</v>
      </c>
      <c r="I6" s="16"/>
      <c r="J6" s="14" t="s">
        <v>847</v>
      </c>
      <c r="K6" s="14" t="s">
        <v>54</v>
      </c>
      <c r="L6" s="8"/>
      <c r="M6" s="14" t="s">
        <v>848</v>
      </c>
      <c r="N6" s="8"/>
      <c r="O6" s="14" t="s">
        <v>849</v>
      </c>
      <c r="P6" s="14" t="s">
        <v>54</v>
      </c>
      <c r="Q6" s="8"/>
      <c r="R6" s="8"/>
      <c r="S6" s="8"/>
      <c r="T6" s="8"/>
      <c r="U6" s="8"/>
      <c r="V6" s="8"/>
      <c r="W6" s="8"/>
      <c r="X6" s="8"/>
      <c r="Y6" s="8"/>
      <c r="Z6" s="8"/>
      <c r="AA6" s="8"/>
      <c r="AB6" s="8"/>
      <c r="AC6" s="8"/>
      <c r="AD6" s="8"/>
      <c r="AE6" s="8"/>
      <c r="AF6" s="8"/>
      <c r="AG6" s="8"/>
      <c r="AH6" s="8"/>
      <c r="AI6" s="8"/>
      <c r="AJ6" s="8"/>
      <c r="AK6" s="8"/>
      <c r="AL6" s="8"/>
      <c r="AM6" s="8"/>
      <c r="AN6" s="8"/>
      <c r="AO6" s="8"/>
      <c r="AP6" s="8"/>
      <c r="AQ6" s="8"/>
      <c r="AR6" s="8"/>
    </row>
    <row r="7">
      <c r="A7" s="14" t="s">
        <v>850</v>
      </c>
      <c r="B7" s="14" t="s">
        <v>851</v>
      </c>
      <c r="C7" s="31" t="s">
        <v>852</v>
      </c>
      <c r="D7" s="14" t="s">
        <v>853</v>
      </c>
      <c r="E7" s="23" t="s">
        <v>50</v>
      </c>
      <c r="F7" s="23" t="s">
        <v>818</v>
      </c>
      <c r="G7" s="23"/>
      <c r="H7" s="21" t="s">
        <v>525</v>
      </c>
      <c r="I7" s="16"/>
      <c r="J7" s="14" t="s">
        <v>854</v>
      </c>
      <c r="K7" s="14" t="s">
        <v>855</v>
      </c>
      <c r="L7" s="8"/>
      <c r="M7" s="14" t="s">
        <v>856</v>
      </c>
      <c r="N7" s="8"/>
      <c r="O7" s="14" t="s">
        <v>857</v>
      </c>
      <c r="P7" s="14" t="s">
        <v>54</v>
      </c>
      <c r="Q7" s="8"/>
      <c r="R7" s="8"/>
      <c r="S7" s="8"/>
      <c r="T7" s="8"/>
      <c r="U7" s="8"/>
      <c r="V7" s="8"/>
      <c r="W7" s="8"/>
      <c r="X7" s="8"/>
      <c r="Y7" s="8"/>
      <c r="Z7" s="8"/>
      <c r="AA7" s="8"/>
      <c r="AB7" s="8"/>
      <c r="AC7" s="8"/>
      <c r="AD7" s="8"/>
      <c r="AE7" s="8"/>
      <c r="AF7" s="8"/>
      <c r="AG7" s="8"/>
      <c r="AH7" s="8"/>
      <c r="AI7" s="8"/>
      <c r="AJ7" s="8"/>
      <c r="AK7" s="8"/>
      <c r="AL7" s="8"/>
      <c r="AM7" s="8"/>
      <c r="AN7" s="8"/>
      <c r="AO7" s="8"/>
      <c r="AP7" s="8"/>
      <c r="AQ7" s="8"/>
      <c r="AR7" s="8"/>
    </row>
    <row r="8">
      <c r="A8" s="14" t="s">
        <v>625</v>
      </c>
      <c r="B8" s="14" t="s">
        <v>626</v>
      </c>
      <c r="C8" s="31" t="s">
        <v>858</v>
      </c>
      <c r="D8" s="14" t="s">
        <v>859</v>
      </c>
      <c r="E8" s="23" t="s">
        <v>50</v>
      </c>
      <c r="F8" s="23" t="s">
        <v>818</v>
      </c>
      <c r="G8" s="23"/>
      <c r="H8" s="21" t="s">
        <v>525</v>
      </c>
      <c r="I8" s="16"/>
      <c r="J8" s="14" t="s">
        <v>860</v>
      </c>
      <c r="K8" s="14" t="s">
        <v>54</v>
      </c>
      <c r="L8" s="8"/>
      <c r="M8" s="14" t="s">
        <v>861</v>
      </c>
      <c r="N8" s="8"/>
      <c r="O8" s="14" t="s">
        <v>862</v>
      </c>
      <c r="P8" s="14" t="s">
        <v>54</v>
      </c>
      <c r="Q8" s="14" t="s">
        <v>863</v>
      </c>
      <c r="R8" s="8"/>
      <c r="S8" s="14" t="s">
        <v>862</v>
      </c>
      <c r="T8" s="14" t="s">
        <v>54</v>
      </c>
      <c r="U8" s="8"/>
      <c r="V8" s="8"/>
      <c r="W8" s="8"/>
      <c r="X8" s="8"/>
      <c r="Y8" s="8"/>
      <c r="Z8" s="8"/>
      <c r="AA8" s="8"/>
      <c r="AB8" s="8"/>
      <c r="AC8" s="8"/>
      <c r="AD8" s="8"/>
      <c r="AE8" s="8"/>
      <c r="AF8" s="8"/>
      <c r="AG8" s="8"/>
      <c r="AH8" s="8"/>
      <c r="AI8" s="8"/>
      <c r="AJ8" s="8"/>
      <c r="AK8" s="8"/>
      <c r="AL8" s="8"/>
      <c r="AM8" s="8"/>
      <c r="AN8" s="8"/>
      <c r="AO8" s="8"/>
      <c r="AP8" s="8"/>
      <c r="AQ8" s="8"/>
      <c r="AR8" s="8"/>
    </row>
    <row r="9">
      <c r="A9" s="14" t="s">
        <v>241</v>
      </c>
      <c r="B9" s="14" t="s">
        <v>242</v>
      </c>
      <c r="C9" s="31" t="s">
        <v>864</v>
      </c>
      <c r="D9" s="14" t="s">
        <v>865</v>
      </c>
      <c r="E9" s="23" t="s">
        <v>50</v>
      </c>
      <c r="F9" s="23" t="s">
        <v>818</v>
      </c>
      <c r="G9" s="23"/>
      <c r="H9" s="21" t="s">
        <v>525</v>
      </c>
      <c r="I9" s="16"/>
      <c r="J9" s="14" t="s">
        <v>866</v>
      </c>
      <c r="K9" s="14" t="s">
        <v>54</v>
      </c>
      <c r="L9" s="8"/>
      <c r="M9" s="14" t="s">
        <v>867</v>
      </c>
      <c r="N9" s="14"/>
      <c r="O9" s="14" t="s">
        <v>868</v>
      </c>
      <c r="P9" s="14" t="s">
        <v>54</v>
      </c>
      <c r="Q9" s="14" t="s">
        <v>869</v>
      </c>
      <c r="R9" s="8"/>
      <c r="S9" s="14" t="s">
        <v>868</v>
      </c>
      <c r="T9" s="14" t="s">
        <v>54</v>
      </c>
      <c r="U9" s="8"/>
      <c r="V9" s="8"/>
      <c r="W9" s="8"/>
      <c r="X9" s="8"/>
      <c r="Y9" s="8"/>
      <c r="Z9" s="8"/>
      <c r="AA9" s="8"/>
      <c r="AB9" s="8"/>
      <c r="AC9" s="8"/>
      <c r="AD9" s="8"/>
      <c r="AE9" s="8"/>
      <c r="AF9" s="8"/>
      <c r="AG9" s="8"/>
      <c r="AH9" s="8"/>
      <c r="AI9" s="8"/>
      <c r="AJ9" s="8"/>
      <c r="AK9" s="8"/>
      <c r="AL9" s="8"/>
      <c r="AM9" s="8"/>
      <c r="AN9" s="8"/>
      <c r="AO9" s="8"/>
      <c r="AP9" s="8"/>
      <c r="AQ9" s="8"/>
      <c r="AR9" s="8"/>
    </row>
    <row r="10">
      <c r="A10" s="14" t="s">
        <v>870</v>
      </c>
      <c r="B10" s="14" t="s">
        <v>871</v>
      </c>
      <c r="C10" s="31" t="s">
        <v>872</v>
      </c>
      <c r="D10" s="14" t="s">
        <v>873</v>
      </c>
      <c r="E10" s="23" t="s">
        <v>50</v>
      </c>
      <c r="F10" s="23" t="s">
        <v>818</v>
      </c>
      <c r="G10" s="23"/>
      <c r="H10" s="21" t="s">
        <v>525</v>
      </c>
      <c r="I10" s="16"/>
      <c r="J10" s="14" t="s">
        <v>874</v>
      </c>
      <c r="K10" s="14" t="s">
        <v>54</v>
      </c>
      <c r="L10" s="8"/>
      <c r="M10" s="14" t="s">
        <v>875</v>
      </c>
      <c r="N10" s="8"/>
      <c r="O10" s="14" t="s">
        <v>876</v>
      </c>
      <c r="P10" s="14" t="s">
        <v>54</v>
      </c>
      <c r="Q10" s="14" t="s">
        <v>877</v>
      </c>
      <c r="R10" s="8"/>
      <c r="S10" s="14" t="s">
        <v>876</v>
      </c>
      <c r="T10" s="14" t="s">
        <v>54</v>
      </c>
      <c r="U10" s="8"/>
      <c r="V10" s="8"/>
      <c r="W10" s="8"/>
      <c r="X10" s="8"/>
      <c r="Y10" s="8"/>
      <c r="Z10" s="8"/>
      <c r="AA10" s="8"/>
      <c r="AB10" s="8"/>
      <c r="AC10" s="8"/>
      <c r="AD10" s="8"/>
      <c r="AE10" s="8"/>
      <c r="AF10" s="8"/>
      <c r="AG10" s="8"/>
      <c r="AH10" s="8"/>
      <c r="AI10" s="8"/>
      <c r="AJ10" s="8"/>
      <c r="AK10" s="8"/>
      <c r="AL10" s="8"/>
      <c r="AM10" s="8"/>
      <c r="AN10" s="8"/>
      <c r="AO10" s="8"/>
      <c r="AP10" s="8"/>
      <c r="AQ10" s="8"/>
      <c r="AR10" s="8"/>
    </row>
    <row r="11">
      <c r="A11" s="14" t="s">
        <v>878</v>
      </c>
      <c r="B11" s="14" t="s">
        <v>879</v>
      </c>
      <c r="C11" s="31" t="s">
        <v>880</v>
      </c>
      <c r="D11" s="14" t="s">
        <v>881</v>
      </c>
      <c r="E11" s="23" t="s">
        <v>50</v>
      </c>
      <c r="F11" s="23" t="s">
        <v>818</v>
      </c>
      <c r="G11" s="23"/>
      <c r="H11" s="21" t="s">
        <v>525</v>
      </c>
      <c r="I11" s="16"/>
      <c r="J11" s="14" t="s">
        <v>882</v>
      </c>
      <c r="K11" s="14" t="s">
        <v>54</v>
      </c>
      <c r="L11" s="8"/>
      <c r="M11" s="14" t="s">
        <v>883</v>
      </c>
      <c r="N11" s="8"/>
      <c r="O11" s="14" t="s">
        <v>884</v>
      </c>
      <c r="P11" s="14" t="s">
        <v>54</v>
      </c>
      <c r="Q11" s="14" t="s">
        <v>885</v>
      </c>
      <c r="R11" s="8"/>
      <c r="S11" s="14" t="s">
        <v>884</v>
      </c>
      <c r="T11" s="14" t="s">
        <v>54</v>
      </c>
      <c r="U11" s="14" t="s">
        <v>886</v>
      </c>
      <c r="V11" s="8"/>
      <c r="W11" s="14" t="s">
        <v>884</v>
      </c>
      <c r="X11" s="14" t="s">
        <v>54</v>
      </c>
      <c r="Y11" s="8"/>
      <c r="Z11" s="8"/>
      <c r="AA11" s="8"/>
      <c r="AB11" s="8"/>
      <c r="AC11" s="8"/>
      <c r="AD11" s="8"/>
      <c r="AE11" s="8"/>
      <c r="AF11" s="8"/>
      <c r="AG11" s="8"/>
      <c r="AH11" s="8"/>
      <c r="AI11" s="8"/>
      <c r="AJ11" s="8"/>
      <c r="AK11" s="8"/>
      <c r="AL11" s="8"/>
      <c r="AM11" s="8"/>
      <c r="AN11" s="8"/>
      <c r="AO11" s="8"/>
      <c r="AP11" s="8"/>
      <c r="AQ11" s="8"/>
      <c r="AR11" s="8"/>
    </row>
    <row r="12">
      <c r="A12" s="14" t="s">
        <v>887</v>
      </c>
      <c r="B12" s="14" t="s">
        <v>888</v>
      </c>
      <c r="C12" s="31" t="s">
        <v>889</v>
      </c>
      <c r="D12" s="14" t="s">
        <v>890</v>
      </c>
      <c r="E12" s="23" t="s">
        <v>50</v>
      </c>
      <c r="F12" s="23" t="s">
        <v>818</v>
      </c>
      <c r="G12" s="23"/>
      <c r="H12" s="21" t="s">
        <v>525</v>
      </c>
      <c r="I12" s="16"/>
      <c r="J12" s="14" t="s">
        <v>891</v>
      </c>
      <c r="K12" s="14" t="s">
        <v>54</v>
      </c>
      <c r="L12" s="8"/>
      <c r="M12" s="14" t="s">
        <v>892</v>
      </c>
      <c r="N12" s="8"/>
      <c r="O12" s="14" t="s">
        <v>893</v>
      </c>
      <c r="P12" s="14" t="s">
        <v>54</v>
      </c>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row>
    <row r="13">
      <c r="A13" s="14" t="s">
        <v>894</v>
      </c>
      <c r="B13" s="14" t="s">
        <v>895</v>
      </c>
      <c r="C13" s="31" t="s">
        <v>896</v>
      </c>
      <c r="D13" s="14" t="s">
        <v>897</v>
      </c>
      <c r="E13" s="23" t="s">
        <v>50</v>
      </c>
      <c r="F13" s="23" t="s">
        <v>818</v>
      </c>
      <c r="G13" s="23"/>
      <c r="H13" s="21" t="s">
        <v>525</v>
      </c>
      <c r="I13" s="16"/>
      <c r="J13" s="14" t="s">
        <v>898</v>
      </c>
      <c r="K13" s="14" t="s">
        <v>54</v>
      </c>
      <c r="L13" s="8"/>
      <c r="M13" s="14" t="s">
        <v>899</v>
      </c>
      <c r="N13" s="8"/>
      <c r="O13" s="14" t="s">
        <v>900</v>
      </c>
      <c r="P13" s="14" t="s">
        <v>54</v>
      </c>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row>
    <row r="14">
      <c r="A14" s="14" t="s">
        <v>901</v>
      </c>
      <c r="B14" s="14" t="s">
        <v>902</v>
      </c>
      <c r="C14" s="31" t="s">
        <v>903</v>
      </c>
      <c r="D14" s="14" t="s">
        <v>904</v>
      </c>
      <c r="E14" s="23" t="s">
        <v>50</v>
      </c>
      <c r="F14" s="23" t="s">
        <v>818</v>
      </c>
      <c r="G14" s="23"/>
      <c r="H14" s="15" t="s">
        <v>525</v>
      </c>
      <c r="I14" s="14"/>
      <c r="J14" s="14" t="s">
        <v>905</v>
      </c>
      <c r="K14" s="14" t="s">
        <v>54</v>
      </c>
      <c r="L14" s="8"/>
      <c r="M14" s="14" t="s">
        <v>906</v>
      </c>
      <c r="N14" s="8"/>
      <c r="O14" s="14" t="s">
        <v>907</v>
      </c>
      <c r="P14" s="14" t="s">
        <v>54</v>
      </c>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row>
    <row r="15">
      <c r="A15" s="14" t="s">
        <v>908</v>
      </c>
      <c r="B15" s="14" t="s">
        <v>909</v>
      </c>
      <c r="C15" s="31" t="s">
        <v>910</v>
      </c>
      <c r="D15" s="14" t="s">
        <v>911</v>
      </c>
      <c r="E15" s="23" t="s">
        <v>50</v>
      </c>
      <c r="F15" s="23" t="s">
        <v>818</v>
      </c>
      <c r="G15" s="23"/>
      <c r="H15" s="21" t="s">
        <v>525</v>
      </c>
      <c r="I15" s="16"/>
      <c r="J15" s="14" t="s">
        <v>912</v>
      </c>
      <c r="K15" s="14" t="s">
        <v>54</v>
      </c>
      <c r="L15" s="8"/>
      <c r="M15" s="14" t="s">
        <v>913</v>
      </c>
      <c r="N15" s="8"/>
      <c r="O15" s="14" t="s">
        <v>914</v>
      </c>
      <c r="P15" s="14" t="s">
        <v>54</v>
      </c>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row>
    <row r="16">
      <c r="A16" s="14" t="s">
        <v>915</v>
      </c>
      <c r="B16" s="14" t="s">
        <v>916</v>
      </c>
      <c r="C16" s="31" t="s">
        <v>917</v>
      </c>
      <c r="D16" s="14" t="s">
        <v>918</v>
      </c>
      <c r="E16" s="23" t="s">
        <v>50</v>
      </c>
      <c r="F16" s="23" t="s">
        <v>818</v>
      </c>
      <c r="G16" s="23"/>
      <c r="H16" s="21" t="s">
        <v>525</v>
      </c>
      <c r="I16" s="16"/>
      <c r="J16" s="14" t="s">
        <v>919</v>
      </c>
      <c r="K16" s="14" t="s">
        <v>54</v>
      </c>
      <c r="L16" s="8"/>
      <c r="M16" s="14" t="s">
        <v>920</v>
      </c>
      <c r="N16" s="8"/>
      <c r="O16" s="14" t="s">
        <v>921</v>
      </c>
      <c r="P16" s="14" t="s">
        <v>54</v>
      </c>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row>
    <row r="17">
      <c r="A17" s="14" t="s">
        <v>922</v>
      </c>
      <c r="B17" s="14" t="s">
        <v>923</v>
      </c>
      <c r="C17" s="31" t="s">
        <v>924</v>
      </c>
      <c r="D17" s="14" t="s">
        <v>925</v>
      </c>
      <c r="E17" s="23" t="s">
        <v>50</v>
      </c>
      <c r="F17" s="23" t="s">
        <v>818</v>
      </c>
      <c r="G17" s="23"/>
      <c r="H17" s="21" t="s">
        <v>525</v>
      </c>
      <c r="I17" s="16"/>
      <c r="J17" s="14" t="s">
        <v>926</v>
      </c>
      <c r="K17" s="14" t="s">
        <v>54</v>
      </c>
      <c r="L17" s="8"/>
      <c r="M17" s="14" t="s">
        <v>927</v>
      </c>
      <c r="N17" s="8"/>
      <c r="O17" s="14" t="s">
        <v>928</v>
      </c>
      <c r="P17" s="14" t="s">
        <v>54</v>
      </c>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row>
    <row r="18">
      <c r="A18" s="14" t="s">
        <v>929</v>
      </c>
      <c r="B18" s="14" t="s">
        <v>930</v>
      </c>
      <c r="C18" s="31" t="s">
        <v>931</v>
      </c>
      <c r="D18" s="14" t="s">
        <v>932</v>
      </c>
      <c r="E18" s="23" t="s">
        <v>50</v>
      </c>
      <c r="F18" s="23" t="s">
        <v>818</v>
      </c>
      <c r="G18" s="23"/>
      <c r="H18" s="21" t="s">
        <v>525</v>
      </c>
      <c r="I18" s="16"/>
      <c r="J18" s="14" t="s">
        <v>933</v>
      </c>
      <c r="K18" s="14" t="s">
        <v>54</v>
      </c>
      <c r="L18" s="8"/>
      <c r="M18" s="14" t="s">
        <v>934</v>
      </c>
      <c r="N18" s="8"/>
      <c r="O18" s="14" t="s">
        <v>935</v>
      </c>
      <c r="P18" s="14" t="s">
        <v>54</v>
      </c>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row>
    <row r="19">
      <c r="A19" s="14" t="s">
        <v>936</v>
      </c>
      <c r="B19" s="14" t="s">
        <v>937</v>
      </c>
      <c r="C19" s="31" t="s">
        <v>938</v>
      </c>
      <c r="D19" s="14" t="s">
        <v>939</v>
      </c>
      <c r="E19" s="23" t="s">
        <v>50</v>
      </c>
      <c r="F19" s="23" t="s">
        <v>818</v>
      </c>
      <c r="G19" s="23"/>
      <c r="H19" s="21" t="s">
        <v>525</v>
      </c>
      <c r="I19" s="16"/>
      <c r="J19" s="14" t="s">
        <v>940</v>
      </c>
      <c r="K19" s="14" t="s">
        <v>54</v>
      </c>
      <c r="L19" s="8"/>
      <c r="M19" s="14" t="s">
        <v>941</v>
      </c>
      <c r="N19" s="8"/>
      <c r="O19" s="14" t="s">
        <v>942</v>
      </c>
      <c r="P19" s="14" t="s">
        <v>54</v>
      </c>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row>
    <row r="20">
      <c r="A20" s="14" t="s">
        <v>943</v>
      </c>
      <c r="B20" s="14" t="s">
        <v>944</v>
      </c>
      <c r="C20" s="31" t="s">
        <v>945</v>
      </c>
      <c r="D20" s="14" t="s">
        <v>946</v>
      </c>
      <c r="E20" s="23" t="s">
        <v>50</v>
      </c>
      <c r="F20" s="23" t="s">
        <v>818</v>
      </c>
      <c r="G20" s="23"/>
      <c r="H20" s="21" t="s">
        <v>525</v>
      </c>
      <c r="I20" s="16"/>
      <c r="J20" s="14" t="s">
        <v>947</v>
      </c>
      <c r="K20" s="14" t="s">
        <v>54</v>
      </c>
      <c r="L20" s="8"/>
      <c r="M20" s="14" t="s">
        <v>948</v>
      </c>
      <c r="N20" s="8"/>
      <c r="O20" s="14" t="s">
        <v>949</v>
      </c>
      <c r="P20" s="14" t="s">
        <v>54</v>
      </c>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row>
    <row r="21">
      <c r="A21" s="14" t="s">
        <v>386</v>
      </c>
      <c r="B21" s="14" t="s">
        <v>387</v>
      </c>
      <c r="C21" s="31" t="s">
        <v>950</v>
      </c>
      <c r="D21" s="14" t="s">
        <v>951</v>
      </c>
      <c r="E21" s="23" t="s">
        <v>50</v>
      </c>
      <c r="F21" s="23" t="s">
        <v>818</v>
      </c>
      <c r="G21" s="23"/>
      <c r="H21" s="21" t="s">
        <v>525</v>
      </c>
      <c r="I21" s="16"/>
      <c r="J21" s="14" t="s">
        <v>952</v>
      </c>
      <c r="K21" s="14" t="s">
        <v>54</v>
      </c>
      <c r="L21" s="8"/>
      <c r="M21" s="14" t="s">
        <v>953</v>
      </c>
      <c r="N21" s="8"/>
      <c r="O21" s="14" t="s">
        <v>954</v>
      </c>
      <c r="P21" s="14" t="s">
        <v>54</v>
      </c>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row>
    <row r="22">
      <c r="A22" s="14" t="s">
        <v>955</v>
      </c>
      <c r="B22" s="14" t="s">
        <v>956</v>
      </c>
      <c r="C22" s="31" t="s">
        <v>957</v>
      </c>
      <c r="D22" s="14" t="s">
        <v>958</v>
      </c>
      <c r="E22" s="23" t="s">
        <v>50</v>
      </c>
      <c r="F22" s="23" t="s">
        <v>818</v>
      </c>
      <c r="G22" s="23"/>
      <c r="H22" s="21" t="s">
        <v>525</v>
      </c>
      <c r="I22" s="16"/>
      <c r="J22" s="14" t="s">
        <v>959</v>
      </c>
      <c r="K22" s="14" t="s">
        <v>54</v>
      </c>
      <c r="L22" s="8"/>
      <c r="M22" s="14" t="s">
        <v>960</v>
      </c>
      <c r="N22" s="8"/>
      <c r="O22" s="14" t="s">
        <v>961</v>
      </c>
      <c r="P22" s="14" t="s">
        <v>54</v>
      </c>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row>
    <row r="23">
      <c r="A23" s="14" t="s">
        <v>962</v>
      </c>
      <c r="B23" s="14" t="s">
        <v>963</v>
      </c>
      <c r="C23" s="31" t="s">
        <v>964</v>
      </c>
      <c r="D23" s="14" t="s">
        <v>965</v>
      </c>
      <c r="E23" s="23" t="s">
        <v>50</v>
      </c>
      <c r="F23" s="23" t="s">
        <v>818</v>
      </c>
      <c r="G23" s="23"/>
      <c r="H23" s="21" t="s">
        <v>525</v>
      </c>
      <c r="I23" s="16"/>
      <c r="J23" s="14" t="s">
        <v>966</v>
      </c>
      <c r="K23" s="14" t="s">
        <v>967</v>
      </c>
      <c r="L23" s="8"/>
      <c r="M23" s="14" t="s">
        <v>968</v>
      </c>
      <c r="N23" s="8"/>
      <c r="O23" s="14" t="s">
        <v>969</v>
      </c>
      <c r="P23" s="14" t="s">
        <v>54</v>
      </c>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row>
    <row r="24">
      <c r="A24" s="14" t="s">
        <v>970</v>
      </c>
      <c r="B24" s="14" t="s">
        <v>971</v>
      </c>
      <c r="C24" s="31" t="s">
        <v>972</v>
      </c>
      <c r="D24" s="14" t="s">
        <v>973</v>
      </c>
      <c r="E24" s="23" t="s">
        <v>50</v>
      </c>
      <c r="F24" s="23" t="s">
        <v>818</v>
      </c>
      <c r="G24" s="23"/>
      <c r="H24" s="21" t="s">
        <v>525</v>
      </c>
      <c r="I24" s="16"/>
      <c r="J24" s="14" t="s">
        <v>974</v>
      </c>
      <c r="K24" s="14" t="s">
        <v>54</v>
      </c>
      <c r="L24" s="8"/>
      <c r="M24" s="14" t="s">
        <v>975</v>
      </c>
      <c r="N24" s="8"/>
      <c r="O24" s="14" t="s">
        <v>976</v>
      </c>
      <c r="P24" s="14" t="s">
        <v>54</v>
      </c>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row>
    <row r="25">
      <c r="A25" s="14" t="s">
        <v>977</v>
      </c>
      <c r="B25" s="14" t="s">
        <v>978</v>
      </c>
      <c r="C25" s="31" t="s">
        <v>979</v>
      </c>
      <c r="D25" s="14" t="s">
        <v>980</v>
      </c>
      <c r="E25" s="23" t="s">
        <v>50</v>
      </c>
      <c r="F25" s="23" t="s">
        <v>818</v>
      </c>
      <c r="G25" s="23"/>
      <c r="H25" s="21" t="s">
        <v>525</v>
      </c>
      <c r="I25" s="16"/>
      <c r="J25" s="14" t="s">
        <v>981</v>
      </c>
      <c r="K25" s="14" t="s">
        <v>54</v>
      </c>
      <c r="L25" s="8"/>
      <c r="M25" s="14" t="s">
        <v>982</v>
      </c>
      <c r="N25" s="8"/>
      <c r="O25" s="14" t="s">
        <v>983</v>
      </c>
      <c r="P25" s="14" t="s">
        <v>54</v>
      </c>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row>
    <row r="26">
      <c r="A26" s="14" t="s">
        <v>984</v>
      </c>
      <c r="B26" s="14" t="s">
        <v>985</v>
      </c>
      <c r="C26" s="31" t="s">
        <v>986</v>
      </c>
      <c r="D26" s="14" t="s">
        <v>987</v>
      </c>
      <c r="E26" s="23" t="s">
        <v>50</v>
      </c>
      <c r="F26" s="23" t="s">
        <v>818</v>
      </c>
      <c r="G26" s="23"/>
      <c r="H26" s="21" t="s">
        <v>525</v>
      </c>
      <c r="I26" s="16"/>
      <c r="J26" s="14" t="s">
        <v>988</v>
      </c>
      <c r="K26" s="14" t="s">
        <v>54</v>
      </c>
      <c r="L26" s="8"/>
      <c r="M26" s="14" t="s">
        <v>989</v>
      </c>
      <c r="N26" s="8"/>
      <c r="O26" s="14" t="s">
        <v>990</v>
      </c>
      <c r="P26" s="14" t="s">
        <v>54</v>
      </c>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row>
    <row r="27">
      <c r="A27" s="14" t="s">
        <v>991</v>
      </c>
      <c r="B27" s="14" t="s">
        <v>992</v>
      </c>
      <c r="C27" s="31" t="s">
        <v>993</v>
      </c>
      <c r="D27" s="14" t="s">
        <v>994</v>
      </c>
      <c r="E27" s="23" t="s">
        <v>50</v>
      </c>
      <c r="F27" s="23" t="s">
        <v>818</v>
      </c>
      <c r="G27" s="23"/>
      <c r="H27" s="21" t="s">
        <v>525</v>
      </c>
      <c r="I27" s="16"/>
      <c r="J27" s="14" t="s">
        <v>995</v>
      </c>
      <c r="K27" s="14" t="s">
        <v>54</v>
      </c>
      <c r="L27" s="8"/>
      <c r="M27" s="14" t="s">
        <v>996</v>
      </c>
      <c r="N27" s="8"/>
      <c r="O27" s="14" t="s">
        <v>997</v>
      </c>
      <c r="P27" s="14" t="s">
        <v>54</v>
      </c>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row>
    <row r="28">
      <c r="A28" s="14" t="s">
        <v>998</v>
      </c>
      <c r="B28" s="14" t="s">
        <v>999</v>
      </c>
      <c r="C28" s="31" t="s">
        <v>1000</v>
      </c>
      <c r="D28" s="14" t="s">
        <v>1001</v>
      </c>
      <c r="E28" s="23" t="s">
        <v>50</v>
      </c>
      <c r="F28" s="23" t="s">
        <v>818</v>
      </c>
      <c r="G28" s="23"/>
      <c r="H28" s="21" t="s">
        <v>525</v>
      </c>
      <c r="I28" s="16"/>
      <c r="J28" s="14" t="s">
        <v>1002</v>
      </c>
      <c r="K28" s="14" t="s">
        <v>54</v>
      </c>
      <c r="L28" s="8"/>
      <c r="M28" s="14" t="s">
        <v>1003</v>
      </c>
      <c r="N28" s="8"/>
      <c r="O28" s="14" t="s">
        <v>1004</v>
      </c>
      <c r="P28" s="14" t="s">
        <v>54</v>
      </c>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row>
    <row r="29">
      <c r="A29" s="14" t="s">
        <v>1005</v>
      </c>
      <c r="B29" s="14" t="s">
        <v>1006</v>
      </c>
      <c r="C29" s="31" t="s">
        <v>1007</v>
      </c>
      <c r="D29" s="14" t="s">
        <v>1008</v>
      </c>
      <c r="E29" s="23" t="s">
        <v>50</v>
      </c>
      <c r="F29" s="23" t="s">
        <v>818</v>
      </c>
      <c r="G29" s="23"/>
      <c r="H29" s="21" t="s">
        <v>525</v>
      </c>
      <c r="I29" s="16"/>
      <c r="J29" s="14" t="s">
        <v>1009</v>
      </c>
      <c r="K29" s="14" t="s">
        <v>54</v>
      </c>
      <c r="L29" s="8"/>
      <c r="M29" s="14" t="s">
        <v>1010</v>
      </c>
      <c r="N29" s="8"/>
      <c r="O29" s="14" t="s">
        <v>1011</v>
      </c>
      <c r="P29" s="14" t="s">
        <v>54</v>
      </c>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row>
    <row r="30">
      <c r="A30" s="14" t="s">
        <v>1012</v>
      </c>
      <c r="B30" s="14" t="s">
        <v>1013</v>
      </c>
      <c r="C30" s="31" t="s">
        <v>1014</v>
      </c>
      <c r="D30" s="14" t="s">
        <v>1015</v>
      </c>
      <c r="E30" s="23" t="s">
        <v>50</v>
      </c>
      <c r="F30" s="23" t="s">
        <v>818</v>
      </c>
      <c r="G30" s="23"/>
      <c r="H30" s="21" t="s">
        <v>525</v>
      </c>
      <c r="I30" s="16"/>
      <c r="J30" s="14" t="s">
        <v>1016</v>
      </c>
      <c r="K30" s="14" t="s">
        <v>54</v>
      </c>
      <c r="L30" s="8"/>
      <c r="M30" s="14" t="s">
        <v>1017</v>
      </c>
      <c r="N30" s="8"/>
      <c r="O30" s="14" t="s">
        <v>1018</v>
      </c>
      <c r="P30" s="14" t="s">
        <v>54</v>
      </c>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row>
    <row r="31">
      <c r="A31" s="14" t="s">
        <v>1019</v>
      </c>
      <c r="B31" s="14" t="s">
        <v>1020</v>
      </c>
      <c r="C31" s="31" t="s">
        <v>1021</v>
      </c>
      <c r="D31" s="14" t="s">
        <v>1022</v>
      </c>
      <c r="E31" s="23" t="s">
        <v>50</v>
      </c>
      <c r="F31" s="23" t="s">
        <v>818</v>
      </c>
      <c r="G31" s="23"/>
      <c r="H31" s="21" t="s">
        <v>525</v>
      </c>
      <c r="I31" s="16"/>
      <c r="J31" s="14" t="s">
        <v>1023</v>
      </c>
      <c r="K31" s="14" t="s">
        <v>54</v>
      </c>
      <c r="L31" s="8"/>
      <c r="M31" s="14" t="s">
        <v>1024</v>
      </c>
      <c r="N31" s="8"/>
      <c r="O31" s="14" t="s">
        <v>1025</v>
      </c>
      <c r="P31" s="14" t="s">
        <v>54</v>
      </c>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row>
    <row r="32">
      <c r="A32" s="14" t="s">
        <v>1026</v>
      </c>
      <c r="B32" s="14" t="s">
        <v>1027</v>
      </c>
      <c r="C32" s="31" t="s">
        <v>1028</v>
      </c>
      <c r="D32" s="14" t="s">
        <v>1029</v>
      </c>
      <c r="E32" s="23" t="s">
        <v>50</v>
      </c>
      <c r="F32" s="23" t="s">
        <v>818</v>
      </c>
      <c r="G32" s="23"/>
      <c r="H32" s="21" t="s">
        <v>525</v>
      </c>
      <c r="I32" s="16"/>
      <c r="J32" s="14" t="s">
        <v>1030</v>
      </c>
      <c r="K32" s="14" t="s">
        <v>54</v>
      </c>
      <c r="L32" s="8"/>
      <c r="M32" s="14" t="s">
        <v>1031</v>
      </c>
      <c r="N32" s="8"/>
      <c r="O32" s="14" t="s">
        <v>1032</v>
      </c>
      <c r="P32" s="14" t="s">
        <v>54</v>
      </c>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row>
    <row r="33">
      <c r="A33" s="14" t="s">
        <v>386</v>
      </c>
      <c r="B33" s="14" t="s">
        <v>387</v>
      </c>
      <c r="C33" s="31" t="s">
        <v>1033</v>
      </c>
      <c r="D33" s="14" t="s">
        <v>1034</v>
      </c>
      <c r="E33" s="23" t="s">
        <v>50</v>
      </c>
      <c r="F33" s="23" t="s">
        <v>818</v>
      </c>
      <c r="G33" s="23"/>
      <c r="H33" s="21" t="s">
        <v>525</v>
      </c>
      <c r="I33" s="16"/>
      <c r="J33" s="14" t="s">
        <v>1035</v>
      </c>
      <c r="K33" s="14" t="s">
        <v>54</v>
      </c>
      <c r="L33" s="8"/>
      <c r="M33" s="14" t="s">
        <v>1036</v>
      </c>
      <c r="N33" s="8"/>
      <c r="O33" s="14" t="s">
        <v>1037</v>
      </c>
      <c r="P33" s="14" t="s">
        <v>54</v>
      </c>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row>
    <row r="34">
      <c r="A34" s="14" t="s">
        <v>1038</v>
      </c>
      <c r="B34" s="14" t="s">
        <v>1039</v>
      </c>
      <c r="C34" s="31" t="s">
        <v>1040</v>
      </c>
      <c r="D34" s="14" t="s">
        <v>1041</v>
      </c>
      <c r="E34" s="23" t="s">
        <v>50</v>
      </c>
      <c r="F34" s="23" t="s">
        <v>818</v>
      </c>
      <c r="G34" s="23"/>
      <c r="H34" s="21" t="s">
        <v>525</v>
      </c>
      <c r="I34" s="16"/>
      <c r="J34" s="14" t="s">
        <v>1042</v>
      </c>
      <c r="K34" s="14" t="s">
        <v>54</v>
      </c>
      <c r="L34" s="8"/>
      <c r="M34" s="14" t="s">
        <v>1043</v>
      </c>
      <c r="N34" s="8"/>
      <c r="O34" s="14" t="s">
        <v>1044</v>
      </c>
      <c r="P34" s="14" t="s">
        <v>54</v>
      </c>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row>
    <row r="35">
      <c r="A35" s="14" t="s">
        <v>1045</v>
      </c>
      <c r="B35" s="14" t="s">
        <v>1046</v>
      </c>
      <c r="C35" s="31" t="s">
        <v>1047</v>
      </c>
      <c r="D35" s="14" t="s">
        <v>1048</v>
      </c>
      <c r="E35" s="23" t="s">
        <v>50</v>
      </c>
      <c r="F35" s="23" t="s">
        <v>818</v>
      </c>
      <c r="G35" s="23"/>
      <c r="H35" s="21" t="s">
        <v>525</v>
      </c>
      <c r="I35" s="16"/>
      <c r="J35" s="14" t="s">
        <v>1049</v>
      </c>
      <c r="K35" s="14" t="s">
        <v>54</v>
      </c>
      <c r="L35" s="8"/>
      <c r="M35" s="14" t="s">
        <v>1050</v>
      </c>
      <c r="N35" s="8"/>
      <c r="O35" s="14" t="s">
        <v>1051</v>
      </c>
      <c r="P35" s="14" t="s">
        <v>54</v>
      </c>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row>
    <row r="36">
      <c r="A36" s="14" t="s">
        <v>1052</v>
      </c>
      <c r="B36" s="14" t="s">
        <v>1053</v>
      </c>
      <c r="C36" s="31" t="s">
        <v>1054</v>
      </c>
      <c r="D36" s="14" t="s">
        <v>1055</v>
      </c>
      <c r="E36" s="23" t="s">
        <v>50</v>
      </c>
      <c r="F36" s="23" t="s">
        <v>818</v>
      </c>
      <c r="G36" s="23"/>
      <c r="H36" s="21" t="s">
        <v>525</v>
      </c>
      <c r="I36" s="16"/>
      <c r="J36" s="14" t="s">
        <v>1056</v>
      </c>
      <c r="K36" s="14" t="s">
        <v>54</v>
      </c>
      <c r="L36" s="8"/>
      <c r="M36" s="14" t="s">
        <v>1057</v>
      </c>
      <c r="N36" s="8"/>
      <c r="O36" s="14" t="s">
        <v>1058</v>
      </c>
      <c r="P36" s="14" t="s">
        <v>54</v>
      </c>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row>
    <row r="37">
      <c r="A37" s="14" t="s">
        <v>1059</v>
      </c>
      <c r="B37" s="14" t="s">
        <v>1060</v>
      </c>
      <c r="C37" s="31" t="s">
        <v>1061</v>
      </c>
      <c r="D37" s="14" t="s">
        <v>1062</v>
      </c>
      <c r="E37" s="23" t="s">
        <v>50</v>
      </c>
      <c r="F37" s="23" t="s">
        <v>818</v>
      </c>
      <c r="G37" s="23"/>
      <c r="H37" s="21" t="s">
        <v>525</v>
      </c>
      <c r="I37" s="16"/>
      <c r="J37" s="14" t="s">
        <v>1063</v>
      </c>
      <c r="K37" s="14" t="s">
        <v>54</v>
      </c>
      <c r="L37" s="8"/>
      <c r="M37" s="14" t="s">
        <v>1064</v>
      </c>
      <c r="N37" s="8"/>
      <c r="O37" s="14" t="s">
        <v>1065</v>
      </c>
      <c r="P37" s="14" t="s">
        <v>54</v>
      </c>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row>
    <row r="38">
      <c r="A38" s="14" t="s">
        <v>1066</v>
      </c>
      <c r="B38" s="14" t="s">
        <v>1067</v>
      </c>
      <c r="C38" s="31" t="s">
        <v>1068</v>
      </c>
      <c r="D38" s="14" t="s">
        <v>1069</v>
      </c>
      <c r="E38" s="23" t="s">
        <v>50</v>
      </c>
      <c r="F38" s="23" t="s">
        <v>818</v>
      </c>
      <c r="G38" s="23"/>
      <c r="H38" s="21" t="s">
        <v>525</v>
      </c>
      <c r="I38" s="16"/>
      <c r="J38" s="14" t="s">
        <v>1070</v>
      </c>
      <c r="K38" s="14" t="s">
        <v>54</v>
      </c>
      <c r="L38" s="8"/>
      <c r="M38" s="14" t="s">
        <v>1071</v>
      </c>
      <c r="N38" s="8"/>
      <c r="O38" s="14" t="s">
        <v>1072</v>
      </c>
      <c r="P38" s="14" t="s">
        <v>54</v>
      </c>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row>
    <row r="39">
      <c r="A39" s="14" t="s">
        <v>1073</v>
      </c>
      <c r="B39" s="14" t="s">
        <v>1074</v>
      </c>
      <c r="C39" s="31" t="s">
        <v>1075</v>
      </c>
      <c r="D39" s="14" t="s">
        <v>1076</v>
      </c>
      <c r="E39" s="23" t="s">
        <v>50</v>
      </c>
      <c r="F39" s="23" t="s">
        <v>818</v>
      </c>
      <c r="G39" s="23"/>
      <c r="H39" s="21" t="s">
        <v>525</v>
      </c>
      <c r="I39" s="16"/>
      <c r="J39" s="14" t="s">
        <v>1077</v>
      </c>
      <c r="K39" s="14" t="s">
        <v>54</v>
      </c>
      <c r="L39" s="8"/>
      <c r="M39" s="14" t="s">
        <v>1078</v>
      </c>
      <c r="N39" s="8"/>
      <c r="O39" s="14" t="s">
        <v>1079</v>
      </c>
      <c r="P39" s="14" t="s">
        <v>54</v>
      </c>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row>
    <row r="40">
      <c r="A40" s="14" t="s">
        <v>1080</v>
      </c>
      <c r="B40" s="14" t="s">
        <v>1081</v>
      </c>
      <c r="C40" s="31" t="s">
        <v>1082</v>
      </c>
      <c r="D40" s="14" t="s">
        <v>1083</v>
      </c>
      <c r="E40" s="23" t="s">
        <v>50</v>
      </c>
      <c r="F40" s="23" t="s">
        <v>818</v>
      </c>
      <c r="G40" s="23"/>
      <c r="H40" s="21" t="s">
        <v>525</v>
      </c>
      <c r="I40" s="16"/>
      <c r="J40" s="14" t="s">
        <v>1084</v>
      </c>
      <c r="K40" s="14" t="s">
        <v>54</v>
      </c>
      <c r="L40" s="8"/>
      <c r="M40" s="14" t="s">
        <v>1085</v>
      </c>
      <c r="N40" s="8"/>
      <c r="O40" s="14" t="s">
        <v>1086</v>
      </c>
      <c r="P40" s="14" t="s">
        <v>54</v>
      </c>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row>
    <row r="41">
      <c r="A41" s="14" t="s">
        <v>1087</v>
      </c>
      <c r="B41" s="14" t="s">
        <v>1088</v>
      </c>
      <c r="C41" s="31" t="s">
        <v>1089</v>
      </c>
      <c r="D41" s="14" t="s">
        <v>1090</v>
      </c>
      <c r="E41" s="23" t="s">
        <v>50</v>
      </c>
      <c r="F41" s="23" t="s">
        <v>818</v>
      </c>
      <c r="G41" s="23"/>
      <c r="H41" s="21" t="s">
        <v>525</v>
      </c>
      <c r="I41" s="16"/>
      <c r="J41" s="14" t="s">
        <v>1091</v>
      </c>
      <c r="K41" s="14" t="s">
        <v>54</v>
      </c>
      <c r="L41" s="8"/>
      <c r="M41" s="14" t="s">
        <v>1092</v>
      </c>
      <c r="N41" s="8"/>
      <c r="O41" s="14" t="s">
        <v>1093</v>
      </c>
      <c r="P41" s="14" t="s">
        <v>54</v>
      </c>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row>
    <row r="42">
      <c r="A42" s="14" t="s">
        <v>1094</v>
      </c>
      <c r="B42" s="14" t="s">
        <v>1095</v>
      </c>
      <c r="C42" s="31" t="s">
        <v>1096</v>
      </c>
      <c r="D42" s="14" t="s">
        <v>1097</v>
      </c>
      <c r="E42" s="23" t="s">
        <v>50</v>
      </c>
      <c r="F42" s="23" t="s">
        <v>818</v>
      </c>
      <c r="G42" s="23"/>
      <c r="H42" s="21" t="s">
        <v>525</v>
      </c>
      <c r="I42" s="16"/>
      <c r="J42" s="14" t="s">
        <v>1098</v>
      </c>
      <c r="K42" s="14" t="s">
        <v>54</v>
      </c>
      <c r="L42" s="8"/>
      <c r="M42" s="14" t="s">
        <v>1099</v>
      </c>
      <c r="N42" s="8"/>
      <c r="O42" s="14" t="s">
        <v>1100</v>
      </c>
      <c r="P42" s="14" t="s">
        <v>54</v>
      </c>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row>
    <row r="43">
      <c r="A43" s="14" t="s">
        <v>1101</v>
      </c>
      <c r="B43" s="14" t="s">
        <v>1102</v>
      </c>
      <c r="C43" s="31" t="s">
        <v>1103</v>
      </c>
      <c r="D43" s="14" t="s">
        <v>1104</v>
      </c>
      <c r="E43" s="23" t="s">
        <v>50</v>
      </c>
      <c r="F43" s="23" t="s">
        <v>818</v>
      </c>
      <c r="G43" s="23"/>
      <c r="H43" s="21" t="s">
        <v>525</v>
      </c>
      <c r="I43" s="16"/>
      <c r="J43" s="14" t="s">
        <v>1105</v>
      </c>
      <c r="K43" s="14" t="s">
        <v>54</v>
      </c>
      <c r="L43" s="8"/>
      <c r="M43" s="14" t="s">
        <v>1106</v>
      </c>
      <c r="N43" s="8"/>
      <c r="O43" s="14" t="s">
        <v>1107</v>
      </c>
      <c r="P43" s="14" t="s">
        <v>54</v>
      </c>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row>
    <row r="44">
      <c r="A44" s="14" t="s">
        <v>1108</v>
      </c>
      <c r="B44" s="14" t="s">
        <v>1109</v>
      </c>
      <c r="C44" s="31" t="s">
        <v>1110</v>
      </c>
      <c r="D44" s="14" t="s">
        <v>1111</v>
      </c>
      <c r="E44" s="23" t="s">
        <v>50</v>
      </c>
      <c r="F44" s="23" t="s">
        <v>818</v>
      </c>
      <c r="G44" s="23"/>
      <c r="H44" s="21" t="s">
        <v>525</v>
      </c>
      <c r="I44" s="16"/>
      <c r="J44" s="14" t="s">
        <v>1112</v>
      </c>
      <c r="K44" s="14" t="s">
        <v>54</v>
      </c>
      <c r="L44" s="8"/>
      <c r="M44" s="14" t="s">
        <v>1113</v>
      </c>
      <c r="N44" s="8"/>
      <c r="O44" s="14" t="s">
        <v>1114</v>
      </c>
      <c r="P44" s="14" t="s">
        <v>54</v>
      </c>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row>
    <row r="45">
      <c r="A45" s="14" t="s">
        <v>632</v>
      </c>
      <c r="B45" s="14" t="s">
        <v>633</v>
      </c>
      <c r="C45" s="31" t="s">
        <v>1115</v>
      </c>
      <c r="D45" s="14" t="s">
        <v>1116</v>
      </c>
      <c r="E45" s="23" t="s">
        <v>50</v>
      </c>
      <c r="F45" s="23" t="s">
        <v>818</v>
      </c>
      <c r="G45" s="23"/>
      <c r="H45" s="21" t="s">
        <v>525</v>
      </c>
      <c r="I45" s="16"/>
      <c r="J45" s="14" t="s">
        <v>1117</v>
      </c>
      <c r="K45" s="14" t="s">
        <v>54</v>
      </c>
      <c r="L45" s="8"/>
      <c r="M45" s="14" t="s">
        <v>1118</v>
      </c>
      <c r="N45" s="8"/>
      <c r="O45" s="14" t="s">
        <v>1119</v>
      </c>
      <c r="P45" s="14" t="s">
        <v>54</v>
      </c>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row>
    <row r="46">
      <c r="A46" s="14" t="s">
        <v>1120</v>
      </c>
      <c r="B46" s="14" t="s">
        <v>1121</v>
      </c>
      <c r="C46" s="31" t="s">
        <v>1122</v>
      </c>
      <c r="D46" s="14" t="s">
        <v>1123</v>
      </c>
      <c r="E46" s="23" t="s">
        <v>50</v>
      </c>
      <c r="F46" s="23" t="s">
        <v>818</v>
      </c>
      <c r="G46" s="23"/>
      <c r="H46" s="21" t="s">
        <v>525</v>
      </c>
      <c r="I46" s="16"/>
      <c r="J46" s="14" t="s">
        <v>1124</v>
      </c>
      <c r="K46" s="14" t="s">
        <v>1125</v>
      </c>
      <c r="L46" s="8"/>
      <c r="M46" s="14" t="s">
        <v>1126</v>
      </c>
      <c r="N46" s="8"/>
      <c r="O46" s="14" t="s">
        <v>1127</v>
      </c>
      <c r="P46" s="14" t="s">
        <v>54</v>
      </c>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row>
    <row r="47">
      <c r="A47" s="14" t="s">
        <v>1128</v>
      </c>
      <c r="B47" s="14" t="s">
        <v>1129</v>
      </c>
      <c r="C47" s="31" t="s">
        <v>1130</v>
      </c>
      <c r="D47" s="14" t="s">
        <v>1131</v>
      </c>
      <c r="E47" s="23" t="s">
        <v>50</v>
      </c>
      <c r="F47" s="23" t="s">
        <v>818</v>
      </c>
      <c r="G47" s="23"/>
      <c r="H47" s="21" t="s">
        <v>525</v>
      </c>
      <c r="I47" s="16"/>
      <c r="J47" s="14" t="s">
        <v>1132</v>
      </c>
      <c r="K47" s="14" t="s">
        <v>54</v>
      </c>
      <c r="L47" s="8"/>
      <c r="M47" s="14" t="s">
        <v>1133</v>
      </c>
      <c r="N47" s="8"/>
      <c r="O47" s="14" t="s">
        <v>1134</v>
      </c>
      <c r="P47" s="14" t="s">
        <v>54</v>
      </c>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row>
    <row r="48">
      <c r="A48" s="14" t="s">
        <v>1135</v>
      </c>
      <c r="B48" s="14" t="s">
        <v>1136</v>
      </c>
      <c r="C48" s="31" t="s">
        <v>1137</v>
      </c>
      <c r="D48" s="14" t="s">
        <v>1138</v>
      </c>
      <c r="E48" s="23" t="s">
        <v>50</v>
      </c>
      <c r="F48" s="23" t="s">
        <v>818</v>
      </c>
      <c r="G48" s="23"/>
      <c r="H48" s="21" t="s">
        <v>525</v>
      </c>
      <c r="I48" s="16"/>
      <c r="J48" s="14" t="s">
        <v>1139</v>
      </c>
      <c r="K48" s="14" t="s">
        <v>54</v>
      </c>
      <c r="L48" s="8"/>
      <c r="M48" s="14" t="s">
        <v>1140</v>
      </c>
      <c r="N48" s="8"/>
      <c r="O48" s="14" t="s">
        <v>1141</v>
      </c>
      <c r="P48" s="14" t="s">
        <v>54</v>
      </c>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row>
    <row r="49">
      <c r="A49" s="14" t="s">
        <v>1142</v>
      </c>
      <c r="B49" s="14" t="s">
        <v>1143</v>
      </c>
      <c r="C49" s="31" t="s">
        <v>1144</v>
      </c>
      <c r="D49" s="14" t="s">
        <v>1145</v>
      </c>
      <c r="E49" s="23" t="s">
        <v>50</v>
      </c>
      <c r="F49" s="23" t="s">
        <v>818</v>
      </c>
      <c r="G49" s="23"/>
      <c r="H49" s="21" t="s">
        <v>525</v>
      </c>
      <c r="I49" s="16"/>
      <c r="J49" s="14" t="s">
        <v>1146</v>
      </c>
      <c r="K49" s="14" t="s">
        <v>54</v>
      </c>
      <c r="L49" s="8"/>
      <c r="M49" s="14" t="s">
        <v>1147</v>
      </c>
      <c r="N49" s="8"/>
      <c r="O49" s="14" t="s">
        <v>1148</v>
      </c>
      <c r="P49" s="14" t="s">
        <v>54</v>
      </c>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row>
    <row r="50">
      <c r="A50" s="14" t="s">
        <v>1149</v>
      </c>
      <c r="B50" s="14" t="s">
        <v>1150</v>
      </c>
      <c r="C50" s="31" t="s">
        <v>1151</v>
      </c>
      <c r="D50" s="14" t="s">
        <v>1152</v>
      </c>
      <c r="E50" s="23" t="s">
        <v>50</v>
      </c>
      <c r="F50" s="23" t="s">
        <v>818</v>
      </c>
      <c r="G50" s="23"/>
      <c r="H50" s="21" t="s">
        <v>525</v>
      </c>
      <c r="I50" s="16"/>
      <c r="J50" s="14" t="s">
        <v>1153</v>
      </c>
      <c r="K50" s="14" t="s">
        <v>54</v>
      </c>
      <c r="L50" s="8"/>
      <c r="M50" s="14" t="s">
        <v>1154</v>
      </c>
      <c r="N50" s="8"/>
      <c r="O50" s="14" t="s">
        <v>1155</v>
      </c>
      <c r="P50" s="14" t="s">
        <v>54</v>
      </c>
      <c r="Q50" s="14" t="s">
        <v>1156</v>
      </c>
      <c r="R50" s="8"/>
      <c r="S50" s="14" t="s">
        <v>1155</v>
      </c>
      <c r="T50" s="14" t="s">
        <v>54</v>
      </c>
      <c r="U50" s="14" t="s">
        <v>1157</v>
      </c>
      <c r="V50" s="8"/>
      <c r="W50" s="14" t="s">
        <v>1155</v>
      </c>
      <c r="X50" s="14" t="s">
        <v>54</v>
      </c>
      <c r="Y50" s="8"/>
      <c r="Z50" s="8"/>
      <c r="AA50" s="8"/>
      <c r="AB50" s="8"/>
      <c r="AC50" s="8"/>
      <c r="AD50" s="8"/>
      <c r="AE50" s="8"/>
      <c r="AF50" s="8"/>
      <c r="AG50" s="8"/>
      <c r="AH50" s="8"/>
      <c r="AI50" s="8"/>
      <c r="AJ50" s="8"/>
      <c r="AK50" s="8"/>
      <c r="AL50" s="8"/>
      <c r="AM50" s="8"/>
      <c r="AN50" s="8"/>
      <c r="AO50" s="8"/>
      <c r="AP50" s="8"/>
      <c r="AQ50" s="8"/>
      <c r="AR50" s="8"/>
    </row>
    <row r="51">
      <c r="A51" s="14" t="s">
        <v>1158</v>
      </c>
      <c r="B51" s="14" t="s">
        <v>1159</v>
      </c>
      <c r="C51" s="31" t="s">
        <v>1160</v>
      </c>
      <c r="D51" s="14" t="s">
        <v>1161</v>
      </c>
      <c r="E51" s="23" t="s">
        <v>50</v>
      </c>
      <c r="F51" s="23" t="s">
        <v>818</v>
      </c>
      <c r="G51" s="23"/>
      <c r="H51" s="21" t="s">
        <v>525</v>
      </c>
      <c r="I51" s="16"/>
      <c r="J51" s="14" t="s">
        <v>1162</v>
      </c>
      <c r="K51" s="14" t="s">
        <v>54</v>
      </c>
      <c r="L51" s="8"/>
      <c r="M51" s="14" t="s">
        <v>1163</v>
      </c>
      <c r="N51" s="8"/>
      <c r="O51" s="14" t="s">
        <v>1164</v>
      </c>
      <c r="P51" s="14" t="s">
        <v>54</v>
      </c>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row>
    <row r="52">
      <c r="A52" s="14" t="s">
        <v>1165</v>
      </c>
      <c r="B52" s="14" t="s">
        <v>1166</v>
      </c>
      <c r="C52" s="31" t="s">
        <v>1167</v>
      </c>
      <c r="D52" s="14" t="s">
        <v>1168</v>
      </c>
      <c r="E52" s="23" t="s">
        <v>50</v>
      </c>
      <c r="F52" s="23" t="s">
        <v>818</v>
      </c>
      <c r="G52" s="23"/>
      <c r="H52" s="21" t="s">
        <v>525</v>
      </c>
      <c r="I52" s="16"/>
      <c r="J52" s="14" t="s">
        <v>1169</v>
      </c>
      <c r="K52" s="14" t="s">
        <v>54</v>
      </c>
      <c r="L52" s="8"/>
      <c r="M52" s="14" t="s">
        <v>1170</v>
      </c>
      <c r="N52" s="8"/>
      <c r="O52" s="14" t="s">
        <v>1171</v>
      </c>
      <c r="P52" s="14" t="s">
        <v>54</v>
      </c>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row>
    <row r="53">
      <c r="A53" s="14" t="s">
        <v>1172</v>
      </c>
      <c r="B53" s="14" t="s">
        <v>1173</v>
      </c>
      <c r="C53" s="31" t="s">
        <v>1174</v>
      </c>
      <c r="D53" s="14" t="s">
        <v>1175</v>
      </c>
      <c r="E53" s="23" t="s">
        <v>50</v>
      </c>
      <c r="F53" s="23" t="s">
        <v>818</v>
      </c>
      <c r="G53" s="23"/>
      <c r="H53" s="21" t="s">
        <v>525</v>
      </c>
      <c r="I53" s="16"/>
      <c r="J53" s="14" t="s">
        <v>1176</v>
      </c>
      <c r="K53" s="14" t="s">
        <v>54</v>
      </c>
      <c r="L53" s="8"/>
      <c r="M53" s="14" t="s">
        <v>1177</v>
      </c>
      <c r="N53" s="8"/>
      <c r="O53" s="14" t="s">
        <v>1178</v>
      </c>
      <c r="P53" s="14" t="s">
        <v>54</v>
      </c>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row>
    <row r="54">
      <c r="A54" s="14" t="s">
        <v>1179</v>
      </c>
      <c r="B54" s="14" t="s">
        <v>1180</v>
      </c>
      <c r="C54" s="31" t="s">
        <v>1181</v>
      </c>
      <c r="D54" s="14" t="s">
        <v>1182</v>
      </c>
      <c r="E54" s="23" t="s">
        <v>50</v>
      </c>
      <c r="F54" s="23" t="s">
        <v>818</v>
      </c>
      <c r="G54" s="23"/>
      <c r="H54" s="21" t="s">
        <v>525</v>
      </c>
      <c r="I54" s="16"/>
      <c r="J54" s="14" t="s">
        <v>1183</v>
      </c>
      <c r="K54" s="14" t="s">
        <v>54</v>
      </c>
      <c r="L54" s="8"/>
      <c r="M54" s="14" t="s">
        <v>1184</v>
      </c>
      <c r="N54" s="8"/>
      <c r="O54" s="14" t="s">
        <v>1185</v>
      </c>
      <c r="P54" s="14" t="s">
        <v>54</v>
      </c>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row>
    <row r="55">
      <c r="A55" s="14" t="s">
        <v>1186</v>
      </c>
      <c r="B55" s="14" t="s">
        <v>1187</v>
      </c>
      <c r="C55" s="31" t="s">
        <v>1188</v>
      </c>
      <c r="D55" s="14" t="s">
        <v>1189</v>
      </c>
      <c r="E55" s="23" t="s">
        <v>50</v>
      </c>
      <c r="F55" s="23" t="s">
        <v>818</v>
      </c>
      <c r="G55" s="23"/>
      <c r="H55" s="21" t="s">
        <v>525</v>
      </c>
      <c r="I55" s="16"/>
      <c r="J55" s="14" t="s">
        <v>1190</v>
      </c>
      <c r="K55" s="14" t="s">
        <v>1191</v>
      </c>
      <c r="L55" s="8"/>
      <c r="M55" s="14" t="s">
        <v>1192</v>
      </c>
      <c r="N55" s="8"/>
      <c r="O55" s="14" t="s">
        <v>1193</v>
      </c>
      <c r="P55" s="14" t="s">
        <v>54</v>
      </c>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row>
    <row r="56">
      <c r="A56" s="8"/>
      <c r="B56" s="8"/>
      <c r="C56" s="33"/>
      <c r="D56" s="8"/>
      <c r="F56" s="8"/>
      <c r="G56" s="8"/>
      <c r="H56" s="9"/>
      <c r="I56" s="8"/>
      <c r="J56" s="8"/>
      <c r="K56" s="8"/>
      <c r="L56" s="8"/>
      <c r="M56" s="8"/>
      <c r="N56" s="8"/>
      <c r="O56" s="8"/>
      <c r="P56" s="14"/>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row>
    <row r="57">
      <c r="A57" s="8"/>
      <c r="B57" s="8"/>
      <c r="C57" s="33"/>
      <c r="D57" s="8"/>
      <c r="F57" s="8"/>
      <c r="G57" s="8"/>
      <c r="H57" s="9"/>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row>
    <row r="58">
      <c r="A58" s="8"/>
      <c r="B58" s="8"/>
      <c r="C58" s="33"/>
      <c r="D58" s="8"/>
      <c r="F58" s="8"/>
      <c r="G58" s="8"/>
      <c r="H58" s="9"/>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row>
    <row r="59">
      <c r="A59" s="8"/>
      <c r="B59" s="8"/>
      <c r="C59" s="33"/>
      <c r="D59" s="8"/>
      <c r="F59" s="8"/>
      <c r="G59" s="8"/>
      <c r="H59" s="9"/>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row>
    <row r="60">
      <c r="A60" s="8"/>
      <c r="B60" s="8"/>
      <c r="C60" s="33"/>
      <c r="D60" s="8"/>
      <c r="F60" s="8"/>
      <c r="G60" s="8"/>
      <c r="H60" s="9"/>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row>
    <row r="61">
      <c r="A61" s="8"/>
      <c r="B61" s="8"/>
      <c r="C61" s="33"/>
      <c r="D61" s="8"/>
      <c r="F61" s="8"/>
      <c r="G61" s="8"/>
      <c r="H61" s="9"/>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row>
    <row r="62">
      <c r="A62" s="8"/>
      <c r="B62" s="8"/>
      <c r="C62" s="33"/>
      <c r="D62" s="8"/>
      <c r="F62" s="8"/>
      <c r="G62" s="8"/>
      <c r="H62" s="9"/>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row>
    <row r="63">
      <c r="A63" s="8"/>
      <c r="B63" s="8"/>
      <c r="C63" s="33"/>
      <c r="D63" s="8"/>
      <c r="F63" s="8"/>
      <c r="G63" s="8"/>
      <c r="H63" s="9"/>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row>
    <row r="64">
      <c r="A64" s="8"/>
      <c r="B64" s="8"/>
      <c r="C64" s="33"/>
      <c r="D64" s="8"/>
      <c r="F64" s="8"/>
      <c r="G64" s="8"/>
      <c r="H64" s="9"/>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row>
    <row r="65">
      <c r="A65" s="8"/>
      <c r="B65" s="8"/>
      <c r="C65" s="33"/>
      <c r="D65" s="8"/>
      <c r="F65" s="8"/>
      <c r="G65" s="8"/>
      <c r="H65" s="9"/>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row>
    <row r="66">
      <c r="A66" s="8"/>
      <c r="B66" s="8"/>
      <c r="C66" s="33"/>
      <c r="D66" s="8"/>
      <c r="F66" s="8"/>
      <c r="G66" s="8"/>
      <c r="H66" s="9"/>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row>
    <row r="67">
      <c r="A67" s="8"/>
      <c r="B67" s="8"/>
      <c r="C67" s="33"/>
      <c r="D67" s="8"/>
      <c r="F67" s="8"/>
      <c r="G67" s="8"/>
      <c r="H67" s="9"/>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row>
    <row r="68">
      <c r="A68" s="8"/>
      <c r="B68" s="8"/>
      <c r="C68" s="33"/>
      <c r="D68" s="8"/>
      <c r="F68" s="8"/>
      <c r="G68" s="8"/>
      <c r="H68" s="9"/>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row>
    <row r="69">
      <c r="A69" s="8"/>
      <c r="B69" s="8"/>
      <c r="C69" s="33"/>
      <c r="D69" s="8"/>
      <c r="F69" s="8"/>
      <c r="G69" s="8"/>
      <c r="H69" s="9"/>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row>
    <row r="70">
      <c r="A70" s="8"/>
      <c r="B70" s="8"/>
      <c r="C70" s="33"/>
      <c r="D70" s="8"/>
      <c r="F70" s="8"/>
      <c r="G70" s="8"/>
      <c r="H70" s="9"/>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row>
    <row r="71">
      <c r="A71" s="8"/>
      <c r="B71" s="8"/>
      <c r="C71" s="33"/>
      <c r="D71" s="8"/>
      <c r="F71" s="8"/>
      <c r="G71" s="8"/>
      <c r="H71" s="9"/>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row>
    <row r="72">
      <c r="A72" s="8"/>
      <c r="B72" s="8"/>
      <c r="C72" s="33"/>
      <c r="D72" s="8"/>
      <c r="F72" s="8"/>
      <c r="G72" s="8"/>
      <c r="H72" s="9"/>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row>
    <row r="73">
      <c r="A73" s="8"/>
      <c r="B73" s="8"/>
      <c r="C73" s="33"/>
      <c r="D73" s="8"/>
      <c r="F73" s="8"/>
      <c r="G73" s="8"/>
      <c r="H73" s="9"/>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row>
    <row r="74">
      <c r="A74" s="8"/>
      <c r="B74" s="8"/>
      <c r="C74" s="33"/>
      <c r="D74" s="8"/>
      <c r="F74" s="8"/>
      <c r="G74" s="8"/>
      <c r="H74" s="9"/>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row>
    <row r="75">
      <c r="A75" s="8"/>
      <c r="B75" s="8"/>
      <c r="C75" s="33"/>
      <c r="D75" s="8"/>
      <c r="F75" s="8"/>
      <c r="G75" s="8"/>
      <c r="H75" s="9"/>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row>
    <row r="76">
      <c r="A76" s="8"/>
      <c r="B76" s="8"/>
      <c r="C76" s="33"/>
      <c r="D76" s="8"/>
      <c r="F76" s="8"/>
      <c r="G76" s="8"/>
      <c r="H76" s="9"/>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row>
    <row r="77">
      <c r="A77" s="8"/>
      <c r="B77" s="8"/>
      <c r="C77" s="33"/>
      <c r="D77" s="8"/>
      <c r="F77" s="8"/>
      <c r="G77" s="8"/>
      <c r="H77" s="9"/>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row>
    <row r="78">
      <c r="A78" s="8"/>
      <c r="B78" s="8"/>
      <c r="C78" s="33"/>
      <c r="D78" s="8"/>
      <c r="F78" s="8"/>
      <c r="G78" s="8"/>
      <c r="H78" s="9"/>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row>
    <row r="79">
      <c r="A79" s="8"/>
      <c r="B79" s="8"/>
      <c r="C79" s="33"/>
      <c r="D79" s="8"/>
      <c r="F79" s="8"/>
      <c r="G79" s="8"/>
      <c r="H79" s="9"/>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row>
    <row r="80">
      <c r="A80" s="8"/>
      <c r="B80" s="8"/>
      <c r="C80" s="33"/>
      <c r="D80" s="8"/>
      <c r="F80" s="8"/>
      <c r="G80" s="8"/>
      <c r="H80" s="9"/>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row>
    <row r="81">
      <c r="A81" s="8"/>
      <c r="B81" s="8"/>
      <c r="C81" s="33"/>
      <c r="D81" s="8"/>
      <c r="F81" s="8"/>
      <c r="G81" s="8"/>
      <c r="H81" s="9"/>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row>
    <row r="82">
      <c r="A82" s="8"/>
      <c r="B82" s="8"/>
      <c r="C82" s="33"/>
      <c r="D82" s="8"/>
      <c r="F82" s="8"/>
      <c r="G82" s="8"/>
      <c r="H82" s="9"/>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row>
    <row r="83">
      <c r="A83" s="8"/>
      <c r="B83" s="8"/>
      <c r="C83" s="33"/>
      <c r="D83" s="8"/>
      <c r="F83" s="8"/>
      <c r="G83" s="8"/>
      <c r="H83" s="9"/>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row>
    <row r="84">
      <c r="A84" s="8"/>
      <c r="B84" s="8"/>
      <c r="C84" s="33"/>
      <c r="D84" s="8"/>
      <c r="F84" s="8"/>
      <c r="G84" s="8"/>
      <c r="H84" s="9"/>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row>
    <row r="85">
      <c r="A85" s="8"/>
      <c r="B85" s="8"/>
      <c r="C85" s="33"/>
      <c r="D85" s="8"/>
      <c r="F85" s="8"/>
      <c r="G85" s="8"/>
      <c r="H85" s="9"/>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row>
    <row r="86">
      <c r="A86" s="8"/>
      <c r="B86" s="8"/>
      <c r="C86" s="33"/>
      <c r="D86" s="8"/>
      <c r="F86" s="8"/>
      <c r="G86" s="8"/>
      <c r="H86" s="9"/>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row>
    <row r="87">
      <c r="A87" s="8"/>
      <c r="B87" s="8"/>
      <c r="C87" s="33"/>
      <c r="D87" s="8"/>
      <c r="F87" s="8"/>
      <c r="G87" s="8"/>
      <c r="H87" s="9"/>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row>
    <row r="88">
      <c r="A88" s="8"/>
      <c r="B88" s="8"/>
      <c r="C88" s="33"/>
      <c r="D88" s="8"/>
      <c r="F88" s="8"/>
      <c r="G88" s="8"/>
      <c r="H88" s="9"/>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row>
    <row r="89">
      <c r="A89" s="8"/>
      <c r="B89" s="8"/>
      <c r="C89" s="33"/>
      <c r="D89" s="8"/>
      <c r="F89" s="8"/>
      <c r="G89" s="8"/>
      <c r="H89" s="9"/>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row>
    <row r="90">
      <c r="A90" s="8"/>
      <c r="B90" s="8"/>
      <c r="C90" s="33"/>
      <c r="D90" s="8"/>
      <c r="F90" s="8"/>
      <c r="G90" s="8"/>
      <c r="H90" s="9"/>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row>
    <row r="91">
      <c r="A91" s="8"/>
      <c r="B91" s="8"/>
      <c r="C91" s="33"/>
      <c r="D91" s="8"/>
      <c r="F91" s="8"/>
      <c r="G91" s="8"/>
      <c r="H91" s="9"/>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row>
    <row r="92">
      <c r="A92" s="8"/>
      <c r="B92" s="8"/>
      <c r="C92" s="33"/>
      <c r="D92" s="8"/>
      <c r="F92" s="8"/>
      <c r="G92" s="8"/>
      <c r="H92" s="9"/>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row>
    <row r="93">
      <c r="A93" s="8"/>
      <c r="B93" s="8"/>
      <c r="C93" s="33"/>
      <c r="D93" s="8"/>
      <c r="F93" s="8"/>
      <c r="G93" s="8"/>
      <c r="H93" s="9"/>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row>
    <row r="94">
      <c r="A94" s="8"/>
      <c r="B94" s="8"/>
      <c r="C94" s="33"/>
      <c r="D94" s="8"/>
      <c r="F94" s="8"/>
      <c r="G94" s="8"/>
      <c r="H94" s="9"/>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row>
    <row r="95">
      <c r="A95" s="8"/>
      <c r="B95" s="8"/>
      <c r="C95" s="33"/>
      <c r="D95" s="8"/>
      <c r="F95" s="8"/>
      <c r="G95" s="8"/>
      <c r="H95" s="9"/>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row>
    <row r="96">
      <c r="A96" s="8"/>
      <c r="B96" s="8"/>
      <c r="C96" s="33"/>
      <c r="D96" s="8"/>
      <c r="F96" s="8"/>
      <c r="G96" s="8"/>
      <c r="H96" s="9"/>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row>
    <row r="97">
      <c r="A97" s="8"/>
      <c r="B97" s="8"/>
      <c r="C97" s="33"/>
      <c r="D97" s="8"/>
      <c r="F97" s="8"/>
      <c r="G97" s="8"/>
      <c r="H97" s="9"/>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row>
    <row r="98">
      <c r="A98" s="8"/>
      <c r="B98" s="8"/>
      <c r="C98" s="33"/>
      <c r="D98" s="8"/>
      <c r="F98" s="8"/>
      <c r="G98" s="8"/>
      <c r="H98" s="9"/>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row>
    <row r="99">
      <c r="A99" s="8"/>
      <c r="B99" s="8"/>
      <c r="C99" s="33"/>
      <c r="D99" s="8"/>
      <c r="F99" s="8"/>
      <c r="G99" s="8"/>
      <c r="H99" s="9"/>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row>
    <row r="100">
      <c r="A100" s="8"/>
      <c r="B100" s="8"/>
      <c r="C100" s="33"/>
      <c r="D100" s="8"/>
      <c r="F100" s="8"/>
      <c r="G100" s="8"/>
      <c r="H100" s="9"/>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row>
    <row r="101">
      <c r="A101" s="8"/>
      <c r="B101" s="8"/>
      <c r="C101" s="33"/>
      <c r="D101" s="8"/>
      <c r="F101" s="8"/>
      <c r="G101" s="8"/>
      <c r="H101" s="9"/>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row>
    <row r="102">
      <c r="A102" s="8"/>
      <c r="B102" s="8"/>
      <c r="C102" s="33"/>
      <c r="D102" s="8"/>
      <c r="F102" s="8"/>
      <c r="G102" s="8"/>
      <c r="H102" s="9"/>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row>
    <row r="103">
      <c r="A103" s="8"/>
      <c r="B103" s="8"/>
      <c r="C103" s="33"/>
      <c r="D103" s="8"/>
      <c r="F103" s="8"/>
      <c r="G103" s="8"/>
      <c r="H103" s="9"/>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row>
    <row r="104">
      <c r="A104" s="8"/>
      <c r="B104" s="8"/>
      <c r="C104" s="33"/>
      <c r="D104" s="8"/>
      <c r="F104" s="8"/>
      <c r="G104" s="8"/>
      <c r="H104" s="9"/>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row>
    <row r="105">
      <c r="A105" s="8"/>
      <c r="B105" s="8"/>
      <c r="C105" s="33"/>
      <c r="D105" s="8"/>
      <c r="F105" s="8"/>
      <c r="G105" s="8"/>
      <c r="H105" s="9"/>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row>
    <row r="106">
      <c r="A106" s="8"/>
      <c r="B106" s="8"/>
      <c r="C106" s="33"/>
      <c r="D106" s="8"/>
      <c r="F106" s="8"/>
      <c r="G106" s="8"/>
      <c r="H106" s="9"/>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row>
    <row r="107">
      <c r="A107" s="8"/>
      <c r="B107" s="8"/>
      <c r="C107" s="33"/>
      <c r="D107" s="8"/>
      <c r="F107" s="8"/>
      <c r="G107" s="8"/>
      <c r="H107" s="9"/>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row>
    <row r="108">
      <c r="A108" s="8"/>
      <c r="B108" s="8"/>
      <c r="C108" s="33"/>
      <c r="D108" s="8"/>
      <c r="F108" s="8"/>
      <c r="G108" s="8"/>
      <c r="H108" s="9"/>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row>
    <row r="109">
      <c r="A109" s="8"/>
      <c r="B109" s="8"/>
      <c r="C109" s="33"/>
      <c r="D109" s="8"/>
      <c r="F109" s="8"/>
      <c r="G109" s="8"/>
      <c r="H109" s="9"/>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row>
    <row r="110">
      <c r="A110" s="8"/>
      <c r="B110" s="8"/>
      <c r="C110" s="33"/>
      <c r="D110" s="8"/>
      <c r="F110" s="8"/>
      <c r="G110" s="8"/>
      <c r="H110" s="9"/>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row>
    <row r="111">
      <c r="A111" s="8"/>
      <c r="B111" s="8"/>
      <c r="C111" s="33"/>
      <c r="D111" s="8"/>
      <c r="F111" s="8"/>
      <c r="G111" s="8"/>
      <c r="H111" s="9"/>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row>
    <row r="112">
      <c r="A112" s="8"/>
      <c r="B112" s="8"/>
      <c r="C112" s="33"/>
      <c r="D112" s="8"/>
      <c r="F112" s="8"/>
      <c r="G112" s="8"/>
      <c r="H112" s="9"/>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row>
    <row r="113">
      <c r="A113" s="8"/>
      <c r="B113" s="8"/>
      <c r="C113" s="33"/>
      <c r="D113" s="8"/>
      <c r="F113" s="8"/>
      <c r="G113" s="8"/>
      <c r="H113" s="9"/>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row>
    <row r="114">
      <c r="A114" s="8"/>
      <c r="B114" s="8"/>
      <c r="C114" s="33"/>
      <c r="D114" s="8"/>
      <c r="F114" s="8"/>
      <c r="G114" s="8"/>
      <c r="H114" s="9"/>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row>
    <row r="115">
      <c r="A115" s="8"/>
      <c r="B115" s="8"/>
      <c r="C115" s="33"/>
      <c r="D115" s="8"/>
      <c r="F115" s="8"/>
      <c r="G115" s="8"/>
      <c r="H115" s="9"/>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row>
    <row r="116">
      <c r="A116" s="8"/>
      <c r="B116" s="8"/>
      <c r="C116" s="33"/>
      <c r="D116" s="8"/>
      <c r="F116" s="8"/>
      <c r="G116" s="8"/>
      <c r="H116" s="9"/>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row>
    <row r="117">
      <c r="A117" s="8"/>
      <c r="B117" s="8"/>
      <c r="C117" s="33"/>
      <c r="D117" s="8"/>
      <c r="F117" s="8"/>
      <c r="G117" s="8"/>
      <c r="H117" s="9"/>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row>
    <row r="118">
      <c r="A118" s="8"/>
      <c r="B118" s="8"/>
      <c r="C118" s="33"/>
      <c r="D118" s="8"/>
      <c r="F118" s="8"/>
      <c r="G118" s="8"/>
      <c r="H118" s="9"/>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row>
    <row r="119">
      <c r="A119" s="8"/>
      <c r="B119" s="8"/>
      <c r="C119" s="33"/>
      <c r="D119" s="8"/>
      <c r="F119" s="8"/>
      <c r="G119" s="8"/>
      <c r="H119" s="9"/>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row>
    <row r="120">
      <c r="A120" s="8"/>
      <c r="B120" s="8"/>
      <c r="C120" s="33"/>
      <c r="D120" s="8"/>
      <c r="F120" s="8"/>
      <c r="G120" s="8"/>
      <c r="H120" s="9"/>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row>
    <row r="121">
      <c r="A121" s="8"/>
      <c r="B121" s="8"/>
      <c r="C121" s="33"/>
      <c r="D121" s="8"/>
      <c r="F121" s="8"/>
      <c r="G121" s="8"/>
      <c r="H121" s="9"/>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row>
    <row r="122">
      <c r="A122" s="8"/>
      <c r="B122" s="8"/>
      <c r="C122" s="33"/>
      <c r="D122" s="8"/>
      <c r="F122" s="8"/>
      <c r="G122" s="8"/>
      <c r="H122" s="9"/>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row>
    <row r="123">
      <c r="A123" s="8"/>
      <c r="B123" s="8"/>
      <c r="C123" s="33"/>
      <c r="D123" s="8"/>
      <c r="F123" s="8"/>
      <c r="G123" s="8"/>
      <c r="H123" s="9"/>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row>
    <row r="124">
      <c r="A124" s="8"/>
      <c r="B124" s="8"/>
      <c r="C124" s="33"/>
      <c r="D124" s="8"/>
      <c r="F124" s="8"/>
      <c r="G124" s="8"/>
      <c r="H124" s="9"/>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row>
    <row r="125">
      <c r="A125" s="8"/>
      <c r="B125" s="8"/>
      <c r="C125" s="33"/>
      <c r="D125" s="8"/>
      <c r="F125" s="8"/>
      <c r="G125" s="8"/>
      <c r="H125" s="9"/>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row>
    <row r="126">
      <c r="A126" s="8"/>
      <c r="B126" s="8"/>
      <c r="C126" s="33"/>
      <c r="D126" s="8"/>
      <c r="F126" s="8"/>
      <c r="G126" s="8"/>
      <c r="H126" s="9"/>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row>
    <row r="127">
      <c r="A127" s="8"/>
      <c r="B127" s="8"/>
      <c r="C127" s="33"/>
      <c r="D127" s="8"/>
      <c r="F127" s="8"/>
      <c r="G127" s="8"/>
      <c r="H127" s="9"/>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row>
    <row r="128">
      <c r="A128" s="8"/>
      <c r="B128" s="8"/>
      <c r="C128" s="33"/>
      <c r="D128" s="8"/>
      <c r="F128" s="8"/>
      <c r="G128" s="8"/>
      <c r="H128" s="9"/>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row>
    <row r="129">
      <c r="A129" s="8"/>
      <c r="B129" s="8"/>
      <c r="C129" s="33"/>
      <c r="D129" s="8"/>
      <c r="F129" s="8"/>
      <c r="G129" s="8"/>
      <c r="H129" s="9"/>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row>
    <row r="130">
      <c r="A130" s="8"/>
      <c r="B130" s="8"/>
      <c r="C130" s="33"/>
      <c r="D130" s="8"/>
      <c r="F130" s="8"/>
      <c r="G130" s="8"/>
      <c r="H130" s="9"/>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row>
    <row r="131">
      <c r="A131" s="8"/>
      <c r="B131" s="8"/>
      <c r="C131" s="33"/>
      <c r="D131" s="8"/>
      <c r="F131" s="8"/>
      <c r="G131" s="8"/>
      <c r="H131" s="9"/>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row>
    <row r="132">
      <c r="A132" s="8"/>
      <c r="B132" s="8"/>
      <c r="C132" s="33"/>
      <c r="D132" s="8"/>
      <c r="F132" s="8"/>
      <c r="G132" s="8"/>
      <c r="H132" s="9"/>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row>
    <row r="133">
      <c r="A133" s="8"/>
      <c r="B133" s="8"/>
      <c r="C133" s="33"/>
      <c r="D133" s="8"/>
      <c r="F133" s="8"/>
      <c r="G133" s="8"/>
      <c r="H133" s="9"/>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row>
    <row r="134">
      <c r="A134" s="8"/>
      <c r="B134" s="8"/>
      <c r="C134" s="33"/>
      <c r="D134" s="8"/>
      <c r="F134" s="8"/>
      <c r="G134" s="8"/>
      <c r="H134" s="9"/>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row>
    <row r="135">
      <c r="A135" s="8"/>
      <c r="B135" s="8"/>
      <c r="C135" s="33"/>
      <c r="D135" s="8"/>
      <c r="F135" s="8"/>
      <c r="G135" s="8"/>
      <c r="H135" s="9"/>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row>
    <row r="136">
      <c r="A136" s="8"/>
      <c r="B136" s="8"/>
      <c r="C136" s="33"/>
      <c r="D136" s="8"/>
      <c r="F136" s="8"/>
      <c r="G136" s="8"/>
      <c r="H136" s="9"/>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row>
    <row r="137">
      <c r="A137" s="8"/>
      <c r="B137" s="8"/>
      <c r="C137" s="33"/>
      <c r="D137" s="8"/>
      <c r="F137" s="8"/>
      <c r="G137" s="8"/>
      <c r="H137" s="9"/>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row>
    <row r="138">
      <c r="A138" s="8"/>
      <c r="B138" s="8"/>
      <c r="C138" s="33"/>
      <c r="D138" s="8"/>
      <c r="F138" s="8"/>
      <c r="G138" s="8"/>
      <c r="H138" s="9"/>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row>
    <row r="139">
      <c r="A139" s="8"/>
      <c r="B139" s="8"/>
      <c r="C139" s="33"/>
      <c r="D139" s="8"/>
      <c r="F139" s="8"/>
      <c r="G139" s="8"/>
      <c r="H139" s="9"/>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row>
    <row r="140">
      <c r="A140" s="8"/>
      <c r="B140" s="8"/>
      <c r="C140" s="33"/>
      <c r="D140" s="8"/>
      <c r="F140" s="8"/>
      <c r="G140" s="8"/>
      <c r="H140" s="9"/>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row>
    <row r="141">
      <c r="A141" s="8"/>
      <c r="B141" s="8"/>
      <c r="C141" s="33"/>
      <c r="D141" s="8"/>
      <c r="F141" s="8"/>
      <c r="G141" s="8"/>
      <c r="H141" s="9"/>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row>
    <row r="142">
      <c r="A142" s="8"/>
      <c r="B142" s="8"/>
      <c r="C142" s="33"/>
      <c r="D142" s="8"/>
      <c r="F142" s="8"/>
      <c r="G142" s="8"/>
      <c r="H142" s="9"/>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row>
    <row r="143">
      <c r="A143" s="8"/>
      <c r="B143" s="8"/>
      <c r="C143" s="33"/>
      <c r="D143" s="8"/>
      <c r="F143" s="8"/>
      <c r="G143" s="8"/>
      <c r="H143" s="9"/>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row>
    <row r="144">
      <c r="A144" s="8"/>
      <c r="B144" s="8"/>
      <c r="C144" s="33"/>
      <c r="D144" s="8"/>
      <c r="F144" s="8"/>
      <c r="G144" s="8"/>
      <c r="H144" s="9"/>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row>
    <row r="145">
      <c r="A145" s="8"/>
      <c r="B145" s="8"/>
      <c r="C145" s="33"/>
      <c r="D145" s="8"/>
      <c r="F145" s="8"/>
      <c r="G145" s="8"/>
      <c r="H145" s="9"/>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row>
    <row r="146">
      <c r="A146" s="8"/>
      <c r="B146" s="8"/>
      <c r="C146" s="33"/>
      <c r="D146" s="8"/>
      <c r="F146" s="8"/>
      <c r="G146" s="8"/>
      <c r="H146" s="9"/>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row>
    <row r="147">
      <c r="A147" s="8"/>
      <c r="B147" s="8"/>
      <c r="C147" s="33"/>
      <c r="D147" s="8"/>
      <c r="F147" s="8"/>
      <c r="G147" s="8"/>
      <c r="H147" s="9"/>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row>
    <row r="148">
      <c r="A148" s="8"/>
      <c r="B148" s="8"/>
      <c r="C148" s="33"/>
      <c r="D148" s="8"/>
      <c r="F148" s="8"/>
      <c r="G148" s="8"/>
      <c r="H148" s="9"/>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row>
    <row r="149">
      <c r="A149" s="8"/>
      <c r="B149" s="8"/>
      <c r="C149" s="33"/>
      <c r="D149" s="8"/>
      <c r="F149" s="8"/>
      <c r="G149" s="8"/>
      <c r="H149" s="9"/>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row>
    <row r="150">
      <c r="A150" s="8"/>
      <c r="B150" s="8"/>
      <c r="C150" s="33"/>
      <c r="D150" s="8"/>
      <c r="F150" s="8"/>
      <c r="G150" s="8"/>
      <c r="H150" s="9"/>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row>
    <row r="151">
      <c r="A151" s="8"/>
      <c r="B151" s="8"/>
      <c r="C151" s="33"/>
      <c r="D151" s="8"/>
      <c r="F151" s="8"/>
      <c r="G151" s="8"/>
      <c r="H151" s="9"/>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row>
    <row r="152">
      <c r="A152" s="8"/>
      <c r="B152" s="8"/>
      <c r="C152" s="33"/>
      <c r="D152" s="8"/>
      <c r="F152" s="8"/>
      <c r="G152" s="8"/>
      <c r="H152" s="9"/>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row>
    <row r="153">
      <c r="A153" s="8"/>
      <c r="B153" s="8"/>
      <c r="C153" s="33"/>
      <c r="D153" s="8"/>
      <c r="F153" s="8"/>
      <c r="G153" s="8"/>
      <c r="H153" s="9"/>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row>
    <row r="154">
      <c r="A154" s="8"/>
      <c r="B154" s="8"/>
      <c r="C154" s="33"/>
      <c r="D154" s="8"/>
      <c r="F154" s="8"/>
      <c r="G154" s="8"/>
      <c r="H154" s="9"/>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row>
    <row r="155">
      <c r="A155" s="8"/>
      <c r="B155" s="8"/>
      <c r="C155" s="33"/>
      <c r="D155" s="8"/>
      <c r="F155" s="8"/>
      <c r="G155" s="8"/>
      <c r="H155" s="9"/>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row>
    <row r="156">
      <c r="A156" s="8"/>
      <c r="B156" s="8"/>
      <c r="C156" s="33"/>
      <c r="D156" s="8"/>
      <c r="F156" s="8"/>
      <c r="G156" s="8"/>
      <c r="H156" s="9"/>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row>
    <row r="157">
      <c r="A157" s="8"/>
      <c r="B157" s="8"/>
      <c r="C157" s="33"/>
      <c r="D157" s="8"/>
      <c r="F157" s="8"/>
      <c r="G157" s="8"/>
      <c r="H157" s="9"/>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row>
    <row r="158">
      <c r="A158" s="8"/>
      <c r="B158" s="8"/>
      <c r="C158" s="33"/>
      <c r="D158" s="8"/>
      <c r="F158" s="8"/>
      <c r="G158" s="8"/>
      <c r="H158" s="9"/>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row>
    <row r="159">
      <c r="A159" s="8"/>
      <c r="B159" s="8"/>
      <c r="C159" s="33"/>
      <c r="D159" s="8"/>
      <c r="F159" s="8"/>
      <c r="G159" s="8"/>
      <c r="H159" s="9"/>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row>
    <row r="160">
      <c r="A160" s="8"/>
      <c r="B160" s="8"/>
      <c r="C160" s="33"/>
      <c r="D160" s="8"/>
      <c r="F160" s="8"/>
      <c r="G160" s="8"/>
      <c r="H160" s="9"/>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row>
    <row r="161">
      <c r="A161" s="8"/>
      <c r="B161" s="8"/>
      <c r="C161" s="33"/>
      <c r="D161" s="8"/>
      <c r="F161" s="8"/>
      <c r="G161" s="8"/>
      <c r="H161" s="9"/>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row>
    <row r="162">
      <c r="A162" s="8"/>
      <c r="B162" s="8"/>
      <c r="C162" s="33"/>
      <c r="D162" s="8"/>
      <c r="F162" s="8"/>
      <c r="G162" s="8"/>
      <c r="H162" s="9"/>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row>
    <row r="163">
      <c r="A163" s="8"/>
      <c r="B163" s="8"/>
      <c r="C163" s="33"/>
      <c r="D163" s="8"/>
      <c r="F163" s="8"/>
      <c r="G163" s="8"/>
      <c r="H163" s="9"/>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row>
    <row r="164">
      <c r="A164" s="8"/>
      <c r="B164" s="8"/>
      <c r="C164" s="33"/>
      <c r="D164" s="8"/>
      <c r="F164" s="8"/>
      <c r="G164" s="8"/>
      <c r="H164" s="9"/>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row>
    <row r="165">
      <c r="A165" s="8"/>
      <c r="B165" s="8"/>
      <c r="C165" s="33"/>
      <c r="D165" s="8"/>
      <c r="F165" s="8"/>
      <c r="G165" s="8"/>
      <c r="H165" s="9"/>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row>
    <row r="166">
      <c r="A166" s="8"/>
      <c r="B166" s="8"/>
      <c r="C166" s="33"/>
      <c r="D166" s="8"/>
      <c r="F166" s="8"/>
      <c r="G166" s="8"/>
      <c r="H166" s="9"/>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row>
    <row r="167">
      <c r="A167" s="8"/>
      <c r="B167" s="8"/>
      <c r="C167" s="33"/>
      <c r="D167" s="8"/>
      <c r="F167" s="8"/>
      <c r="G167" s="8"/>
      <c r="H167" s="9"/>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row>
    <row r="168">
      <c r="A168" s="8"/>
      <c r="B168" s="8"/>
      <c r="C168" s="33"/>
      <c r="D168" s="8"/>
      <c r="F168" s="8"/>
      <c r="G168" s="8"/>
      <c r="H168" s="9"/>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row>
    <row r="169">
      <c r="A169" s="8"/>
      <c r="B169" s="8"/>
      <c r="C169" s="33"/>
      <c r="D169" s="8"/>
      <c r="F169" s="8"/>
      <c r="G169" s="8"/>
      <c r="H169" s="9"/>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row>
    <row r="170">
      <c r="A170" s="8"/>
      <c r="B170" s="8"/>
      <c r="C170" s="33"/>
      <c r="D170" s="8"/>
      <c r="F170" s="8"/>
      <c r="G170" s="8"/>
      <c r="H170" s="9"/>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row>
    <row r="171">
      <c r="A171" s="8"/>
      <c r="B171" s="8"/>
      <c r="C171" s="33"/>
      <c r="D171" s="8"/>
      <c r="F171" s="8"/>
      <c r="G171" s="8"/>
      <c r="H171" s="9"/>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row>
    <row r="172">
      <c r="A172" s="8"/>
      <c r="B172" s="8"/>
      <c r="C172" s="33"/>
      <c r="D172" s="8"/>
      <c r="F172" s="8"/>
      <c r="G172" s="8"/>
      <c r="H172" s="9"/>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row>
    <row r="173">
      <c r="A173" s="8"/>
      <c r="B173" s="8"/>
      <c r="C173" s="33"/>
      <c r="D173" s="8"/>
      <c r="F173" s="8"/>
      <c r="G173" s="8"/>
      <c r="H173" s="9"/>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row>
    <row r="174">
      <c r="A174" s="8"/>
      <c r="B174" s="8"/>
      <c r="C174" s="33"/>
      <c r="D174" s="8"/>
      <c r="F174" s="8"/>
      <c r="G174" s="8"/>
      <c r="H174" s="9"/>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row>
    <row r="175">
      <c r="A175" s="8"/>
      <c r="B175" s="8"/>
      <c r="C175" s="33"/>
      <c r="D175" s="8"/>
      <c r="F175" s="8"/>
      <c r="G175" s="8"/>
      <c r="H175" s="9"/>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row>
    <row r="176">
      <c r="A176" s="8"/>
      <c r="B176" s="8"/>
      <c r="C176" s="33"/>
      <c r="D176" s="8"/>
      <c r="F176" s="8"/>
      <c r="G176" s="8"/>
      <c r="H176" s="9"/>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row>
    <row r="177">
      <c r="A177" s="8"/>
      <c r="B177" s="8"/>
      <c r="C177" s="33"/>
      <c r="D177" s="8"/>
      <c r="F177" s="8"/>
      <c r="G177" s="8"/>
      <c r="H177" s="9"/>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row>
    <row r="178">
      <c r="A178" s="8"/>
      <c r="B178" s="8"/>
      <c r="C178" s="33"/>
      <c r="D178" s="8"/>
      <c r="F178" s="8"/>
      <c r="G178" s="8"/>
      <c r="H178" s="9"/>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row>
    <row r="179">
      <c r="A179" s="8"/>
      <c r="B179" s="8"/>
      <c r="C179" s="33"/>
      <c r="D179" s="8"/>
      <c r="F179" s="8"/>
      <c r="G179" s="8"/>
      <c r="H179" s="9"/>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row>
    <row r="180">
      <c r="A180" s="8"/>
      <c r="B180" s="8"/>
      <c r="C180" s="33"/>
      <c r="D180" s="8"/>
      <c r="F180" s="8"/>
      <c r="G180" s="8"/>
      <c r="H180" s="9"/>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row>
    <row r="181">
      <c r="A181" s="8"/>
      <c r="B181" s="8"/>
      <c r="C181" s="33"/>
      <c r="D181" s="8"/>
      <c r="F181" s="8"/>
      <c r="G181" s="8"/>
      <c r="H181" s="9"/>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row>
    <row r="182">
      <c r="A182" s="8"/>
      <c r="B182" s="8"/>
      <c r="C182" s="33"/>
      <c r="D182" s="8"/>
      <c r="F182" s="8"/>
      <c r="G182" s="8"/>
      <c r="H182" s="9"/>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row>
    <row r="183">
      <c r="A183" s="8"/>
      <c r="B183" s="8"/>
      <c r="C183" s="33"/>
      <c r="D183" s="8"/>
      <c r="F183" s="8"/>
      <c r="G183" s="8"/>
      <c r="H183" s="9"/>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row>
    <row r="184">
      <c r="A184" s="8"/>
      <c r="B184" s="8"/>
      <c r="C184" s="33"/>
      <c r="D184" s="8"/>
      <c r="F184" s="8"/>
      <c r="G184" s="8"/>
      <c r="H184" s="9"/>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row>
    <row r="185">
      <c r="A185" s="8"/>
      <c r="B185" s="8"/>
      <c r="C185" s="33"/>
      <c r="D185" s="8"/>
      <c r="F185" s="8"/>
      <c r="G185" s="8"/>
      <c r="H185" s="9"/>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row>
    <row r="186">
      <c r="A186" s="8"/>
      <c r="B186" s="8"/>
      <c r="C186" s="33"/>
      <c r="D186" s="8"/>
      <c r="F186" s="8"/>
      <c r="G186" s="8"/>
      <c r="H186" s="9"/>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row>
    <row r="187">
      <c r="A187" s="8"/>
      <c r="B187" s="8"/>
      <c r="C187" s="33"/>
      <c r="D187" s="8"/>
      <c r="F187" s="8"/>
      <c r="G187" s="8"/>
      <c r="H187" s="9"/>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row>
    <row r="188">
      <c r="A188" s="8"/>
      <c r="B188" s="8"/>
      <c r="C188" s="33"/>
      <c r="D188" s="8"/>
      <c r="F188" s="8"/>
      <c r="G188" s="8"/>
      <c r="H188" s="9"/>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row>
    <row r="189">
      <c r="A189" s="8"/>
      <c r="B189" s="8"/>
      <c r="C189" s="33"/>
      <c r="D189" s="8"/>
      <c r="F189" s="8"/>
      <c r="G189" s="8"/>
      <c r="H189" s="9"/>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row>
    <row r="190">
      <c r="A190" s="8"/>
      <c r="B190" s="8"/>
      <c r="C190" s="33"/>
      <c r="D190" s="8"/>
      <c r="F190" s="8"/>
      <c r="G190" s="8"/>
      <c r="H190" s="9"/>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row>
    <row r="191">
      <c r="A191" s="8"/>
      <c r="B191" s="8"/>
      <c r="C191" s="33"/>
      <c r="D191" s="8"/>
      <c r="F191" s="8"/>
      <c r="G191" s="8"/>
      <c r="H191" s="9"/>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row>
    <row r="192">
      <c r="A192" s="8"/>
      <c r="B192" s="8"/>
      <c r="C192" s="33"/>
      <c r="D192" s="8"/>
      <c r="F192" s="8"/>
      <c r="G192" s="8"/>
      <c r="H192" s="9"/>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row>
    <row r="193">
      <c r="A193" s="8"/>
      <c r="B193" s="8"/>
      <c r="C193" s="33"/>
      <c r="D193" s="8"/>
      <c r="F193" s="8"/>
      <c r="G193" s="8"/>
      <c r="H193" s="9"/>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row>
    <row r="194">
      <c r="A194" s="8"/>
      <c r="B194" s="8"/>
      <c r="C194" s="33"/>
      <c r="D194" s="8"/>
      <c r="F194" s="8"/>
      <c r="G194" s="8"/>
      <c r="H194" s="9"/>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row>
    <row r="195">
      <c r="A195" s="8"/>
      <c r="B195" s="8"/>
      <c r="C195" s="33"/>
      <c r="D195" s="8"/>
      <c r="F195" s="8"/>
      <c r="G195" s="8"/>
      <c r="H195" s="9"/>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row>
    <row r="196">
      <c r="A196" s="8"/>
      <c r="B196" s="8"/>
      <c r="C196" s="33"/>
      <c r="D196" s="8"/>
      <c r="F196" s="8"/>
      <c r="G196" s="8"/>
      <c r="H196" s="9"/>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row>
    <row r="197">
      <c r="A197" s="8"/>
      <c r="B197" s="8"/>
      <c r="C197" s="33"/>
      <c r="D197" s="8"/>
      <c r="F197" s="8"/>
      <c r="G197" s="8"/>
      <c r="H197" s="9"/>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row>
    <row r="198">
      <c r="A198" s="8"/>
      <c r="B198" s="8"/>
      <c r="C198" s="33"/>
      <c r="D198" s="8"/>
      <c r="F198" s="8"/>
      <c r="G198" s="8"/>
      <c r="H198" s="9"/>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row>
    <row r="199">
      <c r="A199" s="8"/>
      <c r="B199" s="8"/>
      <c r="C199" s="33"/>
      <c r="D199" s="8"/>
      <c r="F199" s="8"/>
      <c r="G199" s="8"/>
      <c r="H199" s="9"/>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row>
    <row r="200">
      <c r="A200" s="8"/>
      <c r="B200" s="8"/>
      <c r="C200" s="33"/>
      <c r="D200" s="8"/>
      <c r="F200" s="8"/>
      <c r="G200" s="8"/>
      <c r="H200" s="9"/>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row>
    <row r="201">
      <c r="A201" s="8"/>
      <c r="B201" s="8"/>
      <c r="C201" s="33"/>
      <c r="D201" s="8"/>
      <c r="F201" s="8"/>
      <c r="G201" s="8"/>
      <c r="H201" s="9"/>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row>
    <row r="202">
      <c r="A202" s="8"/>
      <c r="B202" s="8"/>
      <c r="C202" s="33"/>
      <c r="D202" s="8"/>
      <c r="F202" s="8"/>
      <c r="G202" s="8"/>
      <c r="H202" s="9"/>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row>
    <row r="203">
      <c r="A203" s="8"/>
      <c r="B203" s="8"/>
      <c r="C203" s="33"/>
      <c r="D203" s="8"/>
      <c r="F203" s="8"/>
      <c r="G203" s="8"/>
      <c r="H203" s="9"/>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row>
    <row r="204">
      <c r="A204" s="8"/>
      <c r="B204" s="8"/>
      <c r="C204" s="33"/>
      <c r="D204" s="8"/>
      <c r="F204" s="8"/>
      <c r="G204" s="8"/>
      <c r="H204" s="9"/>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row>
    <row r="205">
      <c r="A205" s="8"/>
      <c r="B205" s="8"/>
      <c r="C205" s="33"/>
      <c r="D205" s="8"/>
      <c r="F205" s="8"/>
      <c r="G205" s="8"/>
      <c r="H205" s="9"/>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row>
    <row r="206">
      <c r="A206" s="8"/>
      <c r="B206" s="8"/>
      <c r="C206" s="33"/>
      <c r="D206" s="8"/>
      <c r="F206" s="8"/>
      <c r="G206" s="8"/>
      <c r="H206" s="9"/>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row>
    <row r="207">
      <c r="A207" s="8"/>
      <c r="B207" s="8"/>
      <c r="C207" s="33"/>
      <c r="D207" s="8"/>
      <c r="F207" s="8"/>
      <c r="G207" s="8"/>
      <c r="H207" s="9"/>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row>
    <row r="208">
      <c r="A208" s="8"/>
      <c r="B208" s="8"/>
      <c r="C208" s="33"/>
      <c r="D208" s="8"/>
      <c r="F208" s="8"/>
      <c r="G208" s="8"/>
      <c r="H208" s="9"/>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row>
    <row r="209">
      <c r="A209" s="8"/>
      <c r="B209" s="8"/>
      <c r="C209" s="33"/>
      <c r="D209" s="8"/>
      <c r="F209" s="8"/>
      <c r="G209" s="8"/>
      <c r="H209" s="9"/>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row>
    <row r="210">
      <c r="A210" s="8"/>
      <c r="B210" s="8"/>
      <c r="C210" s="33"/>
      <c r="D210" s="8"/>
      <c r="F210" s="8"/>
      <c r="G210" s="8"/>
      <c r="H210" s="9"/>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row>
    <row r="211">
      <c r="A211" s="8"/>
      <c r="B211" s="8"/>
      <c r="C211" s="33"/>
      <c r="D211" s="8"/>
      <c r="F211" s="8"/>
      <c r="G211" s="8"/>
      <c r="H211" s="9"/>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row>
    <row r="212">
      <c r="A212" s="8"/>
      <c r="B212" s="8"/>
      <c r="C212" s="33"/>
      <c r="D212" s="8"/>
      <c r="F212" s="8"/>
      <c r="G212" s="8"/>
      <c r="H212" s="9"/>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row>
    <row r="213">
      <c r="A213" s="8"/>
      <c r="B213" s="8"/>
      <c r="C213" s="33"/>
      <c r="D213" s="8"/>
      <c r="F213" s="8"/>
      <c r="G213" s="8"/>
      <c r="H213" s="9"/>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row>
    <row r="214">
      <c r="A214" s="8"/>
      <c r="B214" s="8"/>
      <c r="C214" s="33"/>
      <c r="D214" s="8"/>
      <c r="F214" s="8"/>
      <c r="G214" s="8"/>
      <c r="H214" s="9"/>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row>
    <row r="215">
      <c r="A215" s="8"/>
      <c r="B215" s="8"/>
      <c r="C215" s="33"/>
      <c r="D215" s="8"/>
      <c r="F215" s="8"/>
      <c r="G215" s="8"/>
      <c r="H215" s="9"/>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row>
    <row r="216">
      <c r="A216" s="8"/>
      <c r="B216" s="8"/>
      <c r="C216" s="33"/>
      <c r="D216" s="8"/>
      <c r="F216" s="8"/>
      <c r="G216" s="8"/>
      <c r="H216" s="9"/>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row>
    <row r="217">
      <c r="A217" s="8"/>
      <c r="B217" s="8"/>
      <c r="C217" s="33"/>
      <c r="D217" s="8"/>
      <c r="F217" s="8"/>
      <c r="G217" s="8"/>
      <c r="H217" s="9"/>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row>
    <row r="218">
      <c r="A218" s="8"/>
      <c r="B218" s="8"/>
      <c r="C218" s="33"/>
      <c r="D218" s="8"/>
      <c r="F218" s="8"/>
      <c r="G218" s="8"/>
      <c r="H218" s="9"/>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row>
    <row r="219">
      <c r="A219" s="8"/>
      <c r="B219" s="8"/>
      <c r="C219" s="33"/>
      <c r="D219" s="8"/>
      <c r="F219" s="8"/>
      <c r="G219" s="8"/>
      <c r="H219" s="9"/>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row>
    <row r="220">
      <c r="A220" s="8"/>
      <c r="B220" s="8"/>
      <c r="C220" s="33"/>
      <c r="D220" s="8"/>
      <c r="F220" s="8"/>
      <c r="G220" s="8"/>
      <c r="H220" s="9"/>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row>
    <row r="221">
      <c r="A221" s="8"/>
      <c r="B221" s="8"/>
      <c r="C221" s="33"/>
      <c r="D221" s="8"/>
      <c r="F221" s="8"/>
      <c r="G221" s="8"/>
      <c r="H221" s="9"/>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row>
    <row r="222">
      <c r="A222" s="8"/>
      <c r="B222" s="8"/>
      <c r="C222" s="33"/>
      <c r="D222" s="8"/>
      <c r="F222" s="8"/>
      <c r="G222" s="8"/>
      <c r="H222" s="9"/>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row>
    <row r="223">
      <c r="A223" s="8"/>
      <c r="B223" s="8"/>
      <c r="C223" s="33"/>
      <c r="D223" s="8"/>
      <c r="F223" s="8"/>
      <c r="G223" s="8"/>
      <c r="H223" s="9"/>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row>
    <row r="224">
      <c r="A224" s="8"/>
      <c r="B224" s="8"/>
      <c r="C224" s="33"/>
      <c r="D224" s="8"/>
      <c r="F224" s="8"/>
      <c r="G224" s="8"/>
      <c r="H224" s="9"/>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row>
    <row r="225">
      <c r="A225" s="8"/>
      <c r="B225" s="8"/>
      <c r="C225" s="33"/>
      <c r="D225" s="8"/>
      <c r="F225" s="8"/>
      <c r="G225" s="8"/>
      <c r="H225" s="9"/>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row>
    <row r="226">
      <c r="A226" s="8"/>
      <c r="B226" s="8"/>
      <c r="C226" s="33"/>
      <c r="D226" s="8"/>
      <c r="F226" s="8"/>
      <c r="G226" s="8"/>
      <c r="H226" s="9"/>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row>
    <row r="227">
      <c r="A227" s="8"/>
      <c r="B227" s="8"/>
      <c r="C227" s="33"/>
      <c r="D227" s="8"/>
      <c r="F227" s="8"/>
      <c r="G227" s="8"/>
      <c r="H227" s="9"/>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row>
    <row r="228">
      <c r="A228" s="8"/>
      <c r="B228" s="8"/>
      <c r="C228" s="33"/>
      <c r="D228" s="8"/>
      <c r="F228" s="8"/>
      <c r="G228" s="8"/>
      <c r="H228" s="9"/>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row>
    <row r="229">
      <c r="A229" s="8"/>
      <c r="B229" s="8"/>
      <c r="C229" s="33"/>
      <c r="D229" s="8"/>
      <c r="F229" s="8"/>
      <c r="G229" s="8"/>
      <c r="H229" s="9"/>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row>
    <row r="230">
      <c r="A230" s="8"/>
      <c r="B230" s="8"/>
      <c r="C230" s="33"/>
      <c r="D230" s="8"/>
      <c r="F230" s="8"/>
      <c r="G230" s="8"/>
      <c r="H230" s="9"/>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row>
    <row r="231">
      <c r="A231" s="8"/>
      <c r="B231" s="8"/>
      <c r="C231" s="33"/>
      <c r="D231" s="8"/>
      <c r="F231" s="8"/>
      <c r="G231" s="8"/>
      <c r="H231" s="9"/>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row>
    <row r="232">
      <c r="A232" s="8"/>
      <c r="B232" s="8"/>
      <c r="C232" s="33"/>
      <c r="D232" s="8"/>
      <c r="F232" s="8"/>
      <c r="G232" s="8"/>
      <c r="H232" s="9"/>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row>
    <row r="233">
      <c r="A233" s="8"/>
      <c r="B233" s="8"/>
      <c r="C233" s="33"/>
      <c r="D233" s="8"/>
      <c r="F233" s="8"/>
      <c r="G233" s="8"/>
      <c r="H233" s="9"/>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row>
    <row r="234">
      <c r="A234" s="8"/>
      <c r="B234" s="8"/>
      <c r="C234" s="33"/>
      <c r="D234" s="8"/>
      <c r="F234" s="8"/>
      <c r="G234" s="8"/>
      <c r="H234" s="9"/>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row>
    <row r="235">
      <c r="A235" s="8"/>
      <c r="B235" s="8"/>
      <c r="C235" s="33"/>
      <c r="D235" s="8"/>
      <c r="F235" s="8"/>
      <c r="G235" s="8"/>
      <c r="H235" s="9"/>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row>
    <row r="236">
      <c r="A236" s="8"/>
      <c r="B236" s="8"/>
      <c r="C236" s="33"/>
      <c r="D236" s="8"/>
      <c r="F236" s="8"/>
      <c r="G236" s="8"/>
      <c r="H236" s="9"/>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row>
    <row r="237">
      <c r="A237" s="8"/>
      <c r="B237" s="8"/>
      <c r="C237" s="33"/>
      <c r="D237" s="8"/>
      <c r="F237" s="8"/>
      <c r="G237" s="8"/>
      <c r="H237" s="9"/>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row>
    <row r="238">
      <c r="A238" s="8"/>
      <c r="B238" s="8"/>
      <c r="C238" s="33"/>
      <c r="D238" s="8"/>
      <c r="F238" s="8"/>
      <c r="G238" s="8"/>
      <c r="H238" s="9"/>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row>
    <row r="239">
      <c r="A239" s="8"/>
      <c r="B239" s="8"/>
      <c r="C239" s="33"/>
      <c r="D239" s="8"/>
      <c r="F239" s="8"/>
      <c r="G239" s="8"/>
      <c r="H239" s="9"/>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row>
    <row r="240">
      <c r="A240" s="8"/>
      <c r="B240" s="8"/>
      <c r="C240" s="33"/>
      <c r="D240" s="8"/>
      <c r="F240" s="8"/>
      <c r="G240" s="8"/>
      <c r="H240" s="9"/>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row>
    <row r="241">
      <c r="A241" s="8"/>
      <c r="B241" s="8"/>
      <c r="C241" s="33"/>
      <c r="D241" s="8"/>
      <c r="F241" s="8"/>
      <c r="G241" s="8"/>
      <c r="H241" s="9"/>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row>
    <row r="242">
      <c r="A242" s="8"/>
      <c r="B242" s="8"/>
      <c r="C242" s="33"/>
      <c r="D242" s="8"/>
      <c r="F242" s="8"/>
      <c r="G242" s="8"/>
      <c r="H242" s="9"/>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row>
    <row r="243">
      <c r="A243" s="8"/>
      <c r="B243" s="8"/>
      <c r="C243" s="33"/>
      <c r="D243" s="8"/>
      <c r="F243" s="8"/>
      <c r="G243" s="8"/>
      <c r="H243" s="9"/>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row>
    <row r="244">
      <c r="A244" s="8"/>
      <c r="B244" s="8"/>
      <c r="C244" s="33"/>
      <c r="D244" s="8"/>
      <c r="F244" s="8"/>
      <c r="G244" s="8"/>
      <c r="H244" s="9"/>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row>
    <row r="245">
      <c r="A245" s="8"/>
      <c r="B245" s="8"/>
      <c r="C245" s="33"/>
      <c r="D245" s="8"/>
      <c r="F245" s="8"/>
      <c r="G245" s="8"/>
      <c r="H245" s="9"/>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row>
    <row r="246">
      <c r="A246" s="8"/>
      <c r="B246" s="8"/>
      <c r="C246" s="33"/>
      <c r="D246" s="8"/>
      <c r="F246" s="8"/>
      <c r="G246" s="8"/>
      <c r="H246" s="9"/>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row>
    <row r="247">
      <c r="A247" s="8"/>
      <c r="B247" s="8"/>
      <c r="C247" s="33"/>
      <c r="D247" s="8"/>
      <c r="F247" s="8"/>
      <c r="G247" s="8"/>
      <c r="H247" s="9"/>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row>
    <row r="248">
      <c r="A248" s="8"/>
      <c r="B248" s="8"/>
      <c r="C248" s="33"/>
      <c r="D248" s="8"/>
      <c r="F248" s="8"/>
      <c r="G248" s="8"/>
      <c r="H248" s="9"/>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row>
    <row r="249">
      <c r="A249" s="8"/>
      <c r="B249" s="8"/>
      <c r="C249" s="33"/>
      <c r="D249" s="8"/>
      <c r="F249" s="8"/>
      <c r="G249" s="8"/>
      <c r="H249" s="9"/>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row>
    <row r="250">
      <c r="A250" s="8"/>
      <c r="B250" s="8"/>
      <c r="C250" s="33"/>
      <c r="D250" s="8"/>
      <c r="F250" s="8"/>
      <c r="G250" s="8"/>
      <c r="H250" s="9"/>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row>
    <row r="251">
      <c r="A251" s="8"/>
      <c r="B251" s="8"/>
      <c r="C251" s="33"/>
      <c r="D251" s="8"/>
      <c r="F251" s="8"/>
      <c r="G251" s="8"/>
      <c r="H251" s="9"/>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row>
    <row r="252">
      <c r="A252" s="8"/>
      <c r="B252" s="8"/>
      <c r="C252" s="33"/>
      <c r="D252" s="8"/>
      <c r="F252" s="8"/>
      <c r="G252" s="8"/>
      <c r="H252" s="9"/>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row>
    <row r="253">
      <c r="A253" s="8"/>
      <c r="B253" s="8"/>
      <c r="C253" s="33"/>
      <c r="D253" s="8"/>
      <c r="F253" s="8"/>
      <c r="G253" s="8"/>
      <c r="H253" s="9"/>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row>
    <row r="254">
      <c r="A254" s="8"/>
      <c r="B254" s="8"/>
      <c r="C254" s="33"/>
      <c r="D254" s="8"/>
      <c r="F254" s="8"/>
      <c r="G254" s="8"/>
      <c r="H254" s="9"/>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row>
    <row r="255">
      <c r="A255" s="8"/>
      <c r="B255" s="8"/>
      <c r="C255" s="33"/>
      <c r="D255" s="8"/>
      <c r="F255" s="8"/>
      <c r="G255" s="8"/>
      <c r="H255" s="9"/>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row>
    <row r="256">
      <c r="A256" s="8"/>
      <c r="B256" s="8"/>
      <c r="C256" s="33"/>
      <c r="D256" s="8"/>
      <c r="F256" s="8"/>
      <c r="G256" s="8"/>
      <c r="H256" s="9"/>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row>
    <row r="257">
      <c r="A257" s="8"/>
      <c r="B257" s="8"/>
      <c r="C257" s="33"/>
      <c r="D257" s="8"/>
      <c r="F257" s="8"/>
      <c r="G257" s="8"/>
      <c r="H257" s="9"/>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row>
    <row r="258">
      <c r="A258" s="8"/>
      <c r="B258" s="8"/>
      <c r="C258" s="33"/>
      <c r="D258" s="8"/>
      <c r="F258" s="8"/>
      <c r="G258" s="8"/>
      <c r="H258" s="9"/>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row>
    <row r="259">
      <c r="A259" s="8"/>
      <c r="B259" s="8"/>
      <c r="C259" s="33"/>
      <c r="D259" s="8"/>
      <c r="F259" s="8"/>
      <c r="G259" s="8"/>
      <c r="H259" s="9"/>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row>
    <row r="260">
      <c r="A260" s="8"/>
      <c r="B260" s="8"/>
      <c r="C260" s="33"/>
      <c r="D260" s="8"/>
      <c r="F260" s="8"/>
      <c r="G260" s="8"/>
      <c r="H260" s="9"/>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row>
    <row r="261">
      <c r="A261" s="8"/>
      <c r="B261" s="8"/>
      <c r="C261" s="33"/>
      <c r="D261" s="8"/>
      <c r="F261" s="8"/>
      <c r="G261" s="8"/>
      <c r="H261" s="9"/>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row>
    <row r="262">
      <c r="A262" s="8"/>
      <c r="B262" s="8"/>
      <c r="C262" s="33"/>
      <c r="D262" s="8"/>
      <c r="F262" s="8"/>
      <c r="G262" s="8"/>
      <c r="H262" s="9"/>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row>
    <row r="263">
      <c r="A263" s="8"/>
      <c r="B263" s="8"/>
      <c r="C263" s="33"/>
      <c r="D263" s="8"/>
      <c r="F263" s="8"/>
      <c r="G263" s="8"/>
      <c r="H263" s="9"/>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row>
    <row r="264">
      <c r="A264" s="8"/>
      <c r="B264" s="8"/>
      <c r="C264" s="33"/>
      <c r="D264" s="8"/>
      <c r="F264" s="8"/>
      <c r="G264" s="8"/>
      <c r="H264" s="9"/>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row>
    <row r="265">
      <c r="A265" s="8"/>
      <c r="B265" s="8"/>
      <c r="C265" s="33"/>
      <c r="D265" s="8"/>
      <c r="F265" s="8"/>
      <c r="G265" s="8"/>
      <c r="H265" s="9"/>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row>
    <row r="266">
      <c r="A266" s="8"/>
      <c r="B266" s="8"/>
      <c r="C266" s="33"/>
      <c r="D266" s="8"/>
      <c r="F266" s="8"/>
      <c r="G266" s="8"/>
      <c r="H266" s="9"/>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row>
    <row r="267">
      <c r="A267" s="8"/>
      <c r="B267" s="8"/>
      <c r="C267" s="33"/>
      <c r="D267" s="8"/>
      <c r="F267" s="8"/>
      <c r="G267" s="8"/>
      <c r="H267" s="9"/>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row>
    <row r="268">
      <c r="A268" s="8"/>
      <c r="B268" s="8"/>
      <c r="C268" s="33"/>
      <c r="D268" s="8"/>
      <c r="F268" s="8"/>
      <c r="G268" s="8"/>
      <c r="H268" s="9"/>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row>
    <row r="269">
      <c r="A269" s="8"/>
      <c r="B269" s="8"/>
      <c r="C269" s="33"/>
      <c r="D269" s="8"/>
      <c r="F269" s="8"/>
      <c r="G269" s="8"/>
      <c r="H269" s="9"/>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row>
    <row r="270">
      <c r="A270" s="8"/>
      <c r="B270" s="8"/>
      <c r="C270" s="33"/>
      <c r="D270" s="8"/>
      <c r="F270" s="8"/>
      <c r="G270" s="8"/>
      <c r="H270" s="9"/>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row>
    <row r="271">
      <c r="A271" s="8"/>
      <c r="B271" s="8"/>
      <c r="C271" s="33"/>
      <c r="D271" s="8"/>
      <c r="F271" s="8"/>
      <c r="G271" s="8"/>
      <c r="H271" s="9"/>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row>
    <row r="272">
      <c r="A272" s="8"/>
      <c r="B272" s="8"/>
      <c r="C272" s="33"/>
      <c r="D272" s="8"/>
      <c r="F272" s="8"/>
      <c r="G272" s="8"/>
      <c r="H272" s="9"/>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row>
    <row r="273">
      <c r="A273" s="8"/>
      <c r="B273" s="8"/>
      <c r="C273" s="33"/>
      <c r="D273" s="8"/>
      <c r="F273" s="8"/>
      <c r="G273" s="8"/>
      <c r="H273" s="9"/>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row>
    <row r="274">
      <c r="A274" s="8"/>
      <c r="B274" s="8"/>
      <c r="C274" s="33"/>
      <c r="D274" s="8"/>
      <c r="F274" s="8"/>
      <c r="G274" s="8"/>
      <c r="H274" s="9"/>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row>
    <row r="275">
      <c r="A275" s="8"/>
      <c r="B275" s="8"/>
      <c r="C275" s="33"/>
      <c r="D275" s="8"/>
      <c r="F275" s="8"/>
      <c r="G275" s="8"/>
      <c r="H275" s="9"/>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row>
    <row r="276">
      <c r="A276" s="8"/>
      <c r="B276" s="8"/>
      <c r="C276" s="33"/>
      <c r="D276" s="8"/>
      <c r="F276" s="8"/>
      <c r="G276" s="8"/>
      <c r="H276" s="9"/>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row>
    <row r="277">
      <c r="A277" s="8"/>
      <c r="B277" s="8"/>
      <c r="C277" s="33"/>
      <c r="D277" s="8"/>
      <c r="F277" s="8"/>
      <c r="G277" s="8"/>
      <c r="H277" s="9"/>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row>
    <row r="278">
      <c r="A278" s="8"/>
      <c r="B278" s="8"/>
      <c r="C278" s="33"/>
      <c r="D278" s="8"/>
      <c r="F278" s="8"/>
      <c r="G278" s="8"/>
      <c r="H278" s="9"/>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row>
    <row r="279">
      <c r="A279" s="8"/>
      <c r="B279" s="8"/>
      <c r="C279" s="33"/>
      <c r="D279" s="8"/>
      <c r="F279" s="8"/>
      <c r="G279" s="8"/>
      <c r="H279" s="9"/>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row>
    <row r="280">
      <c r="A280" s="8"/>
      <c r="B280" s="8"/>
      <c r="C280" s="33"/>
      <c r="D280" s="8"/>
      <c r="F280" s="8"/>
      <c r="G280" s="8"/>
      <c r="H280" s="9"/>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row>
    <row r="281">
      <c r="A281" s="8"/>
      <c r="B281" s="8"/>
      <c r="C281" s="33"/>
      <c r="D281" s="8"/>
      <c r="F281" s="8"/>
      <c r="G281" s="8"/>
      <c r="H281" s="9"/>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row>
    <row r="282">
      <c r="A282" s="8"/>
      <c r="B282" s="8"/>
      <c r="C282" s="33"/>
      <c r="D282" s="8"/>
      <c r="F282" s="8"/>
      <c r="G282" s="8"/>
      <c r="H282" s="9"/>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row>
    <row r="283">
      <c r="A283" s="8"/>
      <c r="B283" s="8"/>
      <c r="C283" s="33"/>
      <c r="D283" s="8"/>
      <c r="F283" s="8"/>
      <c r="G283" s="8"/>
      <c r="H283" s="9"/>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row>
    <row r="284">
      <c r="A284" s="8"/>
      <c r="B284" s="8"/>
      <c r="C284" s="33"/>
      <c r="D284" s="8"/>
      <c r="F284" s="8"/>
      <c r="G284" s="8"/>
      <c r="H284" s="9"/>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row>
    <row r="285">
      <c r="A285" s="8"/>
      <c r="B285" s="8"/>
      <c r="C285" s="33"/>
      <c r="D285" s="8"/>
      <c r="F285" s="8"/>
      <c r="G285" s="8"/>
      <c r="H285" s="9"/>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row>
    <row r="286">
      <c r="A286" s="8"/>
      <c r="B286" s="8"/>
      <c r="C286" s="33"/>
      <c r="D286" s="8"/>
      <c r="F286" s="8"/>
      <c r="G286" s="8"/>
      <c r="H286" s="9"/>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row>
    <row r="287">
      <c r="A287" s="8"/>
      <c r="B287" s="8"/>
      <c r="C287" s="33"/>
      <c r="D287" s="8"/>
      <c r="F287" s="8"/>
      <c r="G287" s="8"/>
      <c r="H287" s="9"/>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row>
    <row r="288">
      <c r="A288" s="8"/>
      <c r="B288" s="8"/>
      <c r="C288" s="33"/>
      <c r="D288" s="8"/>
      <c r="F288" s="8"/>
      <c r="G288" s="8"/>
      <c r="H288" s="9"/>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row>
    <row r="289">
      <c r="A289" s="8"/>
      <c r="B289" s="8"/>
      <c r="C289" s="33"/>
      <c r="D289" s="8"/>
      <c r="F289" s="8"/>
      <c r="G289" s="8"/>
      <c r="H289" s="9"/>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row>
    <row r="290">
      <c r="A290" s="8"/>
      <c r="B290" s="8"/>
      <c r="C290" s="33"/>
      <c r="D290" s="8"/>
      <c r="F290" s="8"/>
      <c r="G290" s="8"/>
      <c r="H290" s="9"/>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row>
    <row r="291">
      <c r="A291" s="8"/>
      <c r="B291" s="8"/>
      <c r="C291" s="33"/>
      <c r="D291" s="8"/>
      <c r="F291" s="8"/>
      <c r="G291" s="8"/>
      <c r="H291" s="9"/>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row>
    <row r="292">
      <c r="A292" s="8"/>
      <c r="B292" s="8"/>
      <c r="C292" s="33"/>
      <c r="D292" s="8"/>
      <c r="F292" s="8"/>
      <c r="G292" s="8"/>
      <c r="H292" s="9"/>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row>
    <row r="293">
      <c r="A293" s="8"/>
      <c r="B293" s="8"/>
      <c r="C293" s="33"/>
      <c r="D293" s="8"/>
      <c r="F293" s="8"/>
      <c r="G293" s="8"/>
      <c r="H293" s="9"/>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row>
    <row r="294">
      <c r="A294" s="8"/>
      <c r="B294" s="8"/>
      <c r="C294" s="33"/>
      <c r="D294" s="8"/>
      <c r="F294" s="8"/>
      <c r="G294" s="8"/>
      <c r="H294" s="9"/>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row>
    <row r="295">
      <c r="A295" s="8"/>
      <c r="B295" s="8"/>
      <c r="C295" s="33"/>
      <c r="D295" s="8"/>
      <c r="F295" s="8"/>
      <c r="G295" s="8"/>
      <c r="H295" s="9"/>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row>
    <row r="296">
      <c r="A296" s="8"/>
      <c r="B296" s="8"/>
      <c r="C296" s="33"/>
      <c r="D296" s="8"/>
      <c r="F296" s="8"/>
      <c r="G296" s="8"/>
      <c r="H296" s="9"/>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row>
    <row r="297">
      <c r="A297" s="8"/>
      <c r="B297" s="8"/>
      <c r="C297" s="33"/>
      <c r="D297" s="8"/>
      <c r="F297" s="8"/>
      <c r="G297" s="8"/>
      <c r="H297" s="9"/>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row>
    <row r="298">
      <c r="A298" s="8"/>
      <c r="B298" s="8"/>
      <c r="C298" s="33"/>
      <c r="D298" s="8"/>
      <c r="F298" s="8"/>
      <c r="G298" s="8"/>
      <c r="H298" s="9"/>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row>
    <row r="299">
      <c r="A299" s="8"/>
      <c r="B299" s="8"/>
      <c r="C299" s="33"/>
      <c r="D299" s="8"/>
      <c r="F299" s="8"/>
      <c r="G299" s="8"/>
      <c r="H299" s="9"/>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row>
    <row r="300">
      <c r="A300" s="8"/>
      <c r="B300" s="8"/>
      <c r="C300" s="33"/>
      <c r="D300" s="8"/>
      <c r="F300" s="8"/>
      <c r="G300" s="8"/>
      <c r="H300" s="9"/>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row>
    <row r="301">
      <c r="A301" s="8"/>
      <c r="B301" s="8"/>
      <c r="C301" s="33"/>
      <c r="D301" s="8"/>
      <c r="F301" s="8"/>
      <c r="G301" s="8"/>
      <c r="H301" s="9"/>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row>
    <row r="302">
      <c r="A302" s="8"/>
      <c r="B302" s="8"/>
      <c r="C302" s="33"/>
      <c r="D302" s="8"/>
      <c r="F302" s="8"/>
      <c r="G302" s="8"/>
      <c r="H302" s="9"/>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row>
    <row r="303">
      <c r="A303" s="8"/>
      <c r="B303" s="8"/>
      <c r="C303" s="33"/>
      <c r="D303" s="8"/>
      <c r="F303" s="8"/>
      <c r="G303" s="8"/>
      <c r="H303" s="9"/>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row>
    <row r="304">
      <c r="A304" s="8"/>
      <c r="B304" s="8"/>
      <c r="C304" s="33"/>
      <c r="D304" s="8"/>
      <c r="F304" s="8"/>
      <c r="G304" s="8"/>
      <c r="H304" s="9"/>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row>
    <row r="305">
      <c r="A305" s="8"/>
      <c r="B305" s="8"/>
      <c r="C305" s="33"/>
      <c r="D305" s="8"/>
      <c r="F305" s="8"/>
      <c r="G305" s="8"/>
      <c r="H305" s="9"/>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row>
    <row r="306">
      <c r="A306" s="8"/>
      <c r="B306" s="8"/>
      <c r="C306" s="33"/>
      <c r="D306" s="8"/>
      <c r="F306" s="8"/>
      <c r="G306" s="8"/>
      <c r="H306" s="9"/>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row>
    <row r="307">
      <c r="A307" s="8"/>
      <c r="B307" s="8"/>
      <c r="C307" s="33"/>
      <c r="D307" s="8"/>
      <c r="F307" s="8"/>
      <c r="G307" s="8"/>
      <c r="H307" s="9"/>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row>
    <row r="308">
      <c r="A308" s="8"/>
      <c r="B308" s="8"/>
      <c r="C308" s="33"/>
      <c r="D308" s="8"/>
      <c r="F308" s="8"/>
      <c r="G308" s="8"/>
      <c r="H308" s="9"/>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row>
    <row r="309">
      <c r="A309" s="8"/>
      <c r="B309" s="8"/>
      <c r="C309" s="33"/>
      <c r="D309" s="8"/>
      <c r="F309" s="8"/>
      <c r="G309" s="8"/>
      <c r="H309" s="9"/>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row>
    <row r="310">
      <c r="A310" s="8"/>
      <c r="B310" s="8"/>
      <c r="C310" s="33"/>
      <c r="D310" s="8"/>
      <c r="F310" s="8"/>
      <c r="G310" s="8"/>
      <c r="H310" s="9"/>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row>
    <row r="311">
      <c r="A311" s="8"/>
      <c r="B311" s="8"/>
      <c r="C311" s="33"/>
      <c r="D311" s="8"/>
      <c r="F311" s="8"/>
      <c r="G311" s="8"/>
      <c r="H311" s="9"/>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row>
    <row r="312">
      <c r="A312" s="8"/>
      <c r="B312" s="8"/>
      <c r="C312" s="33"/>
      <c r="D312" s="8"/>
      <c r="F312" s="8"/>
      <c r="G312" s="8"/>
      <c r="H312" s="9"/>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row>
    <row r="313">
      <c r="A313" s="8"/>
      <c r="B313" s="8"/>
      <c r="C313" s="33"/>
      <c r="D313" s="8"/>
      <c r="F313" s="8"/>
      <c r="G313" s="8"/>
      <c r="H313" s="9"/>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row>
    <row r="314">
      <c r="A314" s="8"/>
      <c r="B314" s="8"/>
      <c r="C314" s="33"/>
      <c r="D314" s="8"/>
      <c r="F314" s="8"/>
      <c r="G314" s="8"/>
      <c r="H314" s="9"/>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row>
    <row r="315">
      <c r="A315" s="8"/>
      <c r="B315" s="8"/>
      <c r="C315" s="33"/>
      <c r="D315" s="8"/>
      <c r="F315" s="8"/>
      <c r="G315" s="8"/>
      <c r="H315" s="9"/>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row>
    <row r="316">
      <c r="A316" s="8"/>
      <c r="B316" s="8"/>
      <c r="C316" s="33"/>
      <c r="D316" s="8"/>
      <c r="F316" s="8"/>
      <c r="G316" s="8"/>
      <c r="H316" s="9"/>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row>
    <row r="317">
      <c r="A317" s="8"/>
      <c r="B317" s="8"/>
      <c r="C317" s="33"/>
      <c r="D317" s="8"/>
      <c r="F317" s="8"/>
      <c r="G317" s="8"/>
      <c r="H317" s="9"/>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row>
    <row r="318">
      <c r="A318" s="8"/>
      <c r="B318" s="8"/>
      <c r="C318" s="33"/>
      <c r="D318" s="8"/>
      <c r="F318" s="8"/>
      <c r="G318" s="8"/>
      <c r="H318" s="9"/>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row>
    <row r="319">
      <c r="A319" s="8"/>
      <c r="B319" s="8"/>
      <c r="C319" s="33"/>
      <c r="D319" s="8"/>
      <c r="F319" s="8"/>
      <c r="G319" s="8"/>
      <c r="H319" s="9"/>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row>
    <row r="320">
      <c r="A320" s="8"/>
      <c r="B320" s="8"/>
      <c r="C320" s="33"/>
      <c r="D320" s="8"/>
      <c r="F320" s="8"/>
      <c r="G320" s="8"/>
      <c r="H320" s="9"/>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row>
    <row r="321">
      <c r="A321" s="8"/>
      <c r="B321" s="8"/>
      <c r="C321" s="33"/>
      <c r="D321" s="8"/>
      <c r="F321" s="8"/>
      <c r="G321" s="8"/>
      <c r="H321" s="9"/>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row>
    <row r="322">
      <c r="A322" s="8"/>
      <c r="B322" s="8"/>
      <c r="C322" s="33"/>
      <c r="D322" s="8"/>
      <c r="F322" s="8"/>
      <c r="G322" s="8"/>
      <c r="H322" s="9"/>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row>
    <row r="323">
      <c r="A323" s="8"/>
      <c r="B323" s="8"/>
      <c r="C323" s="33"/>
      <c r="D323" s="8"/>
      <c r="F323" s="8"/>
      <c r="G323" s="8"/>
      <c r="H323" s="9"/>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row>
    <row r="324">
      <c r="A324" s="8"/>
      <c r="B324" s="8"/>
      <c r="C324" s="33"/>
      <c r="D324" s="8"/>
      <c r="F324" s="8"/>
      <c r="G324" s="8"/>
      <c r="H324" s="9"/>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row>
    <row r="325">
      <c r="A325" s="8"/>
      <c r="B325" s="8"/>
      <c r="C325" s="33"/>
      <c r="D325" s="8"/>
      <c r="F325" s="8"/>
      <c r="G325" s="8"/>
      <c r="H325" s="9"/>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row>
    <row r="326">
      <c r="A326" s="8"/>
      <c r="B326" s="8"/>
      <c r="C326" s="33"/>
      <c r="D326" s="8"/>
      <c r="F326" s="8"/>
      <c r="G326" s="8"/>
      <c r="H326" s="9"/>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row>
    <row r="327">
      <c r="A327" s="8"/>
      <c r="B327" s="8"/>
      <c r="C327" s="33"/>
      <c r="D327" s="8"/>
      <c r="F327" s="8"/>
      <c r="G327" s="8"/>
      <c r="H327" s="9"/>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row>
    <row r="328">
      <c r="A328" s="8"/>
      <c r="B328" s="8"/>
      <c r="C328" s="33"/>
      <c r="D328" s="8"/>
      <c r="F328" s="8"/>
      <c r="G328" s="8"/>
      <c r="H328" s="9"/>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row>
    <row r="329">
      <c r="A329" s="8"/>
      <c r="B329" s="8"/>
      <c r="C329" s="33"/>
      <c r="D329" s="8"/>
      <c r="F329" s="8"/>
      <c r="G329" s="8"/>
      <c r="H329" s="9"/>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row>
    <row r="330">
      <c r="A330" s="8"/>
      <c r="B330" s="8"/>
      <c r="C330" s="33"/>
      <c r="D330" s="8"/>
      <c r="F330" s="8"/>
      <c r="G330" s="8"/>
      <c r="H330" s="9"/>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row>
    <row r="331">
      <c r="A331" s="8"/>
      <c r="B331" s="8"/>
      <c r="C331" s="33"/>
      <c r="D331" s="8"/>
      <c r="F331" s="8"/>
      <c r="G331" s="8"/>
      <c r="H331" s="9"/>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row>
    <row r="332">
      <c r="A332" s="8"/>
      <c r="B332" s="8"/>
      <c r="C332" s="33"/>
      <c r="D332" s="8"/>
      <c r="F332" s="8"/>
      <c r="G332" s="8"/>
      <c r="H332" s="9"/>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row>
    <row r="333">
      <c r="A333" s="8"/>
      <c r="B333" s="8"/>
      <c r="C333" s="33"/>
      <c r="D333" s="8"/>
      <c r="F333" s="8"/>
      <c r="G333" s="8"/>
      <c r="H333" s="9"/>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row>
    <row r="334">
      <c r="A334" s="8"/>
      <c r="B334" s="8"/>
      <c r="C334" s="33"/>
      <c r="D334" s="8"/>
      <c r="F334" s="8"/>
      <c r="G334" s="8"/>
      <c r="H334" s="9"/>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row>
    <row r="335">
      <c r="A335" s="8"/>
      <c r="B335" s="8"/>
      <c r="C335" s="33"/>
      <c r="D335" s="8"/>
      <c r="F335" s="8"/>
      <c r="G335" s="8"/>
      <c r="H335" s="9"/>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row>
    <row r="336">
      <c r="A336" s="8"/>
      <c r="B336" s="8"/>
      <c r="C336" s="33"/>
      <c r="D336" s="8"/>
      <c r="F336" s="8"/>
      <c r="G336" s="8"/>
      <c r="H336" s="9"/>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row>
    <row r="337">
      <c r="A337" s="8"/>
      <c r="B337" s="8"/>
      <c r="C337" s="33"/>
      <c r="D337" s="8"/>
      <c r="F337" s="8"/>
      <c r="G337" s="8"/>
      <c r="H337" s="9"/>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row>
    <row r="338">
      <c r="A338" s="8"/>
      <c r="B338" s="8"/>
      <c r="C338" s="33"/>
      <c r="D338" s="8"/>
      <c r="F338" s="8"/>
      <c r="G338" s="8"/>
      <c r="H338" s="9"/>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row>
    <row r="339">
      <c r="A339" s="8"/>
      <c r="B339" s="8"/>
      <c r="C339" s="33"/>
      <c r="D339" s="8"/>
      <c r="F339" s="8"/>
      <c r="G339" s="8"/>
      <c r="H339" s="9"/>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row>
    <row r="340">
      <c r="A340" s="8"/>
      <c r="B340" s="8"/>
      <c r="C340" s="33"/>
      <c r="D340" s="8"/>
      <c r="F340" s="8"/>
      <c r="G340" s="8"/>
      <c r="H340" s="9"/>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row>
    <row r="341">
      <c r="A341" s="8"/>
      <c r="B341" s="8"/>
      <c r="C341" s="33"/>
      <c r="D341" s="8"/>
      <c r="F341" s="8"/>
      <c r="G341" s="8"/>
      <c r="H341" s="9"/>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row>
    <row r="342">
      <c r="A342" s="8"/>
      <c r="B342" s="8"/>
      <c r="C342" s="33"/>
      <c r="D342" s="8"/>
      <c r="F342" s="8"/>
      <c r="G342" s="8"/>
      <c r="H342" s="9"/>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row>
    <row r="343">
      <c r="A343" s="8"/>
      <c r="B343" s="8"/>
      <c r="C343" s="33"/>
      <c r="D343" s="8"/>
      <c r="F343" s="8"/>
      <c r="G343" s="8"/>
      <c r="H343" s="9"/>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row>
    <row r="344">
      <c r="A344" s="8"/>
      <c r="B344" s="8"/>
      <c r="C344" s="33"/>
      <c r="D344" s="8"/>
      <c r="F344" s="8"/>
      <c r="G344" s="8"/>
      <c r="H344" s="9"/>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row>
    <row r="345">
      <c r="A345" s="8"/>
      <c r="B345" s="8"/>
      <c r="C345" s="33"/>
      <c r="D345" s="8"/>
      <c r="F345" s="8"/>
      <c r="G345" s="8"/>
      <c r="H345" s="9"/>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row>
    <row r="346">
      <c r="A346" s="8"/>
      <c r="B346" s="8"/>
      <c r="C346" s="33"/>
      <c r="D346" s="8"/>
      <c r="F346" s="8"/>
      <c r="G346" s="8"/>
      <c r="H346" s="9"/>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row>
    <row r="347">
      <c r="A347" s="8"/>
      <c r="B347" s="8"/>
      <c r="C347" s="33"/>
      <c r="D347" s="8"/>
      <c r="F347" s="8"/>
      <c r="G347" s="8"/>
      <c r="H347" s="9"/>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row>
    <row r="348">
      <c r="A348" s="8"/>
      <c r="B348" s="8"/>
      <c r="C348" s="33"/>
      <c r="D348" s="8"/>
      <c r="F348" s="8"/>
      <c r="G348" s="8"/>
      <c r="H348" s="9"/>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row>
    <row r="349">
      <c r="A349" s="8"/>
      <c r="B349" s="8"/>
      <c r="C349" s="33"/>
      <c r="D349" s="8"/>
      <c r="F349" s="8"/>
      <c r="G349" s="8"/>
      <c r="H349" s="9"/>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row>
    <row r="350">
      <c r="A350" s="8"/>
      <c r="B350" s="8"/>
      <c r="C350" s="33"/>
      <c r="D350" s="8"/>
      <c r="F350" s="8"/>
      <c r="G350" s="8"/>
      <c r="H350" s="9"/>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row>
    <row r="351">
      <c r="A351" s="8"/>
      <c r="B351" s="8"/>
      <c r="C351" s="33"/>
      <c r="D351" s="8"/>
      <c r="F351" s="8"/>
      <c r="G351" s="8"/>
      <c r="H351" s="9"/>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row>
    <row r="352">
      <c r="A352" s="8"/>
      <c r="B352" s="8"/>
      <c r="C352" s="33"/>
      <c r="D352" s="8"/>
      <c r="F352" s="8"/>
      <c r="G352" s="8"/>
      <c r="H352" s="9"/>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row>
    <row r="353">
      <c r="A353" s="8"/>
      <c r="B353" s="8"/>
      <c r="C353" s="33"/>
      <c r="D353" s="8"/>
      <c r="F353" s="8"/>
      <c r="G353" s="8"/>
      <c r="H353" s="9"/>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row>
    <row r="354">
      <c r="A354" s="8"/>
      <c r="B354" s="8"/>
      <c r="C354" s="33"/>
      <c r="D354" s="8"/>
      <c r="F354" s="8"/>
      <c r="G354" s="8"/>
      <c r="H354" s="9"/>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row>
    <row r="355">
      <c r="A355" s="8"/>
      <c r="B355" s="8"/>
      <c r="C355" s="33"/>
      <c r="D355" s="8"/>
      <c r="F355" s="8"/>
      <c r="G355" s="8"/>
      <c r="H355" s="9"/>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row>
    <row r="356">
      <c r="A356" s="8"/>
      <c r="B356" s="8"/>
      <c r="C356" s="33"/>
      <c r="D356" s="8"/>
      <c r="F356" s="8"/>
      <c r="G356" s="8"/>
      <c r="H356" s="9"/>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row>
    <row r="357">
      <c r="A357" s="8"/>
      <c r="B357" s="8"/>
      <c r="C357" s="33"/>
      <c r="D357" s="8"/>
      <c r="F357" s="8"/>
      <c r="G357" s="8"/>
      <c r="H357" s="9"/>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row>
    <row r="358">
      <c r="A358" s="8"/>
      <c r="B358" s="8"/>
      <c r="C358" s="33"/>
      <c r="D358" s="8"/>
      <c r="F358" s="8"/>
      <c r="G358" s="8"/>
      <c r="H358" s="9"/>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row>
    <row r="359">
      <c r="A359" s="8"/>
      <c r="B359" s="8"/>
      <c r="C359" s="33"/>
      <c r="D359" s="8"/>
      <c r="F359" s="8"/>
      <c r="G359" s="8"/>
      <c r="H359" s="9"/>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row>
    <row r="360">
      <c r="A360" s="8"/>
      <c r="B360" s="8"/>
      <c r="C360" s="33"/>
      <c r="D360" s="8"/>
      <c r="F360" s="8"/>
      <c r="G360" s="8"/>
      <c r="H360" s="9"/>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row>
    <row r="361">
      <c r="A361" s="8"/>
      <c r="B361" s="8"/>
      <c r="C361" s="33"/>
      <c r="D361" s="8"/>
      <c r="F361" s="8"/>
      <c r="G361" s="8"/>
      <c r="H361" s="9"/>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row>
    <row r="362">
      <c r="A362" s="8"/>
      <c r="B362" s="8"/>
      <c r="C362" s="33"/>
      <c r="D362" s="8"/>
      <c r="F362" s="8"/>
      <c r="G362" s="8"/>
      <c r="H362" s="9"/>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row>
    <row r="363">
      <c r="A363" s="8"/>
      <c r="B363" s="8"/>
      <c r="C363" s="33"/>
      <c r="D363" s="8"/>
      <c r="F363" s="8"/>
      <c r="G363" s="8"/>
      <c r="H363" s="9"/>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row>
    <row r="364">
      <c r="A364" s="8"/>
      <c r="B364" s="8"/>
      <c r="C364" s="33"/>
      <c r="D364" s="8"/>
      <c r="F364" s="8"/>
      <c r="G364" s="8"/>
      <c r="H364" s="9"/>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row>
    <row r="365">
      <c r="A365" s="8"/>
      <c r="B365" s="8"/>
      <c r="C365" s="33"/>
      <c r="D365" s="8"/>
      <c r="F365" s="8"/>
      <c r="G365" s="8"/>
      <c r="H365" s="9"/>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row>
    <row r="366">
      <c r="A366" s="8"/>
      <c r="B366" s="8"/>
      <c r="C366" s="33"/>
      <c r="D366" s="8"/>
      <c r="F366" s="8"/>
      <c r="G366" s="8"/>
      <c r="H366" s="9"/>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row>
    <row r="367">
      <c r="A367" s="8"/>
      <c r="B367" s="8"/>
      <c r="C367" s="33"/>
      <c r="D367" s="8"/>
      <c r="F367" s="8"/>
      <c r="G367" s="8"/>
      <c r="H367" s="9"/>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row>
    <row r="368">
      <c r="A368" s="8"/>
      <c r="B368" s="8"/>
      <c r="C368" s="33"/>
      <c r="D368" s="8"/>
      <c r="F368" s="8"/>
      <c r="G368" s="8"/>
      <c r="H368" s="9"/>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row>
    <row r="369">
      <c r="A369" s="8"/>
      <c r="B369" s="8"/>
      <c r="C369" s="33"/>
      <c r="D369" s="8"/>
      <c r="F369" s="8"/>
      <c r="G369" s="8"/>
      <c r="H369" s="9"/>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row>
    <row r="370">
      <c r="A370" s="8"/>
      <c r="B370" s="8"/>
      <c r="C370" s="33"/>
      <c r="D370" s="8"/>
      <c r="F370" s="8"/>
      <c r="G370" s="8"/>
      <c r="H370" s="9"/>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row>
    <row r="371">
      <c r="A371" s="8"/>
      <c r="B371" s="8"/>
      <c r="C371" s="33"/>
      <c r="D371" s="8"/>
      <c r="F371" s="8"/>
      <c r="G371" s="8"/>
      <c r="H371" s="9"/>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row>
    <row r="372">
      <c r="A372" s="8"/>
      <c r="B372" s="8"/>
      <c r="C372" s="33"/>
      <c r="D372" s="8"/>
      <c r="F372" s="8"/>
      <c r="G372" s="8"/>
      <c r="H372" s="9"/>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row>
    <row r="373">
      <c r="A373" s="8"/>
      <c r="B373" s="8"/>
      <c r="C373" s="33"/>
      <c r="D373" s="8"/>
      <c r="F373" s="8"/>
      <c r="G373" s="8"/>
      <c r="H373" s="9"/>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row>
    <row r="374">
      <c r="A374" s="8"/>
      <c r="B374" s="8"/>
      <c r="C374" s="33"/>
      <c r="D374" s="8"/>
      <c r="F374" s="8"/>
      <c r="G374" s="8"/>
      <c r="H374" s="9"/>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row>
    <row r="375">
      <c r="A375" s="8"/>
      <c r="B375" s="8"/>
      <c r="C375" s="33"/>
      <c r="D375" s="8"/>
      <c r="F375" s="8"/>
      <c r="G375" s="8"/>
      <c r="H375" s="9"/>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row>
    <row r="376">
      <c r="A376" s="8"/>
      <c r="B376" s="8"/>
      <c r="C376" s="33"/>
      <c r="D376" s="8"/>
      <c r="F376" s="8"/>
      <c r="G376" s="8"/>
      <c r="H376" s="9"/>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row>
    <row r="377">
      <c r="A377" s="8"/>
      <c r="B377" s="8"/>
      <c r="C377" s="33"/>
      <c r="D377" s="8"/>
      <c r="F377" s="8"/>
      <c r="G377" s="8"/>
      <c r="H377" s="9"/>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row>
    <row r="378">
      <c r="A378" s="8"/>
      <c r="B378" s="8"/>
      <c r="C378" s="33"/>
      <c r="D378" s="8"/>
      <c r="F378" s="8"/>
      <c r="G378" s="8"/>
      <c r="H378" s="9"/>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row>
    <row r="379">
      <c r="A379" s="8"/>
      <c r="B379" s="8"/>
      <c r="C379" s="33"/>
      <c r="D379" s="8"/>
      <c r="F379" s="8"/>
      <c r="G379" s="8"/>
      <c r="H379" s="9"/>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row>
    <row r="380">
      <c r="A380" s="8"/>
      <c r="B380" s="8"/>
      <c r="C380" s="33"/>
      <c r="D380" s="8"/>
      <c r="F380" s="8"/>
      <c r="G380" s="8"/>
      <c r="H380" s="9"/>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row>
    <row r="381">
      <c r="A381" s="8"/>
      <c r="B381" s="8"/>
      <c r="C381" s="33"/>
      <c r="D381" s="8"/>
      <c r="F381" s="8"/>
      <c r="G381" s="8"/>
      <c r="H381" s="9"/>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row>
    <row r="382">
      <c r="A382" s="8"/>
      <c r="B382" s="8"/>
      <c r="C382" s="33"/>
      <c r="D382" s="8"/>
      <c r="F382" s="8"/>
      <c r="G382" s="8"/>
      <c r="H382" s="9"/>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row>
    <row r="383">
      <c r="A383" s="8"/>
      <c r="B383" s="8"/>
      <c r="C383" s="33"/>
      <c r="D383" s="8"/>
      <c r="F383" s="8"/>
      <c r="G383" s="8"/>
      <c r="H383" s="9"/>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row>
    <row r="384">
      <c r="A384" s="8"/>
      <c r="B384" s="8"/>
      <c r="C384" s="33"/>
      <c r="D384" s="8"/>
      <c r="F384" s="8"/>
      <c r="G384" s="8"/>
      <c r="H384" s="9"/>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row>
    <row r="385">
      <c r="A385" s="8"/>
      <c r="B385" s="8"/>
      <c r="C385" s="33"/>
      <c r="D385" s="8"/>
      <c r="F385" s="8"/>
      <c r="G385" s="8"/>
      <c r="H385" s="9"/>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row>
    <row r="386">
      <c r="A386" s="8"/>
      <c r="B386" s="8"/>
      <c r="C386" s="33"/>
      <c r="D386" s="8"/>
      <c r="F386" s="8"/>
      <c r="G386" s="8"/>
      <c r="H386" s="9"/>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row>
    <row r="387">
      <c r="A387" s="8"/>
      <c r="B387" s="8"/>
      <c r="C387" s="33"/>
      <c r="D387" s="8"/>
      <c r="F387" s="8"/>
      <c r="G387" s="8"/>
      <c r="H387" s="9"/>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row>
    <row r="388">
      <c r="A388" s="8"/>
      <c r="B388" s="8"/>
      <c r="C388" s="33"/>
      <c r="D388" s="8"/>
      <c r="F388" s="8"/>
      <c r="G388" s="8"/>
      <c r="H388" s="9"/>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row>
    <row r="389">
      <c r="A389" s="8"/>
      <c r="B389" s="8"/>
      <c r="C389" s="33"/>
      <c r="D389" s="8"/>
      <c r="F389" s="8"/>
      <c r="G389" s="8"/>
      <c r="H389" s="9"/>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row>
    <row r="390">
      <c r="A390" s="8"/>
      <c r="B390" s="8"/>
      <c r="C390" s="33"/>
      <c r="D390" s="8"/>
      <c r="F390" s="8"/>
      <c r="G390" s="8"/>
      <c r="H390" s="9"/>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row>
    <row r="391">
      <c r="A391" s="8"/>
      <c r="B391" s="8"/>
      <c r="C391" s="33"/>
      <c r="D391" s="8"/>
      <c r="F391" s="8"/>
      <c r="G391" s="8"/>
      <c r="H391" s="9"/>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row>
    <row r="392">
      <c r="A392" s="8"/>
      <c r="B392" s="8"/>
      <c r="C392" s="33"/>
      <c r="D392" s="8"/>
      <c r="F392" s="8"/>
      <c r="G392" s="8"/>
      <c r="H392" s="9"/>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row>
    <row r="393">
      <c r="A393" s="8"/>
      <c r="B393" s="8"/>
      <c r="C393" s="33"/>
      <c r="D393" s="8"/>
      <c r="F393" s="8"/>
      <c r="G393" s="8"/>
      <c r="H393" s="9"/>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row>
    <row r="394">
      <c r="A394" s="8"/>
      <c r="B394" s="8"/>
      <c r="C394" s="33"/>
      <c r="D394" s="8"/>
      <c r="F394" s="8"/>
      <c r="G394" s="8"/>
      <c r="H394" s="9"/>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row>
    <row r="395">
      <c r="A395" s="8"/>
      <c r="B395" s="8"/>
      <c r="C395" s="33"/>
      <c r="D395" s="8"/>
      <c r="F395" s="8"/>
      <c r="G395" s="8"/>
      <c r="H395" s="9"/>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row>
    <row r="396">
      <c r="A396" s="8"/>
      <c r="B396" s="8"/>
      <c r="C396" s="33"/>
      <c r="D396" s="8"/>
      <c r="F396" s="8"/>
      <c r="G396" s="8"/>
      <c r="H396" s="9"/>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row>
    <row r="397">
      <c r="A397" s="8"/>
      <c r="B397" s="8"/>
      <c r="C397" s="33"/>
      <c r="D397" s="8"/>
      <c r="F397" s="8"/>
      <c r="G397" s="8"/>
      <c r="H397" s="9"/>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row>
    <row r="398">
      <c r="A398" s="8"/>
      <c r="B398" s="8"/>
      <c r="C398" s="33"/>
      <c r="D398" s="8"/>
      <c r="F398" s="8"/>
      <c r="G398" s="8"/>
      <c r="H398" s="9"/>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row>
    <row r="399">
      <c r="A399" s="8"/>
      <c r="B399" s="8"/>
      <c r="C399" s="33"/>
      <c r="D399" s="8"/>
      <c r="F399" s="8"/>
      <c r="G399" s="8"/>
      <c r="H399" s="9"/>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row>
    <row r="400">
      <c r="A400" s="8"/>
      <c r="B400" s="8"/>
      <c r="C400" s="33"/>
      <c r="D400" s="8"/>
      <c r="F400" s="8"/>
      <c r="G400" s="8"/>
      <c r="H400" s="9"/>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row>
    <row r="401">
      <c r="A401" s="8"/>
      <c r="B401" s="8"/>
      <c r="C401" s="33"/>
      <c r="D401" s="8"/>
      <c r="F401" s="8"/>
      <c r="G401" s="8"/>
      <c r="H401" s="9"/>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row>
    <row r="402">
      <c r="A402" s="8"/>
      <c r="B402" s="8"/>
      <c r="C402" s="33"/>
      <c r="D402" s="8"/>
      <c r="F402" s="8"/>
      <c r="G402" s="8"/>
      <c r="H402" s="9"/>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row>
    <row r="403">
      <c r="A403" s="8"/>
      <c r="B403" s="8"/>
      <c r="C403" s="33"/>
      <c r="D403" s="8"/>
      <c r="F403" s="8"/>
      <c r="G403" s="8"/>
      <c r="H403" s="9"/>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row>
    <row r="404">
      <c r="A404" s="8"/>
      <c r="B404" s="8"/>
      <c r="C404" s="33"/>
      <c r="D404" s="8"/>
      <c r="F404" s="8"/>
      <c r="G404" s="8"/>
      <c r="H404" s="9"/>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row>
    <row r="405">
      <c r="A405" s="8"/>
      <c r="B405" s="8"/>
      <c r="C405" s="33"/>
      <c r="D405" s="8"/>
      <c r="F405" s="8"/>
      <c r="G405" s="8"/>
      <c r="H405" s="9"/>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row>
    <row r="406">
      <c r="A406" s="8"/>
      <c r="B406" s="8"/>
      <c r="C406" s="33"/>
      <c r="D406" s="8"/>
      <c r="F406" s="8"/>
      <c r="G406" s="8"/>
      <c r="H406" s="9"/>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row>
    <row r="407">
      <c r="A407" s="8"/>
      <c r="B407" s="8"/>
      <c r="C407" s="33"/>
      <c r="D407" s="8"/>
      <c r="F407" s="8"/>
      <c r="G407" s="8"/>
      <c r="H407" s="9"/>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row>
    <row r="408">
      <c r="A408" s="8"/>
      <c r="B408" s="8"/>
      <c r="C408" s="33"/>
      <c r="D408" s="8"/>
      <c r="F408" s="8"/>
      <c r="G408" s="8"/>
      <c r="H408" s="9"/>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row>
    <row r="409">
      <c r="A409" s="8"/>
      <c r="B409" s="8"/>
      <c r="C409" s="33"/>
      <c r="D409" s="8"/>
      <c r="F409" s="8"/>
      <c r="G409" s="8"/>
      <c r="H409" s="9"/>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row>
    <row r="410">
      <c r="A410" s="8"/>
      <c r="B410" s="8"/>
      <c r="C410" s="33"/>
      <c r="D410" s="8"/>
      <c r="F410" s="8"/>
      <c r="G410" s="8"/>
      <c r="H410" s="9"/>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row>
    <row r="411">
      <c r="A411" s="8"/>
      <c r="B411" s="8"/>
      <c r="C411" s="33"/>
      <c r="D411" s="8"/>
      <c r="F411" s="8"/>
      <c r="G411" s="8"/>
      <c r="H411" s="9"/>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row>
    <row r="412">
      <c r="A412" s="8"/>
      <c r="B412" s="8"/>
      <c r="C412" s="33"/>
      <c r="D412" s="8"/>
      <c r="F412" s="8"/>
      <c r="G412" s="8"/>
      <c r="H412" s="9"/>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row>
    <row r="413">
      <c r="A413" s="8"/>
      <c r="B413" s="8"/>
      <c r="C413" s="33"/>
      <c r="D413" s="8"/>
      <c r="F413" s="8"/>
      <c r="G413" s="8"/>
      <c r="H413" s="9"/>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row>
    <row r="414">
      <c r="A414" s="8"/>
      <c r="B414" s="8"/>
      <c r="C414" s="33"/>
      <c r="D414" s="8"/>
      <c r="F414" s="8"/>
      <c r="G414" s="8"/>
      <c r="H414" s="9"/>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row>
    <row r="415">
      <c r="A415" s="8"/>
      <c r="B415" s="8"/>
      <c r="C415" s="33"/>
      <c r="D415" s="8"/>
      <c r="F415" s="8"/>
      <c r="G415" s="8"/>
      <c r="H415" s="9"/>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row>
    <row r="416">
      <c r="A416" s="8"/>
      <c r="B416" s="8"/>
      <c r="C416" s="33"/>
      <c r="D416" s="8"/>
      <c r="F416" s="8"/>
      <c r="G416" s="8"/>
      <c r="H416" s="9"/>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row>
    <row r="417">
      <c r="A417" s="8"/>
      <c r="B417" s="8"/>
      <c r="C417" s="33"/>
      <c r="D417" s="8"/>
      <c r="F417" s="8"/>
      <c r="G417" s="8"/>
      <c r="H417" s="9"/>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row>
    <row r="418">
      <c r="A418" s="8"/>
      <c r="B418" s="8"/>
      <c r="C418" s="33"/>
      <c r="D418" s="8"/>
      <c r="F418" s="8"/>
      <c r="G418" s="8"/>
      <c r="H418" s="9"/>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row>
    <row r="419">
      <c r="A419" s="8"/>
      <c r="B419" s="8"/>
      <c r="C419" s="33"/>
      <c r="D419" s="8"/>
      <c r="F419" s="8"/>
      <c r="G419" s="8"/>
      <c r="H419" s="9"/>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row>
    <row r="420">
      <c r="A420" s="8"/>
      <c r="B420" s="8"/>
      <c r="C420" s="33"/>
      <c r="D420" s="8"/>
      <c r="F420" s="8"/>
      <c r="G420" s="8"/>
      <c r="H420" s="9"/>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row>
    <row r="421">
      <c r="A421" s="8"/>
      <c r="B421" s="8"/>
      <c r="C421" s="33"/>
      <c r="D421" s="8"/>
      <c r="F421" s="8"/>
      <c r="G421" s="8"/>
      <c r="H421" s="9"/>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row>
    <row r="422">
      <c r="A422" s="8"/>
      <c r="B422" s="8"/>
      <c r="C422" s="33"/>
      <c r="D422" s="8"/>
      <c r="F422" s="8"/>
      <c r="G422" s="8"/>
      <c r="H422" s="9"/>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row>
    <row r="423">
      <c r="A423" s="8"/>
      <c r="B423" s="8"/>
      <c r="C423" s="33"/>
      <c r="D423" s="8"/>
      <c r="F423" s="8"/>
      <c r="G423" s="8"/>
      <c r="H423" s="9"/>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row>
    <row r="424">
      <c r="A424" s="8"/>
      <c r="B424" s="8"/>
      <c r="C424" s="33"/>
      <c r="D424" s="8"/>
      <c r="F424" s="8"/>
      <c r="G424" s="8"/>
      <c r="H424" s="9"/>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row>
    <row r="425">
      <c r="A425" s="8"/>
      <c r="B425" s="8"/>
      <c r="C425" s="33"/>
      <c r="D425" s="8"/>
      <c r="F425" s="8"/>
      <c r="G425" s="8"/>
      <c r="H425" s="9"/>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row>
    <row r="426">
      <c r="A426" s="8"/>
      <c r="B426" s="8"/>
      <c r="C426" s="33"/>
      <c r="D426" s="8"/>
      <c r="F426" s="8"/>
      <c r="G426" s="8"/>
      <c r="H426" s="9"/>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row>
    <row r="427">
      <c r="A427" s="8"/>
      <c r="B427" s="8"/>
      <c r="C427" s="33"/>
      <c r="D427" s="8"/>
      <c r="F427" s="8"/>
      <c r="G427" s="8"/>
      <c r="H427" s="9"/>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row>
    <row r="428">
      <c r="A428" s="8"/>
      <c r="B428" s="8"/>
      <c r="C428" s="33"/>
      <c r="D428" s="8"/>
      <c r="F428" s="8"/>
      <c r="G428" s="8"/>
      <c r="H428" s="9"/>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row>
    <row r="429">
      <c r="A429" s="8"/>
      <c r="B429" s="8"/>
      <c r="C429" s="33"/>
      <c r="D429" s="8"/>
      <c r="F429" s="8"/>
      <c r="G429" s="8"/>
      <c r="H429" s="9"/>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row>
    <row r="430">
      <c r="A430" s="8"/>
      <c r="B430" s="8"/>
      <c r="C430" s="33"/>
      <c r="D430" s="8"/>
      <c r="F430" s="8"/>
      <c r="G430" s="8"/>
      <c r="H430" s="9"/>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row>
    <row r="431">
      <c r="A431" s="8"/>
      <c r="B431" s="8"/>
      <c r="C431" s="33"/>
      <c r="D431" s="8"/>
      <c r="F431" s="8"/>
      <c r="G431" s="8"/>
      <c r="H431" s="9"/>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row>
    <row r="432">
      <c r="A432" s="8"/>
      <c r="B432" s="8"/>
      <c r="C432" s="33"/>
      <c r="D432" s="8"/>
      <c r="F432" s="8"/>
      <c r="G432" s="8"/>
      <c r="H432" s="9"/>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row>
    <row r="433">
      <c r="A433" s="8"/>
      <c r="B433" s="8"/>
      <c r="C433" s="33"/>
      <c r="D433" s="8"/>
      <c r="F433" s="8"/>
      <c r="G433" s="8"/>
      <c r="H433" s="9"/>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row>
    <row r="434">
      <c r="A434" s="8"/>
      <c r="B434" s="8"/>
      <c r="C434" s="33"/>
      <c r="D434" s="8"/>
      <c r="F434" s="8"/>
      <c r="G434" s="8"/>
      <c r="H434" s="9"/>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row>
    <row r="435">
      <c r="A435" s="8"/>
      <c r="B435" s="8"/>
      <c r="C435" s="33"/>
      <c r="D435" s="8"/>
      <c r="F435" s="8"/>
      <c r="G435" s="8"/>
      <c r="H435" s="9"/>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row>
    <row r="436">
      <c r="A436" s="8"/>
      <c r="B436" s="8"/>
      <c r="C436" s="33"/>
      <c r="D436" s="8"/>
      <c r="F436" s="8"/>
      <c r="G436" s="8"/>
      <c r="H436" s="9"/>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row>
    <row r="437">
      <c r="A437" s="8"/>
      <c r="B437" s="8"/>
      <c r="C437" s="33"/>
      <c r="D437" s="8"/>
      <c r="F437" s="8"/>
      <c r="G437" s="8"/>
      <c r="H437" s="9"/>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row>
    <row r="438">
      <c r="A438" s="8"/>
      <c r="B438" s="8"/>
      <c r="C438" s="33"/>
      <c r="D438" s="8"/>
      <c r="F438" s="8"/>
      <c r="G438" s="8"/>
      <c r="H438" s="9"/>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row>
    <row r="439">
      <c r="A439" s="8"/>
      <c r="B439" s="8"/>
      <c r="C439" s="33"/>
      <c r="D439" s="8"/>
      <c r="F439" s="8"/>
      <c r="G439" s="8"/>
      <c r="H439" s="9"/>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row>
    <row r="440">
      <c r="A440" s="8"/>
      <c r="B440" s="8"/>
      <c r="C440" s="33"/>
      <c r="D440" s="8"/>
      <c r="F440" s="8"/>
      <c r="G440" s="8"/>
      <c r="H440" s="9"/>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row>
    <row r="441">
      <c r="A441" s="8"/>
      <c r="B441" s="8"/>
      <c r="C441" s="33"/>
      <c r="D441" s="8"/>
      <c r="F441" s="8"/>
      <c r="G441" s="8"/>
      <c r="H441" s="9"/>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row>
    <row r="442">
      <c r="A442" s="8"/>
      <c r="B442" s="8"/>
      <c r="C442" s="33"/>
      <c r="D442" s="8"/>
      <c r="F442" s="8"/>
      <c r="G442" s="8"/>
      <c r="H442" s="9"/>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row>
    <row r="443">
      <c r="A443" s="8"/>
      <c r="B443" s="8"/>
      <c r="C443" s="33"/>
      <c r="D443" s="8"/>
      <c r="F443" s="8"/>
      <c r="G443" s="8"/>
      <c r="H443" s="9"/>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row>
    <row r="444">
      <c r="A444" s="8"/>
      <c r="B444" s="8"/>
      <c r="C444" s="33"/>
      <c r="D444" s="8"/>
      <c r="F444" s="8"/>
      <c r="G444" s="8"/>
      <c r="H444" s="9"/>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row>
    <row r="445">
      <c r="A445" s="8"/>
      <c r="B445" s="8"/>
      <c r="C445" s="33"/>
      <c r="D445" s="8"/>
      <c r="F445" s="8"/>
      <c r="G445" s="8"/>
      <c r="H445" s="9"/>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row>
    <row r="446">
      <c r="A446" s="8"/>
      <c r="B446" s="8"/>
      <c r="C446" s="33"/>
      <c r="D446" s="8"/>
      <c r="F446" s="8"/>
      <c r="G446" s="8"/>
      <c r="H446" s="9"/>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row>
    <row r="447">
      <c r="A447" s="8"/>
      <c r="B447" s="8"/>
      <c r="C447" s="33"/>
      <c r="D447" s="8"/>
      <c r="F447" s="8"/>
      <c r="G447" s="8"/>
      <c r="H447" s="9"/>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row>
    <row r="448">
      <c r="A448" s="8"/>
      <c r="B448" s="8"/>
      <c r="C448" s="33"/>
      <c r="D448" s="8"/>
      <c r="F448" s="8"/>
      <c r="G448" s="8"/>
      <c r="H448" s="9"/>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row>
    <row r="449">
      <c r="A449" s="8"/>
      <c r="B449" s="8"/>
      <c r="C449" s="33"/>
      <c r="D449" s="8"/>
      <c r="F449" s="8"/>
      <c r="G449" s="8"/>
      <c r="H449" s="9"/>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row>
    <row r="450">
      <c r="A450" s="8"/>
      <c r="B450" s="8"/>
      <c r="C450" s="33"/>
      <c r="D450" s="8"/>
      <c r="F450" s="8"/>
      <c r="G450" s="8"/>
      <c r="H450" s="9"/>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row>
    <row r="451">
      <c r="A451" s="8"/>
      <c r="B451" s="8"/>
      <c r="C451" s="33"/>
      <c r="D451" s="8"/>
      <c r="F451" s="8"/>
      <c r="G451" s="8"/>
      <c r="H451" s="9"/>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row>
    <row r="452">
      <c r="A452" s="8"/>
      <c r="B452" s="8"/>
      <c r="C452" s="33"/>
      <c r="D452" s="8"/>
      <c r="F452" s="8"/>
      <c r="G452" s="8"/>
      <c r="H452" s="9"/>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row>
    <row r="453">
      <c r="A453" s="8"/>
      <c r="B453" s="8"/>
      <c r="C453" s="33"/>
      <c r="D453" s="8"/>
      <c r="F453" s="8"/>
      <c r="G453" s="8"/>
      <c r="H453" s="9"/>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row>
    <row r="454">
      <c r="A454" s="8"/>
      <c r="B454" s="8"/>
      <c r="C454" s="33"/>
      <c r="D454" s="8"/>
      <c r="F454" s="8"/>
      <c r="G454" s="8"/>
      <c r="H454" s="9"/>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row>
    <row r="455">
      <c r="A455" s="8"/>
      <c r="B455" s="8"/>
      <c r="C455" s="33"/>
      <c r="D455" s="8"/>
      <c r="F455" s="8"/>
      <c r="G455" s="8"/>
      <c r="H455" s="9"/>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row>
    <row r="456">
      <c r="A456" s="8"/>
      <c r="B456" s="8"/>
      <c r="C456" s="33"/>
      <c r="D456" s="8"/>
      <c r="F456" s="8"/>
      <c r="G456" s="8"/>
      <c r="H456" s="9"/>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row>
    <row r="457">
      <c r="A457" s="8"/>
      <c r="B457" s="8"/>
      <c r="C457" s="33"/>
      <c r="D457" s="8"/>
      <c r="F457" s="8"/>
      <c r="G457" s="8"/>
      <c r="H457" s="9"/>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row>
    <row r="458">
      <c r="A458" s="8"/>
      <c r="B458" s="8"/>
      <c r="C458" s="33"/>
      <c r="D458" s="8"/>
      <c r="F458" s="8"/>
      <c r="G458" s="8"/>
      <c r="H458" s="9"/>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row>
    <row r="459">
      <c r="A459" s="8"/>
      <c r="B459" s="8"/>
      <c r="C459" s="33"/>
      <c r="D459" s="8"/>
      <c r="F459" s="8"/>
      <c r="G459" s="8"/>
      <c r="H459" s="9"/>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row>
    <row r="460">
      <c r="A460" s="8"/>
      <c r="B460" s="8"/>
      <c r="C460" s="33"/>
      <c r="D460" s="8"/>
      <c r="F460" s="8"/>
      <c r="G460" s="8"/>
      <c r="H460" s="9"/>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row>
    <row r="461">
      <c r="A461" s="8"/>
      <c r="B461" s="8"/>
      <c r="C461" s="33"/>
      <c r="D461" s="8"/>
      <c r="F461" s="8"/>
      <c r="G461" s="8"/>
      <c r="H461" s="9"/>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row>
    <row r="462">
      <c r="A462" s="8"/>
      <c r="B462" s="8"/>
      <c r="C462" s="33"/>
      <c r="D462" s="8"/>
      <c r="F462" s="8"/>
      <c r="G462" s="8"/>
      <c r="H462" s="9"/>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row>
    <row r="463">
      <c r="A463" s="8"/>
      <c r="B463" s="8"/>
      <c r="C463" s="33"/>
      <c r="D463" s="8"/>
      <c r="F463" s="8"/>
      <c r="G463" s="8"/>
      <c r="H463" s="9"/>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row>
    <row r="464">
      <c r="A464" s="8"/>
      <c r="B464" s="8"/>
      <c r="C464" s="33"/>
      <c r="D464" s="8"/>
      <c r="F464" s="8"/>
      <c r="G464" s="8"/>
      <c r="H464" s="9"/>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row>
    <row r="465">
      <c r="A465" s="8"/>
      <c r="B465" s="8"/>
      <c r="C465" s="33"/>
      <c r="D465" s="8"/>
      <c r="F465" s="8"/>
      <c r="G465" s="8"/>
      <c r="H465" s="9"/>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row>
    <row r="466">
      <c r="A466" s="8"/>
      <c r="B466" s="8"/>
      <c r="C466" s="33"/>
      <c r="D466" s="8"/>
      <c r="F466" s="8"/>
      <c r="G466" s="8"/>
      <c r="H466" s="9"/>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row>
    <row r="467">
      <c r="A467" s="8"/>
      <c r="B467" s="8"/>
      <c r="C467" s="33"/>
      <c r="D467" s="8"/>
      <c r="F467" s="8"/>
      <c r="G467" s="8"/>
      <c r="H467" s="9"/>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row>
    <row r="468">
      <c r="A468" s="8"/>
      <c r="B468" s="8"/>
      <c r="C468" s="33"/>
      <c r="D468" s="8"/>
      <c r="F468" s="8"/>
      <c r="G468" s="8"/>
      <c r="H468" s="9"/>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row>
    <row r="469">
      <c r="A469" s="8"/>
      <c r="B469" s="8"/>
      <c r="C469" s="33"/>
      <c r="D469" s="8"/>
      <c r="F469" s="8"/>
      <c r="G469" s="8"/>
      <c r="H469" s="9"/>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row>
    <row r="470">
      <c r="A470" s="8"/>
      <c r="B470" s="8"/>
      <c r="C470" s="33"/>
      <c r="D470" s="8"/>
      <c r="F470" s="8"/>
      <c r="G470" s="8"/>
      <c r="H470" s="9"/>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row>
    <row r="471">
      <c r="A471" s="8"/>
      <c r="B471" s="8"/>
      <c r="C471" s="33"/>
      <c r="D471" s="8"/>
      <c r="F471" s="8"/>
      <c r="G471" s="8"/>
      <c r="H471" s="9"/>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row>
    <row r="472">
      <c r="A472" s="8"/>
      <c r="B472" s="8"/>
      <c r="C472" s="33"/>
      <c r="D472" s="8"/>
      <c r="F472" s="8"/>
      <c r="G472" s="8"/>
      <c r="H472" s="9"/>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row>
    <row r="473">
      <c r="A473" s="8"/>
      <c r="B473" s="8"/>
      <c r="C473" s="33"/>
      <c r="D473" s="8"/>
      <c r="F473" s="8"/>
      <c r="G473" s="8"/>
      <c r="H473" s="9"/>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row>
    <row r="474">
      <c r="A474" s="8"/>
      <c r="B474" s="8"/>
      <c r="C474" s="33"/>
      <c r="D474" s="8"/>
      <c r="F474" s="8"/>
      <c r="G474" s="8"/>
      <c r="H474" s="9"/>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row>
    <row r="475">
      <c r="A475" s="8"/>
      <c r="B475" s="8"/>
      <c r="C475" s="33"/>
      <c r="D475" s="8"/>
      <c r="F475" s="8"/>
      <c r="G475" s="8"/>
      <c r="H475" s="9"/>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row>
    <row r="476">
      <c r="A476" s="8"/>
      <c r="B476" s="8"/>
      <c r="C476" s="33"/>
      <c r="D476" s="8"/>
      <c r="F476" s="8"/>
      <c r="G476" s="8"/>
      <c r="H476" s="9"/>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row>
    <row r="477">
      <c r="A477" s="8"/>
      <c r="B477" s="8"/>
      <c r="C477" s="33"/>
      <c r="D477" s="8"/>
      <c r="F477" s="8"/>
      <c r="G477" s="8"/>
      <c r="H477" s="9"/>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row>
    <row r="478">
      <c r="A478" s="8"/>
      <c r="B478" s="8"/>
      <c r="C478" s="33"/>
      <c r="D478" s="8"/>
      <c r="F478" s="8"/>
      <c r="G478" s="8"/>
      <c r="H478" s="9"/>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row>
    <row r="479">
      <c r="A479" s="8"/>
      <c r="B479" s="8"/>
      <c r="C479" s="33"/>
      <c r="D479" s="8"/>
      <c r="F479" s="8"/>
      <c r="G479" s="8"/>
      <c r="H479" s="9"/>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row>
    <row r="480">
      <c r="A480" s="8"/>
      <c r="B480" s="8"/>
      <c r="C480" s="33"/>
      <c r="D480" s="8"/>
      <c r="F480" s="8"/>
      <c r="G480" s="8"/>
      <c r="H480" s="9"/>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row>
    <row r="481">
      <c r="A481" s="8"/>
      <c r="B481" s="8"/>
      <c r="C481" s="33"/>
      <c r="D481" s="8"/>
      <c r="F481" s="8"/>
      <c r="G481" s="8"/>
      <c r="H481" s="9"/>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row>
    <row r="482">
      <c r="A482" s="8"/>
      <c r="B482" s="8"/>
      <c r="C482" s="33"/>
      <c r="D482" s="8"/>
      <c r="F482" s="8"/>
      <c r="G482" s="8"/>
      <c r="H482" s="9"/>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row>
    <row r="483">
      <c r="A483" s="8"/>
      <c r="B483" s="8"/>
      <c r="C483" s="33"/>
      <c r="D483" s="8"/>
      <c r="F483" s="8"/>
      <c r="G483" s="8"/>
      <c r="H483" s="9"/>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row>
    <row r="484">
      <c r="A484" s="8"/>
      <c r="B484" s="8"/>
      <c r="C484" s="33"/>
      <c r="D484" s="8"/>
      <c r="F484" s="8"/>
      <c r="G484" s="8"/>
      <c r="H484" s="9"/>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row>
    <row r="485">
      <c r="A485" s="8"/>
      <c r="B485" s="8"/>
      <c r="C485" s="33"/>
      <c r="D485" s="8"/>
      <c r="F485" s="8"/>
      <c r="G485" s="8"/>
      <c r="H485" s="9"/>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row>
    <row r="486">
      <c r="A486" s="8"/>
      <c r="B486" s="8"/>
      <c r="C486" s="33"/>
      <c r="D486" s="8"/>
      <c r="F486" s="8"/>
      <c r="G486" s="8"/>
      <c r="H486" s="9"/>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row>
    <row r="487">
      <c r="A487" s="8"/>
      <c r="B487" s="8"/>
      <c r="C487" s="33"/>
      <c r="D487" s="8"/>
      <c r="F487" s="8"/>
      <c r="G487" s="8"/>
      <c r="H487" s="9"/>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row>
    <row r="488">
      <c r="A488" s="8"/>
      <c r="B488" s="8"/>
      <c r="C488" s="33"/>
      <c r="D488" s="8"/>
      <c r="F488" s="8"/>
      <c r="G488" s="8"/>
      <c r="H488" s="9"/>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row>
    <row r="489">
      <c r="A489" s="8"/>
      <c r="B489" s="8"/>
      <c r="C489" s="33"/>
      <c r="D489" s="8"/>
      <c r="F489" s="8"/>
      <c r="G489" s="8"/>
      <c r="H489" s="9"/>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row>
    <row r="490">
      <c r="A490" s="8"/>
      <c r="B490" s="8"/>
      <c r="C490" s="33"/>
      <c r="D490" s="8"/>
      <c r="F490" s="8"/>
      <c r="G490" s="8"/>
      <c r="H490" s="9"/>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row>
    <row r="491">
      <c r="A491" s="8"/>
      <c r="B491" s="8"/>
      <c r="C491" s="33"/>
      <c r="D491" s="8"/>
      <c r="F491" s="8"/>
      <c r="G491" s="8"/>
      <c r="H491" s="9"/>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row>
    <row r="492">
      <c r="A492" s="8"/>
      <c r="B492" s="8"/>
      <c r="C492" s="33"/>
      <c r="D492" s="8"/>
      <c r="F492" s="8"/>
      <c r="G492" s="8"/>
      <c r="H492" s="9"/>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row>
    <row r="493">
      <c r="A493" s="8"/>
      <c r="B493" s="8"/>
      <c r="C493" s="33"/>
      <c r="D493" s="8"/>
      <c r="F493" s="8"/>
      <c r="G493" s="8"/>
      <c r="H493" s="9"/>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row>
    <row r="494">
      <c r="A494" s="8"/>
      <c r="B494" s="8"/>
      <c r="C494" s="33"/>
      <c r="D494" s="8"/>
      <c r="F494" s="8"/>
      <c r="G494" s="8"/>
      <c r="H494" s="9"/>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row>
    <row r="495">
      <c r="A495" s="8"/>
      <c r="B495" s="8"/>
      <c r="C495" s="33"/>
      <c r="D495" s="8"/>
      <c r="F495" s="8"/>
      <c r="G495" s="8"/>
      <c r="H495" s="9"/>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row>
    <row r="496">
      <c r="A496" s="8"/>
      <c r="B496" s="8"/>
      <c r="C496" s="33"/>
      <c r="D496" s="8"/>
      <c r="F496" s="8"/>
      <c r="G496" s="8"/>
      <c r="H496" s="9"/>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row>
    <row r="497">
      <c r="A497" s="8"/>
      <c r="B497" s="8"/>
      <c r="C497" s="33"/>
      <c r="D497" s="8"/>
      <c r="F497" s="8"/>
      <c r="G497" s="8"/>
      <c r="H497" s="9"/>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row>
    <row r="498">
      <c r="A498" s="8"/>
      <c r="B498" s="8"/>
      <c r="C498" s="33"/>
      <c r="D498" s="8"/>
      <c r="F498" s="8"/>
      <c r="G498" s="8"/>
      <c r="H498" s="9"/>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row>
    <row r="499">
      <c r="A499" s="8"/>
      <c r="B499" s="8"/>
      <c r="C499" s="33"/>
      <c r="D499" s="8"/>
      <c r="F499" s="8"/>
      <c r="G499" s="8"/>
      <c r="H499" s="9"/>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row>
    <row r="500">
      <c r="A500" s="8"/>
      <c r="B500" s="8"/>
      <c r="C500" s="33"/>
      <c r="D500" s="8"/>
      <c r="F500" s="8"/>
      <c r="G500" s="8"/>
      <c r="H500" s="9"/>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row>
    <row r="501">
      <c r="A501" s="8"/>
      <c r="B501" s="8"/>
      <c r="C501" s="33"/>
      <c r="D501" s="8"/>
      <c r="F501" s="8"/>
      <c r="G501" s="8"/>
      <c r="H501" s="9"/>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row>
    <row r="502">
      <c r="A502" s="8"/>
      <c r="B502" s="8"/>
      <c r="C502" s="33"/>
      <c r="D502" s="8"/>
      <c r="F502" s="8"/>
      <c r="G502" s="8"/>
      <c r="H502" s="9"/>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row>
    <row r="503">
      <c r="A503" s="8"/>
      <c r="B503" s="8"/>
      <c r="C503" s="33"/>
      <c r="D503" s="8"/>
      <c r="F503" s="8"/>
      <c r="G503" s="8"/>
      <c r="H503" s="9"/>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row>
    <row r="504">
      <c r="A504" s="8"/>
      <c r="B504" s="8"/>
      <c r="C504" s="33"/>
      <c r="D504" s="8"/>
      <c r="F504" s="8"/>
      <c r="G504" s="8"/>
      <c r="H504" s="9"/>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row>
    <row r="505">
      <c r="A505" s="8"/>
      <c r="B505" s="8"/>
      <c r="C505" s="33"/>
      <c r="D505" s="8"/>
      <c r="F505" s="8"/>
      <c r="G505" s="8"/>
      <c r="H505" s="9"/>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row>
    <row r="506">
      <c r="A506" s="8"/>
      <c r="B506" s="8"/>
      <c r="C506" s="33"/>
      <c r="D506" s="8"/>
      <c r="F506" s="8"/>
      <c r="G506" s="8"/>
      <c r="H506" s="9"/>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row>
    <row r="507">
      <c r="A507" s="8"/>
      <c r="B507" s="8"/>
      <c r="C507" s="33"/>
      <c r="D507" s="8"/>
      <c r="F507" s="8"/>
      <c r="G507" s="8"/>
      <c r="H507" s="9"/>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row>
    <row r="508">
      <c r="A508" s="8"/>
      <c r="B508" s="8"/>
      <c r="C508" s="33"/>
      <c r="D508" s="8"/>
      <c r="F508" s="8"/>
      <c r="G508" s="8"/>
      <c r="H508" s="9"/>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row>
    <row r="509">
      <c r="A509" s="8"/>
      <c r="B509" s="8"/>
      <c r="C509" s="33"/>
      <c r="D509" s="8"/>
      <c r="F509" s="8"/>
      <c r="G509" s="8"/>
      <c r="H509" s="9"/>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row>
    <row r="510">
      <c r="A510" s="8"/>
      <c r="B510" s="8"/>
      <c r="C510" s="33"/>
      <c r="D510" s="8"/>
      <c r="F510" s="8"/>
      <c r="G510" s="8"/>
      <c r="H510" s="9"/>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row>
    <row r="511">
      <c r="A511" s="8"/>
      <c r="B511" s="8"/>
      <c r="C511" s="33"/>
      <c r="D511" s="8"/>
      <c r="F511" s="8"/>
      <c r="G511" s="8"/>
      <c r="H511" s="9"/>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row>
    <row r="512">
      <c r="A512" s="8"/>
      <c r="B512" s="8"/>
      <c r="C512" s="33"/>
      <c r="D512" s="8"/>
      <c r="F512" s="8"/>
      <c r="G512" s="8"/>
      <c r="H512" s="9"/>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row>
    <row r="513">
      <c r="A513" s="8"/>
      <c r="B513" s="8"/>
      <c r="C513" s="33"/>
      <c r="D513" s="8"/>
      <c r="F513" s="8"/>
      <c r="G513" s="8"/>
      <c r="H513" s="9"/>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row>
    <row r="514">
      <c r="A514" s="8"/>
      <c r="B514" s="8"/>
      <c r="C514" s="33"/>
      <c r="D514" s="8"/>
      <c r="F514" s="8"/>
      <c r="G514" s="8"/>
      <c r="H514" s="9"/>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row>
    <row r="515">
      <c r="A515" s="8"/>
      <c r="B515" s="8"/>
      <c r="C515" s="33"/>
      <c r="D515" s="8"/>
      <c r="F515" s="8"/>
      <c r="G515" s="8"/>
      <c r="H515" s="9"/>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row>
    <row r="516">
      <c r="A516" s="8"/>
      <c r="B516" s="8"/>
      <c r="C516" s="33"/>
      <c r="D516" s="8"/>
      <c r="F516" s="8"/>
      <c r="G516" s="8"/>
      <c r="H516" s="9"/>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row>
    <row r="517">
      <c r="A517" s="8"/>
      <c r="B517" s="8"/>
      <c r="C517" s="33"/>
      <c r="D517" s="8"/>
      <c r="F517" s="8"/>
      <c r="G517" s="8"/>
      <c r="H517" s="9"/>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row>
    <row r="518">
      <c r="A518" s="8"/>
      <c r="B518" s="8"/>
      <c r="C518" s="33"/>
      <c r="D518" s="8"/>
      <c r="F518" s="8"/>
      <c r="G518" s="8"/>
      <c r="H518" s="9"/>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row>
    <row r="519">
      <c r="A519" s="8"/>
      <c r="B519" s="8"/>
      <c r="C519" s="33"/>
      <c r="D519" s="8"/>
      <c r="F519" s="8"/>
      <c r="G519" s="8"/>
      <c r="H519" s="9"/>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row>
    <row r="520">
      <c r="A520" s="8"/>
      <c r="B520" s="8"/>
      <c r="C520" s="33"/>
      <c r="D520" s="8"/>
      <c r="F520" s="8"/>
      <c r="G520" s="8"/>
      <c r="H520" s="9"/>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row>
    <row r="521">
      <c r="A521" s="8"/>
      <c r="B521" s="8"/>
      <c r="C521" s="33"/>
      <c r="D521" s="8"/>
      <c r="F521" s="8"/>
      <c r="G521" s="8"/>
      <c r="H521" s="9"/>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row>
    <row r="522">
      <c r="A522" s="8"/>
      <c r="B522" s="8"/>
      <c r="C522" s="33"/>
      <c r="D522" s="8"/>
      <c r="F522" s="8"/>
      <c r="G522" s="8"/>
      <c r="H522" s="9"/>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row>
    <row r="523">
      <c r="A523" s="8"/>
      <c r="B523" s="8"/>
      <c r="C523" s="33"/>
      <c r="D523" s="8"/>
      <c r="F523" s="8"/>
      <c r="G523" s="8"/>
      <c r="H523" s="9"/>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row>
    <row r="524">
      <c r="A524" s="8"/>
      <c r="B524" s="8"/>
      <c r="C524" s="33"/>
      <c r="D524" s="8"/>
      <c r="F524" s="8"/>
      <c r="G524" s="8"/>
      <c r="H524" s="9"/>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row>
    <row r="525">
      <c r="A525" s="8"/>
      <c r="B525" s="8"/>
      <c r="C525" s="33"/>
      <c r="D525" s="8"/>
      <c r="F525" s="8"/>
      <c r="G525" s="8"/>
      <c r="H525" s="9"/>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row>
    <row r="526">
      <c r="A526" s="8"/>
      <c r="B526" s="8"/>
      <c r="C526" s="33"/>
      <c r="D526" s="8"/>
      <c r="F526" s="8"/>
      <c r="G526" s="8"/>
      <c r="H526" s="9"/>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row>
    <row r="527">
      <c r="A527" s="8"/>
      <c r="B527" s="8"/>
      <c r="C527" s="33"/>
      <c r="D527" s="8"/>
      <c r="F527" s="8"/>
      <c r="G527" s="8"/>
      <c r="H527" s="9"/>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row>
    <row r="528">
      <c r="A528" s="8"/>
      <c r="B528" s="8"/>
      <c r="C528" s="33"/>
      <c r="D528" s="8"/>
      <c r="F528" s="8"/>
      <c r="G528" s="8"/>
      <c r="H528" s="9"/>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row>
    <row r="529">
      <c r="A529" s="8"/>
      <c r="B529" s="8"/>
      <c r="C529" s="33"/>
      <c r="D529" s="8"/>
      <c r="F529" s="8"/>
      <c r="G529" s="8"/>
      <c r="H529" s="9"/>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row>
    <row r="530">
      <c r="A530" s="8"/>
      <c r="B530" s="8"/>
      <c r="C530" s="33"/>
      <c r="D530" s="8"/>
      <c r="F530" s="8"/>
      <c r="G530" s="8"/>
      <c r="H530" s="9"/>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row>
    <row r="531">
      <c r="A531" s="8"/>
      <c r="B531" s="8"/>
      <c r="C531" s="33"/>
      <c r="D531" s="8"/>
      <c r="F531" s="8"/>
      <c r="G531" s="8"/>
      <c r="H531" s="9"/>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row>
    <row r="532">
      <c r="A532" s="8"/>
      <c r="B532" s="8"/>
      <c r="C532" s="33"/>
      <c r="D532" s="8"/>
      <c r="F532" s="8"/>
      <c r="G532" s="8"/>
      <c r="H532" s="9"/>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row>
    <row r="533">
      <c r="A533" s="8"/>
      <c r="B533" s="8"/>
      <c r="C533" s="33"/>
      <c r="D533" s="8"/>
      <c r="F533" s="8"/>
      <c r="G533" s="8"/>
      <c r="H533" s="9"/>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row>
    <row r="534">
      <c r="A534" s="8"/>
      <c r="B534" s="8"/>
      <c r="C534" s="33"/>
      <c r="D534" s="8"/>
      <c r="F534" s="8"/>
      <c r="G534" s="8"/>
      <c r="H534" s="9"/>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row>
    <row r="535">
      <c r="A535" s="8"/>
      <c r="B535" s="8"/>
      <c r="C535" s="33"/>
      <c r="D535" s="8"/>
      <c r="F535" s="8"/>
      <c r="G535" s="8"/>
      <c r="H535" s="9"/>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row>
    <row r="536">
      <c r="A536" s="8"/>
      <c r="B536" s="8"/>
      <c r="C536" s="33"/>
      <c r="D536" s="8"/>
      <c r="F536" s="8"/>
      <c r="G536" s="8"/>
      <c r="H536" s="9"/>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row>
    <row r="537">
      <c r="A537" s="8"/>
      <c r="B537" s="8"/>
      <c r="C537" s="33"/>
      <c r="D537" s="8"/>
      <c r="F537" s="8"/>
      <c r="G537" s="8"/>
      <c r="H537" s="9"/>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row>
    <row r="538">
      <c r="A538" s="8"/>
      <c r="B538" s="8"/>
      <c r="C538" s="33"/>
      <c r="D538" s="8"/>
      <c r="F538" s="8"/>
      <c r="G538" s="8"/>
      <c r="H538" s="9"/>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row>
    <row r="539">
      <c r="A539" s="8"/>
      <c r="B539" s="8"/>
      <c r="C539" s="33"/>
      <c r="D539" s="8"/>
      <c r="F539" s="8"/>
      <c r="G539" s="8"/>
      <c r="H539" s="9"/>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row>
    <row r="540">
      <c r="A540" s="8"/>
      <c r="B540" s="8"/>
      <c r="C540" s="33"/>
      <c r="D540" s="8"/>
      <c r="F540" s="8"/>
      <c r="G540" s="8"/>
      <c r="H540" s="9"/>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row>
    <row r="541">
      <c r="A541" s="8"/>
      <c r="B541" s="8"/>
      <c r="C541" s="33"/>
      <c r="D541" s="8"/>
      <c r="F541" s="8"/>
      <c r="G541" s="8"/>
      <c r="H541" s="9"/>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row>
    <row r="542">
      <c r="A542" s="8"/>
      <c r="B542" s="8"/>
      <c r="C542" s="33"/>
      <c r="D542" s="8"/>
      <c r="F542" s="8"/>
      <c r="G542" s="8"/>
      <c r="H542" s="9"/>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row>
    <row r="543">
      <c r="A543" s="8"/>
      <c r="B543" s="8"/>
      <c r="C543" s="33"/>
      <c r="D543" s="8"/>
      <c r="F543" s="8"/>
      <c r="G543" s="8"/>
      <c r="H543" s="9"/>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row>
    <row r="544">
      <c r="A544" s="8"/>
      <c r="B544" s="8"/>
      <c r="C544" s="33"/>
      <c r="D544" s="8"/>
      <c r="F544" s="8"/>
      <c r="G544" s="8"/>
      <c r="H544" s="9"/>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row>
    <row r="545">
      <c r="A545" s="8"/>
      <c r="B545" s="8"/>
      <c r="C545" s="33"/>
      <c r="D545" s="8"/>
      <c r="F545" s="8"/>
      <c r="G545" s="8"/>
      <c r="H545" s="9"/>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row>
    <row r="546">
      <c r="A546" s="8"/>
      <c r="B546" s="8"/>
      <c r="C546" s="33"/>
      <c r="D546" s="8"/>
      <c r="F546" s="8"/>
      <c r="G546" s="8"/>
      <c r="H546" s="9"/>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row>
    <row r="547">
      <c r="A547" s="8"/>
      <c r="B547" s="8"/>
      <c r="C547" s="33"/>
      <c r="D547" s="8"/>
      <c r="F547" s="8"/>
      <c r="G547" s="8"/>
      <c r="H547" s="9"/>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row>
    <row r="548">
      <c r="A548" s="8"/>
      <c r="B548" s="8"/>
      <c r="C548" s="33"/>
      <c r="D548" s="8"/>
      <c r="F548" s="8"/>
      <c r="G548" s="8"/>
      <c r="H548" s="9"/>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row>
    <row r="549">
      <c r="A549" s="8"/>
      <c r="B549" s="8"/>
      <c r="C549" s="33"/>
      <c r="D549" s="8"/>
      <c r="F549" s="8"/>
      <c r="G549" s="8"/>
      <c r="H549" s="9"/>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row>
    <row r="550">
      <c r="A550" s="8"/>
      <c r="B550" s="8"/>
      <c r="C550" s="33"/>
      <c r="D550" s="8"/>
      <c r="F550" s="8"/>
      <c r="G550" s="8"/>
      <c r="H550" s="9"/>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row>
    <row r="551">
      <c r="A551" s="8"/>
      <c r="B551" s="8"/>
      <c r="C551" s="33"/>
      <c r="D551" s="8"/>
      <c r="F551" s="8"/>
      <c r="G551" s="8"/>
      <c r="H551" s="9"/>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row>
    <row r="552">
      <c r="A552" s="8"/>
      <c r="B552" s="8"/>
      <c r="C552" s="33"/>
      <c r="D552" s="8"/>
      <c r="F552" s="8"/>
      <c r="G552" s="8"/>
      <c r="H552" s="9"/>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row>
    <row r="553">
      <c r="A553" s="8"/>
      <c r="B553" s="8"/>
      <c r="C553" s="33"/>
      <c r="D553" s="8"/>
      <c r="F553" s="8"/>
      <c r="G553" s="8"/>
      <c r="H553" s="9"/>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row>
    <row r="554">
      <c r="A554" s="8"/>
      <c r="B554" s="8"/>
      <c r="C554" s="33"/>
      <c r="D554" s="8"/>
      <c r="F554" s="8"/>
      <c r="G554" s="8"/>
      <c r="H554" s="9"/>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row>
    <row r="555">
      <c r="A555" s="8"/>
      <c r="B555" s="8"/>
      <c r="C555" s="33"/>
      <c r="D555" s="8"/>
      <c r="F555" s="8"/>
      <c r="G555" s="8"/>
      <c r="H555" s="9"/>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row>
    <row r="556">
      <c r="A556" s="8"/>
      <c r="B556" s="8"/>
      <c r="C556" s="33"/>
      <c r="D556" s="8"/>
      <c r="F556" s="8"/>
      <c r="G556" s="8"/>
      <c r="H556" s="9"/>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row>
    <row r="557">
      <c r="A557" s="8"/>
      <c r="B557" s="8"/>
      <c r="C557" s="33"/>
      <c r="D557" s="8"/>
      <c r="F557" s="8"/>
      <c r="G557" s="8"/>
      <c r="H557" s="9"/>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row>
    <row r="558">
      <c r="A558" s="8"/>
      <c r="B558" s="8"/>
      <c r="C558" s="33"/>
      <c r="D558" s="8"/>
      <c r="F558" s="8"/>
      <c r="G558" s="8"/>
      <c r="H558" s="9"/>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row>
    <row r="559">
      <c r="A559" s="8"/>
      <c r="B559" s="8"/>
      <c r="C559" s="33"/>
      <c r="D559" s="8"/>
      <c r="F559" s="8"/>
      <c r="G559" s="8"/>
      <c r="H559" s="9"/>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row>
    <row r="560">
      <c r="A560" s="8"/>
      <c r="B560" s="8"/>
      <c r="C560" s="33"/>
      <c r="D560" s="8"/>
      <c r="F560" s="8"/>
      <c r="G560" s="8"/>
      <c r="H560" s="9"/>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row>
    <row r="561">
      <c r="A561" s="8"/>
      <c r="B561" s="8"/>
      <c r="C561" s="33"/>
      <c r="D561" s="8"/>
      <c r="F561" s="8"/>
      <c r="G561" s="8"/>
      <c r="H561" s="9"/>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row>
    <row r="562">
      <c r="A562" s="8"/>
      <c r="B562" s="8"/>
      <c r="C562" s="33"/>
      <c r="D562" s="8"/>
      <c r="F562" s="8"/>
      <c r="G562" s="8"/>
      <c r="H562" s="9"/>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row>
    <row r="563">
      <c r="A563" s="8"/>
      <c r="B563" s="8"/>
      <c r="C563" s="33"/>
      <c r="D563" s="8"/>
      <c r="F563" s="8"/>
      <c r="G563" s="8"/>
      <c r="H563" s="9"/>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row>
    <row r="564">
      <c r="A564" s="8"/>
      <c r="B564" s="8"/>
      <c r="C564" s="33"/>
      <c r="D564" s="8"/>
      <c r="F564" s="8"/>
      <c r="G564" s="8"/>
      <c r="H564" s="9"/>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row>
    <row r="565">
      <c r="A565" s="8"/>
      <c r="B565" s="8"/>
      <c r="C565" s="33"/>
      <c r="D565" s="8"/>
      <c r="F565" s="8"/>
      <c r="G565" s="8"/>
      <c r="H565" s="9"/>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row>
    <row r="566">
      <c r="A566" s="8"/>
      <c r="B566" s="8"/>
      <c r="C566" s="33"/>
      <c r="D566" s="8"/>
      <c r="F566" s="8"/>
      <c r="G566" s="8"/>
      <c r="H566" s="9"/>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row>
    <row r="567">
      <c r="A567" s="8"/>
      <c r="B567" s="8"/>
      <c r="C567" s="33"/>
      <c r="D567" s="8"/>
      <c r="F567" s="8"/>
      <c r="G567" s="8"/>
      <c r="H567" s="9"/>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row>
    <row r="568">
      <c r="A568" s="8"/>
      <c r="B568" s="8"/>
      <c r="C568" s="33"/>
      <c r="D568" s="8"/>
      <c r="F568" s="8"/>
      <c r="G568" s="8"/>
      <c r="H568" s="9"/>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row>
    <row r="569">
      <c r="A569" s="8"/>
      <c r="B569" s="8"/>
      <c r="C569" s="33"/>
      <c r="D569" s="8"/>
      <c r="F569" s="8"/>
      <c r="G569" s="8"/>
      <c r="H569" s="9"/>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row>
    <row r="570">
      <c r="A570" s="8"/>
      <c r="B570" s="8"/>
      <c r="C570" s="33"/>
      <c r="D570" s="8"/>
      <c r="F570" s="8"/>
      <c r="G570" s="8"/>
      <c r="H570" s="9"/>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row>
    <row r="571">
      <c r="A571" s="8"/>
      <c r="B571" s="8"/>
      <c r="C571" s="33"/>
      <c r="D571" s="8"/>
      <c r="F571" s="8"/>
      <c r="G571" s="8"/>
      <c r="H571" s="9"/>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row>
    <row r="572">
      <c r="A572" s="8"/>
      <c r="B572" s="8"/>
      <c r="C572" s="33"/>
      <c r="D572" s="8"/>
      <c r="F572" s="8"/>
      <c r="G572" s="8"/>
      <c r="H572" s="9"/>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row>
    <row r="573">
      <c r="A573" s="8"/>
      <c r="B573" s="8"/>
      <c r="C573" s="33"/>
      <c r="D573" s="8"/>
      <c r="F573" s="8"/>
      <c r="G573" s="8"/>
      <c r="H573" s="9"/>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row>
    <row r="574">
      <c r="A574" s="8"/>
      <c r="B574" s="8"/>
      <c r="C574" s="33"/>
      <c r="D574" s="8"/>
      <c r="F574" s="8"/>
      <c r="G574" s="8"/>
      <c r="H574" s="9"/>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row>
    <row r="575">
      <c r="A575" s="8"/>
      <c r="B575" s="8"/>
      <c r="C575" s="33"/>
      <c r="D575" s="8"/>
      <c r="F575" s="8"/>
      <c r="G575" s="8"/>
      <c r="H575" s="9"/>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row>
    <row r="576">
      <c r="A576" s="8"/>
      <c r="B576" s="8"/>
      <c r="C576" s="33"/>
      <c r="D576" s="8"/>
      <c r="F576" s="8"/>
      <c r="G576" s="8"/>
      <c r="H576" s="9"/>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row>
    <row r="577">
      <c r="A577" s="8"/>
      <c r="B577" s="8"/>
      <c r="C577" s="33"/>
      <c r="D577" s="8"/>
      <c r="F577" s="8"/>
      <c r="G577" s="8"/>
      <c r="H577" s="9"/>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row>
    <row r="578">
      <c r="A578" s="8"/>
      <c r="B578" s="8"/>
      <c r="C578" s="33"/>
      <c r="D578" s="8"/>
      <c r="F578" s="8"/>
      <c r="G578" s="8"/>
      <c r="H578" s="9"/>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row>
    <row r="579">
      <c r="A579" s="8"/>
      <c r="B579" s="8"/>
      <c r="C579" s="33"/>
      <c r="D579" s="8"/>
      <c r="F579" s="8"/>
      <c r="G579" s="8"/>
      <c r="H579" s="9"/>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row>
    <row r="580">
      <c r="A580" s="8"/>
      <c r="B580" s="8"/>
      <c r="C580" s="33"/>
      <c r="D580" s="8"/>
      <c r="F580" s="8"/>
      <c r="G580" s="8"/>
      <c r="H580" s="9"/>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row>
    <row r="581">
      <c r="A581" s="8"/>
      <c r="B581" s="8"/>
      <c r="C581" s="33"/>
      <c r="D581" s="8"/>
      <c r="F581" s="8"/>
      <c r="G581" s="8"/>
      <c r="H581" s="9"/>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row>
    <row r="582">
      <c r="A582" s="8"/>
      <c r="B582" s="8"/>
      <c r="C582" s="33"/>
      <c r="D582" s="8"/>
      <c r="F582" s="8"/>
      <c r="G582" s="8"/>
      <c r="H582" s="9"/>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row>
    <row r="583">
      <c r="A583" s="8"/>
      <c r="B583" s="8"/>
      <c r="C583" s="33"/>
      <c r="D583" s="8"/>
      <c r="F583" s="8"/>
      <c r="G583" s="8"/>
      <c r="H583" s="9"/>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row>
    <row r="584">
      <c r="A584" s="8"/>
      <c r="B584" s="8"/>
      <c r="C584" s="33"/>
      <c r="D584" s="8"/>
      <c r="F584" s="8"/>
      <c r="G584" s="8"/>
      <c r="H584" s="9"/>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row>
    <row r="585">
      <c r="A585" s="8"/>
      <c r="B585" s="8"/>
      <c r="C585" s="33"/>
      <c r="D585" s="8"/>
      <c r="F585" s="8"/>
      <c r="G585" s="8"/>
      <c r="H585" s="9"/>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row>
    <row r="586">
      <c r="A586" s="8"/>
      <c r="B586" s="8"/>
      <c r="C586" s="33"/>
      <c r="D586" s="8"/>
      <c r="F586" s="8"/>
      <c r="G586" s="8"/>
      <c r="H586" s="9"/>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row>
    <row r="587">
      <c r="A587" s="8"/>
      <c r="B587" s="8"/>
      <c r="C587" s="33"/>
      <c r="D587" s="8"/>
      <c r="F587" s="8"/>
      <c r="G587" s="8"/>
      <c r="H587" s="9"/>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row>
    <row r="588">
      <c r="A588" s="8"/>
      <c r="B588" s="8"/>
      <c r="C588" s="33"/>
      <c r="D588" s="8"/>
      <c r="F588" s="8"/>
      <c r="G588" s="8"/>
      <c r="H588" s="9"/>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row>
    <row r="589">
      <c r="A589" s="8"/>
      <c r="B589" s="8"/>
      <c r="C589" s="33"/>
      <c r="D589" s="8"/>
      <c r="F589" s="8"/>
      <c r="G589" s="8"/>
      <c r="H589" s="9"/>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row>
    <row r="590">
      <c r="A590" s="8"/>
      <c r="B590" s="8"/>
      <c r="C590" s="33"/>
      <c r="D590" s="8"/>
      <c r="F590" s="8"/>
      <c r="G590" s="8"/>
      <c r="H590" s="9"/>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row>
    <row r="591">
      <c r="A591" s="8"/>
      <c r="B591" s="8"/>
      <c r="C591" s="33"/>
      <c r="D591" s="8"/>
      <c r="F591" s="8"/>
      <c r="G591" s="8"/>
      <c r="H591" s="9"/>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row>
    <row r="592">
      <c r="A592" s="8"/>
      <c r="B592" s="8"/>
      <c r="C592" s="33"/>
      <c r="D592" s="8"/>
      <c r="F592" s="8"/>
      <c r="G592" s="8"/>
      <c r="H592" s="9"/>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row>
    <row r="593">
      <c r="A593" s="8"/>
      <c r="B593" s="8"/>
      <c r="C593" s="33"/>
      <c r="D593" s="8"/>
      <c r="F593" s="8"/>
      <c r="G593" s="8"/>
      <c r="H593" s="9"/>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row>
    <row r="594">
      <c r="A594" s="8"/>
      <c r="B594" s="8"/>
      <c r="C594" s="33"/>
      <c r="D594" s="8"/>
      <c r="F594" s="8"/>
      <c r="G594" s="8"/>
      <c r="H594" s="9"/>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row>
    <row r="595">
      <c r="A595" s="8"/>
      <c r="B595" s="8"/>
      <c r="C595" s="33"/>
      <c r="D595" s="8"/>
      <c r="F595" s="8"/>
      <c r="G595" s="8"/>
      <c r="H595" s="9"/>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row>
    <row r="596">
      <c r="A596" s="8"/>
      <c r="B596" s="8"/>
      <c r="C596" s="33"/>
      <c r="D596" s="8"/>
      <c r="F596" s="8"/>
      <c r="G596" s="8"/>
      <c r="H596" s="9"/>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row>
    <row r="597">
      <c r="A597" s="8"/>
      <c r="B597" s="8"/>
      <c r="C597" s="33"/>
      <c r="D597" s="8"/>
      <c r="F597" s="8"/>
      <c r="G597" s="8"/>
      <c r="H597" s="9"/>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row>
    <row r="598">
      <c r="A598" s="8"/>
      <c r="B598" s="8"/>
      <c r="C598" s="33"/>
      <c r="D598" s="8"/>
      <c r="F598" s="8"/>
      <c r="G598" s="8"/>
      <c r="H598" s="9"/>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row>
    <row r="599">
      <c r="A599" s="8"/>
      <c r="B599" s="8"/>
      <c r="C599" s="33"/>
      <c r="D599" s="8"/>
      <c r="F599" s="8"/>
      <c r="G599" s="8"/>
      <c r="H599" s="9"/>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row>
    <row r="600">
      <c r="A600" s="8"/>
      <c r="B600" s="8"/>
      <c r="C600" s="33"/>
      <c r="D600" s="8"/>
      <c r="F600" s="8"/>
      <c r="G600" s="8"/>
      <c r="H600" s="9"/>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row>
    <row r="601">
      <c r="A601" s="8"/>
      <c r="B601" s="8"/>
      <c r="C601" s="33"/>
      <c r="D601" s="8"/>
      <c r="F601" s="8"/>
      <c r="G601" s="8"/>
      <c r="H601" s="9"/>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row>
    <row r="602">
      <c r="A602" s="8"/>
      <c r="B602" s="8"/>
      <c r="C602" s="33"/>
      <c r="D602" s="8"/>
      <c r="F602" s="8"/>
      <c r="G602" s="8"/>
      <c r="H602" s="9"/>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row>
    <row r="603">
      <c r="A603" s="8"/>
      <c r="B603" s="8"/>
      <c r="C603" s="33"/>
      <c r="D603" s="8"/>
      <c r="F603" s="8"/>
      <c r="G603" s="8"/>
      <c r="H603" s="9"/>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row>
    <row r="604">
      <c r="A604" s="8"/>
      <c r="B604" s="8"/>
      <c r="C604" s="33"/>
      <c r="D604" s="8"/>
      <c r="F604" s="8"/>
      <c r="G604" s="8"/>
      <c r="H604" s="9"/>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row>
    <row r="605">
      <c r="A605" s="8"/>
      <c r="B605" s="8"/>
      <c r="C605" s="33"/>
      <c r="D605" s="8"/>
      <c r="F605" s="8"/>
      <c r="G605" s="8"/>
      <c r="H605" s="9"/>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row>
    <row r="606">
      <c r="A606" s="8"/>
      <c r="B606" s="8"/>
      <c r="C606" s="33"/>
      <c r="D606" s="8"/>
      <c r="F606" s="8"/>
      <c r="G606" s="8"/>
      <c r="H606" s="9"/>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row>
    <row r="607">
      <c r="A607" s="8"/>
      <c r="B607" s="8"/>
      <c r="C607" s="33"/>
      <c r="D607" s="8"/>
      <c r="F607" s="8"/>
      <c r="G607" s="8"/>
      <c r="H607" s="9"/>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row>
    <row r="608">
      <c r="A608" s="8"/>
      <c r="B608" s="8"/>
      <c r="C608" s="33"/>
      <c r="D608" s="8"/>
      <c r="F608" s="8"/>
      <c r="G608" s="8"/>
      <c r="H608" s="9"/>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row>
    <row r="609">
      <c r="A609" s="8"/>
      <c r="B609" s="8"/>
      <c r="C609" s="33"/>
      <c r="D609" s="8"/>
      <c r="F609" s="8"/>
      <c r="G609" s="8"/>
      <c r="H609" s="9"/>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row>
    <row r="610">
      <c r="A610" s="8"/>
      <c r="B610" s="8"/>
      <c r="C610" s="33"/>
      <c r="D610" s="8"/>
      <c r="F610" s="8"/>
      <c r="G610" s="8"/>
      <c r="H610" s="9"/>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row>
    <row r="611">
      <c r="A611" s="8"/>
      <c r="B611" s="8"/>
      <c r="C611" s="33"/>
      <c r="D611" s="8"/>
      <c r="F611" s="8"/>
      <c r="G611" s="8"/>
      <c r="H611" s="9"/>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row>
    <row r="612">
      <c r="A612" s="8"/>
      <c r="B612" s="8"/>
      <c r="C612" s="33"/>
      <c r="D612" s="8"/>
      <c r="F612" s="8"/>
      <c r="G612" s="8"/>
      <c r="H612" s="9"/>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row>
    <row r="613">
      <c r="A613" s="8"/>
      <c r="B613" s="8"/>
      <c r="C613" s="33"/>
      <c r="D613" s="8"/>
      <c r="F613" s="8"/>
      <c r="G613" s="8"/>
      <c r="H613" s="9"/>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row>
    <row r="614">
      <c r="A614" s="8"/>
      <c r="B614" s="8"/>
      <c r="C614" s="33"/>
      <c r="D614" s="8"/>
      <c r="F614" s="8"/>
      <c r="G614" s="8"/>
      <c r="H614" s="9"/>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row>
    <row r="615">
      <c r="A615" s="8"/>
      <c r="B615" s="8"/>
      <c r="C615" s="33"/>
      <c r="D615" s="8"/>
      <c r="F615" s="8"/>
      <c r="G615" s="8"/>
      <c r="H615" s="9"/>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row>
    <row r="616">
      <c r="A616" s="8"/>
      <c r="B616" s="8"/>
      <c r="C616" s="33"/>
      <c r="D616" s="8"/>
      <c r="F616" s="8"/>
      <c r="G616" s="8"/>
      <c r="H616" s="9"/>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row>
    <row r="617">
      <c r="A617" s="8"/>
      <c r="B617" s="8"/>
      <c r="C617" s="33"/>
      <c r="D617" s="8"/>
      <c r="F617" s="8"/>
      <c r="G617" s="8"/>
      <c r="H617" s="9"/>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row>
    <row r="618">
      <c r="A618" s="8"/>
      <c r="B618" s="8"/>
      <c r="C618" s="33"/>
      <c r="D618" s="8"/>
      <c r="F618" s="8"/>
      <c r="G618" s="8"/>
      <c r="H618" s="9"/>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row>
    <row r="619">
      <c r="A619" s="8"/>
      <c r="B619" s="8"/>
      <c r="C619" s="33"/>
      <c r="D619" s="8"/>
      <c r="F619" s="8"/>
      <c r="G619" s="8"/>
      <c r="H619" s="9"/>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row>
    <row r="620">
      <c r="A620" s="8"/>
      <c r="B620" s="8"/>
      <c r="C620" s="33"/>
      <c r="D620" s="8"/>
      <c r="F620" s="8"/>
      <c r="G620" s="8"/>
      <c r="H620" s="9"/>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row>
    <row r="621">
      <c r="A621" s="8"/>
      <c r="B621" s="8"/>
      <c r="C621" s="33"/>
      <c r="D621" s="8"/>
      <c r="F621" s="8"/>
      <c r="G621" s="8"/>
      <c r="H621" s="9"/>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row>
    <row r="622">
      <c r="A622" s="8"/>
      <c r="B622" s="8"/>
      <c r="C622" s="33"/>
      <c r="D622" s="8"/>
      <c r="F622" s="8"/>
      <c r="G622" s="8"/>
      <c r="H622" s="9"/>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row>
    <row r="623">
      <c r="A623" s="8"/>
      <c r="B623" s="8"/>
      <c r="C623" s="33"/>
      <c r="D623" s="8"/>
      <c r="F623" s="8"/>
      <c r="G623" s="8"/>
      <c r="H623" s="9"/>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row>
    <row r="624">
      <c r="A624" s="8"/>
      <c r="B624" s="8"/>
      <c r="C624" s="33"/>
      <c r="D624" s="8"/>
      <c r="F624" s="8"/>
      <c r="G624" s="8"/>
      <c r="H624" s="9"/>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row>
    <row r="625">
      <c r="A625" s="8"/>
      <c r="B625" s="8"/>
      <c r="C625" s="33"/>
      <c r="D625" s="8"/>
      <c r="F625" s="8"/>
      <c r="G625" s="8"/>
      <c r="H625" s="9"/>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row>
    <row r="626">
      <c r="A626" s="8"/>
      <c r="B626" s="8"/>
      <c r="C626" s="33"/>
      <c r="D626" s="8"/>
      <c r="F626" s="8"/>
      <c r="G626" s="8"/>
      <c r="H626" s="9"/>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row>
    <row r="627">
      <c r="A627" s="8"/>
      <c r="B627" s="8"/>
      <c r="C627" s="33"/>
      <c r="D627" s="8"/>
      <c r="F627" s="8"/>
      <c r="G627" s="8"/>
      <c r="H627" s="9"/>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row>
    <row r="628">
      <c r="A628" s="8"/>
      <c r="B628" s="8"/>
      <c r="C628" s="33"/>
      <c r="D628" s="8"/>
      <c r="F628" s="8"/>
      <c r="G628" s="8"/>
      <c r="H628" s="9"/>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row>
    <row r="629">
      <c r="A629" s="8"/>
      <c r="B629" s="8"/>
      <c r="C629" s="33"/>
      <c r="D629" s="8"/>
      <c r="F629" s="8"/>
      <c r="G629" s="8"/>
      <c r="H629" s="9"/>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row>
    <row r="630">
      <c r="A630" s="8"/>
      <c r="B630" s="8"/>
      <c r="C630" s="33"/>
      <c r="D630" s="8"/>
      <c r="F630" s="8"/>
      <c r="G630" s="8"/>
      <c r="H630" s="9"/>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row>
    <row r="631">
      <c r="A631" s="8"/>
      <c r="B631" s="8"/>
      <c r="C631" s="33"/>
      <c r="D631" s="8"/>
      <c r="F631" s="8"/>
      <c r="G631" s="8"/>
      <c r="H631" s="9"/>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row>
    <row r="632">
      <c r="A632" s="8"/>
      <c r="B632" s="8"/>
      <c r="C632" s="33"/>
      <c r="D632" s="8"/>
      <c r="F632" s="8"/>
      <c r="G632" s="8"/>
      <c r="H632" s="9"/>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row>
    <row r="633">
      <c r="A633" s="8"/>
      <c r="B633" s="8"/>
      <c r="C633" s="33"/>
      <c r="D633" s="8"/>
      <c r="F633" s="8"/>
      <c r="G633" s="8"/>
      <c r="H633" s="9"/>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row>
    <row r="634">
      <c r="A634" s="8"/>
      <c r="B634" s="8"/>
      <c r="C634" s="33"/>
      <c r="D634" s="8"/>
      <c r="F634" s="8"/>
      <c r="G634" s="8"/>
      <c r="H634" s="9"/>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row>
    <row r="635">
      <c r="A635" s="8"/>
      <c r="B635" s="8"/>
      <c r="C635" s="33"/>
      <c r="D635" s="8"/>
      <c r="F635" s="8"/>
      <c r="G635" s="8"/>
      <c r="H635" s="9"/>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row>
    <row r="636">
      <c r="A636" s="8"/>
      <c r="B636" s="8"/>
      <c r="C636" s="33"/>
      <c r="D636" s="8"/>
      <c r="F636" s="8"/>
      <c r="G636" s="8"/>
      <c r="H636" s="9"/>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row>
    <row r="637">
      <c r="A637" s="8"/>
      <c r="B637" s="8"/>
      <c r="C637" s="33"/>
      <c r="D637" s="8"/>
      <c r="F637" s="8"/>
      <c r="G637" s="8"/>
      <c r="H637" s="9"/>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row>
    <row r="638">
      <c r="A638" s="8"/>
      <c r="B638" s="8"/>
      <c r="C638" s="33"/>
      <c r="D638" s="8"/>
      <c r="F638" s="8"/>
      <c r="G638" s="8"/>
      <c r="H638" s="9"/>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row>
    <row r="639">
      <c r="A639" s="8"/>
      <c r="B639" s="8"/>
      <c r="C639" s="33"/>
      <c r="D639" s="8"/>
      <c r="F639" s="8"/>
      <c r="G639" s="8"/>
      <c r="H639" s="9"/>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row>
    <row r="640">
      <c r="A640" s="8"/>
      <c r="B640" s="8"/>
      <c r="C640" s="33"/>
      <c r="D640" s="8"/>
      <c r="F640" s="8"/>
      <c r="G640" s="8"/>
      <c r="H640" s="9"/>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row>
    <row r="641">
      <c r="A641" s="8"/>
      <c r="B641" s="8"/>
      <c r="C641" s="33"/>
      <c r="D641" s="8"/>
      <c r="F641" s="8"/>
      <c r="G641" s="8"/>
      <c r="H641" s="9"/>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row>
    <row r="642">
      <c r="A642" s="8"/>
      <c r="B642" s="8"/>
      <c r="C642" s="33"/>
      <c r="D642" s="8"/>
      <c r="F642" s="8"/>
      <c r="G642" s="8"/>
      <c r="H642" s="9"/>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row>
    <row r="643">
      <c r="A643" s="8"/>
      <c r="B643" s="8"/>
      <c r="C643" s="33"/>
      <c r="D643" s="8"/>
      <c r="F643" s="8"/>
      <c r="G643" s="8"/>
      <c r="H643" s="9"/>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row>
    <row r="644">
      <c r="A644" s="8"/>
      <c r="B644" s="8"/>
      <c r="C644" s="33"/>
      <c r="D644" s="8"/>
      <c r="F644" s="8"/>
      <c r="G644" s="8"/>
      <c r="H644" s="9"/>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row>
    <row r="645">
      <c r="A645" s="8"/>
      <c r="B645" s="8"/>
      <c r="C645" s="33"/>
      <c r="D645" s="8"/>
      <c r="F645" s="8"/>
      <c r="G645" s="8"/>
      <c r="H645" s="9"/>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row>
    <row r="646">
      <c r="A646" s="8"/>
      <c r="B646" s="8"/>
      <c r="C646" s="33"/>
      <c r="D646" s="8"/>
      <c r="F646" s="8"/>
      <c r="G646" s="8"/>
      <c r="H646" s="9"/>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row>
    <row r="647">
      <c r="A647" s="8"/>
      <c r="B647" s="8"/>
      <c r="C647" s="33"/>
      <c r="D647" s="8"/>
      <c r="F647" s="8"/>
      <c r="G647" s="8"/>
      <c r="H647" s="9"/>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row>
    <row r="648">
      <c r="A648" s="8"/>
      <c r="B648" s="8"/>
      <c r="C648" s="33"/>
      <c r="D648" s="8"/>
      <c r="F648" s="8"/>
      <c r="G648" s="8"/>
      <c r="H648" s="9"/>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row>
    <row r="649">
      <c r="A649" s="8"/>
      <c r="B649" s="8"/>
      <c r="C649" s="33"/>
      <c r="D649" s="8"/>
      <c r="F649" s="8"/>
      <c r="G649" s="8"/>
      <c r="H649" s="9"/>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row>
    <row r="650">
      <c r="A650" s="8"/>
      <c r="B650" s="8"/>
      <c r="C650" s="33"/>
      <c r="D650" s="8"/>
      <c r="F650" s="8"/>
      <c r="G650" s="8"/>
      <c r="H650" s="9"/>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row>
    <row r="651">
      <c r="A651" s="8"/>
      <c r="B651" s="8"/>
      <c r="C651" s="33"/>
      <c r="D651" s="8"/>
      <c r="F651" s="8"/>
      <c r="G651" s="8"/>
      <c r="H651" s="9"/>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row>
    <row r="652">
      <c r="A652" s="8"/>
      <c r="B652" s="8"/>
      <c r="C652" s="33"/>
      <c r="D652" s="8"/>
      <c r="F652" s="8"/>
      <c r="G652" s="8"/>
      <c r="H652" s="9"/>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row>
    <row r="653">
      <c r="A653" s="8"/>
      <c r="B653" s="8"/>
      <c r="C653" s="33"/>
      <c r="D653" s="8"/>
      <c r="F653" s="8"/>
      <c r="G653" s="8"/>
      <c r="H653" s="9"/>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row>
    <row r="654">
      <c r="A654" s="8"/>
      <c r="B654" s="8"/>
      <c r="C654" s="33"/>
      <c r="D654" s="8"/>
      <c r="F654" s="8"/>
      <c r="G654" s="8"/>
      <c r="H654" s="9"/>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row>
    <row r="655">
      <c r="A655" s="8"/>
      <c r="B655" s="8"/>
      <c r="C655" s="33"/>
      <c r="D655" s="8"/>
      <c r="F655" s="8"/>
      <c r="G655" s="8"/>
      <c r="H655" s="9"/>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row>
    <row r="656">
      <c r="A656" s="8"/>
      <c r="B656" s="8"/>
      <c r="C656" s="33"/>
      <c r="D656" s="8"/>
      <c r="F656" s="8"/>
      <c r="G656" s="8"/>
      <c r="H656" s="9"/>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row>
    <row r="657">
      <c r="A657" s="8"/>
      <c r="B657" s="8"/>
      <c r="C657" s="33"/>
      <c r="D657" s="8"/>
      <c r="F657" s="8"/>
      <c r="G657" s="8"/>
      <c r="H657" s="9"/>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row>
    <row r="658">
      <c r="A658" s="8"/>
      <c r="B658" s="8"/>
      <c r="C658" s="33"/>
      <c r="D658" s="8"/>
      <c r="F658" s="8"/>
      <c r="G658" s="8"/>
      <c r="H658" s="9"/>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row>
    <row r="659">
      <c r="A659" s="8"/>
      <c r="B659" s="8"/>
      <c r="C659" s="33"/>
      <c r="D659" s="8"/>
      <c r="F659" s="8"/>
      <c r="G659" s="8"/>
      <c r="H659" s="9"/>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row>
    <row r="660">
      <c r="A660" s="8"/>
      <c r="B660" s="8"/>
      <c r="C660" s="33"/>
      <c r="D660" s="8"/>
      <c r="F660" s="8"/>
      <c r="G660" s="8"/>
      <c r="H660" s="9"/>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row>
    <row r="661">
      <c r="A661" s="8"/>
      <c r="B661" s="8"/>
      <c r="C661" s="33"/>
      <c r="D661" s="8"/>
      <c r="F661" s="8"/>
      <c r="G661" s="8"/>
      <c r="H661" s="9"/>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row>
    <row r="662">
      <c r="A662" s="8"/>
      <c r="B662" s="8"/>
      <c r="C662" s="33"/>
      <c r="D662" s="8"/>
      <c r="F662" s="8"/>
      <c r="G662" s="8"/>
      <c r="H662" s="9"/>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row>
    <row r="663">
      <c r="A663" s="8"/>
      <c r="B663" s="8"/>
      <c r="C663" s="33"/>
      <c r="D663" s="8"/>
      <c r="F663" s="8"/>
      <c r="G663" s="8"/>
      <c r="H663" s="9"/>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row>
    <row r="664">
      <c r="A664" s="8"/>
      <c r="B664" s="8"/>
      <c r="C664" s="33"/>
      <c r="D664" s="8"/>
      <c r="F664" s="8"/>
      <c r="G664" s="8"/>
      <c r="H664" s="9"/>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row>
    <row r="665">
      <c r="A665" s="8"/>
      <c r="B665" s="8"/>
      <c r="C665" s="33"/>
      <c r="D665" s="8"/>
      <c r="F665" s="8"/>
      <c r="G665" s="8"/>
      <c r="H665" s="9"/>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row>
    <row r="666">
      <c r="A666" s="8"/>
      <c r="B666" s="8"/>
      <c r="C666" s="33"/>
      <c r="D666" s="8"/>
      <c r="F666" s="8"/>
      <c r="G666" s="8"/>
      <c r="H666" s="9"/>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row>
    <row r="667">
      <c r="A667" s="8"/>
      <c r="B667" s="8"/>
      <c r="C667" s="33"/>
      <c r="D667" s="8"/>
      <c r="F667" s="8"/>
      <c r="G667" s="8"/>
      <c r="H667" s="9"/>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row>
    <row r="668">
      <c r="A668" s="8"/>
      <c r="B668" s="8"/>
      <c r="C668" s="33"/>
      <c r="D668" s="8"/>
      <c r="F668" s="8"/>
      <c r="G668" s="8"/>
      <c r="H668" s="9"/>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row>
    <row r="669">
      <c r="A669" s="8"/>
      <c r="B669" s="8"/>
      <c r="C669" s="33"/>
      <c r="D669" s="8"/>
      <c r="F669" s="8"/>
      <c r="G669" s="8"/>
      <c r="H669" s="9"/>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row>
    <row r="670">
      <c r="A670" s="8"/>
      <c r="B670" s="8"/>
      <c r="C670" s="33"/>
      <c r="D670" s="8"/>
      <c r="F670" s="8"/>
      <c r="G670" s="8"/>
      <c r="H670" s="9"/>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row>
    <row r="671">
      <c r="A671" s="8"/>
      <c r="B671" s="8"/>
      <c r="C671" s="33"/>
      <c r="D671" s="8"/>
      <c r="F671" s="8"/>
      <c r="G671" s="8"/>
      <c r="H671" s="9"/>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row>
    <row r="672">
      <c r="A672" s="8"/>
      <c r="B672" s="8"/>
      <c r="C672" s="33"/>
      <c r="D672" s="8"/>
      <c r="F672" s="8"/>
      <c r="G672" s="8"/>
      <c r="H672" s="9"/>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row>
    <row r="673">
      <c r="A673" s="8"/>
      <c r="B673" s="8"/>
      <c r="C673" s="33"/>
      <c r="D673" s="8"/>
      <c r="F673" s="8"/>
      <c r="G673" s="8"/>
      <c r="H673" s="9"/>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row>
    <row r="674">
      <c r="A674" s="8"/>
      <c r="B674" s="8"/>
      <c r="C674" s="33"/>
      <c r="D674" s="8"/>
      <c r="F674" s="8"/>
      <c r="G674" s="8"/>
      <c r="H674" s="9"/>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row>
    <row r="675">
      <c r="A675" s="8"/>
      <c r="B675" s="8"/>
      <c r="C675" s="33"/>
      <c r="D675" s="8"/>
      <c r="F675" s="8"/>
      <c r="G675" s="8"/>
      <c r="H675" s="9"/>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row>
    <row r="676">
      <c r="A676" s="8"/>
      <c r="B676" s="8"/>
      <c r="C676" s="33"/>
      <c r="D676" s="8"/>
      <c r="F676" s="8"/>
      <c r="G676" s="8"/>
      <c r="H676" s="9"/>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row>
    <row r="677">
      <c r="A677" s="8"/>
      <c r="B677" s="8"/>
      <c r="C677" s="33"/>
      <c r="D677" s="8"/>
      <c r="F677" s="8"/>
      <c r="G677" s="8"/>
      <c r="H677" s="9"/>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row>
    <row r="678">
      <c r="A678" s="8"/>
      <c r="B678" s="8"/>
      <c r="C678" s="33"/>
      <c r="D678" s="8"/>
      <c r="F678" s="8"/>
      <c r="G678" s="8"/>
      <c r="H678" s="9"/>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row>
    <row r="679">
      <c r="A679" s="8"/>
      <c r="B679" s="8"/>
      <c r="C679" s="33"/>
      <c r="D679" s="8"/>
      <c r="F679" s="8"/>
      <c r="G679" s="8"/>
      <c r="H679" s="9"/>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row>
    <row r="680">
      <c r="A680" s="8"/>
      <c r="B680" s="8"/>
      <c r="C680" s="33"/>
      <c r="D680" s="8"/>
      <c r="F680" s="8"/>
      <c r="G680" s="8"/>
      <c r="H680" s="9"/>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row>
    <row r="681">
      <c r="A681" s="8"/>
      <c r="B681" s="8"/>
      <c r="C681" s="33"/>
      <c r="D681" s="8"/>
      <c r="F681" s="8"/>
      <c r="G681" s="8"/>
      <c r="H681" s="9"/>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row>
    <row r="682">
      <c r="A682" s="8"/>
      <c r="B682" s="8"/>
      <c r="C682" s="33"/>
      <c r="D682" s="8"/>
      <c r="F682" s="8"/>
      <c r="G682" s="8"/>
      <c r="H682" s="9"/>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row>
    <row r="683">
      <c r="A683" s="8"/>
      <c r="B683" s="8"/>
      <c r="C683" s="33"/>
      <c r="D683" s="8"/>
      <c r="F683" s="8"/>
      <c r="G683" s="8"/>
      <c r="H683" s="9"/>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row>
    <row r="684">
      <c r="A684" s="8"/>
      <c r="B684" s="8"/>
      <c r="C684" s="33"/>
      <c r="D684" s="8"/>
      <c r="F684" s="8"/>
      <c r="G684" s="8"/>
      <c r="H684" s="9"/>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row>
    <row r="685">
      <c r="A685" s="8"/>
      <c r="B685" s="8"/>
      <c r="C685" s="33"/>
      <c r="D685" s="8"/>
      <c r="F685" s="8"/>
      <c r="G685" s="8"/>
      <c r="H685" s="9"/>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row>
    <row r="686">
      <c r="A686" s="8"/>
      <c r="B686" s="8"/>
      <c r="C686" s="33"/>
      <c r="D686" s="8"/>
      <c r="F686" s="8"/>
      <c r="G686" s="8"/>
      <c r="H686" s="9"/>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row>
    <row r="687">
      <c r="A687" s="8"/>
      <c r="B687" s="8"/>
      <c r="C687" s="33"/>
      <c r="D687" s="8"/>
      <c r="F687" s="8"/>
      <c r="G687" s="8"/>
      <c r="H687" s="9"/>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row>
    <row r="688">
      <c r="A688" s="8"/>
      <c r="B688" s="8"/>
      <c r="C688" s="33"/>
      <c r="D688" s="8"/>
      <c r="F688" s="8"/>
      <c r="G688" s="8"/>
      <c r="H688" s="9"/>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row>
    <row r="689">
      <c r="A689" s="8"/>
      <c r="B689" s="8"/>
      <c r="C689" s="33"/>
      <c r="D689" s="8"/>
      <c r="F689" s="8"/>
      <c r="G689" s="8"/>
      <c r="H689" s="9"/>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row>
    <row r="690">
      <c r="A690" s="8"/>
      <c r="B690" s="8"/>
      <c r="C690" s="33"/>
      <c r="D690" s="8"/>
      <c r="F690" s="8"/>
      <c r="G690" s="8"/>
      <c r="H690" s="9"/>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row>
    <row r="691">
      <c r="A691" s="8"/>
      <c r="B691" s="8"/>
      <c r="C691" s="33"/>
      <c r="D691" s="8"/>
      <c r="F691" s="8"/>
      <c r="G691" s="8"/>
      <c r="H691" s="9"/>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row>
    <row r="692">
      <c r="A692" s="8"/>
      <c r="B692" s="8"/>
      <c r="C692" s="33"/>
      <c r="D692" s="8"/>
      <c r="F692" s="8"/>
      <c r="G692" s="8"/>
      <c r="H692" s="9"/>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row>
    <row r="693">
      <c r="A693" s="8"/>
      <c r="B693" s="8"/>
      <c r="C693" s="33"/>
      <c r="D693" s="8"/>
      <c r="F693" s="8"/>
      <c r="G693" s="8"/>
      <c r="H693" s="9"/>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row>
    <row r="694">
      <c r="A694" s="8"/>
      <c r="B694" s="8"/>
      <c r="C694" s="33"/>
      <c r="D694" s="8"/>
      <c r="F694" s="8"/>
      <c r="G694" s="8"/>
      <c r="H694" s="9"/>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row>
    <row r="695">
      <c r="A695" s="8"/>
      <c r="B695" s="8"/>
      <c r="C695" s="33"/>
      <c r="D695" s="8"/>
      <c r="F695" s="8"/>
      <c r="G695" s="8"/>
      <c r="H695" s="9"/>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row>
    <row r="696">
      <c r="A696" s="8"/>
      <c r="B696" s="8"/>
      <c r="C696" s="33"/>
      <c r="D696" s="8"/>
      <c r="F696" s="8"/>
      <c r="G696" s="8"/>
      <c r="H696" s="9"/>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row>
    <row r="697">
      <c r="A697" s="8"/>
      <c r="B697" s="8"/>
      <c r="C697" s="33"/>
      <c r="D697" s="8"/>
      <c r="F697" s="8"/>
      <c r="G697" s="8"/>
      <c r="H697" s="9"/>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row>
    <row r="698">
      <c r="A698" s="8"/>
      <c r="B698" s="8"/>
      <c r="C698" s="33"/>
      <c r="D698" s="8"/>
      <c r="F698" s="8"/>
      <c r="G698" s="8"/>
      <c r="H698" s="9"/>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row>
    <row r="699">
      <c r="A699" s="8"/>
      <c r="B699" s="8"/>
      <c r="C699" s="33"/>
      <c r="D699" s="8"/>
      <c r="F699" s="8"/>
      <c r="G699" s="8"/>
      <c r="H699" s="9"/>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row>
    <row r="700">
      <c r="A700" s="8"/>
      <c r="B700" s="8"/>
      <c r="C700" s="33"/>
      <c r="D700" s="8"/>
      <c r="F700" s="8"/>
      <c r="G700" s="8"/>
      <c r="H700" s="9"/>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row>
    <row r="701">
      <c r="A701" s="8"/>
      <c r="B701" s="8"/>
      <c r="C701" s="33"/>
      <c r="D701" s="8"/>
      <c r="F701" s="8"/>
      <c r="G701" s="8"/>
      <c r="H701" s="9"/>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row>
    <row r="702">
      <c r="A702" s="8"/>
      <c r="B702" s="8"/>
      <c r="C702" s="33"/>
      <c r="D702" s="8"/>
      <c r="F702" s="8"/>
      <c r="G702" s="8"/>
      <c r="H702" s="9"/>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row>
    <row r="703">
      <c r="A703" s="8"/>
      <c r="B703" s="8"/>
      <c r="C703" s="33"/>
      <c r="D703" s="8"/>
      <c r="F703" s="8"/>
      <c r="G703" s="8"/>
      <c r="H703" s="9"/>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row>
    <row r="704">
      <c r="A704" s="8"/>
      <c r="B704" s="8"/>
      <c r="C704" s="33"/>
      <c r="D704" s="8"/>
      <c r="F704" s="8"/>
      <c r="G704" s="8"/>
      <c r="H704" s="9"/>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row>
    <row r="705">
      <c r="A705" s="8"/>
      <c r="B705" s="8"/>
      <c r="C705" s="33"/>
      <c r="D705" s="8"/>
      <c r="F705" s="8"/>
      <c r="G705" s="8"/>
      <c r="H705" s="9"/>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row>
    <row r="706">
      <c r="A706" s="8"/>
      <c r="B706" s="8"/>
      <c r="C706" s="33"/>
      <c r="D706" s="8"/>
      <c r="F706" s="8"/>
      <c r="G706" s="8"/>
      <c r="H706" s="9"/>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row>
    <row r="707">
      <c r="A707" s="8"/>
      <c r="B707" s="8"/>
      <c r="C707" s="33"/>
      <c r="D707" s="8"/>
      <c r="F707" s="8"/>
      <c r="G707" s="8"/>
      <c r="H707" s="9"/>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row>
    <row r="708">
      <c r="A708" s="8"/>
      <c r="B708" s="8"/>
      <c r="C708" s="33"/>
      <c r="D708" s="8"/>
      <c r="F708" s="8"/>
      <c r="G708" s="8"/>
      <c r="H708" s="9"/>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row>
    <row r="709">
      <c r="A709" s="8"/>
      <c r="B709" s="8"/>
      <c r="C709" s="33"/>
      <c r="D709" s="8"/>
      <c r="F709" s="8"/>
      <c r="G709" s="8"/>
      <c r="H709" s="9"/>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row>
    <row r="710">
      <c r="A710" s="8"/>
      <c r="B710" s="8"/>
      <c r="C710" s="33"/>
      <c r="D710" s="8"/>
      <c r="F710" s="8"/>
      <c r="G710" s="8"/>
      <c r="H710" s="9"/>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row>
    <row r="711">
      <c r="A711" s="8"/>
      <c r="B711" s="8"/>
      <c r="C711" s="33"/>
      <c r="D711" s="8"/>
      <c r="F711" s="8"/>
      <c r="G711" s="8"/>
      <c r="H711" s="9"/>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row>
    <row r="712">
      <c r="A712" s="8"/>
      <c r="B712" s="8"/>
      <c r="C712" s="33"/>
      <c r="D712" s="8"/>
      <c r="F712" s="8"/>
      <c r="G712" s="8"/>
      <c r="H712" s="9"/>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row>
    <row r="713">
      <c r="A713" s="8"/>
      <c r="B713" s="8"/>
      <c r="C713" s="33"/>
      <c r="D713" s="8"/>
      <c r="F713" s="8"/>
      <c r="G713" s="8"/>
      <c r="H713" s="9"/>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row>
    <row r="714">
      <c r="A714" s="8"/>
      <c r="B714" s="8"/>
      <c r="C714" s="33"/>
      <c r="D714" s="8"/>
      <c r="F714" s="8"/>
      <c r="G714" s="8"/>
      <c r="H714" s="9"/>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row>
    <row r="715">
      <c r="A715" s="8"/>
      <c r="B715" s="8"/>
      <c r="C715" s="33"/>
      <c r="D715" s="8"/>
      <c r="F715" s="8"/>
      <c r="G715" s="8"/>
      <c r="H715" s="9"/>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row>
    <row r="716">
      <c r="A716" s="8"/>
      <c r="B716" s="8"/>
      <c r="C716" s="33"/>
      <c r="D716" s="8"/>
      <c r="F716" s="8"/>
      <c r="G716" s="8"/>
      <c r="H716" s="9"/>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row>
    <row r="717">
      <c r="A717" s="8"/>
      <c r="B717" s="8"/>
      <c r="C717" s="33"/>
      <c r="D717" s="8"/>
      <c r="F717" s="8"/>
      <c r="G717" s="8"/>
      <c r="H717" s="9"/>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row>
    <row r="718">
      <c r="A718" s="8"/>
      <c r="B718" s="8"/>
      <c r="C718" s="33"/>
      <c r="D718" s="8"/>
      <c r="F718" s="8"/>
      <c r="G718" s="8"/>
      <c r="H718" s="9"/>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row>
    <row r="719">
      <c r="A719" s="8"/>
      <c r="B719" s="8"/>
      <c r="C719" s="33"/>
      <c r="D719" s="8"/>
      <c r="F719" s="8"/>
      <c r="G719" s="8"/>
      <c r="H719" s="9"/>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row>
    <row r="720">
      <c r="A720" s="8"/>
      <c r="B720" s="8"/>
      <c r="C720" s="33"/>
      <c r="D720" s="8"/>
      <c r="F720" s="8"/>
      <c r="G720" s="8"/>
      <c r="H720" s="9"/>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row>
    <row r="721">
      <c r="A721" s="8"/>
      <c r="B721" s="8"/>
      <c r="C721" s="33"/>
      <c r="D721" s="8"/>
      <c r="F721" s="8"/>
      <c r="G721" s="8"/>
      <c r="H721" s="9"/>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row>
    <row r="722">
      <c r="A722" s="8"/>
      <c r="B722" s="8"/>
      <c r="C722" s="33"/>
      <c r="D722" s="8"/>
      <c r="F722" s="8"/>
      <c r="G722" s="8"/>
      <c r="H722" s="9"/>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row>
    <row r="723">
      <c r="A723" s="8"/>
      <c r="B723" s="8"/>
      <c r="C723" s="33"/>
      <c r="D723" s="8"/>
      <c r="F723" s="8"/>
      <c r="G723" s="8"/>
      <c r="H723" s="9"/>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row>
    <row r="724">
      <c r="A724" s="8"/>
      <c r="B724" s="8"/>
      <c r="C724" s="33"/>
      <c r="D724" s="8"/>
      <c r="F724" s="8"/>
      <c r="G724" s="8"/>
      <c r="H724" s="9"/>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row>
    <row r="725">
      <c r="A725" s="8"/>
      <c r="B725" s="8"/>
      <c r="C725" s="33"/>
      <c r="D725" s="8"/>
      <c r="F725" s="8"/>
      <c r="G725" s="8"/>
      <c r="H725" s="9"/>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row>
    <row r="726">
      <c r="A726" s="8"/>
      <c r="B726" s="8"/>
      <c r="C726" s="33"/>
      <c r="D726" s="8"/>
      <c r="F726" s="8"/>
      <c r="G726" s="8"/>
      <c r="H726" s="9"/>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row>
    <row r="727">
      <c r="A727" s="8"/>
      <c r="B727" s="8"/>
      <c r="C727" s="33"/>
      <c r="D727" s="8"/>
      <c r="F727" s="8"/>
      <c r="G727" s="8"/>
      <c r="H727" s="9"/>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row>
    <row r="728">
      <c r="A728" s="8"/>
      <c r="B728" s="8"/>
      <c r="C728" s="33"/>
      <c r="D728" s="8"/>
      <c r="F728" s="8"/>
      <c r="G728" s="8"/>
      <c r="H728" s="9"/>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row>
    <row r="729">
      <c r="A729" s="8"/>
      <c r="B729" s="8"/>
      <c r="C729" s="33"/>
      <c r="D729" s="8"/>
      <c r="F729" s="8"/>
      <c r="G729" s="8"/>
      <c r="H729" s="9"/>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row>
    <row r="730">
      <c r="A730" s="8"/>
      <c r="B730" s="8"/>
      <c r="C730" s="33"/>
      <c r="D730" s="8"/>
      <c r="F730" s="8"/>
      <c r="G730" s="8"/>
      <c r="H730" s="9"/>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row>
    <row r="731">
      <c r="A731" s="8"/>
      <c r="B731" s="8"/>
      <c r="C731" s="33"/>
      <c r="D731" s="8"/>
      <c r="F731" s="8"/>
      <c r="G731" s="8"/>
      <c r="H731" s="9"/>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row>
    <row r="732">
      <c r="A732" s="8"/>
      <c r="B732" s="8"/>
      <c r="C732" s="33"/>
      <c r="D732" s="8"/>
      <c r="F732" s="8"/>
      <c r="G732" s="8"/>
      <c r="H732" s="9"/>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row>
    <row r="733">
      <c r="A733" s="8"/>
      <c r="B733" s="8"/>
      <c r="C733" s="33"/>
      <c r="D733" s="8"/>
      <c r="F733" s="8"/>
      <c r="G733" s="8"/>
      <c r="H733" s="9"/>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row>
    <row r="734">
      <c r="A734" s="8"/>
      <c r="B734" s="8"/>
      <c r="C734" s="33"/>
      <c r="D734" s="8"/>
      <c r="F734" s="8"/>
      <c r="G734" s="8"/>
      <c r="H734" s="9"/>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row>
    <row r="735">
      <c r="A735" s="8"/>
      <c r="B735" s="8"/>
      <c r="C735" s="33"/>
      <c r="D735" s="8"/>
      <c r="F735" s="8"/>
      <c r="G735" s="8"/>
      <c r="H735" s="9"/>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row>
    <row r="736">
      <c r="A736" s="8"/>
      <c r="B736" s="8"/>
      <c r="C736" s="33"/>
      <c r="D736" s="8"/>
      <c r="F736" s="8"/>
      <c r="G736" s="8"/>
      <c r="H736" s="9"/>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row>
    <row r="737">
      <c r="A737" s="8"/>
      <c r="B737" s="8"/>
      <c r="C737" s="33"/>
      <c r="D737" s="8"/>
      <c r="F737" s="8"/>
      <c r="G737" s="8"/>
      <c r="H737" s="9"/>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row>
    <row r="738">
      <c r="A738" s="8"/>
      <c r="B738" s="8"/>
      <c r="C738" s="33"/>
      <c r="D738" s="8"/>
      <c r="F738" s="8"/>
      <c r="G738" s="8"/>
      <c r="H738" s="9"/>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row>
    <row r="739">
      <c r="A739" s="8"/>
      <c r="B739" s="8"/>
      <c r="C739" s="33"/>
      <c r="D739" s="8"/>
      <c r="F739" s="8"/>
      <c r="G739" s="8"/>
      <c r="H739" s="9"/>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row>
    <row r="740">
      <c r="A740" s="8"/>
      <c r="B740" s="8"/>
      <c r="C740" s="33"/>
      <c r="D740" s="8"/>
      <c r="F740" s="8"/>
      <c r="G740" s="8"/>
      <c r="H740" s="9"/>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row>
    <row r="741">
      <c r="A741" s="8"/>
      <c r="B741" s="8"/>
      <c r="C741" s="33"/>
      <c r="D741" s="8"/>
      <c r="F741" s="8"/>
      <c r="G741" s="8"/>
      <c r="H741" s="9"/>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row>
    <row r="742">
      <c r="A742" s="8"/>
      <c r="B742" s="8"/>
      <c r="C742" s="33"/>
      <c r="D742" s="8"/>
      <c r="F742" s="8"/>
      <c r="G742" s="8"/>
      <c r="H742" s="9"/>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row>
    <row r="743">
      <c r="A743" s="8"/>
      <c r="B743" s="8"/>
      <c r="C743" s="33"/>
      <c r="D743" s="8"/>
      <c r="F743" s="8"/>
      <c r="G743" s="8"/>
      <c r="H743" s="9"/>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row>
    <row r="744">
      <c r="A744" s="8"/>
      <c r="B744" s="8"/>
      <c r="C744" s="33"/>
      <c r="D744" s="8"/>
      <c r="F744" s="8"/>
      <c r="G744" s="8"/>
      <c r="H744" s="9"/>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row>
    <row r="745">
      <c r="A745" s="8"/>
      <c r="B745" s="8"/>
      <c r="C745" s="33"/>
      <c r="D745" s="8"/>
      <c r="F745" s="8"/>
      <c r="G745" s="8"/>
      <c r="H745" s="9"/>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row>
    <row r="746">
      <c r="A746" s="8"/>
      <c r="B746" s="8"/>
      <c r="C746" s="33"/>
      <c r="D746" s="8"/>
      <c r="F746" s="8"/>
      <c r="G746" s="8"/>
      <c r="H746" s="9"/>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row>
    <row r="747">
      <c r="A747" s="8"/>
      <c r="B747" s="8"/>
      <c r="C747" s="33"/>
      <c r="D747" s="8"/>
      <c r="F747" s="8"/>
      <c r="G747" s="8"/>
      <c r="H747" s="9"/>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row>
    <row r="748">
      <c r="A748" s="8"/>
      <c r="B748" s="8"/>
      <c r="C748" s="33"/>
      <c r="D748" s="8"/>
      <c r="F748" s="8"/>
      <c r="G748" s="8"/>
      <c r="H748" s="9"/>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row>
    <row r="749">
      <c r="A749" s="8"/>
      <c r="B749" s="8"/>
      <c r="C749" s="33"/>
      <c r="D749" s="8"/>
      <c r="F749" s="8"/>
      <c r="G749" s="8"/>
      <c r="H749" s="9"/>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row>
    <row r="750">
      <c r="A750" s="8"/>
      <c r="B750" s="8"/>
      <c r="C750" s="33"/>
      <c r="D750" s="8"/>
      <c r="F750" s="8"/>
      <c r="G750" s="8"/>
      <c r="H750" s="9"/>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row>
    <row r="751">
      <c r="A751" s="8"/>
      <c r="B751" s="8"/>
      <c r="C751" s="33"/>
      <c r="D751" s="8"/>
      <c r="F751" s="8"/>
      <c r="G751" s="8"/>
      <c r="H751" s="9"/>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row>
    <row r="752">
      <c r="A752" s="8"/>
      <c r="B752" s="8"/>
      <c r="C752" s="33"/>
      <c r="D752" s="8"/>
      <c r="F752" s="8"/>
      <c r="G752" s="8"/>
      <c r="H752" s="9"/>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row>
    <row r="753">
      <c r="A753" s="8"/>
      <c r="B753" s="8"/>
      <c r="C753" s="33"/>
      <c r="D753" s="8"/>
      <c r="F753" s="8"/>
      <c r="G753" s="8"/>
      <c r="H753" s="9"/>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row>
    <row r="754">
      <c r="A754" s="8"/>
      <c r="B754" s="8"/>
      <c r="C754" s="33"/>
      <c r="D754" s="8"/>
      <c r="F754" s="8"/>
      <c r="G754" s="8"/>
      <c r="H754" s="9"/>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row>
    <row r="755">
      <c r="A755" s="8"/>
      <c r="B755" s="8"/>
      <c r="C755" s="33"/>
      <c r="D755" s="8"/>
      <c r="F755" s="8"/>
      <c r="G755" s="8"/>
      <c r="H755" s="9"/>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row>
    <row r="756">
      <c r="A756" s="8"/>
      <c r="B756" s="8"/>
      <c r="C756" s="33"/>
      <c r="D756" s="8"/>
      <c r="F756" s="8"/>
      <c r="G756" s="8"/>
      <c r="H756" s="9"/>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row>
    <row r="757">
      <c r="A757" s="8"/>
      <c r="B757" s="8"/>
      <c r="C757" s="33"/>
      <c r="D757" s="8"/>
      <c r="F757" s="8"/>
      <c r="G757" s="8"/>
      <c r="H757" s="9"/>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row>
    <row r="758">
      <c r="A758" s="8"/>
      <c r="B758" s="8"/>
      <c r="C758" s="33"/>
      <c r="D758" s="8"/>
      <c r="F758" s="8"/>
      <c r="G758" s="8"/>
      <c r="H758" s="9"/>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row>
    <row r="759">
      <c r="A759" s="8"/>
      <c r="B759" s="8"/>
      <c r="C759" s="33"/>
      <c r="D759" s="8"/>
      <c r="F759" s="8"/>
      <c r="G759" s="8"/>
      <c r="H759" s="9"/>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row>
    <row r="760">
      <c r="A760" s="8"/>
      <c r="B760" s="8"/>
      <c r="C760" s="33"/>
      <c r="D760" s="8"/>
      <c r="F760" s="8"/>
      <c r="G760" s="8"/>
      <c r="H760" s="9"/>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row>
    <row r="761">
      <c r="A761" s="8"/>
      <c r="B761" s="8"/>
      <c r="C761" s="33"/>
      <c r="D761" s="8"/>
      <c r="F761" s="8"/>
      <c r="G761" s="8"/>
      <c r="H761" s="9"/>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row>
    <row r="762">
      <c r="A762" s="8"/>
      <c r="B762" s="8"/>
      <c r="C762" s="33"/>
      <c r="D762" s="8"/>
      <c r="F762" s="8"/>
      <c r="G762" s="8"/>
      <c r="H762" s="9"/>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row>
    <row r="763">
      <c r="A763" s="8"/>
      <c r="B763" s="8"/>
      <c r="C763" s="33"/>
      <c r="D763" s="8"/>
      <c r="F763" s="8"/>
      <c r="G763" s="8"/>
      <c r="H763" s="9"/>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row>
    <row r="764">
      <c r="A764" s="8"/>
      <c r="B764" s="8"/>
      <c r="C764" s="33"/>
      <c r="D764" s="8"/>
      <c r="F764" s="8"/>
      <c r="G764" s="8"/>
      <c r="H764" s="9"/>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row>
    <row r="765">
      <c r="A765" s="8"/>
      <c r="B765" s="8"/>
      <c r="C765" s="33"/>
      <c r="D765" s="8"/>
      <c r="F765" s="8"/>
      <c r="G765" s="8"/>
      <c r="H765" s="9"/>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row>
    <row r="766">
      <c r="A766" s="8"/>
      <c r="B766" s="8"/>
      <c r="C766" s="33"/>
      <c r="D766" s="8"/>
      <c r="F766" s="8"/>
      <c r="G766" s="8"/>
      <c r="H766" s="9"/>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row>
    <row r="767">
      <c r="A767" s="8"/>
      <c r="B767" s="8"/>
      <c r="C767" s="33"/>
      <c r="D767" s="8"/>
      <c r="F767" s="8"/>
      <c r="G767" s="8"/>
      <c r="H767" s="9"/>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row>
    <row r="768">
      <c r="A768" s="8"/>
      <c r="B768" s="8"/>
      <c r="C768" s="33"/>
      <c r="D768" s="8"/>
      <c r="F768" s="8"/>
      <c r="G768" s="8"/>
      <c r="H768" s="9"/>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row>
    <row r="769">
      <c r="A769" s="8"/>
      <c r="B769" s="8"/>
      <c r="C769" s="33"/>
      <c r="D769" s="8"/>
      <c r="F769" s="8"/>
      <c r="G769" s="8"/>
      <c r="H769" s="9"/>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row>
    <row r="770">
      <c r="A770" s="8"/>
      <c r="B770" s="8"/>
      <c r="C770" s="33"/>
      <c r="D770" s="8"/>
      <c r="F770" s="8"/>
      <c r="G770" s="8"/>
      <c r="H770" s="9"/>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row>
    <row r="771">
      <c r="A771" s="8"/>
      <c r="B771" s="8"/>
      <c r="C771" s="33"/>
      <c r="D771" s="8"/>
      <c r="F771" s="8"/>
      <c r="G771" s="8"/>
      <c r="H771" s="9"/>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row>
    <row r="772">
      <c r="A772" s="8"/>
      <c r="B772" s="8"/>
      <c r="C772" s="33"/>
      <c r="D772" s="8"/>
      <c r="F772" s="8"/>
      <c r="G772" s="8"/>
      <c r="H772" s="9"/>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row>
    <row r="773">
      <c r="A773" s="8"/>
      <c r="B773" s="8"/>
      <c r="C773" s="33"/>
      <c r="D773" s="8"/>
      <c r="F773" s="8"/>
      <c r="G773" s="8"/>
      <c r="H773" s="9"/>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row>
    <row r="774">
      <c r="A774" s="8"/>
      <c r="B774" s="8"/>
      <c r="C774" s="33"/>
      <c r="D774" s="8"/>
      <c r="F774" s="8"/>
      <c r="G774" s="8"/>
      <c r="H774" s="9"/>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row>
    <row r="775">
      <c r="A775" s="8"/>
      <c r="B775" s="8"/>
      <c r="C775" s="33"/>
      <c r="D775" s="8"/>
      <c r="F775" s="8"/>
      <c r="G775" s="8"/>
      <c r="H775" s="9"/>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row>
    <row r="776">
      <c r="A776" s="8"/>
      <c r="B776" s="8"/>
      <c r="C776" s="33"/>
      <c r="D776" s="8"/>
      <c r="F776" s="8"/>
      <c r="G776" s="8"/>
      <c r="H776" s="9"/>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row>
    <row r="777">
      <c r="A777" s="8"/>
      <c r="B777" s="8"/>
      <c r="C777" s="33"/>
      <c r="D777" s="8"/>
      <c r="F777" s="8"/>
      <c r="G777" s="8"/>
      <c r="H777" s="9"/>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row>
    <row r="778">
      <c r="A778" s="8"/>
      <c r="B778" s="8"/>
      <c r="C778" s="33"/>
      <c r="D778" s="8"/>
      <c r="F778" s="8"/>
      <c r="G778" s="8"/>
      <c r="H778" s="9"/>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row>
    <row r="779">
      <c r="A779" s="8"/>
      <c r="B779" s="8"/>
      <c r="C779" s="33"/>
      <c r="D779" s="8"/>
      <c r="F779" s="8"/>
      <c r="G779" s="8"/>
      <c r="H779" s="9"/>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row>
    <row r="780">
      <c r="A780" s="8"/>
      <c r="B780" s="8"/>
      <c r="C780" s="33"/>
      <c r="D780" s="8"/>
      <c r="F780" s="8"/>
      <c r="G780" s="8"/>
      <c r="H780" s="9"/>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row>
    <row r="781">
      <c r="A781" s="8"/>
      <c r="B781" s="8"/>
      <c r="C781" s="33"/>
      <c r="D781" s="8"/>
      <c r="F781" s="8"/>
      <c r="G781" s="8"/>
      <c r="H781" s="9"/>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row>
    <row r="782">
      <c r="A782" s="8"/>
      <c r="B782" s="8"/>
      <c r="C782" s="33"/>
      <c r="D782" s="8"/>
      <c r="F782" s="8"/>
      <c r="G782" s="8"/>
      <c r="H782" s="9"/>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row>
    <row r="783">
      <c r="A783" s="8"/>
      <c r="B783" s="8"/>
      <c r="C783" s="33"/>
      <c r="D783" s="8"/>
      <c r="F783" s="8"/>
      <c r="G783" s="8"/>
      <c r="H783" s="9"/>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row>
    <row r="784">
      <c r="A784" s="8"/>
      <c r="B784" s="8"/>
      <c r="C784" s="33"/>
      <c r="D784" s="8"/>
      <c r="F784" s="8"/>
      <c r="G784" s="8"/>
      <c r="H784" s="9"/>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row>
    <row r="785">
      <c r="A785" s="8"/>
      <c r="B785" s="8"/>
      <c r="C785" s="33"/>
      <c r="D785" s="8"/>
      <c r="F785" s="8"/>
      <c r="G785" s="8"/>
      <c r="H785" s="9"/>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row>
    <row r="786">
      <c r="A786" s="8"/>
      <c r="B786" s="8"/>
      <c r="C786" s="33"/>
      <c r="D786" s="8"/>
      <c r="F786" s="8"/>
      <c r="G786" s="8"/>
      <c r="H786" s="9"/>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row>
    <row r="787">
      <c r="A787" s="8"/>
      <c r="B787" s="8"/>
      <c r="C787" s="33"/>
      <c r="D787" s="8"/>
      <c r="F787" s="8"/>
      <c r="G787" s="8"/>
      <c r="H787" s="9"/>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row>
    <row r="788">
      <c r="A788" s="8"/>
      <c r="B788" s="8"/>
      <c r="C788" s="33"/>
      <c r="D788" s="8"/>
      <c r="F788" s="8"/>
      <c r="G788" s="8"/>
      <c r="H788" s="9"/>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row>
    <row r="789">
      <c r="A789" s="8"/>
      <c r="B789" s="8"/>
      <c r="C789" s="33"/>
      <c r="D789" s="8"/>
      <c r="F789" s="8"/>
      <c r="G789" s="8"/>
      <c r="H789" s="9"/>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row>
    <row r="790">
      <c r="A790" s="8"/>
      <c r="B790" s="8"/>
      <c r="C790" s="33"/>
      <c r="D790" s="8"/>
      <c r="F790" s="8"/>
      <c r="G790" s="8"/>
      <c r="H790" s="9"/>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row>
    <row r="791">
      <c r="A791" s="8"/>
      <c r="B791" s="8"/>
      <c r="C791" s="33"/>
      <c r="D791" s="8"/>
      <c r="F791" s="8"/>
      <c r="G791" s="8"/>
      <c r="H791" s="9"/>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row>
    <row r="792">
      <c r="A792" s="8"/>
      <c r="B792" s="8"/>
      <c r="C792" s="33"/>
      <c r="D792" s="8"/>
      <c r="F792" s="8"/>
      <c r="G792" s="8"/>
      <c r="H792" s="9"/>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row>
    <row r="793">
      <c r="A793" s="8"/>
      <c r="B793" s="8"/>
      <c r="C793" s="33"/>
      <c r="D793" s="8"/>
      <c r="F793" s="8"/>
      <c r="G793" s="8"/>
      <c r="H793" s="9"/>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row>
    <row r="794">
      <c r="A794" s="8"/>
      <c r="B794" s="8"/>
      <c r="C794" s="33"/>
      <c r="D794" s="8"/>
      <c r="F794" s="8"/>
      <c r="G794" s="8"/>
      <c r="H794" s="9"/>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row>
    <row r="795">
      <c r="A795" s="8"/>
      <c r="B795" s="8"/>
      <c r="C795" s="33"/>
      <c r="D795" s="8"/>
      <c r="F795" s="8"/>
      <c r="G795" s="8"/>
      <c r="H795" s="9"/>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row>
    <row r="796">
      <c r="A796" s="8"/>
      <c r="B796" s="8"/>
      <c r="C796" s="33"/>
      <c r="D796" s="8"/>
      <c r="F796" s="8"/>
      <c r="G796" s="8"/>
      <c r="H796" s="9"/>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row>
    <row r="797">
      <c r="A797" s="8"/>
      <c r="B797" s="8"/>
      <c r="C797" s="33"/>
      <c r="D797" s="8"/>
      <c r="F797" s="8"/>
      <c r="G797" s="8"/>
      <c r="H797" s="9"/>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row>
    <row r="798">
      <c r="A798" s="8"/>
      <c r="B798" s="8"/>
      <c r="C798" s="33"/>
      <c r="D798" s="8"/>
      <c r="F798" s="8"/>
      <c r="G798" s="8"/>
      <c r="H798" s="9"/>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row>
    <row r="799">
      <c r="A799" s="8"/>
      <c r="B799" s="8"/>
      <c r="C799" s="33"/>
      <c r="D799" s="8"/>
      <c r="F799" s="8"/>
      <c r="G799" s="8"/>
      <c r="H799" s="9"/>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row>
    <row r="800">
      <c r="A800" s="8"/>
      <c r="B800" s="8"/>
      <c r="C800" s="33"/>
      <c r="D800" s="8"/>
      <c r="F800" s="8"/>
      <c r="G800" s="8"/>
      <c r="H800" s="9"/>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row>
    <row r="801">
      <c r="A801" s="8"/>
      <c r="B801" s="8"/>
      <c r="C801" s="33"/>
      <c r="D801" s="8"/>
      <c r="F801" s="8"/>
      <c r="G801" s="8"/>
      <c r="H801" s="9"/>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row>
    <row r="802">
      <c r="A802" s="8"/>
      <c r="B802" s="8"/>
      <c r="C802" s="33"/>
      <c r="D802" s="8"/>
      <c r="F802" s="8"/>
      <c r="G802" s="8"/>
      <c r="H802" s="9"/>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row>
    <row r="803">
      <c r="A803" s="8"/>
      <c r="B803" s="8"/>
      <c r="C803" s="33"/>
      <c r="D803" s="8"/>
      <c r="F803" s="8"/>
      <c r="G803" s="8"/>
      <c r="H803" s="9"/>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row>
    <row r="804">
      <c r="A804" s="8"/>
      <c r="B804" s="8"/>
      <c r="C804" s="33"/>
      <c r="D804" s="8"/>
      <c r="F804" s="8"/>
      <c r="G804" s="8"/>
      <c r="H804" s="9"/>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row>
    <row r="805">
      <c r="A805" s="8"/>
      <c r="B805" s="8"/>
      <c r="C805" s="33"/>
      <c r="D805" s="8"/>
      <c r="F805" s="8"/>
      <c r="G805" s="8"/>
      <c r="H805" s="9"/>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row>
    <row r="806">
      <c r="A806" s="8"/>
      <c r="B806" s="8"/>
      <c r="C806" s="33"/>
      <c r="D806" s="8"/>
      <c r="F806" s="8"/>
      <c r="G806" s="8"/>
      <c r="H806" s="9"/>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row>
    <row r="807">
      <c r="A807" s="8"/>
      <c r="B807" s="8"/>
      <c r="C807" s="33"/>
      <c r="D807" s="8"/>
      <c r="F807" s="8"/>
      <c r="G807" s="8"/>
      <c r="H807" s="9"/>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row>
    <row r="808">
      <c r="A808" s="8"/>
      <c r="B808" s="8"/>
      <c r="C808" s="33"/>
      <c r="D808" s="8"/>
      <c r="F808" s="8"/>
      <c r="G808" s="8"/>
      <c r="H808" s="9"/>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row>
    <row r="809">
      <c r="A809" s="8"/>
      <c r="B809" s="8"/>
      <c r="C809" s="33"/>
      <c r="D809" s="8"/>
      <c r="F809" s="8"/>
      <c r="G809" s="8"/>
      <c r="H809" s="9"/>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row>
    <row r="810">
      <c r="A810" s="8"/>
      <c r="B810" s="8"/>
      <c r="C810" s="33"/>
      <c r="D810" s="8"/>
      <c r="F810" s="8"/>
      <c r="G810" s="8"/>
      <c r="H810" s="9"/>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row>
    <row r="811">
      <c r="A811" s="8"/>
      <c r="B811" s="8"/>
      <c r="C811" s="33"/>
      <c r="D811" s="8"/>
      <c r="F811" s="8"/>
      <c r="G811" s="8"/>
      <c r="H811" s="9"/>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row>
    <row r="812">
      <c r="A812" s="8"/>
      <c r="B812" s="8"/>
      <c r="C812" s="33"/>
      <c r="D812" s="8"/>
      <c r="F812" s="8"/>
      <c r="G812" s="8"/>
      <c r="H812" s="9"/>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row>
    <row r="813">
      <c r="A813" s="8"/>
      <c r="B813" s="8"/>
      <c r="C813" s="33"/>
      <c r="D813" s="8"/>
      <c r="F813" s="8"/>
      <c r="G813" s="8"/>
      <c r="H813" s="9"/>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row>
    <row r="814">
      <c r="A814" s="8"/>
      <c r="B814" s="8"/>
      <c r="C814" s="33"/>
      <c r="D814" s="8"/>
      <c r="F814" s="8"/>
      <c r="G814" s="8"/>
      <c r="H814" s="9"/>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row>
    <row r="815">
      <c r="A815" s="8"/>
      <c r="B815" s="8"/>
      <c r="C815" s="33"/>
      <c r="D815" s="8"/>
      <c r="F815" s="8"/>
      <c r="G815" s="8"/>
      <c r="H815" s="9"/>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row>
    <row r="816">
      <c r="A816" s="8"/>
      <c r="B816" s="8"/>
      <c r="C816" s="33"/>
      <c r="D816" s="8"/>
      <c r="F816" s="8"/>
      <c r="G816" s="8"/>
      <c r="H816" s="9"/>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row>
    <row r="817">
      <c r="A817" s="8"/>
      <c r="B817" s="8"/>
      <c r="C817" s="33"/>
      <c r="D817" s="8"/>
      <c r="F817" s="8"/>
      <c r="G817" s="8"/>
      <c r="H817" s="9"/>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row>
    <row r="818">
      <c r="A818" s="8"/>
      <c r="B818" s="8"/>
      <c r="C818" s="33"/>
      <c r="D818" s="8"/>
      <c r="F818" s="8"/>
      <c r="G818" s="8"/>
      <c r="H818" s="9"/>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row>
    <row r="819">
      <c r="A819" s="8"/>
      <c r="B819" s="8"/>
      <c r="C819" s="33"/>
      <c r="D819" s="8"/>
      <c r="F819" s="8"/>
      <c r="G819" s="8"/>
      <c r="H819" s="9"/>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row>
    <row r="820">
      <c r="A820" s="8"/>
      <c r="B820" s="8"/>
      <c r="C820" s="33"/>
      <c r="D820" s="8"/>
      <c r="F820" s="8"/>
      <c r="G820" s="8"/>
      <c r="H820" s="9"/>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row>
    <row r="821">
      <c r="A821" s="8"/>
      <c r="B821" s="8"/>
      <c r="C821" s="33"/>
      <c r="D821" s="8"/>
      <c r="F821" s="8"/>
      <c r="G821" s="8"/>
      <c r="H821" s="9"/>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row>
    <row r="822">
      <c r="A822" s="8"/>
      <c r="B822" s="8"/>
      <c r="C822" s="33"/>
      <c r="D822" s="8"/>
      <c r="F822" s="8"/>
      <c r="G822" s="8"/>
      <c r="H822" s="9"/>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row>
    <row r="823">
      <c r="A823" s="8"/>
      <c r="B823" s="8"/>
      <c r="C823" s="33"/>
      <c r="D823" s="8"/>
      <c r="F823" s="8"/>
      <c r="G823" s="8"/>
      <c r="H823" s="9"/>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row>
    <row r="824">
      <c r="A824" s="8"/>
      <c r="B824" s="8"/>
      <c r="C824" s="33"/>
      <c r="D824" s="8"/>
      <c r="F824" s="8"/>
      <c r="G824" s="8"/>
      <c r="H824" s="9"/>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row>
    <row r="825">
      <c r="A825" s="8"/>
      <c r="B825" s="8"/>
      <c r="C825" s="33"/>
      <c r="D825" s="8"/>
      <c r="F825" s="8"/>
      <c r="G825" s="8"/>
      <c r="H825" s="9"/>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row>
    <row r="826">
      <c r="A826" s="8"/>
      <c r="B826" s="8"/>
      <c r="C826" s="33"/>
      <c r="D826" s="8"/>
      <c r="F826" s="8"/>
      <c r="G826" s="8"/>
      <c r="H826" s="9"/>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row>
    <row r="827">
      <c r="A827" s="8"/>
      <c r="B827" s="8"/>
      <c r="C827" s="33"/>
      <c r="D827" s="8"/>
      <c r="F827" s="8"/>
      <c r="G827" s="8"/>
      <c r="H827" s="9"/>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row>
    <row r="828">
      <c r="A828" s="8"/>
      <c r="B828" s="8"/>
      <c r="C828" s="33"/>
      <c r="D828" s="8"/>
      <c r="F828" s="8"/>
      <c r="G828" s="8"/>
      <c r="H828" s="9"/>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row>
    <row r="829">
      <c r="A829" s="8"/>
      <c r="B829" s="8"/>
      <c r="C829" s="33"/>
      <c r="D829" s="8"/>
      <c r="F829" s="8"/>
      <c r="G829" s="8"/>
      <c r="H829" s="9"/>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row>
    <row r="830">
      <c r="A830" s="8"/>
      <c r="B830" s="8"/>
      <c r="C830" s="33"/>
      <c r="D830" s="8"/>
      <c r="F830" s="8"/>
      <c r="G830" s="8"/>
      <c r="H830" s="9"/>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row>
    <row r="831">
      <c r="A831" s="8"/>
      <c r="B831" s="8"/>
      <c r="C831" s="33"/>
      <c r="D831" s="8"/>
      <c r="F831" s="8"/>
      <c r="G831" s="8"/>
      <c r="H831" s="9"/>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row>
    <row r="832">
      <c r="A832" s="8"/>
      <c r="B832" s="8"/>
      <c r="C832" s="33"/>
      <c r="D832" s="8"/>
      <c r="F832" s="8"/>
      <c r="G832" s="8"/>
      <c r="H832" s="9"/>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row>
    <row r="833">
      <c r="A833" s="8"/>
      <c r="B833" s="8"/>
      <c r="C833" s="33"/>
      <c r="D833" s="8"/>
      <c r="F833" s="8"/>
      <c r="G833" s="8"/>
      <c r="H833" s="9"/>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row>
    <row r="834">
      <c r="A834" s="8"/>
      <c r="B834" s="8"/>
      <c r="C834" s="33"/>
      <c r="D834" s="8"/>
      <c r="F834" s="8"/>
      <c r="G834" s="8"/>
      <c r="H834" s="9"/>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row>
    <row r="835">
      <c r="A835" s="8"/>
      <c r="B835" s="8"/>
      <c r="C835" s="33"/>
      <c r="D835" s="8"/>
      <c r="F835" s="8"/>
      <c r="G835" s="8"/>
      <c r="H835" s="9"/>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row>
    <row r="836">
      <c r="A836" s="8"/>
      <c r="B836" s="8"/>
      <c r="C836" s="33"/>
      <c r="D836" s="8"/>
      <c r="F836" s="8"/>
      <c r="G836" s="8"/>
      <c r="H836" s="9"/>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row>
    <row r="837">
      <c r="A837" s="8"/>
      <c r="B837" s="8"/>
      <c r="C837" s="33"/>
      <c r="D837" s="8"/>
      <c r="F837" s="8"/>
      <c r="G837" s="8"/>
      <c r="H837" s="9"/>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row>
    <row r="838">
      <c r="A838" s="8"/>
      <c r="B838" s="8"/>
      <c r="C838" s="33"/>
      <c r="D838" s="8"/>
      <c r="F838" s="8"/>
      <c r="G838" s="8"/>
      <c r="H838" s="9"/>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row>
    <row r="839">
      <c r="A839" s="8"/>
      <c r="B839" s="8"/>
      <c r="C839" s="33"/>
      <c r="D839" s="8"/>
      <c r="F839" s="8"/>
      <c r="G839" s="8"/>
      <c r="H839" s="9"/>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row>
    <row r="840">
      <c r="A840" s="8"/>
      <c r="B840" s="8"/>
      <c r="C840" s="33"/>
      <c r="D840" s="8"/>
      <c r="F840" s="8"/>
      <c r="G840" s="8"/>
      <c r="H840" s="9"/>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row>
    <row r="841">
      <c r="A841" s="8"/>
      <c r="B841" s="8"/>
      <c r="C841" s="33"/>
      <c r="D841" s="8"/>
      <c r="F841" s="8"/>
      <c r="G841" s="8"/>
      <c r="H841" s="9"/>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row>
    <row r="842">
      <c r="A842" s="8"/>
      <c r="B842" s="8"/>
      <c r="C842" s="33"/>
      <c r="D842" s="8"/>
      <c r="F842" s="8"/>
      <c r="G842" s="8"/>
      <c r="H842" s="9"/>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row>
    <row r="843">
      <c r="A843" s="8"/>
      <c r="B843" s="8"/>
      <c r="C843" s="33"/>
      <c r="D843" s="8"/>
      <c r="F843" s="8"/>
      <c r="G843" s="8"/>
      <c r="H843" s="9"/>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row>
    <row r="844">
      <c r="A844" s="8"/>
      <c r="B844" s="8"/>
      <c r="C844" s="33"/>
      <c r="D844" s="8"/>
      <c r="F844" s="8"/>
      <c r="G844" s="8"/>
      <c r="H844" s="9"/>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row>
    <row r="845">
      <c r="A845" s="8"/>
      <c r="B845" s="8"/>
      <c r="C845" s="33"/>
      <c r="D845" s="8"/>
      <c r="F845" s="8"/>
      <c r="G845" s="8"/>
      <c r="H845" s="9"/>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row>
    <row r="846">
      <c r="A846" s="8"/>
      <c r="B846" s="8"/>
      <c r="C846" s="33"/>
      <c r="D846" s="8"/>
      <c r="F846" s="8"/>
      <c r="G846" s="8"/>
      <c r="H846" s="9"/>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row>
    <row r="847">
      <c r="A847" s="8"/>
      <c r="B847" s="8"/>
      <c r="C847" s="33"/>
      <c r="D847" s="8"/>
      <c r="F847" s="8"/>
      <c r="G847" s="8"/>
      <c r="H847" s="9"/>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row>
    <row r="848">
      <c r="A848" s="8"/>
      <c r="B848" s="8"/>
      <c r="C848" s="33"/>
      <c r="D848" s="8"/>
      <c r="F848" s="8"/>
      <c r="G848" s="8"/>
      <c r="H848" s="9"/>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row>
    <row r="849">
      <c r="A849" s="8"/>
      <c r="B849" s="8"/>
      <c r="C849" s="33"/>
      <c r="D849" s="8"/>
      <c r="F849" s="8"/>
      <c r="G849" s="8"/>
      <c r="H849" s="9"/>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row>
    <row r="850">
      <c r="A850" s="8"/>
      <c r="B850" s="8"/>
      <c r="C850" s="33"/>
      <c r="D850" s="8"/>
      <c r="F850" s="8"/>
      <c r="G850" s="8"/>
      <c r="H850" s="9"/>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row>
    <row r="851">
      <c r="A851" s="8"/>
      <c r="B851" s="8"/>
      <c r="C851" s="33"/>
      <c r="D851" s="8"/>
      <c r="F851" s="8"/>
      <c r="G851" s="8"/>
      <c r="H851" s="9"/>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row>
    <row r="852">
      <c r="A852" s="8"/>
      <c r="B852" s="8"/>
      <c r="C852" s="33"/>
      <c r="D852" s="8"/>
      <c r="F852" s="8"/>
      <c r="G852" s="8"/>
      <c r="H852" s="9"/>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row>
    <row r="853">
      <c r="A853" s="8"/>
      <c r="B853" s="8"/>
      <c r="C853" s="33"/>
      <c r="D853" s="8"/>
      <c r="F853" s="8"/>
      <c r="G853" s="8"/>
      <c r="H853" s="9"/>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row>
    <row r="854">
      <c r="A854" s="8"/>
      <c r="B854" s="8"/>
      <c r="C854" s="33"/>
      <c r="D854" s="8"/>
      <c r="F854" s="8"/>
      <c r="G854" s="8"/>
      <c r="H854" s="9"/>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row>
    <row r="855">
      <c r="A855" s="8"/>
      <c r="B855" s="8"/>
      <c r="C855" s="33"/>
      <c r="D855" s="8"/>
      <c r="F855" s="8"/>
      <c r="G855" s="8"/>
      <c r="H855" s="9"/>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row>
    <row r="856">
      <c r="A856" s="8"/>
      <c r="B856" s="8"/>
      <c r="C856" s="33"/>
      <c r="D856" s="8"/>
      <c r="F856" s="8"/>
      <c r="G856" s="8"/>
      <c r="H856" s="9"/>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row>
    <row r="857">
      <c r="A857" s="8"/>
      <c r="B857" s="8"/>
      <c r="C857" s="33"/>
      <c r="D857" s="8"/>
      <c r="F857" s="8"/>
      <c r="G857" s="8"/>
      <c r="H857" s="9"/>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row>
    <row r="858">
      <c r="A858" s="8"/>
      <c r="B858" s="8"/>
      <c r="C858" s="33"/>
      <c r="D858" s="8"/>
      <c r="F858" s="8"/>
      <c r="G858" s="8"/>
      <c r="H858" s="9"/>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row>
    <row r="859">
      <c r="A859" s="8"/>
      <c r="B859" s="8"/>
      <c r="C859" s="33"/>
      <c r="D859" s="8"/>
      <c r="F859" s="8"/>
      <c r="G859" s="8"/>
      <c r="H859" s="9"/>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row>
    <row r="860">
      <c r="A860" s="8"/>
      <c r="B860" s="8"/>
      <c r="C860" s="33"/>
      <c r="D860" s="8"/>
      <c r="F860" s="8"/>
      <c r="G860" s="8"/>
      <c r="H860" s="9"/>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row>
    <row r="861">
      <c r="A861" s="8"/>
      <c r="B861" s="8"/>
      <c r="C861" s="33"/>
      <c r="D861" s="8"/>
      <c r="F861" s="8"/>
      <c r="G861" s="8"/>
      <c r="H861" s="9"/>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row>
    <row r="862">
      <c r="A862" s="8"/>
      <c r="B862" s="8"/>
      <c r="C862" s="33"/>
      <c r="D862" s="8"/>
      <c r="F862" s="8"/>
      <c r="G862" s="8"/>
      <c r="H862" s="9"/>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row>
    <row r="863">
      <c r="A863" s="8"/>
      <c r="B863" s="8"/>
      <c r="C863" s="33"/>
      <c r="D863" s="8"/>
      <c r="F863" s="8"/>
      <c r="G863" s="8"/>
      <c r="H863" s="9"/>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row>
    <row r="864">
      <c r="A864" s="8"/>
      <c r="B864" s="8"/>
      <c r="C864" s="33"/>
      <c r="D864" s="8"/>
      <c r="F864" s="8"/>
      <c r="G864" s="8"/>
      <c r="H864" s="9"/>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row>
    <row r="865">
      <c r="A865" s="8"/>
      <c r="B865" s="8"/>
      <c r="C865" s="33"/>
      <c r="D865" s="8"/>
      <c r="F865" s="8"/>
      <c r="G865" s="8"/>
      <c r="H865" s="9"/>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row>
    <row r="866">
      <c r="A866" s="8"/>
      <c r="B866" s="8"/>
      <c r="C866" s="33"/>
      <c r="D866" s="8"/>
      <c r="F866" s="8"/>
      <c r="G866" s="8"/>
      <c r="H866" s="9"/>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row>
    <row r="867">
      <c r="A867" s="8"/>
      <c r="B867" s="8"/>
      <c r="C867" s="33"/>
      <c r="D867" s="8"/>
      <c r="F867" s="8"/>
      <c r="G867" s="8"/>
      <c r="H867" s="9"/>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row>
    <row r="868">
      <c r="A868" s="8"/>
      <c r="B868" s="8"/>
      <c r="C868" s="33"/>
      <c r="D868" s="8"/>
      <c r="F868" s="8"/>
      <c r="G868" s="8"/>
      <c r="H868" s="9"/>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row>
    <row r="869">
      <c r="A869" s="8"/>
      <c r="B869" s="8"/>
      <c r="C869" s="33"/>
      <c r="D869" s="8"/>
      <c r="F869" s="8"/>
      <c r="G869" s="8"/>
      <c r="H869" s="9"/>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row>
    <row r="870">
      <c r="A870" s="8"/>
      <c r="B870" s="8"/>
      <c r="C870" s="33"/>
      <c r="D870" s="8"/>
      <c r="F870" s="8"/>
      <c r="G870" s="8"/>
      <c r="H870" s="9"/>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row>
    <row r="871">
      <c r="A871" s="8"/>
      <c r="B871" s="8"/>
      <c r="C871" s="33"/>
      <c r="D871" s="8"/>
      <c r="F871" s="8"/>
      <c r="G871" s="8"/>
      <c r="H871" s="9"/>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row>
    <row r="872">
      <c r="A872" s="8"/>
      <c r="B872" s="8"/>
      <c r="C872" s="33"/>
      <c r="D872" s="8"/>
      <c r="F872" s="8"/>
      <c r="G872" s="8"/>
      <c r="H872" s="9"/>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row>
    <row r="873">
      <c r="A873" s="8"/>
      <c r="B873" s="8"/>
      <c r="C873" s="33"/>
      <c r="D873" s="8"/>
      <c r="F873" s="8"/>
      <c r="G873" s="8"/>
      <c r="H873" s="9"/>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row>
    <row r="874">
      <c r="A874" s="8"/>
      <c r="B874" s="8"/>
      <c r="C874" s="33"/>
      <c r="D874" s="8"/>
      <c r="F874" s="8"/>
      <c r="G874" s="8"/>
      <c r="H874" s="9"/>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row>
    <row r="875">
      <c r="A875" s="8"/>
      <c r="B875" s="8"/>
      <c r="C875" s="33"/>
      <c r="D875" s="8"/>
      <c r="F875" s="8"/>
      <c r="G875" s="8"/>
      <c r="H875" s="9"/>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row>
    <row r="876">
      <c r="A876" s="8"/>
      <c r="B876" s="8"/>
      <c r="C876" s="33"/>
      <c r="D876" s="8"/>
      <c r="F876" s="8"/>
      <c r="G876" s="8"/>
      <c r="H876" s="9"/>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row>
    <row r="877">
      <c r="A877" s="8"/>
      <c r="B877" s="8"/>
      <c r="C877" s="33"/>
      <c r="D877" s="8"/>
      <c r="F877" s="8"/>
      <c r="G877" s="8"/>
      <c r="H877" s="9"/>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row>
    <row r="878">
      <c r="A878" s="8"/>
      <c r="B878" s="8"/>
      <c r="C878" s="33"/>
      <c r="D878" s="8"/>
      <c r="F878" s="8"/>
      <c r="G878" s="8"/>
      <c r="H878" s="9"/>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row>
    <row r="879">
      <c r="A879" s="8"/>
      <c r="B879" s="8"/>
      <c r="C879" s="33"/>
      <c r="D879" s="8"/>
      <c r="F879" s="8"/>
      <c r="G879" s="8"/>
      <c r="H879" s="9"/>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row>
    <row r="880">
      <c r="A880" s="8"/>
      <c r="B880" s="8"/>
      <c r="C880" s="33"/>
      <c r="D880" s="8"/>
      <c r="F880" s="8"/>
      <c r="G880" s="8"/>
      <c r="H880" s="9"/>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row>
    <row r="881">
      <c r="A881" s="8"/>
      <c r="B881" s="8"/>
      <c r="C881" s="33"/>
      <c r="D881" s="8"/>
      <c r="F881" s="8"/>
      <c r="G881" s="8"/>
      <c r="H881" s="9"/>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row>
    <row r="882">
      <c r="A882" s="8"/>
      <c r="B882" s="8"/>
      <c r="C882" s="33"/>
      <c r="D882" s="8"/>
      <c r="F882" s="8"/>
      <c r="G882" s="8"/>
      <c r="H882" s="9"/>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row>
    <row r="883">
      <c r="A883" s="8"/>
      <c r="B883" s="8"/>
      <c r="C883" s="33"/>
      <c r="D883" s="8"/>
      <c r="F883" s="8"/>
      <c r="G883" s="8"/>
      <c r="H883" s="9"/>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row>
    <row r="884">
      <c r="A884" s="8"/>
      <c r="B884" s="8"/>
      <c r="C884" s="33"/>
      <c r="D884" s="8"/>
      <c r="F884" s="8"/>
      <c r="G884" s="8"/>
      <c r="H884" s="9"/>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row>
    <row r="885">
      <c r="A885" s="8"/>
      <c r="B885" s="8"/>
      <c r="C885" s="33"/>
      <c r="D885" s="8"/>
      <c r="F885" s="8"/>
      <c r="G885" s="8"/>
      <c r="H885" s="9"/>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row>
    <row r="886">
      <c r="A886" s="8"/>
      <c r="B886" s="8"/>
      <c r="C886" s="33"/>
      <c r="D886" s="8"/>
      <c r="F886" s="8"/>
      <c r="G886" s="8"/>
      <c r="H886" s="9"/>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row>
    <row r="887">
      <c r="A887" s="8"/>
      <c r="B887" s="8"/>
      <c r="C887" s="33"/>
      <c r="D887" s="8"/>
      <c r="F887" s="8"/>
      <c r="G887" s="8"/>
      <c r="H887" s="9"/>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row>
    <row r="888">
      <c r="A888" s="8"/>
      <c r="B888" s="8"/>
      <c r="C888" s="33"/>
      <c r="D888" s="8"/>
      <c r="F888" s="8"/>
      <c r="G888" s="8"/>
      <c r="H888" s="9"/>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row>
    <row r="889">
      <c r="A889" s="8"/>
      <c r="B889" s="8"/>
      <c r="C889" s="33"/>
      <c r="D889" s="8"/>
      <c r="F889" s="8"/>
      <c r="G889" s="8"/>
      <c r="H889" s="9"/>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row>
    <row r="890">
      <c r="A890" s="8"/>
      <c r="B890" s="8"/>
      <c r="C890" s="33"/>
      <c r="D890" s="8"/>
      <c r="F890" s="8"/>
      <c r="G890" s="8"/>
      <c r="H890" s="9"/>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row>
    <row r="891">
      <c r="A891" s="8"/>
      <c r="B891" s="8"/>
      <c r="C891" s="33"/>
      <c r="D891" s="8"/>
      <c r="F891" s="8"/>
      <c r="G891" s="8"/>
      <c r="H891" s="9"/>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row>
    <row r="892">
      <c r="A892" s="8"/>
      <c r="B892" s="8"/>
      <c r="C892" s="33"/>
      <c r="D892" s="8"/>
      <c r="F892" s="8"/>
      <c r="G892" s="8"/>
      <c r="H892" s="9"/>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row>
    <row r="893">
      <c r="A893" s="8"/>
      <c r="B893" s="8"/>
      <c r="C893" s="33"/>
      <c r="D893" s="8"/>
      <c r="F893" s="8"/>
      <c r="G893" s="8"/>
      <c r="H893" s="9"/>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row>
    <row r="894">
      <c r="A894" s="8"/>
      <c r="B894" s="8"/>
      <c r="C894" s="33"/>
      <c r="D894" s="8"/>
      <c r="F894" s="8"/>
      <c r="G894" s="8"/>
      <c r="H894" s="9"/>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row>
    <row r="895">
      <c r="A895" s="8"/>
      <c r="B895" s="8"/>
      <c r="C895" s="33"/>
      <c r="D895" s="8"/>
      <c r="F895" s="8"/>
      <c r="G895" s="8"/>
      <c r="H895" s="9"/>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row>
    <row r="896">
      <c r="A896" s="8"/>
      <c r="B896" s="8"/>
      <c r="C896" s="33"/>
      <c r="D896" s="8"/>
      <c r="F896" s="8"/>
      <c r="G896" s="8"/>
      <c r="H896" s="9"/>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row>
    <row r="897">
      <c r="A897" s="8"/>
      <c r="B897" s="8"/>
      <c r="C897" s="33"/>
      <c r="D897" s="8"/>
      <c r="F897" s="8"/>
      <c r="G897" s="8"/>
      <c r="H897" s="9"/>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row>
    <row r="898">
      <c r="A898" s="8"/>
      <c r="B898" s="8"/>
      <c r="C898" s="33"/>
      <c r="D898" s="8"/>
      <c r="F898" s="8"/>
      <c r="G898" s="8"/>
      <c r="H898" s="9"/>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row>
    <row r="899">
      <c r="A899" s="8"/>
      <c r="B899" s="8"/>
      <c r="C899" s="33"/>
      <c r="D899" s="8"/>
      <c r="F899" s="8"/>
      <c r="G899" s="8"/>
      <c r="H899" s="9"/>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row>
    <row r="900">
      <c r="A900" s="8"/>
      <c r="B900" s="8"/>
      <c r="C900" s="33"/>
      <c r="D900" s="8"/>
      <c r="F900" s="8"/>
      <c r="G900" s="8"/>
      <c r="H900" s="9"/>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row>
    <row r="901">
      <c r="A901" s="8"/>
      <c r="B901" s="8"/>
      <c r="C901" s="33"/>
      <c r="D901" s="8"/>
      <c r="F901" s="8"/>
      <c r="G901" s="8"/>
      <c r="H901" s="9"/>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row>
    <row r="902">
      <c r="A902" s="8"/>
      <c r="B902" s="8"/>
      <c r="C902" s="33"/>
      <c r="D902" s="8"/>
      <c r="F902" s="8"/>
      <c r="G902" s="8"/>
      <c r="H902" s="9"/>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row>
    <row r="903">
      <c r="A903" s="8"/>
      <c r="B903" s="8"/>
      <c r="C903" s="33"/>
      <c r="D903" s="8"/>
      <c r="F903" s="8"/>
      <c r="G903" s="8"/>
      <c r="H903" s="9"/>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row>
    <row r="904">
      <c r="A904" s="8"/>
      <c r="B904" s="8"/>
      <c r="C904" s="33"/>
      <c r="D904" s="8"/>
      <c r="F904" s="8"/>
      <c r="G904" s="8"/>
      <c r="H904" s="9"/>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row>
    <row r="905">
      <c r="A905" s="8"/>
      <c r="B905" s="8"/>
      <c r="C905" s="33"/>
      <c r="D905" s="8"/>
      <c r="F905" s="8"/>
      <c r="G905" s="8"/>
      <c r="H905" s="9"/>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row>
    <row r="906">
      <c r="A906" s="8"/>
      <c r="B906" s="8"/>
      <c r="C906" s="33"/>
      <c r="D906" s="8"/>
      <c r="F906" s="8"/>
      <c r="G906" s="8"/>
      <c r="H906" s="9"/>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row>
    <row r="907">
      <c r="A907" s="8"/>
      <c r="B907" s="8"/>
      <c r="C907" s="33"/>
      <c r="D907" s="8"/>
      <c r="F907" s="8"/>
      <c r="G907" s="8"/>
      <c r="H907" s="9"/>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row>
    <row r="908">
      <c r="A908" s="8"/>
      <c r="B908" s="8"/>
      <c r="C908" s="33"/>
      <c r="D908" s="8"/>
      <c r="F908" s="8"/>
      <c r="G908" s="8"/>
      <c r="H908" s="9"/>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row>
    <row r="909">
      <c r="A909" s="8"/>
      <c r="B909" s="8"/>
      <c r="C909" s="33"/>
      <c r="D909" s="8"/>
      <c r="F909" s="8"/>
      <c r="G909" s="8"/>
      <c r="H909" s="9"/>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row>
    <row r="910">
      <c r="A910" s="8"/>
      <c r="B910" s="8"/>
      <c r="C910" s="33"/>
      <c r="D910" s="8"/>
      <c r="F910" s="8"/>
      <c r="G910" s="8"/>
      <c r="H910" s="9"/>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row>
    <row r="911">
      <c r="A911" s="8"/>
      <c r="B911" s="8"/>
      <c r="C911" s="33"/>
      <c r="D911" s="8"/>
      <c r="F911" s="8"/>
      <c r="G911" s="8"/>
      <c r="H911" s="9"/>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row>
    <row r="912">
      <c r="A912" s="8"/>
      <c r="B912" s="8"/>
      <c r="C912" s="33"/>
      <c r="D912" s="8"/>
      <c r="F912" s="8"/>
      <c r="G912" s="8"/>
      <c r="H912" s="9"/>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row>
    <row r="913">
      <c r="A913" s="8"/>
      <c r="B913" s="8"/>
      <c r="C913" s="33"/>
      <c r="D913" s="8"/>
      <c r="F913" s="8"/>
      <c r="G913" s="8"/>
      <c r="H913" s="9"/>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row>
    <row r="914">
      <c r="A914" s="8"/>
      <c r="B914" s="8"/>
      <c r="C914" s="33"/>
      <c r="D914" s="8"/>
      <c r="F914" s="8"/>
      <c r="G914" s="8"/>
      <c r="H914" s="9"/>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row>
    <row r="915">
      <c r="A915" s="8"/>
      <c r="B915" s="8"/>
      <c r="C915" s="33"/>
      <c r="D915" s="8"/>
      <c r="F915" s="8"/>
      <c r="G915" s="8"/>
      <c r="H915" s="9"/>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row>
    <row r="916">
      <c r="A916" s="8"/>
      <c r="B916" s="8"/>
      <c r="C916" s="33"/>
      <c r="D916" s="8"/>
      <c r="F916" s="8"/>
      <c r="G916" s="8"/>
      <c r="H916" s="9"/>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row>
    <row r="917">
      <c r="A917" s="8"/>
      <c r="B917" s="8"/>
      <c r="C917" s="33"/>
      <c r="D917" s="8"/>
      <c r="F917" s="8"/>
      <c r="G917" s="8"/>
      <c r="H917" s="9"/>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row>
    <row r="918">
      <c r="A918" s="8"/>
      <c r="B918" s="8"/>
      <c r="C918" s="33"/>
      <c r="D918" s="8"/>
      <c r="F918" s="8"/>
      <c r="G918" s="8"/>
      <c r="H918" s="9"/>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row>
    <row r="919">
      <c r="A919" s="8"/>
      <c r="B919" s="8"/>
      <c r="C919" s="33"/>
      <c r="D919" s="8"/>
      <c r="F919" s="8"/>
      <c r="G919" s="8"/>
      <c r="H919" s="9"/>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row>
    <row r="920">
      <c r="A920" s="8"/>
      <c r="B920" s="8"/>
      <c r="C920" s="33"/>
      <c r="D920" s="8"/>
      <c r="F920" s="8"/>
      <c r="G920" s="8"/>
      <c r="H920" s="9"/>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row>
    <row r="921">
      <c r="A921" s="8"/>
      <c r="B921" s="8"/>
      <c r="C921" s="33"/>
      <c r="D921" s="8"/>
      <c r="F921" s="8"/>
      <c r="G921" s="8"/>
      <c r="H921" s="9"/>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row>
    <row r="922">
      <c r="A922" s="8"/>
      <c r="B922" s="8"/>
      <c r="C922" s="33"/>
      <c r="D922" s="8"/>
      <c r="F922" s="8"/>
      <c r="G922" s="8"/>
      <c r="H922" s="9"/>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row>
    <row r="923">
      <c r="A923" s="8"/>
      <c r="B923" s="8"/>
      <c r="C923" s="33"/>
      <c r="D923" s="8"/>
      <c r="F923" s="8"/>
      <c r="G923" s="8"/>
      <c r="H923" s="9"/>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row>
    <row r="924">
      <c r="A924" s="8"/>
      <c r="B924" s="8"/>
      <c r="C924" s="33"/>
      <c r="D924" s="8"/>
      <c r="F924" s="8"/>
      <c r="G924" s="8"/>
      <c r="H924" s="9"/>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row>
    <row r="925">
      <c r="A925" s="8"/>
      <c r="B925" s="8"/>
      <c r="C925" s="33"/>
      <c r="D925" s="8"/>
      <c r="F925" s="8"/>
      <c r="G925" s="8"/>
      <c r="H925" s="9"/>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row>
    <row r="926">
      <c r="A926" s="8"/>
      <c r="B926" s="8"/>
      <c r="C926" s="33"/>
      <c r="D926" s="8"/>
      <c r="F926" s="8"/>
      <c r="G926" s="8"/>
      <c r="H926" s="9"/>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row>
    <row r="927">
      <c r="A927" s="8"/>
      <c r="B927" s="8"/>
      <c r="C927" s="33"/>
      <c r="D927" s="8"/>
      <c r="F927" s="8"/>
      <c r="G927" s="8"/>
      <c r="H927" s="9"/>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row>
    <row r="928">
      <c r="A928" s="8"/>
      <c r="B928" s="8"/>
      <c r="C928" s="33"/>
      <c r="D928" s="8"/>
      <c r="F928" s="8"/>
      <c r="G928" s="8"/>
      <c r="H928" s="9"/>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row>
    <row r="929">
      <c r="A929" s="8"/>
      <c r="B929" s="8"/>
      <c r="C929" s="33"/>
      <c r="D929" s="8"/>
      <c r="F929" s="8"/>
      <c r="G929" s="8"/>
      <c r="H929" s="9"/>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row>
    <row r="930">
      <c r="A930" s="8"/>
      <c r="B930" s="8"/>
      <c r="C930" s="33"/>
      <c r="D930" s="8"/>
      <c r="F930" s="8"/>
      <c r="G930" s="8"/>
      <c r="H930" s="9"/>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row>
    <row r="931">
      <c r="A931" s="8"/>
      <c r="B931" s="8"/>
      <c r="C931" s="33"/>
      <c r="D931" s="8"/>
      <c r="F931" s="8"/>
      <c r="G931" s="8"/>
      <c r="H931" s="9"/>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row>
    <row r="932">
      <c r="A932" s="8"/>
      <c r="B932" s="8"/>
      <c r="C932" s="33"/>
      <c r="D932" s="8"/>
      <c r="F932" s="8"/>
      <c r="G932" s="8"/>
      <c r="H932" s="9"/>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row>
    <row r="933">
      <c r="A933" s="8"/>
      <c r="B933" s="8"/>
      <c r="C933" s="33"/>
      <c r="D933" s="8"/>
      <c r="F933" s="8"/>
      <c r="G933" s="8"/>
      <c r="H933" s="9"/>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row>
    <row r="934">
      <c r="A934" s="8"/>
      <c r="B934" s="8"/>
      <c r="C934" s="33"/>
      <c r="D934" s="8"/>
      <c r="F934" s="8"/>
      <c r="G934" s="8"/>
      <c r="H934" s="9"/>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row>
    <row r="935">
      <c r="A935" s="8"/>
      <c r="B935" s="8"/>
      <c r="C935" s="33"/>
      <c r="D935" s="8"/>
      <c r="F935" s="8"/>
      <c r="G935" s="8"/>
      <c r="H935" s="9"/>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row>
    <row r="936">
      <c r="A936" s="8"/>
      <c r="B936" s="8"/>
      <c r="C936" s="33"/>
      <c r="D936" s="8"/>
      <c r="F936" s="8"/>
      <c r="G936" s="8"/>
      <c r="H936" s="9"/>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row>
    <row r="937">
      <c r="A937" s="8"/>
      <c r="B937" s="8"/>
      <c r="C937" s="33"/>
      <c r="D937" s="8"/>
      <c r="F937" s="8"/>
      <c r="G937" s="8"/>
      <c r="H937" s="9"/>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row>
    <row r="938">
      <c r="A938" s="8"/>
      <c r="B938" s="8"/>
      <c r="C938" s="33"/>
      <c r="D938" s="8"/>
      <c r="F938" s="8"/>
      <c r="G938" s="8"/>
      <c r="H938" s="9"/>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row>
    <row r="939">
      <c r="A939" s="8"/>
      <c r="B939" s="8"/>
      <c r="C939" s="33"/>
      <c r="D939" s="8"/>
      <c r="F939" s="8"/>
      <c r="G939" s="8"/>
      <c r="H939" s="9"/>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row>
    <row r="940">
      <c r="A940" s="8"/>
      <c r="B940" s="8"/>
      <c r="C940" s="33"/>
      <c r="D940" s="8"/>
      <c r="F940" s="8"/>
      <c r="G940" s="8"/>
      <c r="H940" s="9"/>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row>
    <row r="941">
      <c r="A941" s="8"/>
      <c r="B941" s="8"/>
      <c r="C941" s="33"/>
      <c r="D941" s="8"/>
      <c r="F941" s="8"/>
      <c r="G941" s="8"/>
      <c r="H941" s="9"/>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row>
    <row r="942">
      <c r="A942" s="8"/>
      <c r="B942" s="8"/>
      <c r="C942" s="33"/>
      <c r="D942" s="8"/>
      <c r="F942" s="8"/>
      <c r="G942" s="8"/>
      <c r="H942" s="9"/>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row>
    <row r="943">
      <c r="A943" s="8"/>
      <c r="B943" s="8"/>
      <c r="C943" s="33"/>
      <c r="D943" s="8"/>
      <c r="F943" s="8"/>
      <c r="G943" s="8"/>
      <c r="H943" s="9"/>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row>
    <row r="944">
      <c r="A944" s="8"/>
      <c r="B944" s="8"/>
      <c r="C944" s="33"/>
      <c r="D944" s="8"/>
      <c r="F944" s="8"/>
      <c r="G944" s="8"/>
      <c r="H944" s="9"/>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row>
    <row r="945">
      <c r="A945" s="8"/>
      <c r="B945" s="8"/>
      <c r="C945" s="33"/>
      <c r="D945" s="8"/>
      <c r="F945" s="8"/>
      <c r="G945" s="8"/>
      <c r="H945" s="9"/>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row>
    <row r="946">
      <c r="A946" s="8"/>
      <c r="B946" s="8"/>
      <c r="C946" s="33"/>
      <c r="D946" s="8"/>
      <c r="F946" s="8"/>
      <c r="G946" s="8"/>
      <c r="H946" s="9"/>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row>
    <row r="947">
      <c r="A947" s="8"/>
      <c r="B947" s="8"/>
      <c r="C947" s="33"/>
      <c r="D947" s="8"/>
      <c r="F947" s="8"/>
      <c r="G947" s="8"/>
      <c r="H947" s="9"/>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row>
    <row r="948">
      <c r="A948" s="8"/>
      <c r="B948" s="8"/>
      <c r="C948" s="33"/>
      <c r="D948" s="8"/>
      <c r="F948" s="8"/>
      <c r="G948" s="8"/>
      <c r="H948" s="9"/>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row>
    <row r="949">
      <c r="A949" s="8"/>
      <c r="B949" s="8"/>
      <c r="C949" s="33"/>
      <c r="D949" s="8"/>
      <c r="F949" s="8"/>
      <c r="G949" s="8"/>
      <c r="H949" s="9"/>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row>
    <row r="950">
      <c r="A950" s="8"/>
      <c r="B950" s="8"/>
      <c r="C950" s="33"/>
      <c r="D950" s="8"/>
      <c r="F950" s="8"/>
      <c r="G950" s="8"/>
      <c r="H950" s="9"/>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row>
    <row r="951">
      <c r="A951" s="8"/>
      <c r="B951" s="8"/>
      <c r="C951" s="33"/>
      <c r="D951" s="8"/>
      <c r="F951" s="8"/>
      <c r="G951" s="8"/>
      <c r="H951" s="9"/>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row>
    <row r="952">
      <c r="A952" s="8"/>
      <c r="B952" s="8"/>
      <c r="C952" s="33"/>
      <c r="D952" s="8"/>
      <c r="F952" s="8"/>
      <c r="G952" s="8"/>
      <c r="H952" s="9"/>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row>
    <row r="953">
      <c r="A953" s="8"/>
      <c r="B953" s="8"/>
      <c r="C953" s="33"/>
      <c r="D953" s="8"/>
      <c r="F953" s="8"/>
      <c r="G953" s="8"/>
      <c r="H953" s="9"/>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row>
    <row r="954">
      <c r="A954" s="8"/>
      <c r="B954" s="8"/>
      <c r="C954" s="33"/>
      <c r="D954" s="8"/>
      <c r="F954" s="8"/>
      <c r="G954" s="8"/>
      <c r="H954" s="9"/>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row>
    <row r="955">
      <c r="A955" s="8"/>
      <c r="B955" s="8"/>
      <c r="C955" s="33"/>
      <c r="D955" s="8"/>
      <c r="F955" s="8"/>
      <c r="G955" s="8"/>
      <c r="H955" s="9"/>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row>
    <row r="956">
      <c r="A956" s="8"/>
      <c r="B956" s="8"/>
      <c r="C956" s="33"/>
      <c r="D956" s="8"/>
      <c r="F956" s="8"/>
      <c r="G956" s="8"/>
      <c r="H956" s="9"/>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row>
    <row r="957">
      <c r="A957" s="8"/>
      <c r="B957" s="8"/>
      <c r="C957" s="33"/>
      <c r="D957" s="8"/>
      <c r="F957" s="8"/>
      <c r="G957" s="8"/>
      <c r="H957" s="9"/>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row>
    <row r="958">
      <c r="A958" s="8"/>
      <c r="B958" s="8"/>
      <c r="C958" s="33"/>
      <c r="D958" s="8"/>
      <c r="F958" s="8"/>
      <c r="G958" s="8"/>
      <c r="H958" s="9"/>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row>
    <row r="959">
      <c r="A959" s="8"/>
      <c r="B959" s="8"/>
      <c r="C959" s="33"/>
      <c r="D959" s="8"/>
      <c r="F959" s="8"/>
      <c r="G959" s="8"/>
      <c r="H959" s="9"/>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row>
    <row r="960">
      <c r="A960" s="8"/>
      <c r="B960" s="8"/>
      <c r="C960" s="33"/>
      <c r="D960" s="8"/>
      <c r="F960" s="8"/>
      <c r="G960" s="8"/>
      <c r="H960" s="9"/>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row>
    <row r="961">
      <c r="A961" s="8"/>
      <c r="B961" s="8"/>
      <c r="C961" s="33"/>
      <c r="D961" s="8"/>
      <c r="F961" s="8"/>
      <c r="G961" s="8"/>
      <c r="H961" s="9"/>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row>
    <row r="962">
      <c r="A962" s="8"/>
      <c r="B962" s="8"/>
      <c r="C962" s="33"/>
      <c r="D962" s="8"/>
      <c r="F962" s="8"/>
      <c r="G962" s="8"/>
      <c r="H962" s="9"/>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row>
    <row r="963">
      <c r="A963" s="8"/>
      <c r="B963" s="8"/>
      <c r="C963" s="33"/>
      <c r="D963" s="8"/>
      <c r="F963" s="8"/>
      <c r="G963" s="8"/>
      <c r="H963" s="9"/>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row>
    <row r="964">
      <c r="A964" s="8"/>
      <c r="B964" s="8"/>
      <c r="C964" s="33"/>
      <c r="D964" s="8"/>
      <c r="F964" s="8"/>
      <c r="G964" s="8"/>
      <c r="H964" s="9"/>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row>
    <row r="965">
      <c r="A965" s="8"/>
      <c r="B965" s="8"/>
      <c r="C965" s="33"/>
      <c r="D965" s="8"/>
      <c r="F965" s="8"/>
      <c r="G965" s="8"/>
      <c r="H965" s="9"/>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row>
    <row r="966">
      <c r="A966" s="8"/>
      <c r="B966" s="8"/>
      <c r="C966" s="33"/>
      <c r="D966" s="8"/>
      <c r="F966" s="8"/>
      <c r="G966" s="8"/>
      <c r="H966" s="9"/>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row>
    <row r="967">
      <c r="A967" s="8"/>
      <c r="B967" s="8"/>
      <c r="C967" s="33"/>
      <c r="D967" s="8"/>
      <c r="F967" s="8"/>
      <c r="G967" s="8"/>
      <c r="H967" s="9"/>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row>
    <row r="968">
      <c r="A968" s="8"/>
      <c r="B968" s="8"/>
      <c r="C968" s="33"/>
      <c r="D968" s="8"/>
      <c r="F968" s="8"/>
      <c r="G968" s="8"/>
      <c r="H968" s="9"/>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row>
    <row r="969">
      <c r="A969" s="8"/>
      <c r="B969" s="8"/>
      <c r="C969" s="33"/>
      <c r="D969" s="8"/>
      <c r="F969" s="8"/>
      <c r="G969" s="8"/>
      <c r="H969" s="9"/>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row>
    <row r="970">
      <c r="A970" s="8"/>
      <c r="B970" s="8"/>
      <c r="C970" s="33"/>
      <c r="D970" s="8"/>
      <c r="F970" s="8"/>
      <c r="G970" s="8"/>
      <c r="H970" s="9"/>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row>
    <row r="971">
      <c r="A971" s="8"/>
      <c r="B971" s="8"/>
      <c r="C971" s="33"/>
      <c r="D971" s="8"/>
      <c r="F971" s="8"/>
      <c r="G971" s="8"/>
      <c r="H971" s="9"/>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row>
    <row r="972">
      <c r="A972" s="8"/>
      <c r="B972" s="8"/>
      <c r="C972" s="33"/>
      <c r="D972" s="8"/>
      <c r="F972" s="8"/>
      <c r="G972" s="8"/>
      <c r="H972" s="9"/>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row>
    <row r="973">
      <c r="A973" s="8"/>
      <c r="B973" s="8"/>
      <c r="C973" s="33"/>
      <c r="D973" s="8"/>
      <c r="F973" s="8"/>
      <c r="G973" s="8"/>
      <c r="H973" s="9"/>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row>
    <row r="974">
      <c r="A974" s="8"/>
      <c r="B974" s="8"/>
      <c r="C974" s="33"/>
      <c r="D974" s="8"/>
      <c r="F974" s="8"/>
      <c r="G974" s="8"/>
      <c r="H974" s="9"/>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row>
    <row r="975">
      <c r="A975" s="8"/>
      <c r="B975" s="8"/>
      <c r="C975" s="33"/>
      <c r="D975" s="8"/>
      <c r="F975" s="8"/>
      <c r="G975" s="8"/>
      <c r="H975" s="9"/>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row>
    <row r="976">
      <c r="A976" s="8"/>
      <c r="B976" s="8"/>
      <c r="C976" s="33"/>
      <c r="D976" s="8"/>
      <c r="F976" s="8"/>
      <c r="G976" s="8"/>
      <c r="H976" s="9"/>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row>
    <row r="977">
      <c r="A977" s="8"/>
      <c r="B977" s="8"/>
      <c r="C977" s="33"/>
      <c r="D977" s="8"/>
      <c r="F977" s="8"/>
      <c r="G977" s="8"/>
      <c r="H977" s="9"/>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row>
    <row r="978">
      <c r="A978" s="8"/>
      <c r="B978" s="8"/>
      <c r="C978" s="33"/>
      <c r="D978" s="8"/>
      <c r="F978" s="8"/>
      <c r="G978" s="8"/>
      <c r="H978" s="9"/>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row>
    <row r="979">
      <c r="A979" s="8"/>
      <c r="B979" s="8"/>
      <c r="C979" s="33"/>
      <c r="D979" s="8"/>
      <c r="F979" s="8"/>
      <c r="G979" s="8"/>
      <c r="H979" s="9"/>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row>
    <row r="980">
      <c r="A980" s="8"/>
      <c r="B980" s="8"/>
      <c r="C980" s="33"/>
      <c r="D980" s="8"/>
      <c r="F980" s="8"/>
      <c r="G980" s="8"/>
      <c r="H980" s="9"/>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row>
    <row r="981">
      <c r="A981" s="8"/>
      <c r="B981" s="8"/>
      <c r="C981" s="33"/>
      <c r="D981" s="8"/>
      <c r="F981" s="8"/>
      <c r="G981" s="8"/>
      <c r="H981" s="9"/>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row>
    <row r="982">
      <c r="A982" s="8"/>
      <c r="B982" s="8"/>
      <c r="C982" s="33"/>
      <c r="D982" s="8"/>
      <c r="F982" s="8"/>
      <c r="G982" s="8"/>
      <c r="H982" s="9"/>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row>
    <row r="983">
      <c r="A983" s="8"/>
      <c r="B983" s="8"/>
      <c r="C983" s="33"/>
      <c r="D983" s="8"/>
      <c r="F983" s="8"/>
      <c r="G983" s="8"/>
      <c r="H983" s="9"/>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row>
    <row r="984">
      <c r="A984" s="8"/>
      <c r="B984" s="8"/>
      <c r="C984" s="33"/>
      <c r="D984" s="8"/>
      <c r="F984" s="8"/>
      <c r="G984" s="8"/>
      <c r="H984" s="9"/>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row>
    <row r="985">
      <c r="A985" s="8"/>
      <c r="B985" s="8"/>
      <c r="C985" s="33"/>
      <c r="D985" s="8"/>
      <c r="F985" s="8"/>
      <c r="G985" s="8"/>
      <c r="H985" s="9"/>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row>
    <row r="986">
      <c r="A986" s="8"/>
      <c r="B986" s="8"/>
      <c r="C986" s="33"/>
      <c r="D986" s="8"/>
      <c r="F986" s="8"/>
      <c r="G986" s="8"/>
      <c r="H986" s="9"/>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row>
    <row r="987">
      <c r="A987" s="8"/>
      <c r="B987" s="8"/>
      <c r="C987" s="33"/>
      <c r="D987" s="8"/>
      <c r="F987" s="8"/>
      <c r="G987" s="8"/>
      <c r="H987" s="9"/>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row>
    <row r="988">
      <c r="A988" s="8"/>
      <c r="B988" s="8"/>
      <c r="C988" s="33"/>
      <c r="D988" s="8"/>
      <c r="F988" s="8"/>
      <c r="G988" s="8"/>
      <c r="H988" s="9"/>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row>
    <row r="989">
      <c r="A989" s="8"/>
      <c r="B989" s="8"/>
      <c r="C989" s="33"/>
      <c r="D989" s="8"/>
      <c r="F989" s="8"/>
      <c r="G989" s="8"/>
      <c r="H989" s="9"/>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row>
    <row r="990">
      <c r="A990" s="8"/>
      <c r="B990" s="8"/>
      <c r="C990" s="33"/>
      <c r="D990" s="8"/>
      <c r="F990" s="8"/>
      <c r="G990" s="8"/>
      <c r="H990" s="9"/>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row>
    <row r="991">
      <c r="A991" s="8"/>
      <c r="B991" s="8"/>
      <c r="C991" s="33"/>
      <c r="D991" s="8"/>
      <c r="F991" s="8"/>
      <c r="G991" s="8"/>
      <c r="H991" s="9"/>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row>
    <row r="992">
      <c r="A992" s="8"/>
      <c r="B992" s="8"/>
      <c r="C992" s="33"/>
      <c r="D992" s="8"/>
      <c r="F992" s="8"/>
      <c r="G992" s="8"/>
      <c r="H992" s="9"/>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row>
    <row r="993">
      <c r="A993" s="8"/>
      <c r="B993" s="8"/>
      <c r="C993" s="33"/>
      <c r="D993" s="8"/>
      <c r="F993" s="8"/>
      <c r="G993" s="8"/>
      <c r="H993" s="9"/>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row>
    <row r="994">
      <c r="A994" s="8"/>
      <c r="B994" s="8"/>
      <c r="C994" s="33"/>
      <c r="D994" s="8"/>
      <c r="F994" s="8"/>
      <c r="G994" s="8"/>
      <c r="H994" s="9"/>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row>
    <row r="995">
      <c r="A995" s="8"/>
      <c r="B995" s="8"/>
      <c r="C995" s="33"/>
      <c r="D995" s="8"/>
      <c r="F995" s="8"/>
      <c r="G995" s="8"/>
      <c r="H995" s="9"/>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row>
    <row r="996">
      <c r="A996" s="8"/>
      <c r="B996" s="8"/>
      <c r="C996" s="33"/>
      <c r="D996" s="8"/>
      <c r="F996" s="8"/>
      <c r="G996" s="8"/>
      <c r="H996" s="9"/>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row>
    <row r="997">
      <c r="A997" s="8"/>
      <c r="B997" s="8"/>
      <c r="C997" s="33"/>
      <c r="D997" s="8"/>
      <c r="F997" s="8"/>
      <c r="G997" s="8"/>
      <c r="H997" s="9"/>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row>
    <row r="998">
      <c r="A998" s="8"/>
      <c r="B998" s="8"/>
      <c r="C998" s="33"/>
      <c r="D998" s="8"/>
      <c r="F998" s="8"/>
      <c r="G998" s="8"/>
      <c r="H998" s="9"/>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row>
    <row r="999">
      <c r="A999" s="8"/>
      <c r="B999" s="8"/>
      <c r="C999" s="33"/>
      <c r="D999" s="8"/>
      <c r="F999" s="8"/>
      <c r="G999" s="8"/>
      <c r="H999" s="9"/>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row>
    <row r="1000">
      <c r="A1000" s="8"/>
      <c r="B1000" s="8"/>
      <c r="C1000" s="33"/>
      <c r="D1000" s="8"/>
      <c r="F1000" s="8"/>
      <c r="G1000" s="8"/>
      <c r="H1000" s="9"/>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row>
  </sheetData>
  <autoFilter ref="$C$1:$C$1000"/>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93.14"/>
    <col customWidth="1" min="4" max="4" width="46.71"/>
    <col customWidth="1" min="5" max="6" width="17.0"/>
    <col customWidth="1" min="7" max="7" width="8.57"/>
    <col customWidth="1" min="9" max="9" width="9.14"/>
    <col customWidth="1" min="10" max="10" width="17.0"/>
    <col customWidth="1" min="11" max="11" width="45.43"/>
  </cols>
  <sheetData>
    <row r="1">
      <c r="A1" s="13" t="s">
        <v>1</v>
      </c>
      <c r="B1" s="13" t="s">
        <v>2</v>
      </c>
      <c r="C1" s="13" t="s">
        <v>3</v>
      </c>
      <c r="D1" s="1" t="s">
        <v>4</v>
      </c>
      <c r="E1" s="1" t="s">
        <v>5</v>
      </c>
      <c r="F1" s="1" t="s">
        <v>6</v>
      </c>
      <c r="G1" s="1" t="s">
        <v>7</v>
      </c>
      <c r="H1" s="3"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41</v>
      </c>
      <c r="AK1" s="1" t="s">
        <v>37</v>
      </c>
      <c r="AL1" s="1" t="s">
        <v>38</v>
      </c>
      <c r="AM1" s="1" t="s">
        <v>39</v>
      </c>
      <c r="AN1" s="1" t="s">
        <v>40</v>
      </c>
      <c r="AO1" s="6" t="s">
        <v>42</v>
      </c>
      <c r="AP1" s="6" t="s">
        <v>43</v>
      </c>
      <c r="AQ1" s="6" t="s">
        <v>44</v>
      </c>
      <c r="AR1" s="6" t="s">
        <v>45</v>
      </c>
    </row>
    <row r="2">
      <c r="A2" s="14" t="s">
        <v>113</v>
      </c>
      <c r="B2" s="14" t="s">
        <v>114</v>
      </c>
      <c r="C2" s="14" t="s">
        <v>1194</v>
      </c>
      <c r="D2" s="14" t="s">
        <v>1195</v>
      </c>
      <c r="E2" s="14" t="s">
        <v>50</v>
      </c>
      <c r="F2" s="14" t="s">
        <v>1196</v>
      </c>
      <c r="G2" s="14"/>
      <c r="H2" s="15" t="s">
        <v>117</v>
      </c>
      <c r="I2" s="14"/>
      <c r="J2" s="14" t="s">
        <v>1197</v>
      </c>
      <c r="K2" s="19" t="s">
        <v>54</v>
      </c>
      <c r="L2" s="8"/>
      <c r="M2" s="14" t="s">
        <v>1198</v>
      </c>
      <c r="N2" s="8"/>
      <c r="O2" s="23" t="s">
        <v>56</v>
      </c>
      <c r="P2" s="23" t="s">
        <v>54</v>
      </c>
      <c r="Q2" s="14" t="s">
        <v>1199</v>
      </c>
      <c r="R2" s="8"/>
      <c r="S2" s="23" t="s">
        <v>56</v>
      </c>
      <c r="T2" s="23" t="s">
        <v>54</v>
      </c>
      <c r="U2" s="14" t="s">
        <v>1200</v>
      </c>
      <c r="V2" s="8"/>
      <c r="W2" s="23" t="s">
        <v>56</v>
      </c>
      <c r="X2" s="23" t="s">
        <v>54</v>
      </c>
      <c r="Y2" s="14" t="s">
        <v>1201</v>
      </c>
      <c r="Z2" s="8"/>
      <c r="AA2" s="23" t="s">
        <v>56</v>
      </c>
      <c r="AB2" s="23" t="s">
        <v>54</v>
      </c>
      <c r="AC2" s="8"/>
    </row>
    <row r="3">
      <c r="A3" s="14" t="s">
        <v>1202</v>
      </c>
      <c r="B3" s="14" t="s">
        <v>1203</v>
      </c>
      <c r="C3" s="14" t="s">
        <v>1204</v>
      </c>
      <c r="D3" s="14" t="s">
        <v>1205</v>
      </c>
      <c r="E3" s="14" t="s">
        <v>50</v>
      </c>
      <c r="F3" s="23" t="s">
        <v>1196</v>
      </c>
      <c r="G3" s="14"/>
      <c r="H3" s="15" t="s">
        <v>1206</v>
      </c>
      <c r="I3" s="14"/>
      <c r="J3" s="14" t="s">
        <v>1207</v>
      </c>
      <c r="K3" s="19" t="s">
        <v>54</v>
      </c>
      <c r="L3" s="8"/>
      <c r="M3" s="14" t="s">
        <v>1208</v>
      </c>
      <c r="N3" s="8"/>
      <c r="O3" s="23" t="s">
        <v>56</v>
      </c>
      <c r="P3" s="23" t="s">
        <v>54</v>
      </c>
      <c r="Q3" s="14" t="s">
        <v>1209</v>
      </c>
      <c r="R3" s="8"/>
      <c r="S3" s="23" t="s">
        <v>56</v>
      </c>
      <c r="T3" s="23" t="s">
        <v>54</v>
      </c>
      <c r="U3" s="14" t="s">
        <v>1210</v>
      </c>
      <c r="V3" s="8"/>
      <c r="W3" s="23" t="s">
        <v>56</v>
      </c>
      <c r="X3" s="23" t="s">
        <v>54</v>
      </c>
      <c r="Y3" s="14" t="s">
        <v>1211</v>
      </c>
      <c r="Z3" s="8"/>
      <c r="AA3" s="23" t="s">
        <v>56</v>
      </c>
      <c r="AB3" s="23" t="s">
        <v>54</v>
      </c>
      <c r="AC3" s="14" t="s">
        <v>1212</v>
      </c>
      <c r="AE3" s="23" t="s">
        <v>56</v>
      </c>
      <c r="AF3" s="23" t="s">
        <v>54</v>
      </c>
    </row>
    <row r="4">
      <c r="A4" s="14" t="s">
        <v>408</v>
      </c>
      <c r="B4" s="14" t="s">
        <v>409</v>
      </c>
      <c r="C4" s="14" t="s">
        <v>1213</v>
      </c>
      <c r="D4" s="14" t="s">
        <v>1214</v>
      </c>
      <c r="E4" s="23" t="s">
        <v>50</v>
      </c>
      <c r="F4" s="23" t="s">
        <v>1196</v>
      </c>
      <c r="G4" s="14"/>
      <c r="H4" s="15" t="s">
        <v>1215</v>
      </c>
      <c r="I4" s="14"/>
      <c r="J4" s="14" t="s">
        <v>1216</v>
      </c>
      <c r="K4" s="19" t="s">
        <v>54</v>
      </c>
      <c r="L4" s="8"/>
      <c r="M4" s="14" t="s">
        <v>1217</v>
      </c>
      <c r="N4" s="8"/>
      <c r="O4" s="23" t="s">
        <v>56</v>
      </c>
      <c r="P4" s="23" t="s">
        <v>54</v>
      </c>
      <c r="Q4" s="14" t="s">
        <v>1218</v>
      </c>
      <c r="R4" s="8"/>
      <c r="S4" s="23" t="s">
        <v>56</v>
      </c>
      <c r="T4" s="23" t="s">
        <v>54</v>
      </c>
      <c r="U4" s="14" t="s">
        <v>1219</v>
      </c>
      <c r="V4" s="8"/>
      <c r="W4" s="23" t="s">
        <v>56</v>
      </c>
      <c r="X4" s="23" t="s">
        <v>54</v>
      </c>
      <c r="Y4" s="14" t="s">
        <v>1220</v>
      </c>
      <c r="Z4" s="8"/>
      <c r="AA4" s="23" t="s">
        <v>56</v>
      </c>
      <c r="AB4" s="23" t="s">
        <v>54</v>
      </c>
      <c r="AC4" s="14" t="s">
        <v>1221</v>
      </c>
      <c r="AE4" s="23" t="s">
        <v>56</v>
      </c>
      <c r="AF4" s="23" t="s">
        <v>54</v>
      </c>
    </row>
    <row r="5">
      <c r="A5" s="14" t="s">
        <v>625</v>
      </c>
      <c r="B5" s="14" t="s">
        <v>626</v>
      </c>
      <c r="C5" s="14" t="s">
        <v>1222</v>
      </c>
      <c r="D5" s="14" t="s">
        <v>1223</v>
      </c>
      <c r="E5" s="23" t="s">
        <v>50</v>
      </c>
      <c r="F5" s="23" t="s">
        <v>1196</v>
      </c>
      <c r="G5" s="14"/>
      <c r="H5" s="15" t="s">
        <v>1224</v>
      </c>
      <c r="I5" s="14"/>
      <c r="J5" s="14" t="s">
        <v>1225</v>
      </c>
      <c r="K5" s="19" t="s">
        <v>54</v>
      </c>
      <c r="L5" s="8"/>
      <c r="M5" s="14" t="s">
        <v>1226</v>
      </c>
      <c r="N5" s="8"/>
      <c r="O5" s="23" t="s">
        <v>56</v>
      </c>
      <c r="P5" s="23" t="s">
        <v>54</v>
      </c>
      <c r="Q5" s="14" t="s">
        <v>1227</v>
      </c>
      <c r="R5" s="8"/>
      <c r="S5" s="23" t="s">
        <v>56</v>
      </c>
      <c r="T5" s="23" t="s">
        <v>54</v>
      </c>
      <c r="U5" s="8"/>
      <c r="V5" s="8"/>
      <c r="W5" s="8"/>
      <c r="X5" s="8"/>
      <c r="Y5" s="8"/>
      <c r="Z5" s="8"/>
      <c r="AA5" s="8"/>
      <c r="AB5" s="8"/>
      <c r="AC5" s="8"/>
      <c r="AD5" s="8"/>
      <c r="AE5" s="8"/>
      <c r="AF5" s="8"/>
      <c r="AG5" s="8"/>
      <c r="AH5" s="8"/>
      <c r="AI5" s="8"/>
      <c r="AJ5" s="8"/>
      <c r="AK5" s="8"/>
      <c r="AL5" s="8"/>
      <c r="AM5" s="8"/>
      <c r="AN5" s="8"/>
      <c r="AO5" s="8"/>
      <c r="AP5" s="8"/>
      <c r="AQ5" s="8"/>
      <c r="AR5" s="8"/>
    </row>
    <row r="6">
      <c r="A6" s="14" t="s">
        <v>1228</v>
      </c>
      <c r="B6" s="14" t="s">
        <v>1229</v>
      </c>
      <c r="C6" s="14" t="s">
        <v>1230</v>
      </c>
      <c r="D6" s="14" t="s">
        <v>1231</v>
      </c>
      <c r="E6" s="23" t="s">
        <v>50</v>
      </c>
      <c r="F6" s="23" t="s">
        <v>1196</v>
      </c>
      <c r="G6" s="16"/>
      <c r="H6" s="15" t="s">
        <v>1232</v>
      </c>
      <c r="I6" s="16"/>
      <c r="J6" s="16" t="s">
        <v>1225</v>
      </c>
      <c r="K6" s="14" t="s">
        <v>54</v>
      </c>
      <c r="L6" s="8"/>
      <c r="M6" s="14" t="s">
        <v>1233</v>
      </c>
      <c r="N6" s="8"/>
      <c r="O6" s="23" t="s">
        <v>56</v>
      </c>
      <c r="P6" s="23" t="s">
        <v>54</v>
      </c>
      <c r="Q6" s="14" t="s">
        <v>1234</v>
      </c>
      <c r="R6" s="8"/>
      <c r="S6" s="23" t="s">
        <v>56</v>
      </c>
      <c r="T6" s="23" t="s">
        <v>54</v>
      </c>
      <c r="U6" s="14" t="s">
        <v>1235</v>
      </c>
      <c r="V6" s="8"/>
      <c r="W6" s="23" t="s">
        <v>56</v>
      </c>
      <c r="X6" s="23" t="s">
        <v>54</v>
      </c>
      <c r="Y6" s="14" t="s">
        <v>1236</v>
      </c>
      <c r="Z6" s="8"/>
      <c r="AA6" s="23" t="s">
        <v>56</v>
      </c>
      <c r="AB6" s="23" t="s">
        <v>54</v>
      </c>
      <c r="AC6" s="14" t="s">
        <v>1236</v>
      </c>
      <c r="AD6" s="8"/>
      <c r="AE6" s="23" t="s">
        <v>56</v>
      </c>
      <c r="AF6" s="23" t="s">
        <v>54</v>
      </c>
      <c r="AG6" s="8"/>
      <c r="AH6" s="8"/>
      <c r="AI6" s="8"/>
      <c r="AJ6" s="8"/>
      <c r="AK6" s="8"/>
      <c r="AL6" s="8"/>
      <c r="AM6" s="8"/>
      <c r="AN6" s="8"/>
      <c r="AO6" s="8"/>
      <c r="AP6" s="8"/>
      <c r="AQ6" s="8"/>
      <c r="AR6" s="8"/>
    </row>
    <row r="7">
      <c r="A7" s="14" t="s">
        <v>1237</v>
      </c>
      <c r="B7" s="14" t="s">
        <v>1238</v>
      </c>
      <c r="C7" s="14" t="s">
        <v>1239</v>
      </c>
      <c r="D7" s="14" t="s">
        <v>1240</v>
      </c>
      <c r="E7" s="23" t="s">
        <v>50</v>
      </c>
      <c r="F7" s="23" t="s">
        <v>1196</v>
      </c>
      <c r="G7" s="16"/>
      <c r="H7" s="15" t="s">
        <v>1206</v>
      </c>
      <c r="I7" s="16"/>
      <c r="J7" s="16" t="s">
        <v>1225</v>
      </c>
      <c r="K7" s="14" t="s">
        <v>54</v>
      </c>
      <c r="L7" s="8"/>
      <c r="M7" s="14" t="s">
        <v>1241</v>
      </c>
      <c r="N7" s="8"/>
      <c r="O7" s="23" t="s">
        <v>56</v>
      </c>
      <c r="P7" s="23" t="s">
        <v>54</v>
      </c>
      <c r="Q7" s="14" t="s">
        <v>1242</v>
      </c>
      <c r="R7" s="8"/>
      <c r="S7" s="23" t="s">
        <v>56</v>
      </c>
      <c r="T7" s="23" t="s">
        <v>54</v>
      </c>
      <c r="U7" s="14" t="s">
        <v>1243</v>
      </c>
      <c r="V7" s="8"/>
      <c r="W7" s="23" t="s">
        <v>56</v>
      </c>
      <c r="X7" s="23" t="s">
        <v>54</v>
      </c>
      <c r="Y7" s="14" t="s">
        <v>1244</v>
      </c>
      <c r="Z7" s="8"/>
      <c r="AA7" s="23" t="s">
        <v>56</v>
      </c>
      <c r="AB7" s="23" t="s">
        <v>54</v>
      </c>
      <c r="AC7" s="8"/>
      <c r="AD7" s="8"/>
      <c r="AE7" s="8"/>
      <c r="AF7" s="8"/>
      <c r="AG7" s="8"/>
      <c r="AH7" s="8"/>
      <c r="AI7" s="8"/>
      <c r="AJ7" s="8"/>
      <c r="AK7" s="8"/>
      <c r="AL7" s="8"/>
      <c r="AM7" s="8"/>
      <c r="AN7" s="8"/>
      <c r="AO7" s="8"/>
      <c r="AP7" s="8"/>
      <c r="AQ7" s="8"/>
      <c r="AR7" s="8"/>
    </row>
    <row r="8">
      <c r="A8" s="14" t="s">
        <v>1245</v>
      </c>
      <c r="B8" s="14" t="s">
        <v>1246</v>
      </c>
      <c r="C8" s="14" t="s">
        <v>1247</v>
      </c>
      <c r="D8" s="14" t="s">
        <v>1248</v>
      </c>
      <c r="E8" s="23" t="s">
        <v>50</v>
      </c>
      <c r="F8" s="23" t="s">
        <v>1196</v>
      </c>
      <c r="G8" s="14"/>
      <c r="H8" s="9"/>
      <c r="I8" s="14"/>
      <c r="J8" s="14" t="s">
        <v>1249</v>
      </c>
      <c r="K8" s="20" t="s">
        <v>54</v>
      </c>
      <c r="L8" s="8"/>
      <c r="M8" s="14" t="s">
        <v>1250</v>
      </c>
      <c r="N8" s="8"/>
      <c r="O8" s="23" t="s">
        <v>56</v>
      </c>
      <c r="P8" s="23" t="s">
        <v>54</v>
      </c>
      <c r="Q8" s="14" t="s">
        <v>1251</v>
      </c>
      <c r="R8" s="8"/>
      <c r="S8" s="23" t="s">
        <v>56</v>
      </c>
      <c r="T8" s="23" t="s">
        <v>54</v>
      </c>
      <c r="U8" s="8"/>
      <c r="V8" s="8"/>
      <c r="W8" s="23"/>
      <c r="X8" s="8"/>
      <c r="Y8" s="8"/>
      <c r="Z8" s="8"/>
      <c r="AA8" s="8"/>
      <c r="AB8" s="8"/>
      <c r="AC8" s="8"/>
      <c r="AD8" s="8"/>
      <c r="AE8" s="8"/>
      <c r="AF8" s="8"/>
      <c r="AG8" s="8"/>
      <c r="AH8" s="8"/>
      <c r="AI8" s="8"/>
      <c r="AJ8" s="8"/>
      <c r="AK8" s="8"/>
      <c r="AL8" s="8"/>
      <c r="AM8" s="8"/>
      <c r="AN8" s="8"/>
      <c r="AO8" s="8"/>
      <c r="AP8" s="8"/>
      <c r="AQ8" s="8"/>
      <c r="AR8" s="8"/>
    </row>
    <row r="9">
      <c r="A9" s="14" t="s">
        <v>1252</v>
      </c>
      <c r="B9" s="14" t="s">
        <v>1253</v>
      </c>
      <c r="C9" s="14" t="s">
        <v>1254</v>
      </c>
      <c r="D9" s="14" t="s">
        <v>1255</v>
      </c>
      <c r="E9" s="23" t="s">
        <v>50</v>
      </c>
      <c r="F9" s="23" t="s">
        <v>1196</v>
      </c>
      <c r="G9" s="14"/>
      <c r="H9" s="9"/>
      <c r="I9" s="14"/>
      <c r="J9" s="14" t="s">
        <v>1256</v>
      </c>
      <c r="K9" s="20" t="s">
        <v>54</v>
      </c>
      <c r="L9" s="8"/>
      <c r="M9" s="14" t="s">
        <v>1257</v>
      </c>
      <c r="N9" s="8"/>
      <c r="O9" s="23" t="s">
        <v>56</v>
      </c>
      <c r="P9" s="23" t="s">
        <v>54</v>
      </c>
      <c r="Q9" s="14" t="s">
        <v>1258</v>
      </c>
      <c r="R9" s="8"/>
      <c r="S9" s="23" t="s">
        <v>56</v>
      </c>
      <c r="T9" s="23" t="s">
        <v>54</v>
      </c>
      <c r="U9" s="8"/>
      <c r="V9" s="8"/>
      <c r="W9" s="8"/>
      <c r="X9" s="8"/>
      <c r="Y9" s="8"/>
      <c r="Z9" s="8"/>
      <c r="AA9" s="8"/>
      <c r="AB9" s="8"/>
      <c r="AC9" s="8"/>
      <c r="AD9" s="8"/>
      <c r="AE9" s="8"/>
      <c r="AF9" s="8"/>
      <c r="AG9" s="8"/>
      <c r="AH9" s="8"/>
      <c r="AI9" s="8"/>
      <c r="AJ9" s="8"/>
      <c r="AK9" s="8"/>
      <c r="AL9" s="8"/>
      <c r="AM9" s="8"/>
      <c r="AN9" s="8"/>
      <c r="AO9" s="8"/>
      <c r="AP9" s="8"/>
      <c r="AQ9" s="8"/>
      <c r="AR9" s="8"/>
    </row>
    <row r="10">
      <c r="A10" s="14" t="s">
        <v>1259</v>
      </c>
      <c r="B10" s="14" t="s">
        <v>1260</v>
      </c>
      <c r="C10" s="14" t="s">
        <v>1261</v>
      </c>
      <c r="D10" s="14" t="s">
        <v>1262</v>
      </c>
      <c r="E10" s="23" t="s">
        <v>50</v>
      </c>
      <c r="F10" s="23" t="s">
        <v>1196</v>
      </c>
      <c r="G10" s="14"/>
      <c r="H10" s="15" t="s">
        <v>1263</v>
      </c>
      <c r="I10" s="14"/>
      <c r="J10" s="14" t="s">
        <v>1264</v>
      </c>
      <c r="K10" s="20" t="s">
        <v>54</v>
      </c>
      <c r="L10" s="8"/>
      <c r="M10" s="14" t="s">
        <v>1265</v>
      </c>
      <c r="N10" s="8"/>
      <c r="O10" s="23" t="s">
        <v>56</v>
      </c>
      <c r="P10" s="23" t="s">
        <v>54</v>
      </c>
      <c r="Q10" s="14" t="s">
        <v>1266</v>
      </c>
      <c r="R10" s="8"/>
      <c r="S10" s="23" t="s">
        <v>56</v>
      </c>
      <c r="T10" s="23" t="s">
        <v>54</v>
      </c>
      <c r="U10" s="14" t="s">
        <v>1267</v>
      </c>
      <c r="V10" s="8"/>
      <c r="W10" s="23" t="s">
        <v>56</v>
      </c>
      <c r="X10" s="23" t="s">
        <v>54</v>
      </c>
      <c r="Y10" s="14" t="s">
        <v>1268</v>
      </c>
      <c r="Z10" s="8"/>
      <c r="AA10" s="23" t="s">
        <v>56</v>
      </c>
      <c r="AB10" s="23" t="s">
        <v>54</v>
      </c>
      <c r="AC10" s="8"/>
      <c r="AD10" s="8"/>
      <c r="AE10" s="8"/>
      <c r="AF10" s="8"/>
      <c r="AG10" s="8"/>
      <c r="AH10" s="8"/>
      <c r="AI10" s="8"/>
      <c r="AJ10" s="8"/>
      <c r="AK10" s="8"/>
      <c r="AL10" s="8"/>
      <c r="AM10" s="8"/>
      <c r="AN10" s="8"/>
      <c r="AO10" s="8"/>
      <c r="AP10" s="8"/>
      <c r="AQ10" s="8"/>
      <c r="AR10" s="8"/>
    </row>
    <row r="11">
      <c r="A11" s="14" t="s">
        <v>1269</v>
      </c>
      <c r="B11" s="14" t="s">
        <v>1270</v>
      </c>
      <c r="C11" s="14" t="s">
        <v>1271</v>
      </c>
      <c r="D11" s="14" t="s">
        <v>1272</v>
      </c>
      <c r="E11" s="23" t="s">
        <v>50</v>
      </c>
      <c r="F11" s="23" t="s">
        <v>1196</v>
      </c>
      <c r="G11" s="14"/>
      <c r="H11" s="15" t="s">
        <v>1273</v>
      </c>
      <c r="I11" s="14"/>
      <c r="J11" s="14" t="s">
        <v>1274</v>
      </c>
      <c r="K11" s="20" t="s">
        <v>54</v>
      </c>
      <c r="L11" s="8"/>
      <c r="M11" s="14" t="s">
        <v>1275</v>
      </c>
      <c r="N11" s="8"/>
      <c r="O11" s="23" t="s">
        <v>56</v>
      </c>
      <c r="P11" s="23" t="s">
        <v>54</v>
      </c>
      <c r="Q11" s="8"/>
      <c r="R11" s="8"/>
      <c r="S11" s="8"/>
      <c r="T11" s="8"/>
      <c r="U11" s="8"/>
      <c r="V11" s="8"/>
      <c r="W11" s="23" t="s">
        <v>56</v>
      </c>
      <c r="X11" s="8"/>
      <c r="Y11" s="8"/>
      <c r="Z11" s="8"/>
      <c r="AA11" s="8"/>
      <c r="AB11" s="8"/>
      <c r="AC11" s="8"/>
      <c r="AD11" s="8"/>
      <c r="AE11" s="8"/>
      <c r="AF11" s="8"/>
      <c r="AG11" s="8"/>
      <c r="AH11" s="8"/>
      <c r="AI11" s="8"/>
      <c r="AJ11" s="8"/>
      <c r="AK11" s="8"/>
      <c r="AL11" s="8"/>
      <c r="AM11" s="8"/>
      <c r="AN11" s="8"/>
      <c r="AO11" s="8"/>
      <c r="AP11" s="8"/>
      <c r="AQ11" s="8"/>
      <c r="AR11" s="8"/>
    </row>
    <row r="12">
      <c r="A12" s="14" t="s">
        <v>1276</v>
      </c>
      <c r="B12" s="14" t="s">
        <v>1277</v>
      </c>
      <c r="C12" s="14" t="s">
        <v>1278</v>
      </c>
      <c r="D12" s="14" t="s">
        <v>1279</v>
      </c>
      <c r="E12" s="23" t="s">
        <v>50</v>
      </c>
      <c r="F12" s="23" t="s">
        <v>1196</v>
      </c>
      <c r="G12" s="14"/>
      <c r="H12" s="15" t="s">
        <v>1280</v>
      </c>
      <c r="I12" s="14"/>
      <c r="J12" s="14" t="s">
        <v>53</v>
      </c>
      <c r="K12" s="20" t="s">
        <v>54</v>
      </c>
      <c r="L12" s="8"/>
      <c r="M12" s="14" t="s">
        <v>1281</v>
      </c>
      <c r="N12" s="8"/>
      <c r="O12" s="23" t="s">
        <v>56</v>
      </c>
      <c r="P12" s="23" t="s">
        <v>54</v>
      </c>
      <c r="Q12" s="14" t="s">
        <v>1282</v>
      </c>
      <c r="R12" s="8"/>
      <c r="S12" s="23" t="s">
        <v>56</v>
      </c>
      <c r="T12" s="23" t="s">
        <v>54</v>
      </c>
      <c r="U12" s="14" t="s">
        <v>1283</v>
      </c>
      <c r="V12" s="8"/>
      <c r="W12" s="23" t="s">
        <v>56</v>
      </c>
      <c r="X12" s="23" t="s">
        <v>54</v>
      </c>
      <c r="Y12" s="8"/>
      <c r="Z12" s="8"/>
      <c r="AA12" s="8"/>
      <c r="AB12" s="8"/>
      <c r="AC12" s="8"/>
      <c r="AD12" s="8"/>
      <c r="AE12" s="8"/>
      <c r="AF12" s="8"/>
      <c r="AG12" s="8"/>
      <c r="AH12" s="8"/>
      <c r="AI12" s="8"/>
      <c r="AJ12" s="8"/>
      <c r="AK12" s="8"/>
      <c r="AL12" s="8"/>
      <c r="AM12" s="8"/>
      <c r="AN12" s="8"/>
      <c r="AO12" s="8"/>
      <c r="AP12" s="8"/>
      <c r="AQ12" s="8"/>
      <c r="AR12" s="8"/>
    </row>
    <row r="13">
      <c r="A13" s="14" t="s">
        <v>1284</v>
      </c>
      <c r="B13" s="14" t="s">
        <v>1285</v>
      </c>
      <c r="C13" s="14" t="s">
        <v>1286</v>
      </c>
      <c r="D13" s="14" t="s">
        <v>1287</v>
      </c>
      <c r="E13" s="23" t="s">
        <v>50</v>
      </c>
      <c r="F13" s="23" t="s">
        <v>1196</v>
      </c>
      <c r="G13" s="16"/>
      <c r="H13" s="15" t="s">
        <v>1288</v>
      </c>
      <c r="I13" s="16"/>
      <c r="J13" s="16" t="s">
        <v>1289</v>
      </c>
      <c r="K13" s="20" t="s">
        <v>54</v>
      </c>
      <c r="L13" s="8"/>
      <c r="M13" s="14" t="s">
        <v>1290</v>
      </c>
      <c r="N13" s="8"/>
      <c r="O13" s="23" t="s">
        <v>56</v>
      </c>
      <c r="P13" s="23" t="s">
        <v>54</v>
      </c>
      <c r="Q13" s="14" t="s">
        <v>1291</v>
      </c>
      <c r="R13" s="8"/>
      <c r="S13" s="23" t="s">
        <v>56</v>
      </c>
      <c r="T13" s="23" t="s">
        <v>54</v>
      </c>
      <c r="U13" s="14" t="s">
        <v>1292</v>
      </c>
      <c r="V13" s="8"/>
      <c r="W13" s="23" t="s">
        <v>56</v>
      </c>
      <c r="X13" s="23" t="s">
        <v>54</v>
      </c>
      <c r="Y13" s="14" t="s">
        <v>1293</v>
      </c>
      <c r="Z13" s="8"/>
      <c r="AA13" s="23" t="s">
        <v>56</v>
      </c>
      <c r="AB13" s="23" t="s">
        <v>54</v>
      </c>
      <c r="AC13" s="14"/>
      <c r="AD13" s="8"/>
      <c r="AE13" s="8"/>
      <c r="AF13" s="8"/>
      <c r="AG13" s="8"/>
      <c r="AH13" s="8"/>
      <c r="AI13" s="8"/>
      <c r="AJ13" s="8"/>
      <c r="AK13" s="8"/>
      <c r="AL13" s="8"/>
      <c r="AM13" s="8"/>
      <c r="AN13" s="8"/>
      <c r="AO13" s="8"/>
      <c r="AP13" s="8"/>
      <c r="AQ13" s="8"/>
      <c r="AR13" s="8"/>
    </row>
    <row r="14">
      <c r="A14" s="14" t="s">
        <v>1294</v>
      </c>
      <c r="B14" s="14" t="s">
        <v>1295</v>
      </c>
      <c r="C14" s="14" t="s">
        <v>1296</v>
      </c>
      <c r="D14" s="14" t="s">
        <v>1297</v>
      </c>
      <c r="E14" s="23" t="s">
        <v>50</v>
      </c>
      <c r="F14" s="23" t="s">
        <v>1196</v>
      </c>
      <c r="G14" s="14"/>
      <c r="H14" s="15" t="s">
        <v>525</v>
      </c>
      <c r="I14" s="14"/>
      <c r="J14" s="14" t="s">
        <v>1298</v>
      </c>
      <c r="K14" s="14" t="s">
        <v>54</v>
      </c>
      <c r="L14" s="8"/>
      <c r="M14" s="14" t="s">
        <v>1299</v>
      </c>
      <c r="N14" s="8"/>
      <c r="O14" s="23" t="s">
        <v>56</v>
      </c>
      <c r="P14" s="23" t="s">
        <v>54</v>
      </c>
      <c r="Q14" s="14" t="s">
        <v>1300</v>
      </c>
      <c r="R14" s="8"/>
      <c r="S14" s="23" t="s">
        <v>56</v>
      </c>
      <c r="T14" s="23" t="s">
        <v>54</v>
      </c>
      <c r="U14" s="14" t="s">
        <v>1301</v>
      </c>
      <c r="V14" s="8"/>
      <c r="W14" s="23" t="s">
        <v>56</v>
      </c>
      <c r="X14" s="23" t="s">
        <v>54</v>
      </c>
      <c r="Y14" s="14" t="s">
        <v>1302</v>
      </c>
      <c r="Z14" s="8"/>
      <c r="AA14" s="23" t="s">
        <v>56</v>
      </c>
      <c r="AB14" s="23" t="s">
        <v>54</v>
      </c>
      <c r="AC14" s="14" t="s">
        <v>1303</v>
      </c>
      <c r="AD14" s="8"/>
      <c r="AE14" s="23" t="s">
        <v>56</v>
      </c>
      <c r="AF14" s="23" t="s">
        <v>54</v>
      </c>
      <c r="AG14" s="8"/>
      <c r="AH14" s="8"/>
      <c r="AI14" s="8"/>
      <c r="AJ14" s="8"/>
      <c r="AK14" s="8"/>
      <c r="AL14" s="8"/>
      <c r="AM14" s="8"/>
      <c r="AN14" s="8"/>
      <c r="AO14" s="8"/>
      <c r="AP14" s="8"/>
      <c r="AQ14" s="8"/>
      <c r="AR14" s="8"/>
    </row>
    <row r="15">
      <c r="A15" s="14" t="s">
        <v>1304</v>
      </c>
      <c r="B15" s="14" t="s">
        <v>1305</v>
      </c>
      <c r="C15" s="14" t="s">
        <v>1306</v>
      </c>
      <c r="D15" s="14" t="s">
        <v>1307</v>
      </c>
      <c r="E15" s="23" t="s">
        <v>50</v>
      </c>
      <c r="F15" s="14" t="s">
        <v>1196</v>
      </c>
      <c r="G15" s="14"/>
      <c r="H15" s="15" t="s">
        <v>76</v>
      </c>
      <c r="I15" s="14"/>
      <c r="J15" s="14" t="s">
        <v>1308</v>
      </c>
      <c r="K15" s="20" t="s">
        <v>54</v>
      </c>
      <c r="L15" s="8"/>
      <c r="M15" s="14" t="s">
        <v>1309</v>
      </c>
      <c r="N15" s="8"/>
      <c r="O15" s="23" t="s">
        <v>56</v>
      </c>
      <c r="P15" s="23" t="s">
        <v>54</v>
      </c>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row>
    <row r="16">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row>
    <row r="17">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row>
    <row r="18">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row>
    <row r="19">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row>
    <row r="20">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row>
    <row r="21">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row>
    <row r="22">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row>
    <row r="2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row>
    <row r="24">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row>
    <row r="26">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row>
  </sheetData>
  <drawing r:id="rId1"/>
</worksheet>
</file>