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ŠE (Neupravovat, automatické)" sheetId="1" r:id="rId4"/>
    <sheet state="visible" name="muzea_a_pamatniky_spojene_s_jed" sheetId="2" r:id="rId5"/>
    <sheet state="visible" name="pamatniky_a_muzea_revolucniho_h" sheetId="3" r:id="rId6"/>
    <sheet state="visible" name="muzea_a_pamatniky_spojene_s_kli" sheetId="4" r:id="rId7"/>
    <sheet state="visible" name="podnikova_a_tovarni_muzea" sheetId="5" r:id="rId8"/>
  </sheets>
  <definedNames>
    <definedName hidden="1" localSheetId="0" name="_xlnm._FilterDatabase">'VŠE (Neupravovat, automatické)'!$B$1:$H$220</definedName>
    <definedName hidden="1" localSheetId="1" name="_xlnm._FilterDatabase">muzea_a_pamatniky_spojene_s_jed!$A$1:$Z$35</definedName>
    <definedName hidden="1" localSheetId="2" name="_xlnm._FilterDatabase">pamatniky_a_muzea_revolucniho_h!$A$1:$AA$31</definedName>
    <definedName hidden="1" localSheetId="4" name="_xlnm._FilterDatabase">podnikova_a_tovarni_muzea!$A$1:$Z$113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16">
      <text>
        <t xml:space="preserve">Potřebuju zvolit pro síň tradic pouze muzea nebo památníky
	-Jakub Ferenc
Je to omezené i ve sloupci subtitle? Ve sloupci type je to jasný, ale to "subtitle" by se měl zobrazovat jen v náhledu objektu jako informace a nemusí tedy být omezená, protože není ta informace vázaná na ikonku. Nebo je to jinak?
	-Bohumil Melichar</t>
      </text>
    </comment>
  </commentList>
</comments>
</file>

<file path=xl/sharedStrings.xml><?xml version="1.0" encoding="utf-8"?>
<sst xmlns="http://schemas.openxmlformats.org/spreadsheetml/2006/main" count="2222" uniqueCount="1187">
  <si>
    <t>id</t>
  </si>
  <si>
    <t>x</t>
  </si>
  <si>
    <t>y</t>
  </si>
  <si>
    <t>name</t>
  </si>
  <si>
    <t>subtitle</t>
  </si>
  <si>
    <t>description</t>
  </si>
  <si>
    <t>type</t>
  </si>
  <si>
    <t>layer</t>
  </si>
  <si>
    <t>exists</t>
  </si>
  <si>
    <t>date_start</t>
  </si>
  <si>
    <t>date_end</t>
  </si>
  <si>
    <t>source</t>
  </si>
  <si>
    <t>order_images</t>
  </si>
  <si>
    <t>images__image1__name</t>
  </si>
  <si>
    <t>images__image1__desc</t>
  </si>
  <si>
    <t>images__image1__source</t>
  </si>
  <si>
    <t>images__image2__name</t>
  </si>
  <si>
    <t>images__image2__desc</t>
  </si>
  <si>
    <t>images__image2__source</t>
  </si>
  <si>
    <t>14.422248</t>
  </si>
  <si>
    <t>50.085034</t>
  </si>
  <si>
    <t>Muzeum Klementa Gottwalda</t>
  </si>
  <si>
    <t>muzea</t>
  </si>
  <si>
    <t>Muzeum vzniklo v roce 1952 jako vědecké, edukační, popularizační a propagandistické centrum nově vznikajícího proudu přiznaně angažované třídní marxistické historiografie. Původní záměr počítal s komplexním zaměřením na široce pojaté, do určité míry tehdy vynalézané, revoluční národní tradice. Instituce, která měla nést název Muzeum revolučních bojů, byla na osobnost Klementa Gottwalda navázána těsně před otevřením veřejnosti v roce 1954 po státníkově skonu, který můžeme považovat za jeden z vrcholů jeho kultu osobnosti. Během 35 let existence muzea doznala jeho činnost ve své formě i obsahu určitých změn, byť nijak zásadních.</t>
  </si>
  <si>
    <t>Muzea a památníky spojené s jednotlivými osobnostmi</t>
  </si>
  <si>
    <t>Ne</t>
  </si>
  <si>
    <t>Katalog stálé expozice, Praha: Muzeum Klementa Gottwalda1975; Tematické okruhy sbírkotvorné činnosti muzea Klementa Gottwalda v oblasti dokumentace dějin revolučního dělnického hnutí a dějin komunistické strany Československa, Praha: MKG [19--?]&lt;br&gt;ANM, fond Sbírka Muzeum dělnického hnutí, nezpracováno</t>
  </si>
  <si>
    <t>o2.JPG</t>
  </si>
  <si>
    <t>Busta Klementa Gottwalda v expozici.</t>
  </si>
  <si>
    <t>ANM, Sbírka Muzeum dělnického hnutí, nezpracováno</t>
  </si>
  <si>
    <t>o4.jpg</t>
  </si>
  <si>
    <t>Pražského jaro v Muzeu Klementa Gottwalda.</t>
  </si>
  <si>
    <t>Martina Winkler: Panzer in Prag. Der Fotografische Blick auf die Invasion von 1968, Düsselldorf: C.W. Leske 2018</t>
  </si>
  <si>
    <t>15.7711111</t>
  </si>
  <si>
    <t>49.1519444</t>
  </si>
  <si>
    <t>Památník – rodný dům Bedřicha Václavka v Čáslavicích</t>
  </si>
  <si>
    <t>památníky</t>
  </si>
  <si>
    <t>Expozice, přibližující život a dílo tohoto levicového spisovatele, byla otevřena v roce 1962 a reinstalována v roce 1980. Roku 1989 byla činnost ukončena a objekt sloužil až do roku 2008 jako skladiště. Nyní Čáslavice objekt využívají jako obecní úřad.</t>
  </si>
  <si>
    <t>Vladimír Kovařík: Literární toulky Moravou, Praha: Albatros 1978, s. 38-39; Jaromír Kalus: Muzea na Moravě a ve Slezsku, Ostrava: Profil 1988, s. 82-84; Čáslavice: Rodný dům Bedřicha Václavka, 6. 5. 2021, caslavice.cz (dostupné na https://www.caslavice.cz/rodny-dum-bedricha-vaclavka/d-7334)</t>
  </si>
  <si>
    <t>o1.JPG</t>
  </si>
  <si>
    <t>Rodný dům Bedřicha Václavka</t>
  </si>
  <si>
    <t>Jaromír Kalus: Muzea na Moravě a ve Slezsku, Ostrava: Profil 1988, s. 82</t>
  </si>
  <si>
    <t>15.8896397</t>
  </si>
  <si>
    <t>49.2147194</t>
  </si>
  <si>
    <t>Rodný dům Bohumíra Šmerala </t>
  </si>
  <si>
    <t>Objekt domku je památkově chráněn od roku 1958. První expozice se otevřela v roce 1960 a po jedenácti letech byla modernizována. Ústřední bod tvořila část dochované Šmeralovy pracovny, kolem ní se nacházela expozice o Šmeralově životě.</t>
  </si>
  <si>
    <t>Jaromír Kalus: Muzea na Moravě a ve Slezsku, Ostrava: Profil 1988, s. 265; NPÚ: Venkovská usedlost - Šmeralův dům, 24. 11. 2021, pamatkovykatalog.cz (dostupné na https://www.pamatkovykatalog.cz/pravni-ochrana/venkovska-usedlost-smeraluv-dum-146392); ANM, fond Sbírka Muzeum dělnického hnutí, nezpracováno</t>
  </si>
  <si>
    <t>z expozice.</t>
  </si>
  <si>
    <t>ANM, fond Sbírka Muzeum dělnického hnutí, nezpracováno</t>
  </si>
  <si>
    <t>14.41347</t>
  </si>
  <si>
    <t>50.08239</t>
  </si>
  <si>
    <t>Muzeum Julia Fučíka</t>
  </si>
  <si>
    <t>22. února 1988 bylo za účasti stranických špiček, velvyslanců, ale i pamětníků slavnostně otevřeno Muzeum Julia Fučíka v budově tehdejší Fakulty žurnalistiky Univerzity Karlovy (dnes Fakulta sociálních věd) na Smetanově nábřeží v Praze. Muzeum mělo spíše charakter pamětní síně a svým umístěním poukazovalo na Fučíkovu novinářskou identitu. Podle vzpomínek Libuše Eliášové bylo muzeum naplněním snahy Gusty Fučíkové o vytvoření muzea žurnalistiky založeného na Fučíkově odkazu. Fučíková se však otevření muzea nedožila. Muzeum vzniklo pod patronací Muzea Klementa Gottwalda. (Libuše Eliášová, In: F. A. Podhajský (ed.), Julek Fučík věčně živý, Brno, 2010, s. 77–92).&lt;br&gt;Expozici dominovala Fučíkova busta od sochaře Antonína Kalvody. Muzeum tak navazovalo na kult Fučíkovy tváře, na druhou stranu se však Kalvodovo zobrazení odlišovalo od těch nejkanoničtějších, včetně ikonického Švabinského portrétu. I z dalších prvků expozice je zřejmé, že hledala nový jazyk, jehož prostřednictvím by bylo možné Fučíkův odkaz na oficiální úrovni reformulovat. Podstatný prvek tvořila například mezinárodní recepce Fučíkova kultu reprezentovaná zahraničními vydáními Reportáže nebo citátem Pabla Nerudy v čele místnosti. Nad vchodem do expozice se skvěl známý a všeobecně využívaný Fučíkův citát Lidé bděte! Nový význam pro toto heslo se však v muzeu nalézt nepodařilo. Po roce 1989 byla instituce zrušena a její sbírka, založená na osobní pozůstalosti Julia a Gusty Fučíkových, přešla společně s fondy Muzea Klementa Gottwalda a Muzea V. I. Lenina do sbírky tzv. Muzea dělnického hnutí.</t>
  </si>
  <si>
    <t>ANM, fond Sbírka Muzeum dělnického hnutí, fond Julius a Gusta Fučíkovi, nezpracováno</t>
  </si>
  <si>
    <t>JF028.jpg</t>
  </si>
  <si>
    <t>Prostoru expozice dominovala busta Julia Fučíka od sochaře A. Kalvody.</t>
  </si>
  <si>
    <t>VernisazMJFk203.tif</t>
  </si>
  <si>
    <t>Z vernisáže expozice.</t>
  </si>
  <si>
    <t>16.9818047</t>
  </si>
  <si>
    <t>49.2923897</t>
  </si>
  <si>
    <t>Památník Klementa Gottwalda v Dědicích</t>
  </si>
  <si>
    <t>Rodný dům Klementa Gottwalda byl zpřístupněn veřejnosti v roce 1955. Objekt byl zrestaurován do podoby z konce 19. století a nacházela se v něm expozice zaměřená na Gottwladův oficiální životní příběh. V roce 1971 získal status Památníku Klementa Gottwalda, o šest let později byl dům prohlášen národní kulturní památkou. V roce 1981 prošel další výraznou adaptací pro výstavní účely.</t>
  </si>
  <si>
    <t>ANM, fond Sbírka Muzeum dělnického hnutí, nezpracováno; Sbírky Muzea Vyškovska; ANM, Sbírka Muzeum dělnického hnutí</t>
  </si>
  <si>
    <t>Dobová pohlednice.</t>
  </si>
  <si>
    <t>NM, Sbírka Muzeum dělnického hnutí</t>
  </si>
  <si>
    <t>Z expozice</t>
  </si>
  <si>
    <t>15.9099458</t>
  </si>
  <si>
    <t>49.2969847</t>
  </si>
  <si>
    <t>Památník armádního generála Ludvíka Svobody, Hroznatín</t>
  </si>
  <si>
    <t>V roce 1985 byl rodný dům Ludvíka Svobody adaptován na památník. Expozice se zaměřovala na Svobodův oficiální životní příběh, které dominoval obraz generála a státníka.</t>
  </si>
  <si>
    <t>Jaromír Kalous: Muzea na Moravě a ve Slezsku, Ostrava: Profil 1988, str. 117-118</t>
  </si>
  <si>
    <t>17.0550869</t>
  </si>
  <si>
    <t>49.5148786</t>
  </si>
  <si>
    <t>Památník Petra Bezruče, Kostelec na Hané</t>
  </si>
  <si>
    <t>V roce 1962 byl domek, ve kterém Bezruč žil, přeměněn na památník s expozicí. Centrem je pracovna pietně uchovávaná v původním stavu.</t>
  </si>
  <si>
    <t>Ano</t>
  </si>
  <si>
    <t>Jaromír Kalous: Muzea na Moravě a ve Slezsku, Ostrava: Profil 1988, str. 137-138</t>
  </si>
  <si>
    <t>17.9018838</t>
  </si>
  <si>
    <t>49.9363497</t>
  </si>
  <si>
    <t>Památník Petra Bezruče, Opava</t>
  </si>
  <si>
    <t>V roce 1954 vznikl památník Petra Bezruče na místě jeho rodného domu. Expozice byla v roce 1967 modernizována. V současné době objekt spravuje Slezské muzeum.</t>
  </si>
  <si>
    <r>
      <rPr>
        <rFont val="Arial"/>
        <color rgb="FF000000"/>
      </rPr>
      <t xml:space="preserve">Jaromír Kalous: Muzea na Moravě a ve Slezsku, Ostrava: Profil 1988, s. 194-195; Slezské muzeum: Památník P. Bezruče Opava, 6. 5. 2021, szm.cz (dostupné na </t>
    </r>
    <r>
      <rPr>
        <rFont val="Arial"/>
        <color rgb="FF1155CC"/>
        <u/>
      </rPr>
      <t>http://www.szm.cz/rubrika/33/expozicni-arealy/pamatnik-p-bezruce-opava.html</t>
    </r>
    <r>
      <rPr>
        <rFont val="Arial"/>
        <color rgb="FF000000"/>
      </rPr>
      <t>)</t>
    </r>
  </si>
  <si>
    <t>14.4314111</t>
  </si>
  <si>
    <t>50.087471</t>
  </si>
  <si>
    <t>Muzeum Vladimíra Iljiče Lenina, Lidový dům Praha</t>
  </si>
  <si>
    <t>Muzeum vzniklo v roce 1952 na místě paměti české politické levice. Objekt byl historickým sídlem sociální demokracie a místem konání VI. konference SDDSR v lednu 1912, které se Lenin osobně zúčastnil. To se stalo také podmětem pro umístění expozice s edukačně-propagandistickým posláním zakotvit Leninův životní příběh do místní kolektivní paměti. Původní expozice byla modernizována v roce 1972.</t>
  </si>
  <si>
    <t>Jaroslav Soukup: Praha. Město revolučních tradic, Praha: Olympia 1971; Alexandr Ježek - Milan Peremský: Muzeum Vladimíra Iljiče Lenina v Praze, Praha: Středočeské nakladatelství a knihkupectví v Praze 1976</t>
  </si>
  <si>
    <t>NM, fond Sbírka Muzeum dělnického hnutí, nezpracováno</t>
  </si>
  <si>
    <t>o6.jpg</t>
  </si>
  <si>
    <t>Z expozic</t>
  </si>
  <si>
    <t>16.8817542</t>
  </si>
  <si>
    <t>49.2016067</t>
  </si>
  <si>
    <t>Světnička Klementa Gottwalda v Rousínově </t>
  </si>
  <si>
    <t>Místo spojené s pobytem Klementa Gottwalda, který v letech 1920–1921 pracoval v místní truhlářské dílně. Objekt byl veřejnosti zpřístupněn v roce 1954 ve formě expozice v pamětní světničce. Památník nejprve spravovalo pražské Muzea Klementa Gottwalda a posléze fungoval pod dohledem Muzea dělnického hnutí v Brně. V roce 1985 započala rekonstrukce objektu.</t>
  </si>
  <si>
    <t>ANM, fond Sbírka Muzeum dělnického hnutí, nezpracováno; Sbírky Muzea Vyškovska</t>
  </si>
  <si>
    <t>Vstupní část expozice.</t>
  </si>
  <si>
    <t>o3.JPG</t>
  </si>
  <si>
    <t>Z expozice: Gottwald truhlářem a státníkem.</t>
  </si>
  <si>
    <t>14.3262307</t>
  </si>
  <si>
    <t>50.0833908</t>
  </si>
  <si>
    <t>Muzeum Aloise Jiráska a Mikoláše Alše, Letohrádek Hvězda</t>
  </si>
  <si>
    <t>Muzeum, jehož stěžejní částí byla expozice Život a dílo Aloise Jiráska, vznikla v rámci Jiráskovské akce v roce 1951 pod vedením Drahomíry Jiráskové a Zdeňka Nejedlého. Související přestavbu objektu vedl architekt Jaroslav Pospíšil. Hlavním tématem bylo propojení národních dějin s Jiráskovými romány vnímanými jako učebnice pro lid. K dílčím zásahům a rozšíření expozice došlo v roce 1966, kdy se zájem částečně přesunul k samotnému objektu letohrádku a k Bělohorské bitvě.</t>
  </si>
  <si>
    <t>Jiří Padevět: Průvodce stalinistickou Prahou 1948-1956. Místa-události-lidé, Praha: Academia 2018, str. 694; František Kavka – Stanislav Pánek – Jakub Pavel – Josef Polišenský – Marie Vorlíčková: Bílá hora. Národní kulturní památka, Praha: Muzeum Aloise Jiráska a Mikoláše Alše – Olympia 1969; Drahomíra Jirásková – Václav Kamelský – Jaromír Kouba – Marie Vorlíčková: Muzeum Aloise Jiráska, Praha: Sportovní a turistické nakladatelství 1962</t>
  </si>
  <si>
    <t>Letohrádek Hvězda v 50. letech.</t>
  </si>
  <si>
    <t>Drahomíra Jirásková – Václav Kamelský – Jaromír Kouba – Marie Vorlíčková: Muzeum Aloise Jiráska, Praha: Sportovní a turistické nakladatelství 1962</t>
  </si>
  <si>
    <t>Socha Aloise Jiráska v expozici.</t>
  </si>
  <si>
    <t>12.8719616</t>
  </si>
  <si>
    <t>50.2318521</t>
  </si>
  <si>
    <t>Muzeum Karla Marxe, Karlovy Vary</t>
  </si>
  <si>
    <t>Muzeum zřídil v roce 1960 Ústav dějin KSČ ve spolupráci s Karlovarským muzeem. Základem expozice Karel Marx v Karlových Varech byl filosofův pobyt ve městě v souvislosti se stavem regionu v období kapitalismu. Ve městě se nachází také Marxův pomník z roku 1988.</t>
  </si>
  <si>
    <t>Milan Hromádka - Marie Poláková - Jarmila Valentová: Kulturní adresář ČSR, Praha: Ústav pro výzkum kultury 1973, str. 337; Václav Pubal: Muzea, galerie a památkové objekty v ČSR, Praha: Národní muzeum 1973, s. 120</t>
  </si>
  <si>
    <t>16.0427679</t>
  </si>
  <si>
    <t>50.3946667</t>
  </si>
  <si>
    <t>Muzeum Boženy Němcové, Česká Skalice</t>
  </si>
  <si>
    <t>Zatímco městské muzeum se již v meziválečné době na postavu autorky silně orientovalo, samostatná instituce s vlastní expozicí Život a dílo Boženy Němcové vznikla v roce 1962.</t>
  </si>
  <si>
    <t>Milan Hromádka - Marie Poláková - Jarmila Valentová: Kulturní adresář ČSR, Praha: Ústav pro výzkum kultury 1973, str. 342; Václav Pubal: Muzea, galerie a památkové objekty v ČSR, Praha: Národní muzeum 1973, s. 82</t>
  </si>
  <si>
    <t>16.1816772</t>
  </si>
  <si>
    <t>50.4800637</t>
  </si>
  <si>
    <t>Jiráskovo muzeum, Hronov</t>
  </si>
  <si>
    <t>Expozice dokumentovala společenský život na Hronovsku související s tematikou Jiráskova díla a národními dějinami.</t>
  </si>
  <si>
    <t>Milan Hromádka - Marie Poláková - Jarmila Valentová: Kulturní adresář ČSR, Praha: Ústav pro výzkum kultury 1973, str. 342</t>
  </si>
  <si>
    <t>16.0514705</t>
  </si>
  <si>
    <t>50.4166208</t>
  </si>
  <si>
    <t>Muzeum Babičky Ratibořice</t>
  </si>
  <si>
    <t>Expozice inspirována dílem Boženy Němcové byla vnímána jako hold konstrukci tradic českého lidu. Zámek prošel procesem muzealizace společně s integrací krajiny Babiččina údolí do vznikající revoluční lidové tradice na počátku 50. let.</t>
  </si>
  <si>
    <t>50. léta</t>
  </si>
  <si>
    <t>Milan Hromádka - Marie Poláková - Jarmila Valentová: Kulturní adresář ČSR, Praha: Ústav pro výzkum kultury 1973, str. 342; Kateřina Sixtová: Kulturní paměť a její funkce: případ Boženy Němcové, diplomová práce, vedoucí Kamil Činátl, Praha, FF UK 2019</t>
  </si>
  <si>
    <t>14.9715535</t>
  </si>
  <si>
    <t>50.5276793</t>
  </si>
  <si>
    <t>Pamětní síň Jana Švermy, Mnichovo Hradiště</t>
  </si>
  <si>
    <t>Pamětní síň vybudována v rámci expozice Městského muzea Mnichovo hradiště.</t>
  </si>
  <si>
    <t>?</t>
  </si>
  <si>
    <t>Milan Hromádka - Marie Poláková - Jarmila Valentová: Kulturní adresář ČSR, Praha: Ústav pro výzkum kultury 1973, str. 333</t>
  </si>
  <si>
    <t>13.02203</t>
  </si>
  <si>
    <t>49.50447</t>
  </si>
  <si>
    <t>Pamětní síň Julia Fučíka, Chotiměř</t>
  </si>
  <si>
    <t>Dům, ve kterém pobýval Julius Fučík v letních měsících a zvláště během let 1938 a 1939. Na zámku v Chotiměři měla být zřízena pamětní síň.</t>
  </si>
  <si>
    <t>ANM, osobní fond Gusta Fučíková; Jaroslav Nečas-Libor Kněžek: Malý literární místopis Československa, Praha 1972, str. 35</t>
  </si>
  <si>
    <t>13.37429</t>
  </si>
  <si>
    <t>49.74266</t>
  </si>
  <si>
    <t>Pamětní síň Julia Fučíka, Plzeň</t>
  </si>
  <si>
    <t>Dům, ve kterém prožil Fučík část dětství. Tuto jeho životní epochu měl od roku 1955 připomínat památník Julia Fučíka v jednom z bytů. Budova byla v roce 1953 osazena pamětní deskou Jaroslava Dittricha.</t>
  </si>
  <si>
    <t>ANM, osobní fond Gusta Fučíková; Plzeňský deník: Fučík se vrátil na fasádu domu, kde bydlel, 24. 11. 2021, plzenskydenik.cz (dostupné na plzensky.denik.cz/zpravy_region/fucik-se-vratil-na-fasadu-domu-kde-bydlel-20150126.html)</t>
  </si>
  <si>
    <t>12.7066111</t>
  </si>
  <si>
    <t>49.977335</t>
  </si>
  <si>
    <t>Památník Maxima Gorkého, Františkovy Lázně</t>
  </si>
  <si>
    <t>Expozice, spravovaná Městským muzeem Františkovy Lázně, nabízela přehled o životě a díle Maxima Gorkého a podrobnou dokumentaci jeho pobytu v Mariánských Lázních.</t>
  </si>
  <si>
    <t>Milan Hromádka - Marie Poláková - Jarmila Valentová: Kulturní adresář ČSR, Praha: Ústav pro výzkum kultury 1973, str. 352; Václav Pubal: Muzea, galerie a památkové objekty v ČSR, Praha: Národní muzeum 1973, s. 140</t>
  </si>
  <si>
    <t>15.91244</t>
  </si>
  <si>
    <t>50.0284447</t>
  </si>
  <si>
    <t>Pamětní síň Josefa Hybeše, Dašice</t>
  </si>
  <si>
    <t>Expozice, instalovaná v roce 1971, byla postavená na dokumentech o životě a díle Josefa Hybeše, průkopníka socialismu na Moravě. </t>
  </si>
  <si>
    <t>Milan Hromádka - Marie Poláková - Jarmila Valentová: Kulturní adresář ČSR, Praha: Ústav pro výzkum kultury 1973, str. 354; Václav Pubal: Muzea a galerie v ČSR, Praha: Národní muzeum 1972, s. 198</t>
  </si>
  <si>
    <t>Budova památníku.</t>
  </si>
  <si>
    <t>ANM, sbírka Muzea dělnického hnutí, nezpracováno</t>
  </si>
  <si>
    <t>13.110215</t>
  </si>
  <si>
    <t>50.3816694</t>
  </si>
  <si>
    <t>Památník Václava Řezáče, Perštejn</t>
  </si>
  <si>
    <t>Expozice nabízela dokumenty o životě spisovatele a o jeho vztahu k tomuto kraji. Zvláštní zřetel byl věnován jeho ústřednímu dílu – knize Nástup a její interpretaci.</t>
  </si>
  <si>
    <t>Milan Hromádka - Marie Poláková - Jarmila Valentová: Kulturní adresář ČSR, Praha: Ústav pro výzkum kultury 1973, str. 354</t>
  </si>
  <si>
    <t>16.3105222</t>
  </si>
  <si>
    <t>49.8720322</t>
  </si>
  <si>
    <t>Památník Zdeňka Nejedlého, Litomyšl</t>
  </si>
  <si>
    <t>Expozice, oslavující život a dílo Zdeňka Nejedlého, zaujímala plochu osmi sálů a nacházela se v interiéru zámku. Hlavními tématy byly vztah Nejedlého ke KSČ a jeho dílo věnované dějinám husitství a studiu díla Aloisa Jiráska a Bedřicha Smetany.</t>
  </si>
  <si>
    <t>Milan Hromádka - Marie Poláková - Jarmila Valentová: Kulturní adresář ČSR, Praha: Ústav pro výzkum kultury 1973, str. 356; Vladimír Kovařík: Literární toulky po Čechách, Praha 1977, str. 196; Před otevřením Památníků Zd. Nejedlého, Rudé právo, roč. 46-47, č. 169, 21. 6. 1966</t>
  </si>
  <si>
    <t>14.4149733</t>
  </si>
  <si>
    <t>50.0757651</t>
  </si>
  <si>
    <t>Expozice v bytě Aloise Jiráska</t>
  </si>
  <si>
    <t>V roce 1951 byla expozice v soukromých prostorech spisovatele přičleněna k Muzeu Aloise Jiráska v letohrádku Hvězda.</t>
  </si>
  <si>
    <t>Jiří Padevět: Průvodce stalinistickou Prahou 1948-1956. Místa-události-lidé, Praha: Academia 2018, str. 401</t>
  </si>
  <si>
    <t>17.1065323</t>
  </si>
  <si>
    <t>48.1522441</t>
  </si>
  <si>
    <t>Múzeum V. I. Lenina, Bratislava</t>
  </si>
  <si>
    <t>Expozice, otevřená v roce 1954, měla jako hlavní téma Leninův životní příběh a revoluci 1917. Důležitými exponáty však byly také artefakty dokládající vliv Říjnové revoluce na Slovensku.</t>
  </si>
  <si>
    <t>Múzeum V. I. Lenina v Bratislave. Sprievodca, Bratislava: ÚV KSS [1954]; M. Rybecký a kol.: Sprievodca po múzeách na Slovensku, Bratislava: Vydavaťelstvo politickej literatúry 1964, str. 32-33</t>
  </si>
  <si>
    <t>Budova muzea</t>
  </si>
  <si>
    <t>M. Rybecký a kol.: Sprievodca po múzeách na Slovensku, Bratislava: Vydavaťelstvo politickej literatúry 1964</t>
  </si>
  <si>
    <t>16.1374678</t>
  </si>
  <si>
    <t>50.5723588</t>
  </si>
  <si>
    <t>Zámek Skály – Muzeum Aloise Jiráska</t>
  </si>
  <si>
    <t>V roce 1950 zde byla pod patronací Muzea Aloise Jiráska v Praze otevřena expozice věnovaná Jiráskově dílu, zvláště románu Skály, který sepsal inspirován tímto místem. Expozice byla zrušena v roce 1974, kdy byl zámek přestavěn na rekreační objekt.</t>
  </si>
  <si>
    <t>Zdeněk M. Zenger: Jiráskovi Skály, Praha: Čedok 1953; NPÚ: Zámek Bischofstein, 24. 11. 2021, pamatkovykatalog.cz (dostupné na https://pamatkovykatalog.cz/pravni-ochrana/zamek-bischofstein-133579)</t>
  </si>
  <si>
    <t>17.207806</t>
  </si>
  <si>
    <t>48.253372</t>
  </si>
  <si>
    <t>Múzeum Petra Jilemnického v Jure pri Bratislave</t>
  </si>
  <si>
    <t>V domku, kde žil Petr Jilemnický, byla otevřena expozice v roce 1952. Tematický záběr pokrýval zejména život a dílo stranického literáta. Klíčovou součástí expozice byla jeho původní pracovna.</t>
  </si>
  <si>
    <t>M. Rybecký a kol.: Sprievodca po múzeách na Slovensku, Bratislava: Vydavaťelstvo politickej literatúry 1964, str. 38-39</t>
  </si>
  <si>
    <t>Dům, kde žil Petr Jilemnický</t>
  </si>
  <si>
    <t>Z expozice.</t>
  </si>
  <si>
    <t>16.4998155</t>
  </si>
  <si>
    <t>50.0353009</t>
  </si>
  <si>
    <t>Pamětní síň Petra Jilemnického, Zámek Letohrad</t>
  </si>
  <si>
    <t>Pamětní síň komunistického spisovatele a místního rodáka vznikla v roce 1958.</t>
  </si>
  <si>
    <t>Václav Pubal: Muzea a galerie v ČSR, Praha: Národní muzeum 1972, str. 116</t>
  </si>
  <si>
    <t>18.3904377</t>
  </si>
  <si>
    <t>49.5255788</t>
  </si>
  <si>
    <t>Srub Petra Bezruče, Ostravice</t>
  </si>
  <si>
    <t>Expozice instalovaná ve srubu z roku 1935, kde spisovatel trávil letní volno. Autentické vybavení z doby užívání objektu básníkem doplněno expozicí mapující jeho tvorbu. Objekt spravuje Slezské muzeum v Opavě.</t>
  </si>
  <si>
    <t>Jaromír Kalous: Muzea na Moravě a ve Slezsku, Ostrava: Profil 1988, str. 206</t>
  </si>
  <si>
    <t>Srub Petra Bezruče, kde trávil léto.</t>
  </si>
  <si>
    <t>Jaromír Kalous: Muzea na Moravě a ve Slezsku, Ostrava: Profil 1988, s. 206</t>
  </si>
  <si>
    <t>17.3459531</t>
  </si>
  <si>
    <t>48.9270919</t>
  </si>
  <si>
    <t>Památník Marušky Kudeříkové, Vnorovy</t>
  </si>
  <si>
    <t>V roce 1978 byla v rodném domku vybudována expozice připomínající život odbojářky Marie Kudeříkové. Jádrem objektu byla rekonstrukce původní domácnosti rodiny.</t>
  </si>
  <si>
    <t>Jaromír Kalous: Muzea na Moravě a ve Slezsku, Ostrava: Profil 1988, str. 287; Daniela Poláková: Marie Kudeříková. Životnost mýtu a lidské zkušenosti, Praha: Academia 2017</t>
  </si>
  <si>
    <t>12.8614994</t>
  </si>
  <si>
    <t>49.4309439</t>
  </si>
  <si>
    <t>Kozinova pamětní síň, Újezd</t>
  </si>
  <si>
    <t>Expozice byla postavena na rekonstrukci dobové podoby rodného statku Jana Sladkého Koziny. Obsahovala dokumenty o Jiráskových studijních pobytech na Chodsku.</t>
  </si>
  <si>
    <t>Milan Hromádka - Marie Poláková - Jarmila Valentová: Kulturní adresář ČSR, Praha: Ústav pro výzkum kultury 1973, str. 353; Miroslav Hauner: Západní Čechy: krajina, architektura, umění, Plzeň: Zápodočeské nakladatelství 1984</t>
  </si>
  <si>
    <t>Před branou Kozinova rodného statku.</t>
  </si>
  <si>
    <t>Miroslav Hauner: Západní Čechy: krajina, architektura, umění, Plzeň: Zápodočeské nakladatelství 1984</t>
  </si>
  <si>
    <t>13.9869736</t>
  </si>
  <si>
    <t>49.054965</t>
  </si>
  <si>
    <t>Památník Mistra Jana Husa, Husinec</t>
  </si>
  <si>
    <t>Památník vybudovaný v domnělém rodném domě Jana Husa v roce 1952. Jádrem expozice byla tzv. rodná světnička. Kolem ní se nacházela výstava s názvem Život a dílo Mistra Jana Husa a jeho tradice. V roce 1970 byla expozice modernizována a v objektu byla zbudována knihovna se studovnou.</t>
  </si>
  <si>
    <t>Milan Hromádka - Marie Poláková - Jarmila Valentová: Kulturní adresář ČSR, Praha: Ústav pro výzkum kultury 1973, str. 353; Václav Pubal: Muzea, galerie a památkové objekty v ČSR, Praha: Národní muzeum 1973; Jaroslav Nečas: Mistr Jan Hus a Husinec, Praha: Svépomoc 1969</t>
  </si>
  <si>
    <t>Jaroslav Nečas: Mistr Jan Hus a Husinec, Praha: Svépomoc 1969</t>
  </si>
  <si>
    <t>15.1195133</t>
  </si>
  <si>
    <t>50.1414789</t>
  </si>
  <si>
    <t>Památník krále JIřího z Poděbrad v zámku v Poděbradech</t>
  </si>
  <si>
    <t>V zámeckých prostorech byla umístěna speciální expozice věnovaná životu a dílu Jiřího z Poděbrad a jeho mírovým snahám.</t>
  </si>
  <si>
    <t>14.5954317</t>
  </si>
  <si>
    <t>48.9064712</t>
  </si>
  <si>
    <t>Památník Jana Žižky z Trocnova</t>
  </si>
  <si>
    <t>Památník modernizován roku 1958 péčí Jihočeského muzea v Českých Budějovicích. Hlavním tématem expozice byla osobnost Jana Žižky a jeho role v událostech husitské revoluce.</t>
  </si>
  <si>
    <t>Milan Hromádka - Marie Poláková - Jarmila Valentová: Kulturní adresář ČSR, Praha: Ústav pro výzkum kultury 1973, str. 352; Václav Pubal: Muzea, galerie a památkové objekty v ČSR, Praha: Národní muzeum 1973</t>
  </si>
  <si>
    <t>14.095291</t>
  </si>
  <si>
    <t>50.144310</t>
  </si>
  <si>
    <t>Síň Antonína Zápotockého v Dělnickém domě na Kladně</t>
  </si>
  <si>
    <t>Pamětní síň Antonína Zápotockého byla otevřena v květnu 1971 u příležitosti 50.  výročí vzniku KSČ. Nacházela se v Domě politické výchovy, který využíval prostory Dělnického domu. Centrum expozice představovala obnovená pracovna, z níž měl Zápotocký v roce 1920 řídit prosincovou generální stávku místních horníků a hutníků.</t>
  </si>
  <si>
    <t>1990?</t>
  </si>
  <si>
    <t>Rudolf Pobořil: Síň Antonína Zápotockého v Dělnickém domě v Kladně, Kladno: Dům politické výchovy, [198-?]</t>
  </si>
  <si>
    <t>Kresba dělnického domu v Kladně během prosincové stávky roku 1920.</t>
  </si>
  <si>
    <t>Alois Pěnička: Antonín Zápotocký a Kladensko, Kladno: Důl Antonín Zápotocký v Kladně, 1959, str. 7</t>
  </si>
  <si>
    <t>14.445029</t>
  </si>
  <si>
    <t>50.087343</t>
  </si>
  <si>
    <t>Muzeum Československé armády</t>
  </si>
  <si>
    <t>Muzeum se od července 1954 věnovalo vývoji Československé lidové armády a jejím "pokrokovým bojovým tradicím nové doby". V roce 1962 bylo sloučeno s Vojenským historickým muzeem.</t>
  </si>
  <si>
    <t>Památníky a muzea revolučního hnutí</t>
  </si>
  <si>
    <t>Jiří Padevět: Průvodce stalinistickou Prahou 1948-1956. Místa-události-lidé, Praha: Academia 2018, str. 460-461; Václav Pubal: Muzea, galerie a památkové objekty ČSR, Praha: Národní muzeum 1973, 47-48</t>
  </si>
  <si>
    <t>16.3961958</t>
  </si>
  <si>
    <t>49.9731208</t>
  </si>
  <si>
    <t>Památník revolučních tradic v Ústí nad Orlicí</t>
  </si>
  <si>
    <t>Vila podnikatele Floriana Henrycha se po roce 1948 využívala jako školící středisko ROH  a v roce 1971 byla adaptována na Památník revolučních tradic.</t>
  </si>
  <si>
    <t>15.578517</t>
  </si>
  <si>
    <t>49.599596</t>
  </si>
  <si>
    <t>Muzeum dějin dělnického a komunistického hnutí na Havlíčkobrodsku</t>
  </si>
  <si>
    <t>Muzeum zaměřené na regionální dějiny dělnického hnutí a třídních bojů vzniklo v roce 1978. Expozice se dělila na části podle dějinných období – boj proti kapitalismu, odboj proti fašismu, převzetí moci v únoru 1948 a socialistické budování.</t>
  </si>
  <si>
    <t>Josef Herink: Průvodce expozicí muzea dělnického a komunistického hnutí na Havlíčkobrodsku, Havlíčkův Brod 1983</t>
  </si>
  <si>
    <t>Budova muzea.</t>
  </si>
  <si>
    <t>21.2406972</t>
  </si>
  <si>
    <t>48.9981565</t>
  </si>
  <si>
    <t>Múzeum Slovenskej republiky rád Prešov</t>
  </si>
  <si>
    <t>Místní krajské muzeum bylo v roce 1961 přejmenováno podle Slovenské republiky rad, státního útvaru z roku 1919, jehož bylo město centrem. Muzeum se sice výrazně zaměřovalo na revoluční hnutí a události spojené se vznikem SRR, ale věnovalo se také klasické vlastivědné a regionálně historické práci.</t>
  </si>
  <si>
    <t>Múzeá vo východoslovenskom kraji. Stručný sprievodca, Košice: Východoslovenské múzeúm v Košiciach 1979, str. 30-33; Dvadsať rokov slovenskej republiky rád v prešove, Prešov: Múzeum Slovenskej republiky rád 1967</t>
  </si>
  <si>
    <t>Múzeá vo východoslovenskom kraji. Stručný sprievodca, Košice: Východoslovenské múzeúm v Košiciach 1979, s.30</t>
  </si>
  <si>
    <t>16.4725386</t>
  </si>
  <si>
    <t>49.7542675</t>
  </si>
  <si>
    <t>Muzeum dělnického hnutí, Svitavy</t>
  </si>
  <si>
    <t>V roce 1974 počaly přípravy ke zřízení místního muzea dělnického hnutí, které by zároveň sloužilo jako okresní muzeum. Tematicky byla expozice zaměřena na dějiny místního dělnictva od 70. let 19. století a respektovala oficiální příběh dělnické třídy.</t>
  </si>
  <si>
    <t>Jaromír Kalus: Muzea na Moravě a ve Slezsku, Ostrava: Profil 1988, str. 247-248; Jaroslav Gloser - Jindřich Růžička: Sto let bojů za socialismus. Výklad k expozici z dějin dělnického a komunistického hnutí v okrese Svitavy, Svitavy 1976; ANM, fond Sbírka Muzeum dělnického hnutí, nezpracováno</t>
  </si>
  <si>
    <t>15.7702778</t>
  </si>
  <si>
    <t>49.1236111</t>
  </si>
  <si>
    <t>Památník třídních bojů a vítězství, Babice</t>
  </si>
  <si>
    <t>První výstavka předmětů z Babického případu byla veřejnosti zpřístupněna v místní škole v roce 1953. Rok poté vznikla pamětní síň s toutéž tematikou. V roce 1981 byla pro památník postavena samostatná budova, kterou provozovalo Západomoravské muzeum v Třebíči. Expozice, soustředěná na události z roku 1951, se věnovala také širšímu pojetí revolučních tradic regionu.</t>
  </si>
  <si>
    <t>Jaromír Kalous: Muzea na Moravě a ve Slezsku, Ostrava: Profil 1988, str. 45</t>
  </si>
  <si>
    <t>16.6083094</t>
  </si>
  <si>
    <t>49.1978356</t>
  </si>
  <si>
    <t>Muzeum dělnického hnutí Brněnska</t>
  </si>
  <si>
    <t>Muzeum bylo otevřeno v roce 1959. Sbírkový fond a zaměření muzea souviselo s prioritami stranické historiografie. Expozice, aktualizovaná v roce 1971, v devatenácti výstavních místnostech vyprávěla příběh národních dějin od útlaku lidu během feudalismu a kapitalismu k soudobému budování socialismu. Regionální kontext byl zdůrazněn zaměřením na místní postavy sociální demokracie a KSČ Josefa Jurana a Josefa Hybeše. V 80. letech instituce zahájila rozsáhlou revitalizací, která nebyla před listopadem 1989 dokončena. V březnu 1990 sbírky převzalo Moravské zemské muzeum, které je ve spěchu převezlo do depozitáře.</t>
  </si>
  <si>
    <t>Jaromír Kalous: Muzea na  Moravě a ve Slezsku, Ostrava: Profil 1988, str. 68-69; Ladislav Bednařík-Otakar Franěk-Václav Halama-Vlastimila Tesařová: Muzeum dělnického hnutí Brněnska. Průvodce, Brno: MDHB 1958; Otakar Franěk: Muzeum dělnického hnutí v Brně, Brno: Krajské středisko státní památkové péče 1975</t>
  </si>
  <si>
    <t>Otakar Franěk: Muzeum dělnického hnutí v Brně, Brno: Krajské středisko státní památkové péče 1975</t>
  </si>
  <si>
    <t>Z výstavy k 25. výročí února 1948.</t>
  </si>
  <si>
    <t>16.3259036</t>
  </si>
  <si>
    <t>49.1276583</t>
  </si>
  <si>
    <t>Expozice rosicko-oslavanské stávky v budově stávkového výboru, Oslavany</t>
  </si>
  <si>
    <t>V roce 1975 byla v budově, ve které v roce 1920 sídlil stávkový výbor, otevřena expozice zaměřená nejen na tuto událost související se založením KSČ, ale také na těžbu uhlí a život dělnictva v regionu.</t>
  </si>
  <si>
    <t>Oslavany v prosinci 1920, průvodce expozicí, nedatováno, ANM, fond Sbírka Muzeum dělnického hnutí, nezpracováno</t>
  </si>
  <si>
    <t>18.2922642</t>
  </si>
  <si>
    <t>49.8348964</t>
  </si>
  <si>
    <t>Muzeum revolučních bojů a budování socialismu v Ostravě</t>
  </si>
  <si>
    <t>Institucionálně bylo do roku 1979 součástí Slezského muzea, od té doby fungovalo samostatně jako Muzeum revolučních bojů a osvobození. Jádrem byla expozice Z dějin Komunistické strany Československa a socialistické výstavby v Severomoravském kraji z roku 1976. Instituce sloužila jako metodické centrum pro podobná muzea v kraji.</t>
  </si>
  <si>
    <t>Mečislav Barák: Průvodce z dějin KSČ a socialistické výstavby v severomoravském kraji, Ostrava: Muzeum revolučních bojů a budování socialismu 1979; ANM, fond Sbírka Muzeum dělnického hnutí, nezpracováno</t>
  </si>
  <si>
    <t>17.113725</t>
  </si>
  <si>
    <t>49.4717631</t>
  </si>
  <si>
    <t>Expozice dějin dělnického hnutí, Prostějov</t>
  </si>
  <si>
    <t>muzeum</t>
  </si>
  <si>
    <t>Detašované pracoviště Muzea Prostějovska spravující expozici s názvem Pokrokové tradice dělnického hnutí na Prostějovsku s edukačně-propagandistickým zaměřením.</t>
  </si>
  <si>
    <t>Jaromír Kalous: Muzea na Moravě a ve Slezsku, Ostrava: Profil 1988, str. 216</t>
  </si>
  <si>
    <t>16.0515272</t>
  </si>
  <si>
    <t>48.8567081</t>
  </si>
  <si>
    <t>Dům revolučních tradic a družby, Znojmo</t>
  </si>
  <si>
    <t>V roce 1985 otevřelo Jihomoravské muzeum výstavní projekt s názvem Expozice revolučních tradic s tematickým záběrem dějin třídního boje od 18. století až k soudobému socialistickému budování.</t>
  </si>
  <si>
    <t>Jaromír Kalous: Muzea na Moravě a ve Slezsku, Ostrava: Profil 1988, str. 297</t>
  </si>
  <si>
    <t>14.3608333</t>
  </si>
  <si>
    <t>50.0836111</t>
  </si>
  <si>
    <t>Muzeum počátků československého dělnického hnutí v Praze, Hostinec u Kaštanu na Břevnově</t>
  </si>
  <si>
    <t>Na místě založení Sociálně demokratické strany českoslovanské bylo v roce 1952 zřízeno Muzeum počátků československého dělnického hnutí, které fungovalo jako pobočka Muzea Klementa Gottwalda. Místu byl odebrán status samostatného muzea v roce 1962, nicméně Okresní národní výbor Prahy 6 zde v 70. letech provozoval expozici s názvem Průkopníci socialismu.</t>
  </si>
  <si>
    <t>Jaroslav Soukup: Praha. Město revolučních tradic, Praha: Olympia 1971; Jiří Padevět: Průvodce stalinistickou Prahou 1948-1956. Místa-události-lidé, Praha: Academia 2018, str. 644-645</t>
  </si>
  <si>
    <t>hostinec u kaštanu.JPG</t>
  </si>
  <si>
    <t>Budova bývalého hostince adaptovaná na muzeum.</t>
  </si>
  <si>
    <t>NM, sbírka dělnického hnutí, sbírka fotografií (nezpracováno)</t>
  </si>
  <si>
    <t>hostinec u kaštanu2.JPG</t>
  </si>
  <si>
    <t>Pohled do expozice.</t>
  </si>
  <si>
    <t>14.449809</t>
  </si>
  <si>
    <t>50.088537</t>
  </si>
  <si>
    <t>Národní památník na Vítkově</t>
  </si>
  <si>
    <t>Komplex se začal budovat již v meziválečné éře, kdy měl v kolektivní národní paměti propojit  husitskou tradici s příběhem legionářů. Stavba byla dokončena v roce 1938, ale pomník Jana Žižky byl odhalen až v roce 1950, kdy místo sloužilo jako pantheon hrdinů třídního boje –funkcionářů KSČ. Po smrti Klementa Gottwalda se z místa stalo jeho mauzoleum. Objekt měl v symbolickém systému diktatury důležitou pozici díky husitské minulosti, k níž oficiální historiografie vztahovala revoluční tradice československého lidu.</t>
  </si>
  <si>
    <t>Jan Galandauer: Chrám bez boha nad Prahou. Památník na Vítkově, Praha: Havran, 2014; Jaroslav Soukup: Praha. Město revolučních tradic, Praha: Olympia 1971</t>
  </si>
  <si>
    <t>vítkov1.JPG</t>
  </si>
  <si>
    <t>Areál Vítkova v 60. letech 20. století.</t>
  </si>
  <si>
    <t>Bohumil Landisch: Praha, matka měst, Praha: Olympia 1970</t>
  </si>
  <si>
    <t>vítkov2.JPG</t>
  </si>
  <si>
    <t>Mozaiková výzdoba interiéru oslavující vojáky Rudé armády jako vítěze druhé světové války.</t>
  </si>
  <si>
    <t>Nebylo marné žít a umírat, Praha: Nakladatelství výtvarných umělců 1957</t>
  </si>
  <si>
    <t>14.5576531</t>
  </si>
  <si>
    <t>50.9499958</t>
  </si>
  <si>
    <t>Pamětní síň rumburské vzpoury, Rumburk</t>
  </si>
  <si>
    <t>Pamětní síň byla ve správě Městského vlastivědného muzea Rumburk, které se věnovalo dokumentaci rumburské vzpoury.</t>
  </si>
  <si>
    <t>Milan Hromádka - Marie Poláková - Jarmila Valentová: Kulturní adresář ČSR, Praha: Ústav pro výzkum kultury 1973, str. 339</t>
  </si>
  <si>
    <t>15.3349036</t>
  </si>
  <si>
    <t>50.6033983</t>
  </si>
  <si>
    <t>Muzeum dělnického hnutí, Semily</t>
  </si>
  <si>
    <t>Instituce se profilovala sběrem dokladů o dělnickém hnutí na Semilsku se zvláštním zřetelem k osobnostem Antala Staška a Ivana Olbrachta.</t>
  </si>
  <si>
    <t>Milan Hromádka - Marie Poláková - Jarmila Valentová: Kulturní adresář ČSR, Praha: Ústav pro výzkum kultury 1973, str. 343</t>
  </si>
  <si>
    <t>15.8140269</t>
  </si>
  <si>
    <t>50.4317202</t>
  </si>
  <si>
    <t>Textilní muzeum, Dvůr Králové nad Labem</t>
  </si>
  <si>
    <t>Muzejní instituce, jejíž popularizační a badatelská činnost se zaměřovala na vývoj textilní výroby a dělnického hnutí v textilním průmyslu ČSSR.</t>
  </si>
  <si>
    <t>Milan Hromádka - Marie Poláková - Jarmila Valentová: Kulturní adresář ČSR, Praha: Ústav pro výzkum kultury 1973, str. 344</t>
  </si>
  <si>
    <t>16.0160733</t>
  </si>
  <si>
    <t>50.5123719</t>
  </si>
  <si>
    <t>Městské muzeum Úpice</t>
  </si>
  <si>
    <t>Činnost muzea byla zaměřená na regionální dějiny dělnického hnutí a národně osvobozovacího boje.</t>
  </si>
  <si>
    <t>18.4306253</t>
  </si>
  <si>
    <t>49.7803923</t>
  </si>
  <si>
    <t>Muzeum socialistické výstavby, Havířov</t>
  </si>
  <si>
    <t>Muzeum revolučních bojů a budování socialismu v Ostravě otevřelo expozici socialistické výstavby v roce 1960. Jejím hlavním smyslem byla oslava výsledků socialistického budování na poli urbanismu a městské výstavby. Instituce fungovala jako pobočka vlastivědného ústavu okresu Karviná v Českém Těšíně.</t>
  </si>
  <si>
    <t>Milan Hromádka - Marie Poláková - Jarmila Valentová: Kulturní adresář ČSR, Praha: Ústav pro výzkum kultury 1973, str. 348; Jaromír Kalus: Muzea na Moravě a ve Slezsku, Ostrava: Profil 1988, str. 107</t>
  </si>
  <si>
    <t>15.0301748</t>
  </si>
  <si>
    <t>50.0904268</t>
  </si>
  <si>
    <t>Památník dělnického hnutí, Pečky</t>
  </si>
  <si>
    <t>Expozice zaměřená na téma regionálních projevů třídních bojů.</t>
  </si>
  <si>
    <t>Milan Hromádka - Marie Poláková - Jarmila Valentová: Kulturní adresář ČSR, Praha: Ústav pro výzkum kultury 1973, str. 352</t>
  </si>
  <si>
    <t>13.7446031</t>
  </si>
  <si>
    <t>50.6021667</t>
  </si>
  <si>
    <t>Expozice dělnického hnutí Duchcovska a Pamětní síň Hrdiny Sovětského svazu genmjr. Antonína Sochora na Státním zámku Duchcov</t>
  </si>
  <si>
    <t>Zámek prošel v roce 1961 rekonstrukcí a vznikly zde expozice s tématy umění a regionálních dějin, mezi kterými zaujímala významné místo výstava dějin dělnického hnutí.</t>
  </si>
  <si>
    <t>Petr Chotěbor - Jiří Čížek: Hrady a zámky v Čechách, Praha: Olympia 1986, str. 115; ANM, fond Sbírka Muzeum dělnického hnutí, nezpracováno</t>
  </si>
  <si>
    <t>Zámek ,v němž se expozice nacházela</t>
  </si>
  <si>
    <t>o2.jpg</t>
  </si>
  <si>
    <t>Umělecké reflexe střetu policie a demonstrantů u Duchcovského viaduktu v únoru 1931.</t>
  </si>
  <si>
    <t>14.4755251</t>
  </si>
  <si>
    <t>48.9704969</t>
  </si>
  <si>
    <t>Muzeum dělnického revolučního hnutí jižních Čech – České Budějovice</t>
  </si>
  <si>
    <t>Muzeum bylo otevřeno v roce 1975. Oficiálně se hlásilo k paměti předválečných členů KSČ, kterým mělo skládat symbolický hold. Expozice byla obsahově dílem kolektivu jihočeských historiků a pamětníků. Instituce měla plnit zejména edukačně-propagandistickou roli.</t>
  </si>
  <si>
    <t>Evžen Schneider: Stručný průvodce Muzea dělnického hnutí jižních Čech v Českých Budějovicích, České Budějovice: Jihočeské muzeum v Českých Budějovicích 1975; ANM, fond Sbírka Muzeum dělnického hnutí, nezpracováno</t>
  </si>
  <si>
    <t>20.87356</t>
  </si>
  <si>
    <t>48.915</t>
  </si>
  <si>
    <t>Múzeum revolučného robotníckeho hnutia, Krompachy</t>
  </si>
  <si>
    <t>Muzeum otevřeno v roce 1961 v rámci oslav 40 let od založení KSČ. Hlavním tématem expozice byla Krompašská vzpoura (1921), ale celkový záměr počítal s rekonstrukcí revolučních tradic celého regionu. Muzeum spravovalo Vlastivedné múzeum ve Spišské Nové Vsi.</t>
  </si>
  <si>
    <t>Múzeá vo východoslovenskom kraji. Stručný sprievodca, Košice: Východoslovenské múzeúm v Košiciach 1979, str. 43; M. Rybecký a kol.: Sprievodca po múzeách na Slovensku, Bratislava: Vydavaťelstvo politickej literatúry 1964, str. 116-117</t>
  </si>
  <si>
    <t>Múzeá vo východoslovenskom kraji. Stručný sprievodca, Košice: Východoslovenské múzeúm v Košiciach 1979</t>
  </si>
  <si>
    <t>18.9244471</t>
  </si>
  <si>
    <t>49.1114021</t>
  </si>
  <si>
    <t>Múzeum revolučnej tlače Klementa Gottwalda, Vrútky</t>
  </si>
  <si>
    <t>Muzeum bylo otevřeno v roce 1957 v prostorách bývalého sekretariátu KSČ, kde sídlila redakce stranického tisku. Expozice se zaměřovala na působení Klementa Gottwalda v místní organizaci a dobovou žurnalistiku KSČ od první světové války do konce 40. let.</t>
  </si>
  <si>
    <t>M. Rybecký a kol.: Sprievodca po múzeách na Slovensku, Bratislava: Vydavaťelstvo politickej literatúry 1964, str. 76</t>
  </si>
  <si>
    <t>M. Rybecký a kol.: Sprievodca po múzeách na Slovensku, Bratislava: Vydavaťelstvo politickej literatúry 1964, s. 76</t>
  </si>
  <si>
    <t>20.5309987</t>
  </si>
  <si>
    <t>48.6566935</t>
  </si>
  <si>
    <t>Banícke múzeum, Rožnava</t>
  </si>
  <si>
    <t>Expozice otevřené v roce 1955 se kromě technicko-vlastivědného zaměření muzea obsáhle věnovaly také dějinám dělnictva a revolučních tradic.</t>
  </si>
  <si>
    <t>Múzeá vo východoslovenskom kraji. Stručný sprievodca, Košice: Východoslovenské múzeúm v Košiciach 1979, str. 36-37</t>
  </si>
  <si>
    <t>Múzeá vo východoslovenskom kraji. Stručný sprievodca, Košice: Východoslovenské múzeúm v Košiciach 1979, s. 36</t>
  </si>
  <si>
    <t>Múzeá vo východoslovenskom kraji. Stručný sprievodca, Košice: Východoslovenské múzeúm v Košiciach 1979, s. 37</t>
  </si>
  <si>
    <t>18.3913344</t>
  </si>
  <si>
    <t>48.7541837</t>
  </si>
  <si>
    <t>Sieň revolučných tradicií, Uhrovec</t>
  </si>
  <si>
    <t>síň tradic</t>
  </si>
  <si>
    <t>Expozice se nacházela v hradním komplexu v roce 1962 jako pobočka Vlastivedného múzea v Topoľčanech. Zaměřovala se na dějiny revolučního hnutí v dlouhé perspektivě regionálních dějin.</t>
  </si>
  <si>
    <t>M. Rybecký a kol.: Sprievodca po múzeách na Slovensku, Bratislava: Vydavaťelstvo politickej literatúry 1964, str. 48</t>
  </si>
  <si>
    <t>21.827225</t>
  </si>
  <si>
    <t>49.3485531</t>
  </si>
  <si>
    <t>Pamätné izby roľníckej vzbury, Čertižné a Habura</t>
  </si>
  <si>
    <t>V roce 1960 byly otevřeny expozice v budově bývalé četnické stanice v Čertižné a v domě Městského národního výboru v Haburech, které upomínaly na rolnickou vzpouru proti exekucím z roku 1935.</t>
  </si>
  <si>
    <t>M. Rybecký a kol.: Sprievodca po múzeách na Slovensku, Bratislava: Vydavaťelstvo politickej literatúry 1964, str. 94</t>
  </si>
  <si>
    <t>14.0391606</t>
  </si>
  <si>
    <t>49.9471144</t>
  </si>
  <si>
    <t>Muzeum revolučního hnutí Berounska, Dvůr Králové</t>
  </si>
  <si>
    <t>Expozice, představující dějiny třídního boje regionu, byla otevřena v roce 1975.</t>
  </si>
  <si>
    <t>17.9993408</t>
  </si>
  <si>
    <t>49.3408892</t>
  </si>
  <si>
    <t>Vlastivědný ústav Vsetín – Expozice revoluční tradice Valašska</t>
  </si>
  <si>
    <t>Expozice vznikla v rámci velké rekonstrukce zámeckého objektu v roce 1975 a věnovala se dějinám lidu od středověku po tehdejší současnost.</t>
  </si>
  <si>
    <t>Ladislav Baletka: Revoluční tradice Valašska. Průvodce expozicí, Vsetín: Vlastivědný ústav Vsetín 1975</t>
  </si>
  <si>
    <t>14.4279383</t>
  </si>
  <si>
    <t>50.0687464</t>
  </si>
  <si>
    <t>Muzeum Sboru národní bezpečnosti a vojsk ministerstva vnitra, Praha</t>
  </si>
  <si>
    <t>V 60. letech byly prostory kláštera na Karlově rekonstruovány pro účely zřízení expozic. V roce 1973 vzniklo Muzeum pohraniční stráže, které se stalo základem rozsáhlejší instituce s názvem Muzeum Sboru národní bezpečnosti a vojsk ministerstva vnitra zřizené Správou pro politickovýchovnou, vzdělávací, kulturní a propagační činnost federálního ministerstva vnitra. Expozice byly otevřeny v roce 1975 a zaměřovaly se na období od roku 1918. Jejich hlavním těžištěm byly události po roce 1948 se zaměřením na diverzní a politickou kriminalitu.</t>
  </si>
  <si>
    <t>Nejen pro čtenáře detektivek, Mladý svět, roč. 17, č. 19, 30. 4. 1975; Václav Pubal: Muzea, galerie a památkové objekty v ČSR, Praha: Národní muzeum 1973</t>
  </si>
  <si>
    <t>14.1490153</t>
  </si>
  <si>
    <t>50.5114415</t>
  </si>
  <si>
    <t>Stálá expozice historie SNB a revolučních tradic Severočeského kraje v Terezíně</t>
  </si>
  <si>
    <t>Muzeum zřízené v roce 1979 jako pracoviště Muzea SNB v Praze. Expozice  se zaměřovala na výklad dějin regionálního působení komunistického hnutí, především na období od roku 1917. Důležitou součástí instituce byla deska cti a slávy příslušníkům SNB padlým při plnění svých povinností. Hlavním úkolem byla popularizační, propagandistická a vzdělávací činnost.</t>
  </si>
  <si>
    <t>Jindřich Spěvák: Ve jménu historie i současnosti. Pozvánka do Stále expozice historie SNB a revolučních tradic Severočeského kraje, Rudé právo, roč. 60-61, č. 216, 12. 9. 1980</t>
  </si>
  <si>
    <t>16.0718728</t>
  </si>
  <si>
    <t>50.5052285</t>
  </si>
  <si>
    <t>Památník selských bouří, Rtyně v Podkrkonoší</t>
  </si>
  <si>
    <t>Jádrem expozice z roku 1975, umístěné na původní rychtě, byly dokumenty ze selského povstání z roku 1775.</t>
  </si>
  <si>
    <t>Muzea a památníky spojené s klíčovou událostí či s konkrétním dějinným obdobím</t>
  </si>
  <si>
    <t>Milan Hromádka - Marie Poláková - Jarmila Valentová: Kulturní adresář ČSR, Praha: Ústav pro výzkum kultury 1973, str. 356</t>
  </si>
  <si>
    <t>16.9208597</t>
  </si>
  <si>
    <t>49.6721436</t>
  </si>
  <si>
    <t>Památník protifašistického odboje a javoříčské tragédie</t>
  </si>
  <si>
    <t>Expozice věnovaná zániku obce v květnu 1945 a působení partyzánské skupiny Jermak. V roce 1951 vztyčen pomník. V roce 1985 otevřen památník s expozicí v bývalé škole.</t>
  </si>
  <si>
    <t>Jaromír Kalous: Muzea na Moravě a ve Slezsku, Ostrava: Profil 1988, str. 127</t>
  </si>
  <si>
    <t>17.9584575</t>
  </si>
  <si>
    <t>49.1952736</t>
  </si>
  <si>
    <t>Památník odboje Ploština</t>
  </si>
  <si>
    <t>Památník s expozicí na místě vesnice vypálené jednotkami SS v dubnu 1945. V roce 1978 jej spravovalo Oblastní muzeum jihovýchodní Moravy v Gottwaldově (Zlíně).</t>
  </si>
  <si>
    <t>Jaromír Kalous: Muzea na Moravě a ve Slezsku, Ostrava: Profil 1988, str. 208</t>
  </si>
  <si>
    <t>Ploština památník.JPG</t>
  </si>
  <si>
    <t>Památník obětem v Ploštině.</t>
  </si>
  <si>
    <t>16.4472456</t>
  </si>
  <si>
    <t>49.3844394</t>
  </si>
  <si>
    <t>Expozice partyzánského hnutí, Šerkovice</t>
  </si>
  <si>
    <t>V roce 1980 byla otevřena expozice partyzánského oddílu Jermak jako detašované pracoviště Okresního muzea Brno-venkov.</t>
  </si>
  <si>
    <t>Z historie partyzánského oddílu Jermak, Brno 1980</t>
  </si>
  <si>
    <t>18.0516984</t>
  </si>
  <si>
    <t>49.8857506</t>
  </si>
  <si>
    <t>Památník Ostravské operace v Hrabyni</t>
  </si>
  <si>
    <t>V roce 1980 byl památník otevřen veřejnosti. Ústřední stavbou se stal betonový monolit, který tvoří dva monumentální klíny znázorňující společný boj československých a sovětských jednotek proti nacismu. Socha Miloše Axmana Bratrství v boji nesla stejné ideové sdělení. V interiéru se nachází síň osvoboditelů s prstí z bojišť východní fronty. Mělo jej ve správě Muzeum revolučních bojů a osvobození v Ostravě.</t>
  </si>
  <si>
    <t>Jaromír Kalous: Muzea na Moravě a ve Slezsku, Ostrava: Profil 1988, str.114-115; ANM, fond Sbírka Muzeum dělnického hnutí, nezpracováno</t>
  </si>
  <si>
    <t>hrabyně.JPG</t>
  </si>
  <si>
    <t>budova památníku.</t>
  </si>
  <si>
    <t>Jaromír Kalous: Muzea na Moravě a ve Slezsku, Ostrava: Profil 1988, str.114</t>
  </si>
  <si>
    <t>14.6577667</t>
  </si>
  <si>
    <t>49.4139498</t>
  </si>
  <si>
    <t>Muzeum husitského revolučního hnutí, Tábor</t>
  </si>
  <si>
    <t>Expozici z roku 1953 připravil tým pod vedením historiků Grause a Macka. V roce 1972 byla modernizována. Jejím hlavním cílem bylo prezentovat dějiny první poloviny 15. století jako nejvýznamnější třídní konflikt v Čechách v období feudalismu.</t>
  </si>
  <si>
    <t>Muzeum husitstkého revolučního hnutí v Táboře. Expozice husité, Praha [197-?]; SOKA Tábor, fond husitské muzeum, kart. 4-8</t>
  </si>
  <si>
    <t>18.3295119</t>
  </si>
  <si>
    <t>49.5280653</t>
  </si>
  <si>
    <t>Památník partyzánského odboje, Čeladná</t>
  </si>
  <si>
    <t>Expozice v bývalé základní škole v obci Čeladná vznikla v roce 1981. Hlavní tematickým zaměřením byl příběh partyzánské skupiny Jana Žižky. Její obsah se ale nevyhýbal ani rozsáhlému vyprávění o historii lidu v regionu.</t>
  </si>
  <si>
    <t>Ne?</t>
  </si>
  <si>
    <t>Jaromír Kalous: Muzea na Moravě a ve Slezsku, Ostrava: Profil 1988, str. 85-86</t>
  </si>
  <si>
    <t>památník patyzánského odboje Čeladná.JPG</t>
  </si>
  <si>
    <t>Jaromír Kalous: Muzea na Moravě a ve Slezsku, Ostrava: Profil 1988, str. 85</t>
  </si>
  <si>
    <t>17.9991567</t>
  </si>
  <si>
    <t>49.9289222</t>
  </si>
  <si>
    <t>Expozice ostravské operace, Kravaře</t>
  </si>
  <si>
    <t>Expozice otevřena v roce 1970 v barokním zámku. Věnovala se Ostravské operaci, vojenské ofenzivě z konce 2. světové války.</t>
  </si>
  <si>
    <t>14.4174049</t>
  </si>
  <si>
    <t>50.0843165</t>
  </si>
  <si>
    <t>Betlémská kaple</t>
  </si>
  <si>
    <t>Původní stavba z pozdního středověku byla stržena v roce 1786. Obnova na základě nových architektonických plánů, jejichž ideovým autorem byl Zdeněk Nejedlý, začala roku 1948 a stala se jednou z priorit kulturní politiky strany v první pětiletce. V roce 1954 byl objekt předán veřejnosti jako místo paměti husitské revoluce.</t>
  </si>
  <si>
    <t>Jaroslav Soukup: Praha. Město revolučních tradic, Praha: Olympia 1971; Jan Randák: V záři rudého kalicha. Politika dějin a husitská tradice v Československu 1948-1956, Praha: NLN, FF UK, 2015, str. 260-267</t>
  </si>
  <si>
    <t>14.2002671</t>
  </si>
  <si>
    <t>50.1447096</t>
  </si>
  <si>
    <t>Památník Lidické tragédie</t>
  </si>
  <si>
    <t>V roce 1948 byl vybudován Společností pro obnovu Lidic památník s expozicí, zaměřující se na dějiny obce a zvláště na její tragické zničení roku 1942 s ohledem na osudy zdejších obyvatel.</t>
  </si>
  <si>
    <t>Vladimír Konopka: Lidice, Praha: Naše vojsko 1966; Jiří Jožák: Místa bojů a vítězství. Výběr památných míst protifašistického boje v českých zemích, Praha: Naše vojsko 1977; Václav Pubal: Muzea, galerie a památkové objekty v ČSR, Praha: Národní muzeum 1973, str. 134</t>
  </si>
  <si>
    <t>lidice.JPG</t>
  </si>
  <si>
    <t>Jaroslav Soukup: Praha. Město revolučních tradic, Praha: Olympia 1971</t>
  </si>
  <si>
    <t>18.0920025</t>
  </si>
  <si>
    <t>49.4644917</t>
  </si>
  <si>
    <t>Památník odboje, Zubří</t>
  </si>
  <si>
    <t>V roce 1965 byl v historickém domě v rámci expozice revolučních tradic zřízen oddíl věnující se partyzánskému a dělnickému hnutí.</t>
  </si>
  <si>
    <t>15.8995393</t>
  </si>
  <si>
    <t>49.8316526</t>
  </si>
  <si>
    <t>Památník odboje proti fašismu, Ležáky</t>
  </si>
  <si>
    <t>Výstavba pietního místa na území bývalé obce začala v roce 1946 a na počátku 50. let byla první část předána veřejnosti. Od roku 1978 je areál Národní kulturní památkou. Součástí komplexu byl také prostor pro expozici.</t>
  </si>
  <si>
    <t>Václav Pubal: Muzea a galerie v ČSR, Praha: Národní muzeum 1972, str. 116; ANM, fond Sbírka Muzeum dělnického hnutí, nezpracováno</t>
  </si>
  <si>
    <t>Pietní areál.</t>
  </si>
  <si>
    <t>ANM, fond sbírka dělnického hnutí, nezpracováno</t>
  </si>
  <si>
    <t>15.5351906</t>
  </si>
  <si>
    <t>49.7698958</t>
  </si>
  <si>
    <t>Památník partyzánské brigády Mistr Jan Hus v Leškovicích</t>
  </si>
  <si>
    <t>Expozici z roku 1981, jež vznikla díky Okresnímu muzeu Havlíčkův Brod, dominoval pietní sál s urnami padlých členů brigády.</t>
  </si>
  <si>
    <t>18.4748317</t>
  </si>
  <si>
    <t>49.769475</t>
  </si>
  <si>
    <t>Muzeum boje proti fašismu, Havířov-Životice</t>
  </si>
  <si>
    <t>Pobočka Vlastivědného ústavu okresu Karviná se sídlem v Českém Těšíně zaměřená na udržování a popularizace odbojové tradice v regionu.</t>
  </si>
  <si>
    <t>Milan Hromádka - Marie Poláková - Jarmila Valentová: Kulturní adresář ČSR, Praha: Ústav pro výzkum kultury 1973, str. 348</t>
  </si>
  <si>
    <t>18.7409954</t>
  </si>
  <si>
    <t>49.222283</t>
  </si>
  <si>
    <t>Pamätná izba KSČ v Žilinskej oblasti, Žilina</t>
  </si>
  <si>
    <t>Izba byla zpřístupněna v roce 1961 v budově, kde se roku 1938 konala klíčová schůzka pro přechod strany do ilegality. Expozice se věnovala revoluční tradici celé oblasti.</t>
  </si>
  <si>
    <t>M. Rybecký a kol.: Sprievodca po múzeách na Slovensku, Bratislava: Vydavaťelstvo politickej literatúry 1964, str. 86; Dušan Halaj: Pamätná izba dejín KSČ v žilinskej oblasti, In: Vlastivedný sborník Považia V. – Banská Bystrica : Stredoslovenské vydavateľstvo, 1962.</t>
  </si>
  <si>
    <t>13.4518747</t>
  </si>
  <si>
    <t>50.5117519</t>
  </si>
  <si>
    <t>Památník boje proti fašismu, Červený hrádek</t>
  </si>
  <si>
    <t>Jádrem expozice v zámku, známém pobytem Runcimanovy mise v r. 1938, byly dokumenty týkající se boje proti fašismu a Mnichovské krize.</t>
  </si>
  <si>
    <t>19.65316</t>
  </si>
  <si>
    <t>48.7472094</t>
  </si>
  <si>
    <t>Pamätná izba Slovenského národného povstania v Čiernom Balogu</t>
  </si>
  <si>
    <t>V roce 1961 byla v Kulturním domě Petra Jilemnického instalována pamětní síň s tématem revolučních tradic obce a zejména hrdinství místních obyvatel během Slovenského národního povstání.</t>
  </si>
  <si>
    <t>M. Rybecký a kol.: Sprievodca po múzeách na Slovensku, Bratislava: Vydavaťelstvo politickej literatúry 1964, str. 64</t>
  </si>
  <si>
    <t>14.1449736</t>
  </si>
  <si>
    <t>50.5113045</t>
  </si>
  <si>
    <t>Památník národního utrpení, Terezín</t>
  </si>
  <si>
    <t>Památník byl založen roku 1947 jako připomínka obětí zejména z řad levicového odboje a židovského ghetta.</t>
  </si>
  <si>
    <t>Terezín: Malá pevnost. Průvodce po celách a budovách Malé pevnosti, Praha: Památník národního utrpení Terezín 1948; ANM, fond Sbírka Muzeum dělnického hnutí, nezpracováno</t>
  </si>
  <si>
    <t>19.4037307</t>
  </si>
  <si>
    <t>48.8101574</t>
  </si>
  <si>
    <t>Pamätná izba v Nemeckej</t>
  </si>
  <si>
    <t>Památník v objektu postaveném v bývalé vápence, kde došlo během Slovenského národního povstání k popravě až 900 lidí. Památník v podobě sochařského díla byl vztyčen v roce 1958, o čtyři roky později byla zřízena stálá expozice.</t>
  </si>
  <si>
    <t>M. Rybecký a kol.: Sprievodca po múzeách na Slovensku, Bratislava: Vydavaťelstvo politickej literatúry 1964, str. 63</t>
  </si>
  <si>
    <t>Budova památnku</t>
  </si>
  <si>
    <t>M. Rybecký a kol.: Sprievodca po múzeách na Slovensku, Bratislava: Vydavaťelstvo politickej literatúry 1964, s. 63</t>
  </si>
  <si>
    <t>21.5658731</t>
  </si>
  <si>
    <t>49.3079147</t>
  </si>
  <si>
    <t>Dukelské muzeum, Svidník</t>
  </si>
  <si>
    <t>Muzeum vzniklo v roce 1965. Velká expozice v nové budově byla otevřena roku 1969 při 25. výročí Karpatsko-dukelské operace. Hlavním tématem byla samotná bitva a československo-sovětská vojenská spolupráce.</t>
  </si>
  <si>
    <t>Múzeá vo východoslovenskom kraji. Stručný sprievodca, Košice: Východoslovenské múzeúm v Košiciach 1979, str. 46-47</t>
  </si>
  <si>
    <t>Múzeá vo východoslovenskom kraji. Stručný sprievodca, Košice: Východoslovenské múzeúm v Košiciach 1979, s. 46</t>
  </si>
  <si>
    <t>14.4310606</t>
  </si>
  <si>
    <t>50.0813299</t>
  </si>
  <si>
    <t>Petschkův palác – Památník českého odboje</t>
  </si>
  <si>
    <t>Po druhé světové válce se budova stala místem piety. V roce 1985 byla část objektu přeměněna na expozici, jejímž jádrem byly výslechové místnosti gestapa.</t>
  </si>
  <si>
    <t>Pečkárna. Památník českého odboje, [S.n.], [S.l.], [1985?]; Památkový katalog, Národní památkový ústav: Památník českého odboje 1939-1945, 24. 11. 2021, pamatkovykatalog.cz (dostupné na https://pamatkovykatalog.cz/pravni-ochrana/pamatnik-ceskeho-odboje-1939-1945-peckarna-84048)</t>
  </si>
  <si>
    <t>Pečkárna 2.JPG</t>
  </si>
  <si>
    <t>Pamětní deska na objektu bývalého sídla gestapa.</t>
  </si>
  <si>
    <t>Pečkárna. Památník českého odboje, [S.n.], [S.l.], [1985?]</t>
  </si>
  <si>
    <t>Pečkárna1.JPG</t>
  </si>
  <si>
    <t>schéma expozice.</t>
  </si>
  <si>
    <t>17.1412426</t>
  </si>
  <si>
    <t>48.1573635</t>
  </si>
  <si>
    <t>Pamätný domček ilegálnej činnosti KSS, Bratislava</t>
  </si>
  <si>
    <t>Expozice v domku, který během druhé světové války používala KSS jako ilegální byt a tiskárnu, byla otevřena v roce 1959 a spadala pod městské muzeum. Malá výstavka se věnovala ilegálnímu působení KSS.</t>
  </si>
  <si>
    <t>M. Rybecký a kol.: Sprievodca po múzeách na Slovensku, Bratislava: Vydavaťelstvo politickej literatúry 1964, str. 38</t>
  </si>
  <si>
    <t>M. Rybecký a kol.: Sprievodca po múzeách na Slovensku, Bratislava: Vydavaťelstvo politickej literatúry 1964, s. 38</t>
  </si>
  <si>
    <t>21.6999375</t>
  </si>
  <si>
    <t>49.4146875</t>
  </si>
  <si>
    <t>Památník Československého armádního sboru, Vyšnij Komárnik</t>
  </si>
  <si>
    <t>Památník byl založen roku 1949. V roce 1964 ho doplnilo sousoší Jana Krulicha Žalujem. O 10 let později byla otevřena pozorovatelna generála Svobody s malou expozicí. Jednalo se o památkovou úpravu bojiště a zároveň o přírodní rezervaci.</t>
  </si>
  <si>
    <t>M. Rybecký a kol.: Sprievodca po múzeách na Slovensku, Bratislava: Vydavaťelstvo politickej literatúry 1964, str. 92-93</t>
  </si>
  <si>
    <t>M. Rybecký a kol.: Sprievodca po múzeách na Slovensku, Bratislava: Vydavaťelstvo politickej literatúry 1964, s. 92</t>
  </si>
  <si>
    <t>M. Rybecký a kol.: Sprievodca po múzeách na Slovensku, Bratislava: Vydavaťelstvo politickej literatúry 1964, s. 93</t>
  </si>
  <si>
    <t>19.1497844</t>
  </si>
  <si>
    <t>48.7351342</t>
  </si>
  <si>
    <t>Pamätnik SNP, Bánská Bystrica </t>
  </si>
  <si>
    <t>Muzeum bylo zřízené v roce 1955, budova památníku dokončena v roce 1969, kdy se do ní instituce i s expozicemi přestěhovala. Muzeum se věnovalo Slovenskému národnímu povstání v kontextu 2. světové války.</t>
  </si>
  <si>
    <t>Mária Dobriková: Pam'atnik SNP,  Bánská Bystrica 1971; M. Rybecký a kol.: Sprievodca po múzeách na Slovensku, Bratislava: Vydavaťelstvo politickej literatúry 1964, str. 59-60; Mária Chmelárová-Dušan Halaj: Múzeum Slovenského národného povstania Bánská Bystrica. Sprievodca po expozícii, Košice: Múzeum SNP v Banskej Bystrici 1977</t>
  </si>
  <si>
    <t>Banska bystrica SNP1.JPG</t>
  </si>
  <si>
    <t>Mária Dobriková: Pam'atnik SNP, Bánská Bystrica 1971</t>
  </si>
  <si>
    <t>Banska bystrica SNP2.JPG</t>
  </si>
  <si>
    <t>18.3469423</t>
  </si>
  <si>
    <t>49.895334</t>
  </si>
  <si>
    <t>Podnikové muzeum revolučních tradic Železáren a drátoven, Bohumín</t>
  </si>
  <si>
    <t>tovární muzeum</t>
  </si>
  <si>
    <t>Zdejší expozice byla otevřena v roce 1976. Zaměřovala se na dělnické hnutí a budování socialistického podniku od založení továrny v roce 1885 až do 80. let 20. století. Výstavní prostor měl 3 místnosti s centrem v hale vily bývalých ředitelů podniku, kde byla umístěna galerie zasloužilých pracovníků.</t>
  </si>
  <si>
    <t>Podniková a tovární muzea</t>
  </si>
  <si>
    <t>Václav Pubal: podniková - závodní muzea a síně revolučních tradic, Praha: Ústřední škola ROH A. Zápotockého 1985</t>
  </si>
  <si>
    <t>14.0084347</t>
  </si>
  <si>
    <t>49.6471258</t>
  </si>
  <si>
    <t>Síň tradic k.p. Uranové doly, Příbram</t>
  </si>
  <si>
    <t>Síň tradic byla založena roku 1979 s cílem popsat dějiny těžby od prvních objevů uranové rudy na Jáchymovsku při dolování stříbra v 10. století přes objev radia, zneužití rudy v první atomové bombě až k mírovému využití uranu. Zvláštní důraz byl kladen na dolování po roce 1949, socialistické soutěžení a dosažení světového rekordu v hloubení roku 1956.</t>
  </si>
  <si>
    <t>Václav Pubal: podniková - závodní muzea a síně revolučních tradic, Praha: Ústřední škola ROH A. Zápotockého 1985, str. 50-51</t>
  </si>
  <si>
    <t>18.2723031</t>
  </si>
  <si>
    <t>49.8171594</t>
  </si>
  <si>
    <t>Muzeum Vítkovic – Železáren a strojíren Klementa Gottwalda</t>
  </si>
  <si>
    <t>V roce 1971 vzniklo muzeum v Rotschildově  paláci. Jeho základem byly dokumenty shromážděné komisí pro dějiny a kroniky Vítkovických železáren Klementa Gottwalda. Expozice nazvaná Od vlády kapitálu k socialistickému dnešku byla revitalizována v roce 1984.</t>
  </si>
  <si>
    <t>Václav Pubal: podniková - závodní muzea a síně revolučních tradic, Praha: Ústřední škola ROH A. Zápotockého 1985, str. 41-42</t>
  </si>
  <si>
    <t>13.8563592</t>
  </si>
  <si>
    <t>49.8064956</t>
  </si>
  <si>
    <t>Místní železářské muzeum Komárov u Hořovic, n. p. Buzuluk</t>
  </si>
  <si>
    <t>Expozice zaměřená na výrobu místních železářů z n.p. Buzuluk, technickou historii podniku a dějiny dělnického hnutí.</t>
  </si>
  <si>
    <t>Milan Hromádka - Marie Poláková - Jarmila Valentová: Kulturní adresář ČSR, Praha: Ústav pro výzkum kultury 1973, str. 332</t>
  </si>
  <si>
    <t>14.1075872</t>
  </si>
  <si>
    <t>50.1488647</t>
  </si>
  <si>
    <t>Muzeum Poldi Kladno</t>
  </si>
  <si>
    <t>V roce 1975 bylo ve vile majitele Karla Wittgensteina zřízeno muzeum továrny Poldi Kladno s tématem výroby a dělnického hnutí.</t>
  </si>
  <si>
    <t>Václav Pubal: podniková - závodní muzea a síně revolučních tradic, Praha: Ústřední škola ROH A. Zápotockého 1985, str. 28-29.;  Středočeská vědecká knihovna v Kladně: Muzeum Poldi, 24. 11. 2021, ipac.svkkl.cz (dostupné na https://ipac.svkkl.cz/arl-kl/cs/detail-kl_us_auth-k0200008-Muzeum-Poldi-Kladno-cesko/)</t>
  </si>
  <si>
    <t>14.7385361</t>
  </si>
  <si>
    <t>50.1627886</t>
  </si>
  <si>
    <t>Síň tradic TOS Čelákovice</t>
  </si>
  <si>
    <t>Expozice byla otevřena v roce 1983 a soustředila se na dějiny závodu, družbu se spřátelenými pracovními kolektivy a socialistické budování.</t>
  </si>
  <si>
    <t>Václav Pubal: podniková - závodní muzea a síně revolučních tradic, Praha: Ústřední škola ROH A. Zápotockého 1985, str. 14</t>
  </si>
  <si>
    <t>15.8067417</t>
  </si>
  <si>
    <t>50.4428178</t>
  </si>
  <si>
    <t>Textilní muzeum n.p. Tiba, Dvůr Králové</t>
  </si>
  <si>
    <t>Muzeum v budově bývalého kláštera bylo založeno v roce 1936. Od roku 1963 se nacházelo ve správě n.p. TIBA a od roku 1980 bylo spravováno ve spolupráci s muzeem v České Skalici. Zaměřovalo se především na dějiny textilních technologií.</t>
  </si>
  <si>
    <t>Václav Pubal: podniková - závodní muzea a síně revolučních tradic, Praha: Ústřední škola ROH A. Zápotockého 1985, str. 15</t>
  </si>
  <si>
    <t>14.4882131</t>
  </si>
  <si>
    <t>48.9798222</t>
  </si>
  <si>
    <t>Síň tradic českobudějovických smaltoven</t>
  </si>
  <si>
    <t>Expozice, otevřená v roce 1973 ve společenské a administrativní budově n.p. SFINX, mapovala technickou a sociálněpolitickou historii závodu.</t>
  </si>
  <si>
    <t>Václav Pubal: podniková - závodní muzea a síně revolučních tradic, Praha: Ústřední škola ROH A. Zápotockého 1985, str. 16</t>
  </si>
  <si>
    <t>14.4759614</t>
  </si>
  <si>
    <t>48.997567</t>
  </si>
  <si>
    <t>Síň tradic n.p. Motor České Budějovice</t>
  </si>
  <si>
    <t>Síň tradic</t>
  </si>
  <si>
    <t>Síň tradic a historie podniku existovala od roku 1977 a jejím ústředním prvkem byla stěna cti s vyznamenáními podniků či kolektivů.</t>
  </si>
  <si>
    <t>Václav Pubal: podniková - závodní muzea a síně revolučních tradic, Praha: Ústřední škola ROH A. Zápotockého 1985, str. 16-17</t>
  </si>
  <si>
    <t>18.3292942</t>
  </si>
  <si>
    <t>49.6946042</t>
  </si>
  <si>
    <t>Podnikové muzeum Válcoven plechu n.p. Frýdek-Místek</t>
  </si>
  <si>
    <t>Podnikové muzeum vzniklo v roce 1983 rozšířením síně revolučních tradic. Expozice, zaměřená na dějiny podniku, se nacházela ve vile bývalého ředitele továrny.</t>
  </si>
  <si>
    <t>Václav Pubal: podniková - závodní muzea a síně revolučních tradic, Praha: Ústřední škola ROH A. Zápotockého 1985, str. 18</t>
  </si>
  <si>
    <t>17.6583944</t>
  </si>
  <si>
    <t>49.2229986</t>
  </si>
  <si>
    <t>Obuvnické muzeum n.p. Svit Gottwaldov</t>
  </si>
  <si>
    <t>Muzeum založeno v roce 1959 po převzetí a novém využití sbírky bývalého studijního ústavu firmy Baťa. Expozice se věnovala historii obuvi od pravěku, výrobní technologii, dělnickému hnutí a socialistickému budování.</t>
  </si>
  <si>
    <t>Václav Pubal: podniková - závodní muzea a síně revolučních tradic, Praha: Ústřední škola ROH A. Zápotockého 1985, str. 19; Baťův institut, 24. 11. 2021, 14-15.cz (dostupné na https://www.14-15.cz/24746-o-nas)</t>
  </si>
  <si>
    <t>15.4189248</t>
  </si>
  <si>
    <t>50.7819353</t>
  </si>
  <si>
    <t>Muzeum skla v Harrachově; podnikové muzeum závodu Crystalex</t>
  </si>
  <si>
    <t>Expozici, otevřenou v roce 1972, připravovalo Muzeum skla a bižuterie Jablonec nad Nisou spolu se zaměstnanci podniku. Hlavními vystavovanými tématy byli dějiny závodu a technologie výroby.</t>
  </si>
  <si>
    <t>Václav Pubal: podniková - závodní muzea a síně revolučních tradic, Praha: Ústřední škola ROH A. Zápotockého 1985, str. 20-21</t>
  </si>
  <si>
    <t>13.378355</t>
  </si>
  <si>
    <t>49.8499878</t>
  </si>
  <si>
    <t>Muzeum Západočeských keramických závodů</t>
  </si>
  <si>
    <t>Muzeum, založené v roce 1982, tematizovalo hnutí továrních dělníků, protifašistický odboj, rozvoj národního podniku.</t>
  </si>
  <si>
    <t>Václav Pubal: podniková - závodní muzea a síně revolučních tradic, Praha: Ústřední škola ROH A. Zápotockého 1985, str. 22</t>
  </si>
  <si>
    <t>13.647972</t>
  </si>
  <si>
    <t>49.718625</t>
  </si>
  <si>
    <t>Síň tradic n.p. Bílá Cerekev, Hrádek u Rokycan</t>
  </si>
  <si>
    <t>Síň tradic byla otevřena v roce 1985 s cílem dokumentovat a přiblížit dějiny hutnictví a dělnického hnutí.</t>
  </si>
  <si>
    <t>Václav Pubal: podniková - závodní muzea a síně revolučních tradic, Praha: Ústřední škola ROH A. Zápotockého 1985, str. 23-24</t>
  </si>
  <si>
    <t>12.7595297</t>
  </si>
  <si>
    <t>50.2478916</t>
  </si>
  <si>
    <t>Síň tradic a pracovní slávy n.p. Chodos, Chodov u Karlových Varů</t>
  </si>
  <si>
    <t>Expozice, věnující se dějinám závodu, se nacházela v chodbě a místnosti přilehlé k jídelně. Jejím hlavním tématem byla technologie zpracování pryže a plastických hmot.</t>
  </si>
  <si>
    <t>1989?</t>
  </si>
  <si>
    <t>Václav Pubal: podniková - závodní muzea a síně revolučních tradic, Praha: Ústřední škola ROH A. Zápotockého 1985, str. 25</t>
  </si>
  <si>
    <t>16.0567569</t>
  </si>
  <si>
    <t>48.8500519</t>
  </si>
  <si>
    <t>Síň revolučních tradic Keramických závodů n.p. Znojmo</t>
  </si>
  <si>
    <t>Expozice, zpřístupněná v roce 1973, se věnovala historii podniku, zaměstnanecké organizaci a dějinám keramiky.</t>
  </si>
  <si>
    <t>Václav Pubal: podniková - závodní muzea a síně revolučních tradic, Praha: Ústřední škola ROH A. Zápotockého 1985, str. 59</t>
  </si>
  <si>
    <t>15.9302086</t>
  </si>
  <si>
    <t>50.6672808</t>
  </si>
  <si>
    <t>Síň tradic Dolu Jana Švermy</t>
  </si>
  <si>
    <t>Síň tradic byla otevřena v roce 1985. Jejím tematickým jádrem byla těžba, hornická samospráva, dělnické hnutí a galerie nejlepších pracovníků. Dnes  je objekt adaptován na hornický skanzen.</t>
  </si>
  <si>
    <t>Důl Jan Šverma, 24. 11. 2021, djs-ops.cz (dostupné na https://www.djs-ops.cz/); Václav Pubal: podniková - závodní muzea a síně revolučních tradic, Praha: Ústřední škola ROH A. Zápotockého 1985, str. 59-60</t>
  </si>
  <si>
    <t>13.4238994</t>
  </si>
  <si>
    <t>50.4588375</t>
  </si>
  <si>
    <t>Síň revolučních tradic Válcoven trub Chomutov</t>
  </si>
  <si>
    <t>Síň tradic zahájila činnost v roce 1977. Stěžejními tématy expozice byly historie závodu, spolupráce zdejšího kolektivu se sovětskými odborníky, zapojení podniku do struktur RVHP a vývoj společenského a kulturního života. Nedílnou součástí síně revolučních tradic se stala i galerie nejlepších pracovníků.</t>
  </si>
  <si>
    <t>18.107865</t>
  </si>
  <si>
    <t>49.9922536</t>
  </si>
  <si>
    <t>Síň tradic revolučního odborového hnutí, Chuchelná Lisovny nových hmot</t>
  </si>
  <si>
    <t>Síň tradic byla otevřena v roce 1979 s cílem zpřístupnit jak dějiny závodu od jeho vzniku v roce 1949, tak technologii zpracování plastů.</t>
  </si>
  <si>
    <t>Václav Pubal: podniková - závodní muzea a síně revolučních tradic, Praha: Ústřední škola ROH A. Zápotockého 1985, str. 25-26</t>
  </si>
  <si>
    <t>12.837766</t>
  </si>
  <si>
    <t>50.228226</t>
  </si>
  <si>
    <t>Expozice podniku Karlovarské sklo n.p. Moser</t>
  </si>
  <si>
    <t>Expozice se věnovala dějinám technologie výroby uměleckého křišťálového skla.</t>
  </si>
  <si>
    <t>Václav Pubal: podniková - závodní muzea a síně revolučních tradic, Praha: Ústřední škola ROH A. Zápotockého 1985, str. 27</t>
  </si>
  <si>
    <t>13.3749783</t>
  </si>
  <si>
    <t>49.8868553</t>
  </si>
  <si>
    <t>Síň tradic závodu Lachema Kaznějov</t>
  </si>
  <si>
    <t>Hlavními tématy expozice byly vývoj závodu, dějiny chemického průmyslu a proměny postavení a životních podmínek dělníků.</t>
  </si>
  <si>
    <t>Václav Pubal: podniková - závodní muzea a síně revolučních tradic, Praha: Ústřední škola ROH A. Zápotockého 1985, str. 27-28</t>
  </si>
  <si>
    <t>14.0922337</t>
  </si>
  <si>
    <t>49.4032488</t>
  </si>
  <si>
    <t>Síň tradic n.p. Kozak – kožedělné závody Klatovy</t>
  </si>
  <si>
    <t>Expozice z roku 1982 se zaměřovala zejména na politicko-sociální a technicko-ekonomickou historii kožedělného průmyslu na Klatovsku od 19. století.</t>
  </si>
  <si>
    <t>Václav Pubal: podniková - závodní muzea a síně revolučních tradic, Praha: Ústřední škola ROH A. Zápotockého 1985, str. 29</t>
  </si>
  <si>
    <t>15.2108377</t>
  </si>
  <si>
    <t>50.0257407</t>
  </si>
  <si>
    <t>Síň tradic n.p. Obchodní tiskárny Kolín</t>
  </si>
  <si>
    <t>Síň tradic, zpřístupněná v roce 1985, představovala dějiny tiskáren a revolučních tradic města Kolín.</t>
  </si>
  <si>
    <t>Václav Pubal: podniková - závodní muzea a síně revolučních tradic, Praha: Ústřední škola ROH A. Zápotockého 1985, str. 30</t>
  </si>
  <si>
    <t>18.1435086</t>
  </si>
  <si>
    <t>49.5995811</t>
  </si>
  <si>
    <t>Technické muzeum n.p. Tatra v Kopřivnici</t>
  </si>
  <si>
    <t>Muzejní expozice, otevřená v roce 1947, tematizovala dělnické hnutí, technické dějiny automobilek a výrobu kopřivnické keramiky. V roce 1968 sbírky převzal do správy n.p. Tatra Kopřivnice.</t>
  </si>
  <si>
    <t>Václav Pubal: podniková - závodní muzea a síně revolučních tradic, Praha: Ústřední škola ROH A. Zápotockého 1985, str. 31-32; Muzeum Kopřivnice, 24. 11. 2021, tatramuseum.cz (dostupné na https://www.tatramuseum.cz/)</t>
  </si>
  <si>
    <t>12.502017</t>
  </si>
  <si>
    <t>50.336654</t>
  </si>
  <si>
    <t>Síň tradic n.p. Krajka Kraslice</t>
  </si>
  <si>
    <t>Expozice, zpřístupněná v roce 1985, měla za cíl představit dějiny závodu od roku 1886 a dějiny revolučního dělnického hnutí, odborového hnutí a socialistického budování.</t>
  </si>
  <si>
    <t>Václav Pubal: podniková - závodní muzea a síně revolučních tradic, Praha: Ústřední škola ROH A. Zápotockého 1985, str. 33</t>
  </si>
  <si>
    <t>13.7987914</t>
  </si>
  <si>
    <t>48.9227114</t>
  </si>
  <si>
    <t>Sklářské muzeum Lenora</t>
  </si>
  <si>
    <t>Muzeum zaměřené na popularizaci historie místní sklárny a technologie výroby skla.</t>
  </si>
  <si>
    <t>Václav Pubal: podniková - závodní muzea a síně revolučních tradic, Praha: Ústřední škola ROH A. Zápotockého 1985, str. 34-35</t>
  </si>
  <si>
    <t>16.6679053</t>
  </si>
  <si>
    <t>49.7638729</t>
  </si>
  <si>
    <t>Síň tradic n.p. Hedva Moravská Třebová</t>
  </si>
  <si>
    <t>Expozice byly zaměřeny na dějiny textilní výroby a politické organizace, na vývoj životních podmínek dělnictva a socialistické budování národního podníku.</t>
  </si>
  <si>
    <t>Václav Pubal: podniková - závodní muzea a síně revolučních tradic, Praha: Ústřední škola ROH A. Zápotockého 1985, str. 37-38</t>
  </si>
  <si>
    <t>12.7432747</t>
  </si>
  <si>
    <t>50.2103933</t>
  </si>
  <si>
    <t>Síň tradic Sklo Union, Nové Sedlo</t>
  </si>
  <si>
    <t>Síň tradic, otevřená v roce 1986, představovala vývoj závodu, historii boje sklářských dělníků a technologii místní výroby.</t>
  </si>
  <si>
    <t>Václav Pubal: podniková - závodní muzea a síně revolučních tradic, Praha: Ústřední škola ROH A. Zápotockého 1985, str. 38</t>
  </si>
  <si>
    <t>18.4575839</t>
  </si>
  <si>
    <t>49.8478086</t>
  </si>
  <si>
    <t>Síň cti a tradic pracujících Dolu Doubrava</t>
  </si>
  <si>
    <t>Síň tradic byla založena roku 1977 ve správní budově dolu. Zaměřovala se na dějiny dolování a dělnického hnutí.</t>
  </si>
  <si>
    <t>Václav Pubal: podniková - závodní muzea a síně revolučních tradic, Praha: Ústřední škola ROH A. Zápotockého 1985, str. 39</t>
  </si>
  <si>
    <t>18.4446</t>
  </si>
  <si>
    <t>49.8296</t>
  </si>
  <si>
    <t>Podniková síň tradic dolu Antonín Zápotocký</t>
  </si>
  <si>
    <t>Síň tradic byla otevřena v roce 1973 s cílem popularizovat dějiny hornictví v regionu.</t>
  </si>
  <si>
    <t>Václav Pubal: podniková - závodní muzea a síně revolučních tradic, Praha: Ústřední škola ROH A. Zápotockého 1985, str. 40</t>
  </si>
  <si>
    <t>18.2744931</t>
  </si>
  <si>
    <t>49.8567108</t>
  </si>
  <si>
    <t>Síň tradic Dolu Vítězný únor</t>
  </si>
  <si>
    <t>Síň tradic, otevřená v roce 1977, měla za cíl představit hornickou tradici v dole od 19. století.</t>
  </si>
  <si>
    <t>Václav Pubal: podniková - závodní muzea a síně revolučních tradic, Praha: Ústřední škola ROH A. Zápotockého 1985, str. 42</t>
  </si>
  <si>
    <t>18.3781981</t>
  </si>
  <si>
    <t>49.817575</t>
  </si>
  <si>
    <t>Expozice hornické tradice Důl Julius Fučík, Petřvald</t>
  </si>
  <si>
    <t>Expozice, otevřená v roce 1983, se zaměřovala na vývoj dolování a sociálně politického dění na dolech Petřvald.</t>
  </si>
  <si>
    <t>Václav Pubal: podniková - závodní muzea a síně revolučních tradic, Praha: Ústřední škola ROH A. Zápotockého 1985, str. 43</t>
  </si>
  <si>
    <t>13.3649816</t>
  </si>
  <si>
    <t>49.7447232</t>
  </si>
  <si>
    <t>Muzeum k.p. Škoda</t>
  </si>
  <si>
    <t>Muzejní expozice byla otevřena v roce 1974 s cílem popularizovat technologii výroby a dějiny dělnického hnutí. Dobově byla považována za důležitou část, která se věnovala družbě škodováků s dělníky Uralmaše.</t>
  </si>
  <si>
    <r>
      <rPr>
        <rFont val="Arial"/>
        <color theme="1"/>
      </rPr>
      <t xml:space="preserve">Václav Pubal: podniková - závodní muzea a síně revolučních tradic, Praha: Ústřední škola ROH A. Zápotockého 1985, str. 44; Škoda muzeum, 24. 11. 2021, museum.skoda-auto.cz (dostupné na </t>
    </r>
    <r>
      <rPr>
        <rFont val="Arial"/>
        <color rgb="FF1155CC"/>
        <u/>
      </rPr>
      <t>https://museum.skoda-auto.cz/)</t>
    </r>
  </si>
  <si>
    <t>14.4319861</t>
  </si>
  <si>
    <t>50.0868505</t>
  </si>
  <si>
    <t>Síň tradic ČSD Severozápadní dráhy Praha</t>
  </si>
  <si>
    <t>Síň tradic byla otevřena roku 1951 v areálu podnikového archivu s cílem představit vývoj železniční dopravy.</t>
  </si>
  <si>
    <t>Václav Pubal: podniková - závodní muzea a síně revolučních tradic, Praha: Ústřední škola ROH A. Zápotockého 1985, str. 48</t>
  </si>
  <si>
    <t>13.9816739</t>
  </si>
  <si>
    <t>49.7080764</t>
  </si>
  <si>
    <t>Síň tradic n.p. Kovohutě Příbram</t>
  </si>
  <si>
    <t>Síň tradic byla otevřena roku 1976 s cílem popularizovat historii vývoje hutnictví, výroby olova a stříbra na Příbramsku a také vývoj podniku.</t>
  </si>
  <si>
    <t>Václav Pubal: podniková - závodní muzea a síně revolučních tradic, Praha: Ústřední škola ROH A. Zápotockého 1985, str. 49</t>
  </si>
  <si>
    <t>13.9072032</t>
  </si>
  <si>
    <t>49.2526332</t>
  </si>
  <si>
    <t>Síň tradic Českých závodů motocyklových n.p. Strakonice</t>
  </si>
  <si>
    <t>Síň tradic, umístěná v areálu závodu, tematizovala dějiny výroby motocyklů a dějiny dělnické samosprávy.</t>
  </si>
  <si>
    <t>Václav Pubal: podniková - závodní muzea a síně revolučních tradic, Praha: Ústřední škola ROH A. Zápotockého 1985, str. 51-52</t>
  </si>
  <si>
    <t>18.0751331</t>
  </si>
  <si>
    <t>49.7254679</t>
  </si>
  <si>
    <t>Vagonářské muzeum, Studénka</t>
  </si>
  <si>
    <t>Podoba muzea i jeho sbírkový fondy, založeného roku 1961, vycházely z výstavy uskutečněné o pět let dříve. Instituce se věnovala dějinám výroby vagonů a dělnického hnutí.</t>
  </si>
  <si>
    <r>
      <rPr/>
      <t xml:space="preserve">Václav Pubal: podniková - závodní muzea a síně revolučních tradic, Praha: Ústřední škola ROH A. Zápotockého 1985, str. 52.54; Muzeum dodnes v provozu: </t>
    </r>
    <r>
      <rPr>
        <color rgb="FF1155CC"/>
        <u/>
      </rPr>
      <t>https://www.vagonarske-muzeum.cz/</t>
    </r>
  </si>
  <si>
    <t>14.5878925</t>
  </si>
  <si>
    <t>49.8327178</t>
  </si>
  <si>
    <t>Síň tradic Metalurgických závodů n.p. Týnec nad Sázavou</t>
  </si>
  <si>
    <t>Síň tradic byla otevřena v roce 1985. Zaměřovala se na dějiny výroby, dělnického hnutí a protifašistického odboje. Součástí byla také expozice péče o pracující ROH.</t>
  </si>
  <si>
    <t>Václav Pubal: podniková - závodní muzea a síně revolučních tradic, Praha: Ústřední škola ROH A. Zápotockého 1985, str. 56</t>
  </si>
  <si>
    <t>17.0382236</t>
  </si>
  <si>
    <t>50.0297569</t>
  </si>
  <si>
    <t>Papírenské muzeum Olšanské papírny n.p. provozovna Velké Losiny</t>
  </si>
  <si>
    <t>Muzeum zahájilo činnost v roce 1979. Zaměřovalo se na techniku výroby papíru a dějiny hnutí papírenských dělníků. Na expozici navazuje muzeum v objektu papírny ze 16. století.</t>
  </si>
  <si>
    <r>
      <rPr>
        <rFont val="Arial"/>
        <color theme="1"/>
      </rPr>
      <t xml:space="preserve">Václav Pubal: podniková - závodní muzea a síně revolučních tradic, Praha: Ústřední škola ROH A. Zápotockého 1985, str. 56-57; Muzeum papíru, 24. 11. 2021, rpvl.cz (dostupné na </t>
    </r>
    <r>
      <rPr>
        <rFont val="Arial"/>
        <color rgb="FF1155CC"/>
        <u/>
      </rPr>
      <t>https://www.rpvl.cz/cz/muzeum-papiru)</t>
    </r>
  </si>
  <si>
    <t>17.1245133</t>
  </si>
  <si>
    <t>48.1458446</t>
  </si>
  <si>
    <t>Sieň revolučných tradicií n. p. Kablo</t>
  </si>
  <si>
    <t>Síň revolučních tradic byla zřízena roku 1959 s cílem představit dějiny výroby. V roce 1975 byla expozice přestavěna.</t>
  </si>
  <si>
    <t>Melánia Babicová a kol.: Sprievodca po podnikových a závodných múzeách a sieňach revolučných tradicií v Slovenskej socialistickej republike, Bratislava: Práca 1988, str. 27-28</t>
  </si>
  <si>
    <t>Melánia Babicová a kol.: Sprievodca po podnikových a závodných múzeách a sieňach revolučných tradicií v Slovenskej socialistickej republike, Bratislava: Práca 1988, str. 27</t>
  </si>
  <si>
    <t>17.1217789</t>
  </si>
  <si>
    <t>48.1398769</t>
  </si>
  <si>
    <t>Sieň revolučných tradicií n.p. Československá plavba dunajská</t>
  </si>
  <si>
    <t>Expozice byla otevřená v roce 1959 v prostorách klubu lodníků ROH a v roce 1986 byla reinstalována. Věnovala se především proměně technické stránky říční plavby v kontextu dějin dělnictva a třídního boje.</t>
  </si>
  <si>
    <t>Melánia Babicová a kol.: Sprievodca po podnikových a závodných múzeách a sieňach revolučných tradicií v Slovenskej socialistickej republike, Bratislava: Práca 1988, str. 29-30</t>
  </si>
  <si>
    <t>17.1325308</t>
  </si>
  <si>
    <t>48.1467595</t>
  </si>
  <si>
    <t>Sieň revolučných tradicií n. p. Závody MDŽ</t>
  </si>
  <si>
    <t>Expozice, založená v roce 1978, popularizovala vývoj textilní výroby v Bratislavě. Roku 1987 byla revitalizována.</t>
  </si>
  <si>
    <t>Melánia Babicová a kol.: Sprievodca po podnikových a závodných múzeách a sieňach revolučných tradicií v Slovenskej socialistickej republike, Bratislava: Práca 1988, str. 31-32</t>
  </si>
  <si>
    <t>17.176601</t>
  </si>
  <si>
    <t>48.128198</t>
  </si>
  <si>
    <t>Sieň revolučných tradicií odborového podniku Slovnaft</t>
  </si>
  <si>
    <t>Expozice, otevřená v roce 1980, se nacházela přímo u vstupu do továrního areálu. Zaměřovala se na dějiny rafinace ropy a minerálních olejů včetně technologického vývoje. Roku 1985 došlo k její modernizaci.</t>
  </si>
  <si>
    <t>Melánia Babicová a kol.: Sprievodca po podnikových a závodných múzeách a sieňach revolučných tradicií v Slovenskej socialistickej republike, Bratislava: Práca 1988, str. 32-34</t>
  </si>
  <si>
    <t>slovnaft.JPG</t>
  </si>
  <si>
    <t>Z expozic.</t>
  </si>
  <si>
    <t>Melánia Babicová a kol.: Sprievodca po podnikových a závodných múzeách a sieňach revolučných tradicií v Slovenskej socialistickej republike, Bratislava: Práca 1988, str. 32</t>
  </si>
  <si>
    <t>17.1081496</t>
  </si>
  <si>
    <t>48.1686104</t>
  </si>
  <si>
    <t>Dom revolučných tradicií a kabinet politickej výchovy n.p. Chemické závody J. Dimitrova</t>
  </si>
  <si>
    <t>Expozice, otevřená od roku 1959, se zabývala dějinami chemické výroby (zejména výrobou dynamitu) a dějinami organizace zaměstnanců. V roce 1983 došlo k její modernizaci.</t>
  </si>
  <si>
    <t>Melánia Babicová a kol.: Sprievodca po podnikových a závodných múzeách a sieňach revolučných tradicií v Slovenskej socialistickej republike, Bratislava: Práca 1988, str. 40-44</t>
  </si>
  <si>
    <t>o1.jpg</t>
  </si>
  <si>
    <t>Návštěvníci u vitríny s vyznamenáními.</t>
  </si>
  <si>
    <t>Melánia Babicová a kol.: Sprievodca po podnikových a závodných múzeách a sieňach revolučných tradicií v Slovenskej socialistickej republike, Bratislava: Práca 1988, str. 41</t>
  </si>
  <si>
    <t>17.2812907</t>
  </si>
  <si>
    <t>48.2847831</t>
  </si>
  <si>
    <t>Izba revolučných tradicií Západoslovenských tehelní, závod Pezinok</t>
  </si>
  <si>
    <t>Expozice, zřízená v roce 1982, zpřístupňovala základní informace o revolučních tradicích města. Jejím těžištěm byly fotografické dokumenty o vedoucí úloze KSČ v odborové organizaci závodu.</t>
  </si>
  <si>
    <t>Melánia Babicová a kol.: Sprievodca po podnikových a závodných múzeách a sieňach revolučných tradicií v Slovenskej socialistickej republike, Bratislava: Práca 1988, str. 51-53</t>
  </si>
  <si>
    <t>pezinok.JPG</t>
  </si>
  <si>
    <t>Melánia Babicová a kol.: Sprievodca po podnikových a závodných múzeách a sieňach revolučných tradicií v Slovenskej socialistickej republike, Bratislava: Práca 1988, str. 51-</t>
  </si>
  <si>
    <t>17.7638</t>
  </si>
  <si>
    <t>47.8657</t>
  </si>
  <si>
    <t>Pamätna izba Agrokomplex Čalovo</t>
  </si>
  <si>
    <t>V roce 1978 Agrokomplex otevřel expozici zaměřenou na téma kolektivizace. Pozitivní dopad tohoto procesu mělo dokladovat srovnání starého způsobu hospodaření a nového mechanizovaného kolektivního hospodářství.</t>
  </si>
  <si>
    <t>Melánia Babicová a kol.: Sprievodca po podnikových a závodných múzeách a sieňach revolučných tradicií v Slovenskej socialistickej republike, Bratislava: Práca 1988, str. 54-56</t>
  </si>
  <si>
    <t>17.576669</t>
  </si>
  <si>
    <t>47.8924248</t>
  </si>
  <si>
    <t>Pamätna izba n.p. Štátny majetok Gabčíkovo</t>
  </si>
  <si>
    <t>V roce 1973 byla zřízena expozice pracovních úspěchů a vývoje techniky v zemědělství. Roku 1983 došlo k její modernizaci.</t>
  </si>
  <si>
    <t>Melánia Babicová a kol.: Sprievodca po podnikových a závodných múzeách a sieňach revolučných tradicií v Slovenskej socialistickej republike, Bratislava: Práca 1988, str. 57-59</t>
  </si>
  <si>
    <t>gabčíkovo.JPG</t>
  </si>
  <si>
    <t>Melánia Babicová a kol.: Sprievodca po podnikových a závodných múzeách a sieňach revolučných tradicií v Slovenskej socialistickej republike, Bratislava: Práca 1988, str. 57</t>
  </si>
  <si>
    <t>17.7362178</t>
  </si>
  <si>
    <t>48.2737737</t>
  </si>
  <si>
    <t>Izba revolučných tradícií n.p. Niková huta Sereď</t>
  </si>
  <si>
    <t>Síň revolučních tradic byla zřízena v roce 1977 s cílem představit dějiny výroby niklu a místní organizace dělnictva.</t>
  </si>
  <si>
    <t>Melánia Babicová a kol.: Sprievodca po podnikových a závodných múzeách a sieňach revolučných tradicií v Slovenskej socialistickej republike, Bratislava: Práca 1988, str. 59-62</t>
  </si>
  <si>
    <t>sereď.JPG</t>
  </si>
  <si>
    <t>Melánia Babicová a kol.: Sprievodca po podnikových a závodných múzeách a sieňach revolučných tradicií v Slovenskej socialistickej republike, Bratislava: Práca 1988, str. 59</t>
  </si>
  <si>
    <t>17.930052</t>
  </si>
  <si>
    <t>48.186761</t>
  </si>
  <si>
    <t>Siene revolučných tradicií n.p. Duslo Šaľa</t>
  </si>
  <si>
    <t>Expozice, vybudovaná v roce 1978, pojednávala o historii podniku v kontextu dějin organizovaného dělnického hnutí.</t>
  </si>
  <si>
    <t>Melánia Babicová a kol.: Sprievodca po podnikových a závodných múzeách a sieňach revolučných tradicií v Slovenskej socialistickej republike, Bratislava: Práca 1988, str. 62-63</t>
  </si>
  <si>
    <t>18.1025102</t>
  </si>
  <si>
    <t>47.7615709</t>
  </si>
  <si>
    <t>Izba revolučných tradicií ČSPD n.p. závod Přístav</t>
  </si>
  <si>
    <t>Expozice, otevřená v roce 1974, dokumentovala dějiny závodu a organizace zaměstnanců. Zvláštní část byla věnovaná interbrigadistům a rudoarmějcům z řad bývalých pracovníků. </t>
  </si>
  <si>
    <t>Melánia Babicová a kol.: Sprievodca po podnikových a závodných múzeách a sieňach revolučných tradicií v Slovenskej socialistickej republike, Bratislava: Práca 1988, str. 63-64</t>
  </si>
  <si>
    <t>komárno.JPG</t>
  </si>
  <si>
    <t>Panely s galerií "hrdinů národně osvobozovacího boje" z řad zaměstnanců.</t>
  </si>
  <si>
    <t>Melánia Babicová a kol.: Sprievodca po podnikových a závodných múzeách a sieňach revolučných tradicií v Slovenskej socialistickej republike, Bratislava: Práca 1988, str. 63</t>
  </si>
  <si>
    <t>18.5606628</t>
  </si>
  <si>
    <t>48.292998</t>
  </si>
  <si>
    <t>Sieň pracovnej slávy k.p. Slovenské energetické strojárno S. M. Kirova Tlmače</t>
  </si>
  <si>
    <t>V roce 1985 byla zřízena expozice zaměřená na dějiny místní výroby.</t>
  </si>
  <si>
    <t>Melánia Babicová a kol.: Sprievodca po podnikových a závodných múzeách a sieňach revolučných tradicií v Slovenskej socialistickej republike, Bratislava: Práca 1988, str. 66-68</t>
  </si>
  <si>
    <t>18.0852883</t>
  </si>
  <si>
    <t>48.3065712</t>
  </si>
  <si>
    <t>Izba tradicií Štátnej banky československej pobočka Nitra</t>
  </si>
  <si>
    <t>Od roku 1974 byla veřejnosti přístupná expozice zaměřená na dějiny peněžnictví a numismatiky.</t>
  </si>
  <si>
    <t>Melánia Babicová a kol.: Sprievodca po podnikových a závodných múzeách a sieňach revolučných tradicií v Slovenskej socialistickej republike, Bratislava: Práca 1988, str. 69-70</t>
  </si>
  <si>
    <t>Nitra.JPG</t>
  </si>
  <si>
    <t>Melánia Babicová a kol.: Sprievodca po podnikových a závodných múzeách a sieňach revolučných tradicií v Slovenskej socialistickej republike, Bratislava: Práca 1988, str. 69</t>
  </si>
  <si>
    <t>18.1771243</t>
  </si>
  <si>
    <t>47.9804907</t>
  </si>
  <si>
    <t>Izba revolučných tradicií n.p. Elektrosvit Nové zámky</t>
  </si>
  <si>
    <t>Expozice, otevřená roku 1975, popisovala dějiny výroby a revolučního hnutí ve městě se zvláštním zřetelem na dějiny závodu založeného roku 1950.</t>
  </si>
  <si>
    <t>Melánia Babicová a kol.: Sprievodca po podnikových a závodných múzeách a sieňach revolučných tradicií v Slovenskej socialistickej republike, Bratislava: Práca 1988, str. 70-71</t>
  </si>
  <si>
    <t>nové zámky.JPG</t>
  </si>
  <si>
    <t>Melánia Babicová a kol.: Sprievodca po podnikových a závodných múzeách a sieňach revolučných tradicií v Slovenskej socialistickej republike, Bratislava: Práca 1988, str. 70</t>
  </si>
  <si>
    <t>17.3623964</t>
  </si>
  <si>
    <t>48.6818299</t>
  </si>
  <si>
    <t>Sieň revolučných tradicií n.p. Slovenský hodváb Senica</t>
  </si>
  <si>
    <t>Expozice, otevřená roku 1982, se zaměřovala na popularizaci dějin textilní výroby v regionu a zapojení místních dělníků do třídního boje. Důležitou součástí byla prezentace pracovních a sportovních úspěchů zaměstnanců.</t>
  </si>
  <si>
    <t>Melánia Babicová a kol.: Sprievodca po podnikových a závodných múzeách a sieňach revolučných tradicií v Slovenskej socialistickej republike, Bratislava: Práca 1988, str. 74-75</t>
  </si>
  <si>
    <t>senica.JPG</t>
  </si>
  <si>
    <t>Melánia Babicová a kol.: Sprievodca po podnikových a závodných múzeách a sieňach revolučných tradicií v Slovenskej socialistickej republike, Bratislava: Práca 1988, str. 74</t>
  </si>
  <si>
    <t>17.5686429</t>
  </si>
  <si>
    <t>48.7616937</t>
  </si>
  <si>
    <t>Podnikové múzeum pri n.p. Slovenská armatúrka Myjava</t>
  </si>
  <si>
    <t>Expozice, zřízená v roce 1986, se zabývala dějinami socialistického a komunistického hnutí v regionu. Byla napojena na reprezentační místnost podniku.</t>
  </si>
  <si>
    <t>Melánia Babicová a kol.: Sprievodca po podnikových a závodných múzeách a sieňach revolučných tradicií v Slovenskej socialistickej republike, Bratislava: Práca 1988, str. 77-78</t>
  </si>
  <si>
    <t>Myjava.JPG</t>
  </si>
  <si>
    <t>Melánia Babicová a kol.: Sprievodca po podnikových a závodných múzeách a sieňach revolučných tradicií v Slovenskej socialistickej republike, Bratislava: Práca 1988, str. 77</t>
  </si>
  <si>
    <t>17.2256225</t>
  </si>
  <si>
    <t>48.8428811</t>
  </si>
  <si>
    <t>Izba revolučných tradícií a pracovnej slávy n.p. Grafobal Skalica</t>
  </si>
  <si>
    <t>Expozice byla otevřená v roce 1986 s cílem popularizovat dějiny závodu.</t>
  </si>
  <si>
    <t>18.3685726</t>
  </si>
  <si>
    <t>48.6241663</t>
  </si>
  <si>
    <t>Dom revolučných tradícií n.p. Závody 29. augusta, Partizánské</t>
  </si>
  <si>
    <t>Muzeum bylo vybudovano v roce 1961. Hlavním tématem se stala historie města v kontextu dějin dělnické třídy. Roku 1983 prošla expozice rozsáhlou modernizací.</t>
  </si>
  <si>
    <t>Melánia Babicová a kol.: Sprievodca po podnikových a závodných múzeách a sieňach revolučných tradicií v Slovenskej socialistickej republike, Bratislava: Práca 1988, str. 78-80.</t>
  </si>
  <si>
    <t>18.0568853</t>
  </si>
  <si>
    <t>48.8937093</t>
  </si>
  <si>
    <t>Sieň revolučných tradicií n.p. Merina Trenčín</t>
  </si>
  <si>
    <t>Expozice otevřená v roce 1974 s cílem popularizovat dějiny textilní výroby a zasadit je do kontextu lokálních dějin KSČ. Tématem byli i příslušníci družstva Interhelpo nebo vojenská služba Julia Fučíka ve města a role města v Slovenském národním povstání.</t>
  </si>
  <si>
    <t>Melánia Babicová a kol.: Sprievodca po podnikových a závodných múzeách a sieňach revolučných tradicií v Slovenskej socialistickej republike, Bratislava: Práca 1988, str. 81-83</t>
  </si>
  <si>
    <t>18.0645383</t>
  </si>
  <si>
    <t>48.8924345</t>
  </si>
  <si>
    <t>Izba revolučných tradicií ZJ Ľudových milicií k.p. TOS Trenčín</t>
  </si>
  <si>
    <t>Expozice z roku 1982 byla zaměřena na roli místních lidových milic v únoru 1948. Centrem expozice byla puška použitá při akcích lidové milice během únorových událostí.</t>
  </si>
  <si>
    <t>Melánia Babicová a kol.: Sprievodca po podnikových a závodných múzeách a sieňach revolučných tradicií v Slovenskej socialistickej republike, Bratislava: Práca 1988, str. 84</t>
  </si>
  <si>
    <t>trenčín.JPG</t>
  </si>
  <si>
    <t>Dominanta expozice-památná puška závodu.</t>
  </si>
  <si>
    <t>17.8287027</t>
  </si>
  <si>
    <t>48.7675161</t>
  </si>
  <si>
    <t>Izba revolučných tradicií n.p. Strojová a traktorová stanica, Nové mesto nad Váhom</t>
  </si>
  <si>
    <t>Expozice byla zřízená v roce 1973 u příležitosti 25. výročí vzniku STS. Její základní ideou bylo porovnání způsobu hospodaření před a po kolektivizaci.</t>
  </si>
  <si>
    <t>Melánia Babicová a kol.: Sprievodca po podnikových a závodných múzeách a sieňach revolučných tradicií v Slovenskej socialistickej republike, Bratislava: Práca 1988, str. 84-85</t>
  </si>
  <si>
    <t>17.5951291</t>
  </si>
  <si>
    <t>48.3719824</t>
  </si>
  <si>
    <t>Sieň revolučných tradicií pivovarsko-sladovnickeho oboru, Trnava</t>
  </si>
  <si>
    <t>Expozice, zřízená v roce 1973, se věnovala zejména dějinám pivovarnictví a techniky vaření piva. Roku 1985 prošla síň tradic rozsáhlou modernizací.</t>
  </si>
  <si>
    <t>Melánia Babicová a kol.: Sprievodca po podnikových a závodných múzeách a sieňach revolučných tradicií v Slovenskej socialistickej republike, Bratislava: Práca 1988, str. 87-88</t>
  </si>
  <si>
    <t>trnava.JPG</t>
  </si>
  <si>
    <t>Melánia Babicová a kol.: Sprievodca po podnikových a závodných múzeách a sieňach revolučných tradicií v Slovenskej socialistickej republike, Bratislava: Práca 1988, str. 87</t>
  </si>
  <si>
    <t>17.5766569</t>
  </si>
  <si>
    <t>48.3629829</t>
  </si>
  <si>
    <t>Sieň revolučných tradícií n.p. Trnavské automobilové závody a Sieň mládežnickych tradícií n.p. TAZ</t>
  </si>
  <si>
    <t>První expozice byla otevřená v roce 1961. V roce 1984 došlo k reinstalaci a zřízení vlastní síně tradic svazu mládeže. Hlavní zájem byl věnován dějinám místní výroby, rudých odborů a KSČ. V síni mládežnických tradic byla ústředním tématem stavba Trati mládeže.</t>
  </si>
  <si>
    <t>Melánia Babicová a kol.: Sprievodca po podnikových a závodných múzeách a sieňach revolučných tradicií v Slovenskej socialistickej republike, Bratislava: Práca 1988, str. 88-92</t>
  </si>
  <si>
    <t>Trnava mládež.JPG</t>
  </si>
  <si>
    <t>Z expozic: vitrína věnující se stavbám mládeže.</t>
  </si>
  <si>
    <t>Melánia Babicová a kol.: Sprievodca po podnikových a závodných múzeách a sieňach revolučných tradicií v Slovenskej socialistickej republike, Bratislava: Práca 1988, str. 88</t>
  </si>
  <si>
    <t>17.6135668</t>
  </si>
  <si>
    <t>48.3726344</t>
  </si>
  <si>
    <t>Izba revolučných tradicií Železničných opravovní a strojární Trnava</t>
  </si>
  <si>
    <t>Expozice z roku 1978 přibližovala dějiny provozu, aktivity místních komunistů před rokem 1948 a roli mládežnického kolektivu při budování socialismu a kolektivizaci přilehlého venkova.</t>
  </si>
  <si>
    <t>Melánia Babicová a kol.: Sprievodca po podnikových a závodných múzeách a sieňach revolučných tradicií v Slovenskej socialistickej republike, Bratislava: Práca 1988, str. 92-94</t>
  </si>
  <si>
    <t>17.8111721</t>
  </si>
  <si>
    <t>48.434103</t>
  </si>
  <si>
    <t>Sieň pracovnej slávy n.p. Droťovna Hlohovec</t>
  </si>
  <si>
    <t>Expozice z roku 1984 se věnovala produkci závodu, založeného v roce 1960, jeho stavbě a úspěchům.</t>
  </si>
  <si>
    <t>Melánia Babicová a kol.: Sprievodca po podnikových a závodných múzeách a sieňach revolučných tradicií v Slovenskej socialistickej republike, Bratislava: Práca 1988, str. 94</t>
  </si>
  <si>
    <t>17.677351</t>
  </si>
  <si>
    <t>48.4914128</t>
  </si>
  <si>
    <t>Siene revolučných tradicií k.p. Atomové elektrárne Jaslovské Bohunice</t>
  </si>
  <si>
    <t>Expozice z roku 1987 byla založena na popularizaci dějin elektrifikace se zvláštním zaměřením na sovětský projekt GOELRO, dějiny místního dělnického hnutí a osvětlení procesu výstavby a mechanismu provozu elektrárny.</t>
  </si>
  <si>
    <t>Melánia Babicová a kol.: Sprievodca po podnikových a závodných múzeách a sieňach revolučných tradicií v Slovenskej socialistickej republike, Bratislava: Práca 1988. str. 94-96</t>
  </si>
  <si>
    <t>17.7541911</t>
  </si>
  <si>
    <t>48.440982</t>
  </si>
  <si>
    <t>Siene revolučných tradicií závodu Slovlik Leopoldov</t>
  </si>
  <si>
    <t>Expozice z roku 1974 popisovala dějiny závodu a organizovaného hnutí jeho zaměstnanců. Zvláštní zřetel byl věnován ROH a Lidovým milicím.</t>
  </si>
  <si>
    <t>Melánia Babicová a kol.: Sprievodca po podnikových a závodných múzeách a sieňach revolučných tradicií v Slovenskej socialistickej republike, Bratislava: Práca 1988, str. 96</t>
  </si>
  <si>
    <t>19.142155</t>
  </si>
  <si>
    <t>48.7436229</t>
  </si>
  <si>
    <t>Izba revolučných tradicií n.p. Slovenka</t>
  </si>
  <si>
    <t>Expozice z roku 1974 se zaměřovala na popularizaci dějin textilní výroby v oblasti a hnutí textilních dělníků.</t>
  </si>
  <si>
    <t>Melánia Babicová a kol.: Sprievodca po podnikových a závodných múzeách a sieňach revolučných tradicií v Slovenskej socialistickej republike, Bratislava: Práca 1988, str. 99-100</t>
  </si>
  <si>
    <t>19.1368228</t>
  </si>
  <si>
    <t>48.7139838</t>
  </si>
  <si>
    <t>Izba revolučných tradicií závodu Stavindustria Banská Bystrica</t>
  </si>
  <si>
    <t>Expozice z roku 1976 se zaměřovala na propagaci pracovních úspěchů kolektivu zaměstnanců a realizovaných staveb závodu.</t>
  </si>
  <si>
    <t>Melánia Babicová a kol.: Sprievodca po podnikových a závodných múzeách a sieňach revolučných tradicií v Slovenskej socialistickej republike, Bratislava: Práca 1988, str. 101</t>
  </si>
  <si>
    <t>19.1348274</t>
  </si>
  <si>
    <t>48.7081988</t>
  </si>
  <si>
    <t>Politicko-historická izba Borisa Polevého pri k.p. Závody výpočtovej techniky Banská Bystrica</t>
  </si>
  <si>
    <t>Expozice z roku 1978 přibližovala činnost podniku a pracovní úspěchy.</t>
  </si>
  <si>
    <t>ZVT Banská bystrica.JPG</t>
  </si>
  <si>
    <t>19.4374409</t>
  </si>
  <si>
    <t>48.8117887</t>
  </si>
  <si>
    <t>Sieň revolučných tradicií n.p. Petrochema Dubová</t>
  </si>
  <si>
    <t>Expozice z roku 1987 se věnovala dějinám místního chemického provozu se zvláštním zřetelem k technologii výroby a odbojovým aktivitám komunistické buňky během povstání v roce 1944.</t>
  </si>
  <si>
    <t>Melánia Babicová a kol.: Sprievodca po podnikových a závodných múzeách a sieňach revolučných tradicií v Slovenskej socialistickej republike, Bratislava: Práca 1988, str. 103</t>
  </si>
  <si>
    <t>19.0780388</t>
  </si>
  <si>
    <t>48.794853</t>
  </si>
  <si>
    <t>Izba revolučných tradicií harmaneckých pracujúcích, Harmanec</t>
  </si>
  <si>
    <t>V roce 1985 byla zřízena expozice věnující se politické organizaci a práci dělníků ve výrobě harmaneckých papíren.</t>
  </si>
  <si>
    <t>Melánia Babicová a kol.: Sprievodca po podnikových a závodných múzeách a sieňach revolučných tradicií v Slovenskej socialistickej republike, Bratislava: Práca 1988, str. 104-105</t>
  </si>
  <si>
    <t>19.5313917</t>
  </si>
  <si>
    <t>48.8109459</t>
  </si>
  <si>
    <t>Izba revolučných tradicií n.p. Švemove železiarne, Podbrezová</t>
  </si>
  <si>
    <t>V roce 1984 zřízena expozice dějin místní výroby v těžkém průmyslu a dělnických organizací. V objektu dnes sídlí podnikové Hutnické múzeum.</t>
  </si>
  <si>
    <t>Melánia Babicová a kol.: Sprievodca po podnikových a závodných múzeách a sieňach revolučných tradicií v Slovenskej socialistickej republike, Bratislava: Práca 1988, str. 107-109; Hutnické muzeum, 24. 11. 2021, zelpo.sk (dostupné na https://www.zelpo.sk/zelpo/homezp.nsf/ad9eaf98a51922fac12574a400256c2d/15a9c96f80acbaf7c1257bfe0025fda6?OpenDocument)</t>
  </si>
  <si>
    <t>18.7827707</t>
  </si>
  <si>
    <t>49.4480237</t>
  </si>
  <si>
    <t>Izba revolučných tradicií n.p. Tatra, Čadca</t>
  </si>
  <si>
    <t>Expozice zřízena v roce 1983. Dějiny závodu byly prezentovány pomocí historie výroby vozů Tatra.</t>
  </si>
  <si>
    <t>Melánia Babicová a kol.: Sprievodca po podnikových a závodných múzeách a sieňach revolučných tradicií v Slovenskej socialistickej republike, Bratislava: Práca 1988, str. 108-109</t>
  </si>
  <si>
    <t>18.8403328</t>
  </si>
  <si>
    <t>49.4017854</t>
  </si>
  <si>
    <t>Izba revolučných tradicií n.p. Kysucké drevarske závody, Krásno nad Kysucou</t>
  </si>
  <si>
    <t>Expozice, zřízená v roce 1985, se nacházela v hlavní zasedací místnosti podniku. Hlavními exponáty byly archivní materiály přibližující dějiny závodu.</t>
  </si>
  <si>
    <t>Melánia Babicová a kol.: Sprievodca po podnikových a závodných múzeách a sieňach revolučných tradicií v Slovenskej socialistickej republike, Bratislava: Práca 1988, str. 109-110</t>
  </si>
  <si>
    <t>18.7673628</t>
  </si>
  <si>
    <t>49.296596</t>
  </si>
  <si>
    <t>Izba revolučných tradicií k.p. Závody na výrobu ložisk, Kysucké Nové Mesto</t>
  </si>
  <si>
    <t>Hlavním tématem expozice, otevřené v roce 1984, byla výroba a socialistické budování podniku založeného v roce 1950.</t>
  </si>
  <si>
    <t>Melánia Babicová a kol.: Sprievodca po podnikových a závodných múzeách a sieňach revolučných tradicií v Slovenskej socialistickej republike, Bratislava: Práca 1988, str. 110-111</t>
  </si>
  <si>
    <t>kysucké nové mesto.JPG</t>
  </si>
  <si>
    <t>Čelní stěna vstupní místnosti expozice.</t>
  </si>
  <si>
    <t>Melánia Babicová a kol.: Sprievodca po podnikových a závodných múzeách a sieňach revolučných tradicií v Slovenskej socialistickej republike, Bratislava: Práca 1988, str. 110</t>
  </si>
  <si>
    <t>19.6121806</t>
  </si>
  <si>
    <t>49.0822157</t>
  </si>
  <si>
    <t>Podnikové dokumentačné centrum n.p. Kožiarske závody, Liptovský Mikuláš</t>
  </si>
  <si>
    <t>Expozice, zpřístupněná v roce 1986, byla zaměřena na místní dějiny kožedělnictví.</t>
  </si>
  <si>
    <t>Melánia Babicová a kol.: Sprievodca po podnikových a závodných múzeách a sieňach revolučných tradicií v Slovenskej socialistickej republike, Bratislava: Práca 1988, str. 113-114</t>
  </si>
  <si>
    <t>19.6766286</t>
  </si>
  <si>
    <t>48.3368746</t>
  </si>
  <si>
    <t>Sieň revolučných tradicií n.p. Poľana</t>
  </si>
  <si>
    <t>V roce 1978 byla zřízena expozice o dějinách podniku od jeho založení v roce 1868. Zvláštní místo měla galerie vyznamenaných pracovníků podniku.</t>
  </si>
  <si>
    <t>Melánia Babicová a kol.: Sprievodca po podnikových a závodných múzeách a sieňach revolučných tradicií v Slovenskej socialistickej republike, Bratislava: Práca 1988, str. 115</t>
  </si>
  <si>
    <t>19.8222544</t>
  </si>
  <si>
    <t>48.2706491</t>
  </si>
  <si>
    <t>Sieň revolučných tradicií n.p. Kovosmalt, Fiľakovo</t>
  </si>
  <si>
    <t>Expozice z roku 1974 byla umístěná v závodním klubu ROH v centru města. Zaměřovala se zejména na dějiny výroby smaltovaného nádobí.</t>
  </si>
  <si>
    <t>Melánia Babicová a kol.: Sprievodca po podnikových a závodných múzeách a sieňach revolučných tradicií v Slovenskej socialistickej republike, Bratislava: Práca 1988, str. 115-116</t>
  </si>
  <si>
    <t>Filakovo.JPG</t>
  </si>
  <si>
    <t>18.9132845</t>
  </si>
  <si>
    <t>49.0490021</t>
  </si>
  <si>
    <t>Izba revolučných tradicií dopravného závodu ČSAD, Martin</t>
  </si>
  <si>
    <t>Expozice z roku 1986 byla instalována v prostoru agitačního střediska závodu.</t>
  </si>
  <si>
    <t>Melánia Babicová a kol.: Sprievodca po podnikových a závodných múzeách a sieňach revolučných tradicií v Slovenskej socialistickej republike, Bratislava: Práca 1988, str. 117</t>
  </si>
  <si>
    <t>18.9467073</t>
  </si>
  <si>
    <t>49.1094152</t>
  </si>
  <si>
    <t>Izba revolučných tradicií Železničných opravovní a strojární a Izba revolučných tradicií Rušňovského depa Martin-Vrůtky</t>
  </si>
  <si>
    <t>Expozice, zřízené v roce 1974, se věnovaly dějinám železniční dopravy a organizace zaměstnanců dráhy. V 80. letech prošly výraznou modernizací.</t>
  </si>
  <si>
    <t>Melánia Babicová a kol.: Sprievodca po podnikových a závodných múzeách a sieňach revolučných tradicií v Slovenskej socialistickej republike, Bratislava: Práca 1988, str. 118; Tamtéž, str.121-122</t>
  </si>
  <si>
    <t>MARTIN~1.JPG</t>
  </si>
  <si>
    <t>Melánia Babicová a kol.: Sprievodca po podnikových a závodných múzeách a sieňach revolučných tradicií v Slovenskej socialistickej republike, Bratislava: Práca 1988, str. 118</t>
  </si>
  <si>
    <t>19.0363413</t>
  </si>
  <si>
    <t>49.1037959</t>
  </si>
  <si>
    <t>Izba revolučných tradicií n.p. Drevina Turany</t>
  </si>
  <si>
    <t>Expozice z roku 1974 byla zaměřená na dějiny dřevozpracujícího průmyslu v regionu.</t>
  </si>
  <si>
    <t>Melánia Babicová a kol.: Sprievodca po podnikových a závodných múzeách a sieňach revolučných tradicií v Slovenskej socialistickej republike, Bratislava: Práca 1988, str. 123-124</t>
  </si>
  <si>
    <t>18.4243882</t>
  </si>
  <si>
    <t>49.1308103</t>
  </si>
  <si>
    <t>Podnikové múzeum a Sieň revolučných tradícií ZVL Povážských strojární, Povážská Bystrica</t>
  </si>
  <si>
    <t>Expozice byla zřízená v barokním zámku roku 1973.Zaměřovala se na dějiny lokální strojírenské výroby. O prostory se dělila s Vlastivedným múzeem Povážská Bystrica. Roku 1983 prošla výraznou modernizací.</t>
  </si>
  <si>
    <t>Melánia Babicová a kol.: Sprievodca po podnikových a závodných múzeách a sieňach revolučných tradicií v Slovenskej socialistickej republike, Bratislava: Práca 1988, str. 124-125</t>
  </si>
  <si>
    <t>povážská bystrica.JPG</t>
  </si>
  <si>
    <t>Melánia Babicová a kol.: Sprievodca po podnikových a závodných múzeách a sieňach revolučných tradicií v Slovenskej socialistickej republike, Bratislava: Práca 1988, str. 124</t>
  </si>
  <si>
    <t>18.1884222</t>
  </si>
  <si>
    <t>48.9666222</t>
  </si>
  <si>
    <t>Sieň revolučných tradicií  n.p. Závody ťažkého strojárstva Dubnica nad Váhom</t>
  </si>
  <si>
    <t>Expozice, zpřístupněná v roce 1984, byla zaměřená na dějiny výroby a organizace dělnictva.</t>
  </si>
  <si>
    <t>Melánia Babicová a kol.: Sprievodca po podnikových a závodných múzeách a sieňach revolučných tradicií v Slovenskej socialistickej republike, Bratislava: Práca 1988, str. 126-127</t>
  </si>
  <si>
    <t>dubnica nad váhom.JPG</t>
  </si>
  <si>
    <t>Melánia Babicová a kol.: Sprievodca po podnikových a závodných múzeách a sieňach revolučných tradicií v Slovenskej socialistickej republike, Bratislava: Práca 1988, str. 126</t>
  </si>
  <si>
    <t>18.3169076</t>
  </si>
  <si>
    <t>49.1074172</t>
  </si>
  <si>
    <t>Izba revolučných tradícií n.p. Gumárne 1. mája, Púchov</t>
  </si>
  <si>
    <t>Síň tradic vznikla v roce 1969. Závod byl založen v roce 1947, takže hlavním tématem expozice bylo zejména budování a výroba v rámci socialistické výstavby. Roku 1983 prošla rozsáhlou modernizací.</t>
  </si>
  <si>
    <t>Melánia Babicová a kol.: Sprievodca po podnikových a závodných múzeách a sieňach revolučných tradicií v Slovenskej socialistickej republike, Bratislava: Práca 1988, str. 127-128</t>
  </si>
  <si>
    <t>púchov gumárny.JPG</t>
  </si>
  <si>
    <t>Z expozice: výrobky závodu.</t>
  </si>
  <si>
    <t>Melánia Babicová a kol.: Sprievodca po podnikových a závodných múzeách a sieňach revolučných tradicií v Slovenskej socialistickej republike, Bratislava: Práca 1988, str. 127</t>
  </si>
  <si>
    <t>18.4031817</t>
  </si>
  <si>
    <t>48.6994573</t>
  </si>
  <si>
    <t>Izba revolučných tradicií n.p. Gumárne SNP, Dolné Vestenice</t>
  </si>
  <si>
    <t>Expozice z roku 1974 se věnovala hlavně dějinám gumárenské výroby a místního komunistického hnutí. V roce 1983 prošla rekonstrukcí.</t>
  </si>
  <si>
    <t>Melánia Babicová a kol.: Sprievodca po podnikových a závodných múzeách a sieňach revolučných tradicií v Slovenskej socialistickej republike, Bratislava: Práca 1988, str. 130-131</t>
  </si>
  <si>
    <t>18.7507008</t>
  </si>
  <si>
    <t>48.726765</t>
  </si>
  <si>
    <t>Pamätná izba vývoja podniku Baňa Handlová</t>
  </si>
  <si>
    <t>Expozice byla otevřená roku 1964 a reinstalovaná v roce 1980. Zaměřovala se na dějiny těžby uhlí a lignitu a stávkovou činnost místních horníků.</t>
  </si>
  <si>
    <t>Melánia Babicová a kol.: Sprievodca po podnikových a závodných múzeách a sieňach revolučných tradicií v Slovenskej socialistickej republike, Bratislava: Práca 1988, str. 131-132</t>
  </si>
  <si>
    <t>18.5555904</t>
  </si>
  <si>
    <t>48.7177767</t>
  </si>
  <si>
    <t>Izba revolučných tradicií podniku Baňa Nováky</t>
  </si>
  <si>
    <t>V roce 1973 zřídila závodní jednotka lidových milicí expozici věnovanou dějinám těžby a úspěchům při budování socialismu.</t>
  </si>
  <si>
    <t>Melánia Babicová a kol.: Sprievodca po podnikových a závodných múzeách a sieňach revolučných tradicií v Slovenskej socialistickej republike, Bratislava: Práca 1988, str. 132</t>
  </si>
  <si>
    <t>19.955485</t>
  </si>
  <si>
    <t>48.5696666</t>
  </si>
  <si>
    <t>Izba revolučných tradicií n.p. Slovenské lučobné závody Hnúšťa</t>
  </si>
  <si>
    <t>Expozice zřízena v roce 1974. Jejím hlavním tématem byly dějiny výroby.</t>
  </si>
  <si>
    <t>Melánia Babicová a kol.: Sprievodca po podnikových a závodných múzeách a sieňach revolučných tradicií v Slovenskej socialistickej republike, Bratislava: Práca 1988, str. 133</t>
  </si>
  <si>
    <t>19.1576539</t>
  </si>
  <si>
    <t>48.5665858</t>
  </si>
  <si>
    <t>Izba revolučných tradicií n.p. Bučina, Zvolen</t>
  </si>
  <si>
    <t>Expozice vznikla v roce 1978 a reinstalována byla roku 1986. Hlavním tématem bylo socialistické budování, jelikož závod byl založen až v roce 1947.</t>
  </si>
  <si>
    <t>Melánia Babicová a kol.: Sprievodca po podnikových a závodných múzeách a sieňach revolučných tradicií v Slovenskej socialistickej republike, Bratislava: Práca 1988, str. 134-135</t>
  </si>
  <si>
    <t>18.8554106</t>
  </si>
  <si>
    <t>48.5657608</t>
  </si>
  <si>
    <t>Sieň bojovej a pracovnej slávy Závodu SNP, Žiar nad Hronom</t>
  </si>
  <si>
    <t>Expozice byla zřízena v roce 1954 a reinstalována v roce 1979. Hlavním tématem bylo Slovenské národní povstání a pracovní úspěchy zaměstnanců.</t>
  </si>
  <si>
    <t>Melánia Babicová a kol.: Sprievodca po podnikových a závodných múzeách a sieňach revolučných tradicií v Slovenskej socialistickej republike, Bratislava: Práca 1988, str. 135-136</t>
  </si>
  <si>
    <t>žiar nad hronom.JPG</t>
  </si>
  <si>
    <t>z expozice</t>
  </si>
  <si>
    <t>Melánia Babicová a kol.: Sprievodca po podnikových a závodných múzeách a sieňach revolučných tradicií v Slovenskej socialistickej republike, Bratislava: Práca 1988, str. 135</t>
  </si>
  <si>
    <t>18.749722</t>
  </si>
  <si>
    <t>48.460278</t>
  </si>
  <si>
    <t>Izba revolučných tradícií n.p. Sandrik, Hodruša-Hámre</t>
  </si>
  <si>
    <t>Expozice byla otevřena v roce 1980. Jejím hlavním tématem byly dějiny výroby i města.</t>
  </si>
  <si>
    <t>Melánia Babicová a kol.: Sprievodca po podnikových a závodných múzeách a sieňach revolučných tradicií v Slovenskej socialistickej republike, Bratislava: Práca 1988, str. 137-138</t>
  </si>
  <si>
    <t>18.7389867</t>
  </si>
  <si>
    <t>49.2310432</t>
  </si>
  <si>
    <t>Izba revolučných tradícií n. p. Slovena, Žilina</t>
  </si>
  <si>
    <t>Expozice byla otevřena v roce 1964 a reinstalována roku 1983. Zabývala se dějinami textilní výroby a organizací dělnictva.</t>
  </si>
  <si>
    <t>Melánia Babicová a kol.: Sprievodca po podnikových a závodných múzeách a sieňach revolučných tradicií v Slovenskej socialistickej republike, Bratislava: Práca 1988, str. 138-139</t>
  </si>
  <si>
    <t>18.7335903</t>
  </si>
  <si>
    <t>49.2061577</t>
  </si>
  <si>
    <t>Izba revolučných tradicií n. p. Váhostav Žilina</t>
  </si>
  <si>
    <t>Expozice založena roku 1983. Hlavním tématem byly úspěchy podniku při budování velkých vodních děl.</t>
  </si>
  <si>
    <t>Melánia Babicová a kol.: Sprievodca po podnikových a závodných múzeách a sieňach revolučných tradicií v Slovenskej socialistickej republike, Bratislava: Práca 1988, str. 139-140</t>
  </si>
  <si>
    <t>21.2947279</t>
  </si>
  <si>
    <t>49.315677</t>
  </si>
  <si>
    <t>Izba revolučných tradicií n. p. Závody ťažkého strojárstva Bardejov</t>
  </si>
  <si>
    <t>Expozice zřízena ve spolupráci se SOU strojárské Bardejov v roce 1980. Hlavním tématem byly dějiny závodu od roku 1948.</t>
  </si>
  <si>
    <t>Melánia Babicová a kol.: Sprievodca po podnikových a závodných múzeách a sieňach revolučných tradicií v Slovenskej socialistickej republike, Bratislava: Práca 1988. str. 145</t>
  </si>
  <si>
    <t>21.8952431</t>
  </si>
  <si>
    <t>48.9258544</t>
  </si>
  <si>
    <t>Sieň revolučných tradícií a pracovnej slávy n. p. Chemlon Humenné</t>
  </si>
  <si>
    <t>Expozice zřízena v roce 1977 vyprávěla dějiny závodu od jeho vzniku v roce 1953.</t>
  </si>
  <si>
    <t>Melánia Babicová a kol.: Sprievodca po podnikových a závodných múzeách a sieňach revolučných tradicií v Slovenskej socialistickej republike, Bratislava: Práca 1988, str. 147-148</t>
  </si>
  <si>
    <t>Chemlon Humenné.JPG</t>
  </si>
  <si>
    <t>Melánia Babicová a kol.: Sprievodca po podnikových a závodných múzeách a sieňach revolučných tradicií v Slovenskej socialistickej republike, Bratislava: Práca 1988, str. 147</t>
  </si>
  <si>
    <t>21.9020125</t>
  </si>
  <si>
    <t>49.2787161</t>
  </si>
  <si>
    <t>Izba revolučných tradicií n. p. Vihorlat Medzilaborce</t>
  </si>
  <si>
    <t>Expozice zřízená v roce 1983 se tematicky zaměřovala na dějiny závodu založeného roku 1956.</t>
  </si>
  <si>
    <t>Melánia Babicová a kol.: Sprievodca po podnikových a závodných múzeách a sieňach revolučných tradicií v Slovenskej socialistickej republike, Bratislava: Práca 1988, str. 149-150</t>
  </si>
  <si>
    <t>vihorlat medzilaborce.JPG</t>
  </si>
  <si>
    <t>Melánia Babicová a kol.: Sprievodca po podnikových a závodných múzeách a sieňach revolučných tradicií v Slovenskej socialistickej republike, Bratislava: Práca 1988, str. 149</t>
  </si>
  <si>
    <t>22.1635417</t>
  </si>
  <si>
    <t>48.9873133</t>
  </si>
  <si>
    <t>Sieň pracovnej slávy n. p. Vihorlat Snina</t>
  </si>
  <si>
    <t>Expozice zřízená v roce 1984 se orientovala na dějiny závodu a výrobní technologie.</t>
  </si>
  <si>
    <t>Melánia Babicová a kol.: Sprievodca po podnikových a závodných múzeách a sieňach revolučných tradicií v Slovenskej socialistickej republike, Bratislava: Práca 1988, str. 150-151</t>
  </si>
  <si>
    <t>21.2365627</t>
  </si>
  <si>
    <t>48.7037702</t>
  </si>
  <si>
    <t>Izba revolučných tradícií Dopravného podniku mesta Košice</t>
  </si>
  <si>
    <t>Expozice, otevřená v roce 1984, se zaměřovala na dějiny dopravy ve městě a socialistické snahy o zprůmyslnění regionu. Podstatnou roli mezi exponáty hrály artefakty spojené se Slovenskou republikou rad.</t>
  </si>
  <si>
    <t>Melánia Babicová a kol.: Sprievodca po podnikových a závodných múzeách a sieňach revolučných tradicií v Slovenskej socialistickej republike, Bratislava: Práca 1988, str. 150-153</t>
  </si>
  <si>
    <t>košice mhd.JPG</t>
  </si>
  <si>
    <t>Dominanta expozice.</t>
  </si>
  <si>
    <t>Melánia Babicová a kol.: Sprievodca po podnikových a závodných múzeách a sieňach revolučných tradicií v Slovenskej socialistickej republike, Bratislava: Práca 1988, str. 152</t>
  </si>
  <si>
    <t>21.2007472</t>
  </si>
  <si>
    <t>48.6193111</t>
  </si>
  <si>
    <t>Izba tradícií závodu hutnická druhovýroba a Izba revolučných tradícií závodu Údržba  n. p. Východoslovenské železiarne Košice</t>
  </si>
  <si>
    <t>Expozice, zřízená v roce 1987, byla zaměřená na technologii a výrobní proces.</t>
  </si>
  <si>
    <t>Melánia Babicová a kol.: Sprievodca po podnikových a závodných múzeách a sieňach revolučných tradicií v Slovenskej socialistickej republike, Bratislava: Práca 1988, str.156-158</t>
  </si>
  <si>
    <t>20.9020302</t>
  </si>
  <si>
    <t>48.6977621</t>
  </si>
  <si>
    <t>Izba revolučných tradicií n. p. Strojsmalt Medzev</t>
  </si>
  <si>
    <t>Expozice, zřízená v roce 1984, se věnovala tradici kovářství v regionu a technologii výroby.</t>
  </si>
  <si>
    <t>Melánia Babicová a kol.: Sprievodca po podnikových a závodných múzeách a sieňach revolučných tradicií v Slovenskej socialistickej republike, Bratislava: Práca 1988, str. 160-161</t>
  </si>
  <si>
    <t>20.9916313</t>
  </si>
  <si>
    <t>48.6089577</t>
  </si>
  <si>
    <t>Dokumentačné centrum výstavby socializmu Štátný majetok n. p. Moldava nad Bodvou</t>
  </si>
  <si>
    <t>Expozice, zřízená v roce 1983, seznamovala návštěníky s dokumenty z osvobození východního Slovenska Rudou armádou a z procesu kolektivizace a s úspěchy místního zemědělského hospodářství.</t>
  </si>
  <si>
    <t>Melánia Babicová a kol.: Sprievodca po podnikových a závodných múzeách a sieňach revolučných tradicií v Slovenskej socialistickej republike, Bratislava: Práca 1988, str. 161-162</t>
  </si>
  <si>
    <t>21.8219466</t>
  </si>
  <si>
    <t>48.8732227</t>
  </si>
  <si>
    <t>Dokumentačné centrum n. p.  Chemko Strážske</t>
  </si>
  <si>
    <t>Expozice, založená v roce 1987, byla zaměřená na technologii a dějiny závodu vzniklého v městě v roce 1952.</t>
  </si>
  <si>
    <t>Melánia Babicová a kol.: Sprievodca po podnikových a závodných múzeách a sieňach revolučných tradicií v Slovenskej socialistickej republike, Bratislava: Práca 1988, str. 163-164</t>
  </si>
  <si>
    <t>20.3271923</t>
  </si>
  <si>
    <t>49.0775161</t>
  </si>
  <si>
    <t>Expozícia Tatramat v dějinách a budování, Poprad</t>
  </si>
  <si>
    <t>Expozice se zaměřovala na dějiny výroby od zemědělských strojů k elektrospotřebičům. Vzorky výrobků a budovatelské úspěchy byly vystavované vedle dokladů o dělnické neposlušnosti během první poloviny 20. století.</t>
  </si>
  <si>
    <t>Melánia Babicová a kol.: Sprievodca po podnikových a závodných múzeách a sieňach revolučných tradicií v Slovenskej socialistickej republike, Bratislava: Práca 1988, str. 165-166</t>
  </si>
  <si>
    <t>tatramat poprad.JPG</t>
  </si>
  <si>
    <t>Výrobky podnika a galerie vyznamenaných zaměstnanců.</t>
  </si>
  <si>
    <t>Melánia Babicová a kol.: Sprievodca po podnikových a závodných múzeách a sieňach revolučných tradicií v Slovenskej socialistickej republike, Bratislava: Práca 1988, str. 165</t>
  </si>
  <si>
    <t>20.4345474</t>
  </si>
  <si>
    <t>49.1503478</t>
  </si>
  <si>
    <t>Izba revolučných tradícií ZJ Ľudových milícií n. p. Tatraľan Kežmarok</t>
  </si>
  <si>
    <t>Expozice založená v roce 1978 se věnovala dějinám podniku a aktivitě lidových milic.</t>
  </si>
  <si>
    <t>Melánia Babicová a kol.: Sprievodca po podnikových a závodných múzeách a sieňach revolučných tradicií v Slovenskej socialistickej republike, Bratislava: Práca 1988, str. 167</t>
  </si>
  <si>
    <t>tatralan kežmarok.JPG</t>
  </si>
  <si>
    <t>Děti na prohlídce expozice.</t>
  </si>
  <si>
    <t>20.1961954</t>
  </si>
  <si>
    <t>49.0577433</t>
  </si>
  <si>
    <t>Sieň revolučných tradícií n. p. Chemosvit Svit</t>
  </si>
  <si>
    <t>Expozice, zpřístupněná v roce 1974, byla reinstalována v roce 1978. Popularizovala především dějiny závodu.</t>
  </si>
  <si>
    <t>Melánia Babicová a kol.: Sprievodca po podnikových a závodných múzeách a sieňach revolučných tradicií v Slovenskej socialistickej republike, Bratislava: Práca 1988, str. 167-168</t>
  </si>
  <si>
    <t>21.2524834</t>
  </si>
  <si>
    <t>48.9690122</t>
  </si>
  <si>
    <t>Izba revolučných tradícií k. p. Závody na výrobu ložísk Prešov</t>
  </si>
  <si>
    <t>Expozice z roku 1978 se věnovala dějinám podniku a zároveň Slovenské republice rad, antifašistickému odboji a událostem roku 1945 v regionální perspektivě.</t>
  </si>
  <si>
    <t>Melánia Babicová a kol.: Sprievodca po podnikových a závodných múzeách a sieňach revolučných tradicií v Slovenskej socialistickej republike, Bratislava: Práca 1988, str. 173-174; Jan Bárdy: 50. výročie vzniku VHJ ZVL – Závody na výrobu ložísk, Považská Bystrica, 2015</t>
  </si>
  <si>
    <t>ZVL Prešov.JPG</t>
  </si>
  <si>
    <t>Budova továrny.</t>
  </si>
  <si>
    <t>Jan Bárdy: 50. výročie vzniku VHJ ZVL – Závody na výrobu ložísk, Považská Bystrica, 2015</t>
  </si>
  <si>
    <t>21.1376554</t>
  </si>
  <si>
    <t>49.061526</t>
  </si>
  <si>
    <t>Sieň histórie n. p. Imuna Šrišské Michaľany</t>
  </si>
  <si>
    <t>Expozice byla otevřena v roce 1978 a reinstalována v roce 1986. Zaměřovala se na technologie a dějiny farmaceutického průmyslu.</t>
  </si>
  <si>
    <t>Melánia Babicová a kol.: Sprievodca po podnikových a závodných múzeách a sieňach revolučných tradicií v Slovenskej socialistickej republike, Bratislava: Práca 1988, str. 174-176</t>
  </si>
  <si>
    <t>Imuna šarišské michalany.JPG</t>
  </si>
  <si>
    <t>Melánia Babicová a kol.: Sprievodca po podnikových a závodných múzeách a sieňach revolučných tradicií v Slovenskej socialistickej republike, Bratislava: Práca 1988, str. 174</t>
  </si>
  <si>
    <t>20.2170908</t>
  </si>
  <si>
    <t>48.6442053</t>
  </si>
  <si>
    <t>Pamätná izba n. p. Slovenské magnezitové závody Jelšava</t>
  </si>
  <si>
    <t>Expozice vznikla v roce 1973 a byla reinstalována v roce 1987. Věnovala se technologii těžby a zpracování magnezitu, životním podmínkám a stávkovému hnutí zaměstnanců. Zvláštní pozornost tvůrci věnovali zapojení zaměstnanců do SNP a do budování poválečného socialismu.</t>
  </si>
  <si>
    <t>Melánia Babicová a kol.: Sprievodca po podnikových a závodných múzeách a sieňach revolučných tradicií v Slovenskej socialistickej republike, Bratislava: Práca 1988, str. 176-177</t>
  </si>
  <si>
    <t>jelšava magnezit.JPG</t>
  </si>
  <si>
    <t>Z expozice: pohled na šachtové věže z roku 1923.</t>
  </si>
  <si>
    <t>20.5912931</t>
  </si>
  <si>
    <t>49.0273946</t>
  </si>
  <si>
    <t>Pamätná izba n. p. Štátný majetok Levoča</t>
  </si>
  <si>
    <t>Expozice z roku 1985 se věnovala procesu kolektivizace místního zemědělského sektoru.</t>
  </si>
  <si>
    <t>Melánia Babicová a kol.: Sprievodca po podnikových a závodných múzeách a sieňach revolučných tradicií v Slovenskej socialistickej republike, Bratislava: Práca 1988, str. 179-180</t>
  </si>
  <si>
    <t>levoča.JPG</t>
  </si>
  <si>
    <t>Melánia Babicová a kol.: Sprievodca po podnikových a závodných múzeách a sieňach revolučných tradicií v Slovenskej socialistickej republike, Bratislava: Práca 1988, str. 179</t>
  </si>
  <si>
    <t>20.9978125</t>
  </si>
  <si>
    <t>48.8805625</t>
  </si>
  <si>
    <t>Izba revolučných tradícií závodu Vápenka Margecany</t>
  </si>
  <si>
    <t>Expozice, zpřístupněná v roce 1983, se zaměřovala na historii obce, dějiny závodu, antifašistické rezistence zaměstnanců a vývoj výroby a technologie.</t>
  </si>
  <si>
    <t>Melánia Babicová a kol.: Sprievodca po podnikových a závodných múzeách a sieňach revolučných tradicií v Slovenskej socialistickej republike, Bratislava: Práca 1988, str. 181-182</t>
  </si>
  <si>
    <t>margecany vápenka.JPG</t>
  </si>
  <si>
    <t>20.7022489</t>
  </si>
  <si>
    <t>48.8795322</t>
  </si>
  <si>
    <t>Izba revolučných tradícií rudnianskych baníkov Rudňany</t>
  </si>
  <si>
    <t>Expozice, zbudovaná v roce 1971, tematizovala zvláště stávkové hnutí místních horníků a historii těžby železné rudy v oblasti.</t>
  </si>
  <si>
    <t>Melánia Babicová a kol.: Sprievodca po podnikových a závodných múzeách a sieňach revolučných tradicií v Slovenskej socialistickej republike, Bratislava: Práca 1988, str. 182-184</t>
  </si>
  <si>
    <t>rudňany baně</t>
  </si>
  <si>
    <t>Pohled do expozice s modelem těžebního zařízení.</t>
  </si>
  <si>
    <t>Melánia Babicová a kol.: Sprievodca po podnikových a závodných múzeách a sieňach revolučných tradicií v Slovenskej socialistickej republike, Bratislava: Práca 1988, str. 182</t>
  </si>
  <si>
    <t>21.7203171</t>
  </si>
  <si>
    <t>48.6459404</t>
  </si>
  <si>
    <t>Izba revolučných tradícií n. p. Potravinářsky kombinát Trebišov</t>
  </si>
  <si>
    <t>Expozice, zřízená roku 1966, se dočkala reinstalace v roce 1985. Hlavním tématem bylo odborové hnutí, role kolektivu v únoru 1948 a úspěchy zlepšovatelského hnutí.</t>
  </si>
  <si>
    <t>Melánia Babicová a kol.: Sprievodca po podnikových a závodných múzeách a sieňach revolučných tradicií v Slovenskej socialistickej republike, Bratislava: Práca 1988, str. 187-188</t>
  </si>
  <si>
    <t>trebišov potravinářský.JPG</t>
  </si>
  <si>
    <t>Melánia Babicová a kol.: Sprievodca po podnikových a závodných múzeách a sieňach revolučných tradicií v Slovenskej socialistickej republike, Bratislava: Práca 1988, str. 187</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</si>
</sst>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theme="1"/>
      <name val="Arial"/>
    </font>
    <font>
      <color theme="1"/>
      <name val="Arial"/>
    </font>
    <font>
      <sz val="11.0"/>
      <color rgb="FF000000"/>
      <name val="Inconsolata"/>
    </font>
    <font>
      <color rgb="FF000000"/>
      <name val="Arial"/>
    </font>
    <font>
      <sz val="13.0"/>
      <color rgb="FF000000"/>
      <name val="Arial"/>
    </font>
    <font>
      <color rgb="FF000000"/>
      <name val="Roboto"/>
    </font>
    <font>
      <sz val="11.0"/>
      <color rgb="FF000000"/>
      <name val="Arial"/>
    </font>
    <font>
      <sz val="11.0"/>
      <color theme="1"/>
      <name val="Calibri"/>
    </font>
    <font>
      <color rgb="FF0000FF"/>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shrinkToFit="0" wrapText="0"/>
    </xf>
    <xf borderId="0" fillId="0" fontId="1" numFmtId="0" xfId="0" applyAlignment="1" applyFont="1">
      <alignment readingOrder="0" shrinkToFit="0" wrapText="0"/>
    </xf>
    <xf borderId="0" fillId="0" fontId="1" numFmtId="0" xfId="0" applyAlignment="1" applyFont="1">
      <alignment readingOrder="0" shrinkToFit="0" wrapText="1"/>
    </xf>
    <xf borderId="0" fillId="0" fontId="2" numFmtId="0" xfId="0" applyAlignment="1" applyFont="1">
      <alignment shrinkToFit="0" wrapText="1"/>
    </xf>
    <xf borderId="0" fillId="2" fontId="3" numFmtId="0" xfId="0" applyFill="1" applyFont="1"/>
    <xf borderId="0" fillId="0" fontId="2" numFmtId="0" xfId="0" applyFont="1"/>
    <xf borderId="0" fillId="0" fontId="2" numFmtId="0" xfId="0" applyFont="1"/>
    <xf borderId="0" fillId="0" fontId="2" numFmtId="0" xfId="0" applyAlignment="1" applyFont="1">
      <alignment shrinkToFit="0" wrapText="0"/>
    </xf>
    <xf borderId="0" fillId="0" fontId="2" numFmtId="0" xfId="0" applyAlignment="1" applyFont="1">
      <alignment readingOrder="0" shrinkToFit="0" wrapText="0"/>
    </xf>
    <xf borderId="0" fillId="0" fontId="2" numFmtId="0" xfId="0" applyAlignment="1" applyFont="1">
      <alignment shrinkToFit="0" wrapText="0"/>
    </xf>
    <xf borderId="0" fillId="0" fontId="2" numFmtId="0" xfId="0" applyAlignment="1" applyFont="1">
      <alignment shrinkToFit="0" wrapText="0"/>
    </xf>
    <xf borderId="0" fillId="3" fontId="4" numFmtId="0" xfId="0" applyAlignment="1" applyFill="1" applyFont="1">
      <alignment readingOrder="0" shrinkToFit="0" wrapText="0"/>
    </xf>
    <xf borderId="0" fillId="2" fontId="5" numFmtId="0" xfId="0" applyAlignment="1" applyFont="1">
      <alignment horizontal="left" readingOrder="0" shrinkToFit="0" wrapText="0"/>
    </xf>
    <xf borderId="0" fillId="2" fontId="0" numFmtId="0" xfId="0" applyAlignment="1" applyFont="1">
      <alignment horizontal="left" readingOrder="0" shrinkToFit="0" wrapText="0"/>
    </xf>
    <xf borderId="0" fillId="2" fontId="4" numFmtId="0" xfId="0" applyAlignment="1" applyFont="1">
      <alignment horizontal="left" readingOrder="0" shrinkToFit="0" wrapText="0"/>
    </xf>
    <xf borderId="0" fillId="2" fontId="6" numFmtId="0" xfId="0" applyAlignment="1" applyFont="1">
      <alignment readingOrder="0" shrinkToFit="0" wrapText="0"/>
    </xf>
    <xf borderId="0" fillId="2" fontId="7" numFmtId="0" xfId="0" applyAlignment="1" applyFont="1">
      <alignment horizontal="left" readingOrder="0" shrinkToFit="0" wrapText="0"/>
    </xf>
    <xf borderId="0" fillId="2" fontId="0" numFmtId="0" xfId="0" applyAlignment="1" applyFont="1">
      <alignment horizontal="left" shrinkToFit="0" wrapText="0"/>
    </xf>
    <xf borderId="0" fillId="2" fontId="6" numFmtId="0" xfId="0" applyAlignment="1" applyFont="1">
      <alignment readingOrder="0" shrinkToFit="0" wrapText="0"/>
    </xf>
    <xf borderId="0" fillId="2" fontId="4" numFmtId="0" xfId="0" applyAlignment="1" applyFont="1">
      <alignment horizontal="left" readingOrder="0"/>
    </xf>
    <xf borderId="0" fillId="0" fontId="2" numFmtId="0" xfId="0" applyAlignment="1" applyFont="1">
      <alignment shrinkToFit="0" wrapText="1"/>
    </xf>
    <xf borderId="0" fillId="0" fontId="2" numFmtId="0" xfId="0" applyAlignment="1" applyFont="1">
      <alignment readingOrder="0" shrinkToFit="0" wrapText="1"/>
    </xf>
    <xf borderId="0" fillId="2" fontId="4" numFmtId="0" xfId="0" applyAlignment="1" applyFont="1">
      <alignment horizontal="left" shrinkToFit="0" wrapText="1"/>
    </xf>
    <xf borderId="0" fillId="2" fontId="4" numFmtId="0" xfId="0" applyAlignment="1" applyFont="1">
      <alignment horizontal="left" readingOrder="0" shrinkToFit="0" wrapText="1"/>
    </xf>
    <xf borderId="0" fillId="0" fontId="8" numFmtId="0" xfId="0" applyAlignment="1" applyFont="1">
      <alignment readingOrder="0"/>
    </xf>
    <xf borderId="0" fillId="0" fontId="2" numFmtId="0" xfId="0" applyAlignment="1" applyFont="1">
      <alignment readingOrder="0" shrinkToFit="0" wrapText="1"/>
    </xf>
    <xf borderId="0" fillId="2" fontId="4" numFmtId="0" xfId="0" applyAlignment="1" applyFont="1">
      <alignment horizontal="left" shrinkToFit="0" wrapText="0"/>
    </xf>
    <xf borderId="0" fillId="0" fontId="4"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shrinkToFit="0" wrapText="0"/>
    </xf>
    <xf borderId="0" fillId="0"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www.vagonarske-muzeum.cz/"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3" width="14.43"/>
    <col customWidth="1" min="4" max="4" width="66.57"/>
    <col customWidth="1" min="5" max="5" width="23.29"/>
    <col customWidth="1" min="6" max="6" width="33.0"/>
    <col customWidth="1" min="7" max="7" width="22.0"/>
    <col customWidth="1" min="8" max="8" width="45.71"/>
    <col customWidth="1" min="12" max="12" width="70.86"/>
    <col customWidth="1" min="14" max="14" width="18.43"/>
    <col customWidth="1" min="15" max="15" width="28.71"/>
    <col customWidth="1" min="16" max="16" width="23.71"/>
    <col customWidth="1" min="17" max="17" width="18.14"/>
    <col customWidth="1" min="18" max="18" width="63.29"/>
  </cols>
  <sheetData>
    <row r="1" ht="15.75" customHeight="1">
      <c r="A1" s="1" t="s">
        <v>0</v>
      </c>
      <c r="B1" s="2" t="s">
        <v>1</v>
      </c>
      <c r="C1" s="2" t="s">
        <v>2</v>
      </c>
      <c r="D1" s="2" t="s">
        <v>3</v>
      </c>
      <c r="E1" s="2" t="s">
        <v>4</v>
      </c>
      <c r="F1" s="2" t="s">
        <v>5</v>
      </c>
      <c r="G1" s="3" t="s">
        <v>6</v>
      </c>
      <c r="H1" s="3" t="s">
        <v>7</v>
      </c>
      <c r="I1" s="2" t="s">
        <v>8</v>
      </c>
      <c r="J1" s="3" t="s">
        <v>9</v>
      </c>
      <c r="K1" s="3" t="s">
        <v>10</v>
      </c>
      <c r="L1" s="3" t="s">
        <v>11</v>
      </c>
      <c r="M1" s="4" t="s">
        <v>12</v>
      </c>
      <c r="N1" s="4" t="s">
        <v>13</v>
      </c>
      <c r="O1" s="5" t="s">
        <v>14</v>
      </c>
      <c r="P1" s="5" t="s">
        <v>15</v>
      </c>
      <c r="Q1" s="5" t="s">
        <v>16</v>
      </c>
      <c r="R1" s="5" t="s">
        <v>17</v>
      </c>
      <c r="S1" s="5" t="s">
        <v>18</v>
      </c>
      <c r="T1" s="6"/>
      <c r="U1" s="6"/>
      <c r="V1" s="6"/>
      <c r="W1" s="6"/>
      <c r="X1" s="6"/>
      <c r="Y1" s="6"/>
      <c r="Z1" s="6"/>
      <c r="AA1" s="6"/>
    </row>
    <row r="2" ht="15.75" customHeight="1">
      <c r="A2" s="7">
        <f t="shared" ref="A2:A201" si="1"> COUNTA($B$2:B2)</f>
        <v>1</v>
      </c>
      <c r="B2" s="8" t="str">
        <f>IFERROR(__xludf.DUMMYFUNCTION("query({
muzea_a_pamatniky_spojene_s_jed!A2:R999; pamatniky_a_muzea_revolucniho_h!A2:R999;muzea_a_pamatniky_spojene_s_kli!A2:R999; podnikova_a_tovarni_muzea!A2:R999},
""select * where Col1 &lt;&gt; ''"",
0)"),"14.422248")</f>
        <v>14.422248</v>
      </c>
      <c r="C2" s="9" t="str">
        <f>IFERROR(__xludf.DUMMYFUNCTION("""COMPUTED_VALUE"""),"50.085034")</f>
        <v>50.085034</v>
      </c>
      <c r="D2" s="9" t="str">
        <f>IFERROR(__xludf.DUMMYFUNCTION("""COMPUTED_VALUE"""),"Muzeum Klementa Gottwalda")</f>
        <v>Muzeum Klementa Gottwalda</v>
      </c>
      <c r="E2" s="10" t="str">
        <f>IFERROR(__xludf.DUMMYFUNCTION("""COMPUTED_VALUE"""),"muzea")</f>
        <v>muzea</v>
      </c>
      <c r="F2" s="9" t="str">
        <f>IFERROR(__xludf.DUMMYFUNCTION("""COMPUTED_VALUE"""),"Muzeum vzniklo v roce 1952 jako vědecké, edukační, popularizační a propagandistické centrum nově vznikajícího proudu přiznaně angažované třídní marxistické historiografie. Původní záměr počítal s komplexním zaměřením na široce pojaté, do určité míry tehdy"&amp;" vynalézané, revoluční národní tradice. Instituce, která měla nést název Muzeum revolučních bojů, byla na osobnost Klementa Gottwalda navázána těsně před otevřením veřejnosti v roce 1954 po státníkově skonu, který můžeme považovat za jeden z vrcholů jeho "&amp;"kultu osobnosti. Během 35 let existence muzea doznala jeho činnost ve své formě i obsahu určitých změn, byť nijak zásadních.")</f>
        <v>Muzeum vzniklo v roce 1952 jako vědecké, edukační, popularizační a propagandistické centrum nově vznikajícího proudu přiznaně angažované třídní marxistické historiografie. Původní záměr počítal s komplexním zaměřením na široce pojaté, do určité míry tehdy vynalézané, revoluční národní tradice. Instituce, která měla nést název Muzeum revolučních bojů, byla na osobnost Klementa Gottwalda navázána těsně před otevřením veřejnosti v roce 1954 po státníkově skonu, který můžeme považovat za jeden z vrcholů jeho kultu osobnosti. Během 35 let existence muzea doznala jeho činnost ve své formě i obsahu určitých změn, byť nijak zásadních.</v>
      </c>
      <c r="G2" s="9" t="str">
        <f>IFERROR(__xludf.DUMMYFUNCTION("""COMPUTED_VALUE"""),"muzea")</f>
        <v>muzea</v>
      </c>
      <c r="H2" s="9" t="str">
        <f>IFERROR(__xludf.DUMMYFUNCTION("""COMPUTED_VALUE"""),"Muzea a památníky spojené s jednotlivými osobnostmi")</f>
        <v>Muzea a památníky spojené s jednotlivými osobnostmi</v>
      </c>
      <c r="I2" s="9" t="str">
        <f>IFERROR(__xludf.DUMMYFUNCTION("""COMPUTED_VALUE"""),"Ne")</f>
        <v>Ne</v>
      </c>
      <c r="J2" s="9">
        <f>IFERROR(__xludf.DUMMYFUNCTION("""COMPUTED_VALUE"""),1954.0)</f>
        <v>1954</v>
      </c>
      <c r="K2" s="9">
        <f>IFERROR(__xludf.DUMMYFUNCTION("""COMPUTED_VALUE"""),1990.0)</f>
        <v>1990</v>
      </c>
      <c r="L2" s="11" t="str">
        <f>IFERROR(__xludf.DUMMYFUNCTION("""COMPUTED_VALUE"""),"Katalog stálé expozice, Praha: Muzeum Klementa Gottwalda1975; Tematické okruhy sbírkotvorné činnosti muzea Klementa Gottwalda v oblasti dokumentace dějin revolučního dělnického hnutí a dějin komunistické strany Československa, Praha: MKG [19--?]&lt;br&gt;ANM, f"&amp;"ond Sbírka Muzeum dělnického hnutí, nezpracováno")</f>
        <v>Katalog stálé expozice, Praha: Muzeum Klementa Gottwalda1975; Tematické okruhy sbírkotvorné činnosti muzea Klementa Gottwalda v oblasti dokumentace dějin revolučního dělnického hnutí a dějin komunistické strany Československa, Praha: MKG [19--?]&lt;br&gt;ANM, fond Sbírka Muzeum dělnického hnutí, nezpracováno</v>
      </c>
      <c r="M2" s="9"/>
      <c r="N2" s="9" t="str">
        <f>IFERROR(__xludf.DUMMYFUNCTION("""COMPUTED_VALUE"""),"o2.JPG")</f>
        <v>o2.JPG</v>
      </c>
      <c r="O2" s="6" t="str">
        <f>IFERROR(__xludf.DUMMYFUNCTION("""COMPUTED_VALUE"""),"Busta Klementa Gottwalda v expozici.")</f>
        <v>Busta Klementa Gottwalda v expozici.</v>
      </c>
      <c r="P2" s="6" t="str">
        <f>IFERROR(__xludf.DUMMYFUNCTION("""COMPUTED_VALUE"""),"ANM, Sbírka Muzeum dělnického hnutí, nezpracováno")</f>
        <v>ANM, Sbírka Muzeum dělnického hnutí, nezpracováno</v>
      </c>
      <c r="Q2" s="6" t="str">
        <f>IFERROR(__xludf.DUMMYFUNCTION("""COMPUTED_VALUE"""),"o4.jpg")</f>
        <v>o4.jpg</v>
      </c>
      <c r="R2" s="6" t="str">
        <f>IFERROR(__xludf.DUMMYFUNCTION("""COMPUTED_VALUE"""),"Pražského jaro v Muzeu Klementa Gottwalda.")</f>
        <v>Pražského jaro v Muzeu Klementa Gottwalda.</v>
      </c>
      <c r="S2" s="6" t="str">
        <f>IFERROR(__xludf.DUMMYFUNCTION("""COMPUTED_VALUE"""),"Martina Winkler: Panzer in Prag. Der Fotografische Blick auf die Invasion von 1968, Düsselldorf: C.W. Leske 2018")</f>
        <v>Martina Winkler: Panzer in Prag. Der Fotografische Blick auf die Invasion von 1968, Düsselldorf: C.W. Leske 2018</v>
      </c>
      <c r="T2" s="6"/>
      <c r="U2" s="6"/>
      <c r="V2" s="6"/>
      <c r="W2" s="6"/>
      <c r="X2" s="6"/>
      <c r="Y2" s="6"/>
      <c r="Z2" s="6"/>
      <c r="AA2" s="6"/>
    </row>
    <row r="3" ht="15.75" customHeight="1">
      <c r="A3" s="7">
        <f t="shared" si="1"/>
        <v>2</v>
      </c>
      <c r="B3" s="9" t="str">
        <f>IFERROR(__xludf.DUMMYFUNCTION("""COMPUTED_VALUE"""),"15.7711111")</f>
        <v>15.7711111</v>
      </c>
      <c r="C3" s="9" t="str">
        <f>IFERROR(__xludf.DUMMYFUNCTION("""COMPUTED_VALUE"""),"49.1519444")</f>
        <v>49.1519444</v>
      </c>
      <c r="D3" s="9" t="str">
        <f>IFERROR(__xludf.DUMMYFUNCTION("""COMPUTED_VALUE"""),"Památník – rodný dům Bedřicha Václavka v Čáslavicích")</f>
        <v>Památník – rodný dům Bedřicha Václavka v Čáslavicích</v>
      </c>
      <c r="E3" s="10" t="str">
        <f>IFERROR(__xludf.DUMMYFUNCTION("""COMPUTED_VALUE"""),"památníky")</f>
        <v>památníky</v>
      </c>
      <c r="F3" s="9" t="str">
        <f>IFERROR(__xludf.DUMMYFUNCTION("""COMPUTED_VALUE"""),"Expozice, přibližující život a dílo tohoto levicového spisovatele, byla otevřena v roce 1962 a reinstalována v roce 1980. Roku 1989 byla činnost ukončena a objekt sloužil až do roku 2008 jako skladiště. Nyní Čáslavice objekt využívají jako obecní úřad.")</f>
        <v>Expozice, přibližující život a dílo tohoto levicového spisovatele, byla otevřena v roce 1962 a reinstalována v roce 1980. Roku 1989 byla činnost ukončena a objekt sloužil až do roku 2008 jako skladiště. Nyní Čáslavice objekt využívají jako obecní úřad.</v>
      </c>
      <c r="G3" s="9" t="str">
        <f>IFERROR(__xludf.DUMMYFUNCTION("""COMPUTED_VALUE"""),"muzea")</f>
        <v>muzea</v>
      </c>
      <c r="H3" s="9" t="str">
        <f>IFERROR(__xludf.DUMMYFUNCTION("""COMPUTED_VALUE"""),"Muzea a památníky spojené s jednotlivými osobnostmi")</f>
        <v>Muzea a památníky spojené s jednotlivými osobnostmi</v>
      </c>
      <c r="I3" s="9" t="str">
        <f>IFERROR(__xludf.DUMMYFUNCTION("""COMPUTED_VALUE"""),"Ne")</f>
        <v>Ne</v>
      </c>
      <c r="J3" s="9">
        <f>IFERROR(__xludf.DUMMYFUNCTION("""COMPUTED_VALUE"""),1962.0)</f>
        <v>1962</v>
      </c>
      <c r="K3" s="9">
        <f>IFERROR(__xludf.DUMMYFUNCTION("""COMPUTED_VALUE"""),1989.0)</f>
        <v>1989</v>
      </c>
      <c r="L3" s="12" t="str">
        <f>IFERROR(__xludf.DUMMYFUNCTION("""COMPUTED_VALUE"""),"Vladimír Kovařík: Literární toulky Moravou, Praha: Albatros 1978, s. 38-39; Jaromír Kalus: Muzea na Moravě a ve Slezsku, Ostrava: Profil 1988, s. 82-84; Čáslavice: Rodný dům Bedřicha Václavka, 6. 5. 2021, caslavice.cz (dostupné na https://www.caslavice.cz"&amp;"/rodny-dum-bedricha-vaclavka/d-7334)")</f>
        <v>Vladimír Kovařík: Literární toulky Moravou, Praha: Albatros 1978, s. 38-39; Jaromír Kalus: Muzea na Moravě a ve Slezsku, Ostrava: Profil 1988, s. 82-84; Čáslavice: Rodný dům Bedřicha Václavka, 6. 5. 2021, caslavice.cz (dostupné na https://www.caslavice.cz/rodny-dum-bedricha-vaclavka/d-7334)</v>
      </c>
      <c r="M3" s="9"/>
      <c r="N3" s="9" t="str">
        <f>IFERROR(__xludf.DUMMYFUNCTION("""COMPUTED_VALUE"""),"o1.JPG")</f>
        <v>o1.JPG</v>
      </c>
      <c r="O3" s="6" t="str">
        <f>IFERROR(__xludf.DUMMYFUNCTION("""COMPUTED_VALUE"""),"Rodný dům Bedřicha Václavka")</f>
        <v>Rodný dům Bedřicha Václavka</v>
      </c>
      <c r="P3" s="6" t="str">
        <f>IFERROR(__xludf.DUMMYFUNCTION("""COMPUTED_VALUE"""),"Jaromír Kalus: Muzea na Moravě a ve Slezsku, Ostrava: Profil 1988, s. 82")</f>
        <v>Jaromír Kalus: Muzea na Moravě a ve Slezsku, Ostrava: Profil 1988, s. 82</v>
      </c>
      <c r="Q3" s="6"/>
      <c r="R3" s="6"/>
      <c r="S3" s="6"/>
      <c r="T3" s="6"/>
      <c r="U3" s="6"/>
      <c r="V3" s="6"/>
      <c r="W3" s="6"/>
      <c r="X3" s="6"/>
      <c r="Y3" s="6"/>
      <c r="Z3" s="6"/>
      <c r="AA3" s="6"/>
    </row>
    <row r="4" ht="15.75" customHeight="1">
      <c r="A4" s="7">
        <f t="shared" si="1"/>
        <v>3</v>
      </c>
      <c r="B4" s="9" t="str">
        <f>IFERROR(__xludf.DUMMYFUNCTION("""COMPUTED_VALUE"""),"15.8896397")</f>
        <v>15.8896397</v>
      </c>
      <c r="C4" s="9" t="str">
        <f>IFERROR(__xludf.DUMMYFUNCTION("""COMPUTED_VALUE"""),"49.2147194")</f>
        <v>49.2147194</v>
      </c>
      <c r="D4" s="9" t="str">
        <f>IFERROR(__xludf.DUMMYFUNCTION("""COMPUTED_VALUE"""),"Rodný dům Bohumíra Šmerala ")</f>
        <v>Rodný dům Bohumíra Šmerala </v>
      </c>
      <c r="E4" s="10" t="str">
        <f>IFERROR(__xludf.DUMMYFUNCTION("""COMPUTED_VALUE"""),"památníky")</f>
        <v>památníky</v>
      </c>
      <c r="F4" s="9" t="str">
        <f>IFERROR(__xludf.DUMMYFUNCTION("""COMPUTED_VALUE"""),"Objekt domku je památkově chráněn od roku 1958. První expozice se otevřela v roce 1960 a po jedenácti letech byla modernizována. Ústřední bod tvořila část dochované Šmeralovy pracovny, kolem ní se nacházela expozice o Šmeralově životě.")</f>
        <v>Objekt domku je památkově chráněn od roku 1958. První expozice se otevřela v roce 1960 a po jedenácti letech byla modernizována. Ústřední bod tvořila část dochované Šmeralovy pracovny, kolem ní se nacházela expozice o Šmeralově životě.</v>
      </c>
      <c r="G4" s="9" t="str">
        <f>IFERROR(__xludf.DUMMYFUNCTION("""COMPUTED_VALUE"""),"muzea")</f>
        <v>muzea</v>
      </c>
      <c r="H4" s="9" t="str">
        <f>IFERROR(__xludf.DUMMYFUNCTION("""COMPUTED_VALUE"""),"Muzea a památníky spojené s jednotlivými osobnostmi")</f>
        <v>Muzea a památníky spojené s jednotlivými osobnostmi</v>
      </c>
      <c r="I4" s="9" t="str">
        <f>IFERROR(__xludf.DUMMYFUNCTION("""COMPUTED_VALUE"""),"Ne")</f>
        <v>Ne</v>
      </c>
      <c r="J4" s="9">
        <f>IFERROR(__xludf.DUMMYFUNCTION("""COMPUTED_VALUE"""),1960.0)</f>
        <v>1960</v>
      </c>
      <c r="K4" s="9">
        <f>IFERROR(__xludf.DUMMYFUNCTION("""COMPUTED_VALUE"""),1989.0)</f>
        <v>1989</v>
      </c>
      <c r="L4" s="12" t="str">
        <f>IFERROR(__xludf.DUMMYFUNCTION("""COMPUTED_VALUE"""),"Jaromír Kalus: Muzea na Moravě a ve Slezsku, Ostrava: Profil 1988, s. 265; NPÚ: Venkovská usedlost - Šmeralův dům, 24. 11. 2021, pamatkovykatalog.cz (dostupné na https://www.pamatkovykatalog.cz/pravni-ochrana/venkovska-usedlost-smeraluv-dum-146392); ANM, "&amp;"fond Sbírka Muzeum dělnického hnutí, nezpracováno")</f>
        <v>Jaromír Kalus: Muzea na Moravě a ve Slezsku, Ostrava: Profil 1988, s. 265; NPÚ: Venkovská usedlost - Šmeralův dům, 24. 11. 2021, pamatkovykatalog.cz (dostupné na https://www.pamatkovykatalog.cz/pravni-ochrana/venkovska-usedlost-smeraluv-dum-146392); ANM, fond Sbírka Muzeum dělnického hnutí, nezpracováno</v>
      </c>
      <c r="M4" s="9"/>
      <c r="N4" s="9" t="str">
        <f>IFERROR(__xludf.DUMMYFUNCTION("""COMPUTED_VALUE"""),"o1.JPG")</f>
        <v>o1.JPG</v>
      </c>
      <c r="O4" s="6" t="str">
        <f>IFERROR(__xludf.DUMMYFUNCTION("""COMPUTED_VALUE"""),"z expozice.")</f>
        <v>z expozice.</v>
      </c>
      <c r="P4" s="6" t="str">
        <f>IFERROR(__xludf.DUMMYFUNCTION("""COMPUTED_VALUE"""),"ANM, fond Sbírka Muzeum dělnického hnutí, nezpracováno")</f>
        <v>ANM, fond Sbírka Muzeum dělnického hnutí, nezpracováno</v>
      </c>
      <c r="Q4" s="6"/>
      <c r="R4" s="6"/>
      <c r="S4" s="6"/>
      <c r="T4" s="6"/>
      <c r="U4" s="6"/>
      <c r="V4" s="6"/>
      <c r="W4" s="6"/>
      <c r="X4" s="6"/>
      <c r="Y4" s="6"/>
      <c r="Z4" s="6"/>
      <c r="AA4" s="6"/>
    </row>
    <row r="5" ht="15.75" customHeight="1">
      <c r="A5" s="7">
        <f t="shared" si="1"/>
        <v>4</v>
      </c>
      <c r="B5" s="9" t="str">
        <f>IFERROR(__xludf.DUMMYFUNCTION("""COMPUTED_VALUE"""),"14.41347")</f>
        <v>14.41347</v>
      </c>
      <c r="C5" s="9" t="str">
        <f>IFERROR(__xludf.DUMMYFUNCTION("""COMPUTED_VALUE"""),"50.08239")</f>
        <v>50.08239</v>
      </c>
      <c r="D5" s="9" t="str">
        <f>IFERROR(__xludf.DUMMYFUNCTION("""COMPUTED_VALUE"""),"Muzeum Julia Fučíka")</f>
        <v>Muzeum Julia Fučíka</v>
      </c>
      <c r="E5" s="10" t="str">
        <f>IFERROR(__xludf.DUMMYFUNCTION("""COMPUTED_VALUE"""),"muzea")</f>
        <v>muzea</v>
      </c>
      <c r="F5" s="9" t="str">
        <f>IFERROR(__xludf.DUMMYFUNCTION("""COMPUTED_VALUE"""),"22. února 1988 bylo za účasti stranických špiček, velvyslanců, ale i pamětníků slavnostně otevřeno Muzeum Julia Fučíka v budově tehdejší Fakulty žurnalistiky Univerzity Karlovy (dnes Fakulta sociálních věd) na Smetanově nábřeží v Praze. Muzeum mělo spíše "&amp;"charakter pamětní síně a svým umístěním poukazovalo na Fučíkovu novinářskou identitu. Podle vzpomínek Libuše Eliášové bylo muzeum naplněním snahy Gusty Fučíkové o vytvoření muzea žurnalistiky založeného na Fučíkově odkazu. Fučíková se však otevření muzea "&amp;"nedožila. Muzeum vzniklo pod patronací Muzea Klementa Gottwalda. (Libuše Eliášová, In: F. A. Podhajský (ed.), Julek Fučík věčně živý, Brno, 2010, s. 77–92).&lt;br&gt;Expozici dominovala Fučíkova busta od sochaře Antonína Kalvody. Muzeum tak navazovalo na kult F"&amp;"učíkovy tváře, na druhou stranu se však Kalvodovo zobrazení odlišovalo od těch nejkanoničtějších, včetně ikonického Švabinského portrétu. I z dalších prvků expozice je zřejmé, že hledala nový jazyk, jehož prostřednictvím by bylo možné Fučíkův odkaz na ofi"&amp;"ciální úrovni reformulovat. Podstatný prvek tvořila například mezinárodní recepce Fučíkova kultu reprezentovaná zahraničními vydáními Reportáže nebo citátem Pabla Nerudy v čele místnosti. Nad vchodem do expozice se skvěl známý a všeobecně využívaný Fučíků"&amp;"v citát Lidé bděte! Nový význam pro toto heslo se však v muzeu nalézt nepodařilo. Po roce 1989 byla instituce zrušena a její sbírka, založená na osobní pozůstalosti Julia a Gusty Fučíkových, přešla společně s fondy Muzea Klementa Gottwalda a Muzea V. I. L"&amp;"enina do sbírky tzv. Muzea dělnického hnutí.")</f>
        <v>22. února 1988 bylo za účasti stranických špiček, velvyslanců, ale i pamětníků slavnostně otevřeno Muzeum Julia Fučíka v budově tehdejší Fakulty žurnalistiky Univerzity Karlovy (dnes Fakulta sociálních věd) na Smetanově nábřeží v Praze. Muzeum mělo spíše charakter pamětní síně a svým umístěním poukazovalo na Fučíkovu novinářskou identitu. Podle vzpomínek Libuše Eliášové bylo muzeum naplněním snahy Gusty Fučíkové o vytvoření muzea žurnalistiky založeného na Fučíkově odkazu. Fučíková se však otevření muzea nedožila. Muzeum vzniklo pod patronací Muzea Klementa Gottwalda. (Libuše Eliášová, In: F. A. Podhajský (ed.), Julek Fučík věčně živý, Brno, 2010, s. 77–92).&lt;br&gt;Expozici dominovala Fučíkova busta od sochaře Antonína Kalvody. Muzeum tak navazovalo na kult Fučíkovy tváře, na druhou stranu se však Kalvodovo zobrazení odlišovalo od těch nejkanoničtějších, včetně ikonického Švabinského portrétu. I z dalších prvků expozice je zřejmé, že hledala nový jazyk, jehož prostřednictvím by bylo možné Fučíkův odkaz na oficiální úrovni reformulovat. Podstatný prvek tvořila například mezinárodní recepce Fučíkova kultu reprezentovaná zahraničními vydáními Reportáže nebo citátem Pabla Nerudy v čele místnosti. Nad vchodem do expozice se skvěl známý a všeobecně využívaný Fučíkův citát Lidé bděte! Nový význam pro toto heslo se však v muzeu nalézt nepodařilo. Po roce 1989 byla instituce zrušena a její sbírka, založená na osobní pozůstalosti Julia a Gusty Fučíkových, přešla společně s fondy Muzea Klementa Gottwalda a Muzea V. I. Lenina do sbírky tzv. Muzea dělnického hnutí.</v>
      </c>
      <c r="G5" s="9" t="str">
        <f>IFERROR(__xludf.DUMMYFUNCTION("""COMPUTED_VALUE"""),"muzea")</f>
        <v>muzea</v>
      </c>
      <c r="H5" s="9" t="str">
        <f>IFERROR(__xludf.DUMMYFUNCTION("""COMPUTED_VALUE"""),"Muzea a památníky spojené s jednotlivými osobnostmi")</f>
        <v>Muzea a památníky spojené s jednotlivými osobnostmi</v>
      </c>
      <c r="I5" s="9" t="str">
        <f>IFERROR(__xludf.DUMMYFUNCTION("""COMPUTED_VALUE"""),"Ne")</f>
        <v>Ne</v>
      </c>
      <c r="J5" s="9">
        <f>IFERROR(__xludf.DUMMYFUNCTION("""COMPUTED_VALUE"""),1988.0)</f>
        <v>1988</v>
      </c>
      <c r="K5" s="9">
        <f>IFERROR(__xludf.DUMMYFUNCTION("""COMPUTED_VALUE"""),1989.0)</f>
        <v>1989</v>
      </c>
      <c r="L5" s="12" t="str">
        <f>IFERROR(__xludf.DUMMYFUNCTION("""COMPUTED_VALUE"""),"ANM, fond Sbírka Muzeum dělnického hnutí, fond Julius a Gusta Fučíkovi, nezpracováno")</f>
        <v>ANM, fond Sbírka Muzeum dělnického hnutí, fond Julius a Gusta Fučíkovi, nezpracováno</v>
      </c>
      <c r="M5" s="9"/>
      <c r="N5" s="9" t="str">
        <f>IFERROR(__xludf.DUMMYFUNCTION("""COMPUTED_VALUE"""),"JF028.jpg")</f>
        <v>JF028.jpg</v>
      </c>
      <c r="O5" s="6" t="str">
        <f>IFERROR(__xludf.DUMMYFUNCTION("""COMPUTED_VALUE"""),"Prostoru expozice dominovala busta Julia Fučíka od sochaře A. Kalvody.")</f>
        <v>Prostoru expozice dominovala busta Julia Fučíka od sochaře A. Kalvody.</v>
      </c>
      <c r="P5" s="6" t="str">
        <f>IFERROR(__xludf.DUMMYFUNCTION("""COMPUTED_VALUE"""),"ANM, fond Sbírka Muzeum dělnického hnutí, fond Julius a Gusta Fučíkovi, nezpracováno")</f>
        <v>ANM, fond Sbírka Muzeum dělnického hnutí, fond Julius a Gusta Fučíkovi, nezpracováno</v>
      </c>
      <c r="Q5" s="6" t="str">
        <f>IFERROR(__xludf.DUMMYFUNCTION("""COMPUTED_VALUE"""),"VernisazMJFk203.tif")</f>
        <v>VernisazMJFk203.tif</v>
      </c>
      <c r="R5" s="6" t="str">
        <f>IFERROR(__xludf.DUMMYFUNCTION("""COMPUTED_VALUE"""),"Z vernisáže expozice.")</f>
        <v>Z vernisáže expozice.</v>
      </c>
      <c r="S5" s="6" t="str">
        <f>IFERROR(__xludf.DUMMYFUNCTION("""COMPUTED_VALUE"""),"ANM, fond Sbírka Muzeum dělnického hnutí, fond Julius a Gusta Fučíkovi, nezpracováno")</f>
        <v>ANM, fond Sbírka Muzeum dělnického hnutí, fond Julius a Gusta Fučíkovi, nezpracováno</v>
      </c>
      <c r="T5" s="6"/>
      <c r="U5" s="6"/>
      <c r="V5" s="6"/>
      <c r="W5" s="6"/>
      <c r="X5" s="6"/>
      <c r="Y5" s="6"/>
      <c r="Z5" s="6"/>
      <c r="AA5" s="6"/>
    </row>
    <row r="6" ht="15.75" customHeight="1">
      <c r="A6" s="7">
        <f t="shared" si="1"/>
        <v>5</v>
      </c>
      <c r="B6" s="9" t="str">
        <f>IFERROR(__xludf.DUMMYFUNCTION("""COMPUTED_VALUE"""),"16.9818047")</f>
        <v>16.9818047</v>
      </c>
      <c r="C6" s="9" t="str">
        <f>IFERROR(__xludf.DUMMYFUNCTION("""COMPUTED_VALUE"""),"49.2923897")</f>
        <v>49.2923897</v>
      </c>
      <c r="D6" s="9" t="str">
        <f>IFERROR(__xludf.DUMMYFUNCTION("""COMPUTED_VALUE"""),"Památník Klementa Gottwalda v Dědicích")</f>
        <v>Památník Klementa Gottwalda v Dědicích</v>
      </c>
      <c r="E6" s="10" t="str">
        <f>IFERROR(__xludf.DUMMYFUNCTION("""COMPUTED_VALUE"""),"památníky")</f>
        <v>památníky</v>
      </c>
      <c r="F6" s="9" t="str">
        <f>IFERROR(__xludf.DUMMYFUNCTION("""COMPUTED_VALUE"""),"Rodný dům Klementa Gottwalda byl zpřístupněn veřejnosti v roce 1955. Objekt byl zrestaurován do podoby z konce 19. století a nacházela se v něm expozice zaměřená na Gottwladův oficiální životní příběh. V roce 1971 získal status Památníku Klementa Gottwald"&amp;"a, o šest let později byl dům prohlášen národní kulturní památkou. V roce 1981 prošel další výraznou adaptací pro výstavní účely.")</f>
        <v>Rodný dům Klementa Gottwalda byl zpřístupněn veřejnosti v roce 1955. Objekt byl zrestaurován do podoby z konce 19. století a nacházela se v něm expozice zaměřená na Gottwladův oficiální životní příběh. V roce 1971 získal status Památníku Klementa Gottwalda, o šest let později byl dům prohlášen národní kulturní památkou. V roce 1981 prošel další výraznou adaptací pro výstavní účely.</v>
      </c>
      <c r="G6" s="9" t="str">
        <f>IFERROR(__xludf.DUMMYFUNCTION("""COMPUTED_VALUE"""),"muzea")</f>
        <v>muzea</v>
      </c>
      <c r="H6" s="9" t="str">
        <f>IFERROR(__xludf.DUMMYFUNCTION("""COMPUTED_VALUE"""),"Muzea a památníky spojené s jednotlivými osobnostmi")</f>
        <v>Muzea a památníky spojené s jednotlivými osobnostmi</v>
      </c>
      <c r="I6" s="9" t="str">
        <f>IFERROR(__xludf.DUMMYFUNCTION("""COMPUTED_VALUE"""),"Ne")</f>
        <v>Ne</v>
      </c>
      <c r="J6" s="9">
        <f>IFERROR(__xludf.DUMMYFUNCTION("""COMPUTED_VALUE"""),1955.0)</f>
        <v>1955</v>
      </c>
      <c r="K6" s="9">
        <f>IFERROR(__xludf.DUMMYFUNCTION("""COMPUTED_VALUE"""),1989.0)</f>
        <v>1989</v>
      </c>
      <c r="L6" s="12" t="str">
        <f>IFERROR(__xludf.DUMMYFUNCTION("""COMPUTED_VALUE"""),"ANM, fond Sbírka Muzeum dělnického hnutí, nezpracováno; Sbírky Muzea Vyškovska; ANM, Sbírka Muzeum dělnického hnutí")</f>
        <v>ANM, fond Sbírka Muzeum dělnického hnutí, nezpracováno; Sbírky Muzea Vyškovska; ANM, Sbírka Muzeum dělnického hnutí</v>
      </c>
      <c r="M6" s="9"/>
      <c r="N6" s="9" t="str">
        <f>IFERROR(__xludf.DUMMYFUNCTION("""COMPUTED_VALUE"""),"o1.JPG")</f>
        <v>o1.JPG</v>
      </c>
      <c r="O6" s="6" t="str">
        <f>IFERROR(__xludf.DUMMYFUNCTION("""COMPUTED_VALUE"""),"Dobová pohlednice.")</f>
        <v>Dobová pohlednice.</v>
      </c>
      <c r="P6" s="6" t="str">
        <f>IFERROR(__xludf.DUMMYFUNCTION("""COMPUTED_VALUE"""),"NM, Sbírka Muzeum dělnického hnutí")</f>
        <v>NM, Sbírka Muzeum dělnického hnutí</v>
      </c>
      <c r="Q6" s="6" t="str">
        <f>IFERROR(__xludf.DUMMYFUNCTION("""COMPUTED_VALUE"""),"o2.JPG")</f>
        <v>o2.JPG</v>
      </c>
      <c r="R6" s="6" t="str">
        <f>IFERROR(__xludf.DUMMYFUNCTION("""COMPUTED_VALUE"""),"Z expozice")</f>
        <v>Z expozice</v>
      </c>
      <c r="S6" s="6" t="str">
        <f>IFERROR(__xludf.DUMMYFUNCTION("""COMPUTED_VALUE"""),"NM, Sbírka Muzeum dělnického hnutí")</f>
        <v>NM, Sbírka Muzeum dělnického hnutí</v>
      </c>
      <c r="T6" s="6"/>
      <c r="U6" s="6"/>
      <c r="V6" s="6"/>
      <c r="W6" s="6"/>
      <c r="X6" s="6"/>
      <c r="Y6" s="6"/>
      <c r="Z6" s="6"/>
      <c r="AA6" s="6"/>
    </row>
    <row r="7" ht="15.75" customHeight="1">
      <c r="A7" s="7">
        <f t="shared" si="1"/>
        <v>6</v>
      </c>
      <c r="B7" s="9" t="str">
        <f>IFERROR(__xludf.DUMMYFUNCTION("""COMPUTED_VALUE"""),"15.9099458")</f>
        <v>15.9099458</v>
      </c>
      <c r="C7" s="9" t="str">
        <f>IFERROR(__xludf.DUMMYFUNCTION("""COMPUTED_VALUE"""),"49.2969847")</f>
        <v>49.2969847</v>
      </c>
      <c r="D7" s="9" t="str">
        <f>IFERROR(__xludf.DUMMYFUNCTION("""COMPUTED_VALUE"""),"Památník armádního generála Ludvíka Svobody, Hroznatín")</f>
        <v>Památník armádního generála Ludvíka Svobody, Hroznatín</v>
      </c>
      <c r="E7" s="10" t="str">
        <f>IFERROR(__xludf.DUMMYFUNCTION("""COMPUTED_VALUE"""),"památníky")</f>
        <v>památníky</v>
      </c>
      <c r="F7" s="9" t="str">
        <f>IFERROR(__xludf.DUMMYFUNCTION("""COMPUTED_VALUE"""),"V roce 1985 byl rodný dům Ludvíka Svobody adaptován na památník. Expozice se zaměřovala na Svobodův oficiální životní příběh, které dominoval obraz generála a státníka.")</f>
        <v>V roce 1985 byl rodný dům Ludvíka Svobody adaptován na památník. Expozice se zaměřovala na Svobodův oficiální životní příběh, které dominoval obraz generála a státníka.</v>
      </c>
      <c r="G7" s="9" t="str">
        <f>IFERROR(__xludf.DUMMYFUNCTION("""COMPUTED_VALUE"""),"muzea")</f>
        <v>muzea</v>
      </c>
      <c r="H7" s="9" t="str">
        <f>IFERROR(__xludf.DUMMYFUNCTION("""COMPUTED_VALUE"""),"Muzea a památníky spojené s jednotlivými osobnostmi")</f>
        <v>Muzea a památníky spojené s jednotlivými osobnostmi</v>
      </c>
      <c r="I7" s="9" t="str">
        <f>IFERROR(__xludf.DUMMYFUNCTION("""COMPUTED_VALUE"""),"Ne")</f>
        <v>Ne</v>
      </c>
      <c r="J7" s="9">
        <f>IFERROR(__xludf.DUMMYFUNCTION("""COMPUTED_VALUE"""),1985.0)</f>
        <v>1985</v>
      </c>
      <c r="K7" s="9">
        <f>IFERROR(__xludf.DUMMYFUNCTION("""COMPUTED_VALUE"""),1989.0)</f>
        <v>1989</v>
      </c>
      <c r="L7" s="12" t="str">
        <f>IFERROR(__xludf.DUMMYFUNCTION("""COMPUTED_VALUE"""),"Jaromír Kalous: Muzea na Moravě a ve Slezsku, Ostrava: Profil 1988, str. 117-118")</f>
        <v>Jaromír Kalous: Muzea na Moravě a ve Slezsku, Ostrava: Profil 1988, str. 117-118</v>
      </c>
      <c r="M7" s="9"/>
      <c r="N7" s="9"/>
      <c r="O7" s="6"/>
      <c r="P7" s="6"/>
      <c r="Q7" s="6"/>
      <c r="R7" s="6"/>
      <c r="S7" s="6"/>
      <c r="T7" s="6"/>
      <c r="U7" s="6"/>
      <c r="V7" s="6"/>
      <c r="W7" s="6"/>
      <c r="X7" s="6"/>
      <c r="Y7" s="6"/>
      <c r="Z7" s="6"/>
      <c r="AA7" s="6"/>
    </row>
    <row r="8" ht="15.75" customHeight="1">
      <c r="A8" s="7">
        <f t="shared" si="1"/>
        <v>7</v>
      </c>
      <c r="B8" s="9" t="str">
        <f>IFERROR(__xludf.DUMMYFUNCTION("""COMPUTED_VALUE"""),"17.0550869")</f>
        <v>17.0550869</v>
      </c>
      <c r="C8" s="9" t="str">
        <f>IFERROR(__xludf.DUMMYFUNCTION("""COMPUTED_VALUE"""),"49.5148786")</f>
        <v>49.5148786</v>
      </c>
      <c r="D8" s="9" t="str">
        <f>IFERROR(__xludf.DUMMYFUNCTION("""COMPUTED_VALUE"""),"Památník Petra Bezruče, Kostelec na Hané")</f>
        <v>Památník Petra Bezruče, Kostelec na Hané</v>
      </c>
      <c r="E8" s="10" t="str">
        <f>IFERROR(__xludf.DUMMYFUNCTION("""COMPUTED_VALUE"""),"památníky")</f>
        <v>památníky</v>
      </c>
      <c r="F8" s="9" t="str">
        <f>IFERROR(__xludf.DUMMYFUNCTION("""COMPUTED_VALUE"""),"V roce 1962 byl domek, ve kterém Bezruč žil, přeměněn na památník s expozicí. Centrem je pracovna pietně uchovávaná v původním stavu.")</f>
        <v>V roce 1962 byl domek, ve kterém Bezruč žil, přeměněn na památník s expozicí. Centrem je pracovna pietně uchovávaná v původním stavu.</v>
      </c>
      <c r="G8" s="9" t="str">
        <f>IFERROR(__xludf.DUMMYFUNCTION("""COMPUTED_VALUE"""),"muzea")</f>
        <v>muzea</v>
      </c>
      <c r="H8" s="9" t="str">
        <f>IFERROR(__xludf.DUMMYFUNCTION("""COMPUTED_VALUE"""),"Muzea a památníky spojené s jednotlivými osobnostmi")</f>
        <v>Muzea a památníky spojené s jednotlivými osobnostmi</v>
      </c>
      <c r="I8" s="9" t="str">
        <f>IFERROR(__xludf.DUMMYFUNCTION("""COMPUTED_VALUE"""),"Ano")</f>
        <v>Ano</v>
      </c>
      <c r="J8" s="9">
        <f>IFERROR(__xludf.DUMMYFUNCTION("""COMPUTED_VALUE"""),1962.0)</f>
        <v>1962</v>
      </c>
      <c r="K8" s="9"/>
      <c r="L8" s="12" t="str">
        <f>IFERROR(__xludf.DUMMYFUNCTION("""COMPUTED_VALUE"""),"Jaromír Kalous: Muzea na Moravě a ve Slezsku, Ostrava: Profil 1988, str. 137-138")</f>
        <v>Jaromír Kalous: Muzea na Moravě a ve Slezsku, Ostrava: Profil 1988, str. 137-138</v>
      </c>
      <c r="M8" s="9"/>
      <c r="N8" s="9"/>
      <c r="O8" s="6"/>
      <c r="P8" s="6"/>
      <c r="Q8" s="6"/>
      <c r="R8" s="6"/>
      <c r="S8" s="6"/>
      <c r="T8" s="6"/>
      <c r="U8" s="6"/>
      <c r="V8" s="6"/>
      <c r="W8" s="6"/>
      <c r="X8" s="6"/>
      <c r="Y8" s="6"/>
      <c r="Z8" s="6"/>
      <c r="AA8" s="6"/>
    </row>
    <row r="9" ht="15.75" customHeight="1">
      <c r="A9" s="7">
        <f t="shared" si="1"/>
        <v>8</v>
      </c>
      <c r="B9" s="9" t="str">
        <f>IFERROR(__xludf.DUMMYFUNCTION("""COMPUTED_VALUE"""),"17.9018838")</f>
        <v>17.9018838</v>
      </c>
      <c r="C9" s="9" t="str">
        <f>IFERROR(__xludf.DUMMYFUNCTION("""COMPUTED_VALUE"""),"49.9363497")</f>
        <v>49.9363497</v>
      </c>
      <c r="D9" s="9" t="str">
        <f>IFERROR(__xludf.DUMMYFUNCTION("""COMPUTED_VALUE"""),"Památník Petra Bezruče, Opava")</f>
        <v>Památník Petra Bezruče, Opava</v>
      </c>
      <c r="E9" s="10" t="str">
        <f>IFERROR(__xludf.DUMMYFUNCTION("""COMPUTED_VALUE"""),"památníky")</f>
        <v>památníky</v>
      </c>
      <c r="F9" s="9" t="str">
        <f>IFERROR(__xludf.DUMMYFUNCTION("""COMPUTED_VALUE"""),"V roce 1954 vznikl památník Petra Bezruče na místě jeho rodného domu. Expozice byla v roce 1967 modernizována. V současné době objekt spravuje Slezské muzeum.")</f>
        <v>V roce 1954 vznikl památník Petra Bezruče na místě jeho rodného domu. Expozice byla v roce 1967 modernizována. V současné době objekt spravuje Slezské muzeum.</v>
      </c>
      <c r="G9" s="9" t="str">
        <f>IFERROR(__xludf.DUMMYFUNCTION("""COMPUTED_VALUE"""),"muzea")</f>
        <v>muzea</v>
      </c>
      <c r="H9" s="9" t="str">
        <f>IFERROR(__xludf.DUMMYFUNCTION("""COMPUTED_VALUE"""),"Muzea a památníky spojené s jednotlivými osobnostmi")</f>
        <v>Muzea a památníky spojené s jednotlivými osobnostmi</v>
      </c>
      <c r="I9" s="9" t="str">
        <f>IFERROR(__xludf.DUMMYFUNCTION("""COMPUTED_VALUE"""),"Ano")</f>
        <v>Ano</v>
      </c>
      <c r="J9" s="9">
        <f>IFERROR(__xludf.DUMMYFUNCTION("""COMPUTED_VALUE"""),1954.0)</f>
        <v>1954</v>
      </c>
      <c r="K9" s="9"/>
      <c r="L9" s="12" t="str">
        <f>IFERROR(__xludf.DUMMYFUNCTION("""COMPUTED_VALUE"""),"Jaromír Kalous: Muzea na Moravě a ve Slezsku, Ostrava: Profil 1988, s. 194-195; Slezské muzeum: Památník P. Bezruče Opava, 6. 5. 2021, szm.cz (dostupné na http://www.szm.cz/rubrika/33/expozicni-arealy/pamatnik-p-bezruce-opava.html)")</f>
        <v>Jaromír Kalous: Muzea na Moravě a ve Slezsku, Ostrava: Profil 1988, s. 194-195; Slezské muzeum: Památník P. Bezruče Opava, 6. 5. 2021, szm.cz (dostupné na http://www.szm.cz/rubrika/33/expozicni-arealy/pamatnik-p-bezruce-opava.html)</v>
      </c>
      <c r="M9" s="9"/>
      <c r="N9" s="9"/>
      <c r="O9" s="6"/>
      <c r="P9" s="6"/>
      <c r="Q9" s="6"/>
      <c r="R9" s="6"/>
      <c r="S9" s="6"/>
      <c r="T9" s="6"/>
      <c r="U9" s="6"/>
      <c r="V9" s="6"/>
      <c r="W9" s="6"/>
      <c r="X9" s="6"/>
      <c r="Y9" s="6"/>
      <c r="Z9" s="6"/>
      <c r="AA9" s="6"/>
    </row>
    <row r="10" ht="15.75" customHeight="1">
      <c r="A10" s="7">
        <f t="shared" si="1"/>
        <v>9</v>
      </c>
      <c r="B10" s="9" t="str">
        <f>IFERROR(__xludf.DUMMYFUNCTION("""COMPUTED_VALUE"""),"14.4314111")</f>
        <v>14.4314111</v>
      </c>
      <c r="C10" s="9" t="str">
        <f>IFERROR(__xludf.DUMMYFUNCTION("""COMPUTED_VALUE"""),"50.087471")</f>
        <v>50.087471</v>
      </c>
      <c r="D10" s="9" t="str">
        <f>IFERROR(__xludf.DUMMYFUNCTION("""COMPUTED_VALUE"""),"Muzeum Vladimíra Iljiče Lenina, Lidový dům Praha")</f>
        <v>Muzeum Vladimíra Iljiče Lenina, Lidový dům Praha</v>
      </c>
      <c r="E10" s="10" t="str">
        <f>IFERROR(__xludf.DUMMYFUNCTION("""COMPUTED_VALUE"""),"muzea")</f>
        <v>muzea</v>
      </c>
      <c r="F10" s="9" t="str">
        <f>IFERROR(__xludf.DUMMYFUNCTION("""COMPUTED_VALUE"""),"Muzeum vzniklo v roce 1952 na místě paměti české politické levice. Objekt byl historickým sídlem sociální demokracie a místem konání VI. konference SDDSR v lednu 1912, které se Lenin osobně zúčastnil. To se stalo také podmětem pro umístění expozice s eduk"&amp;"ačně-propagandistickým posláním zakotvit Leninův životní příběh do místní kolektivní paměti. Původní expozice byla modernizována v roce 1972.")</f>
        <v>Muzeum vzniklo v roce 1952 na místě paměti české politické levice. Objekt byl historickým sídlem sociální demokracie a místem konání VI. konference SDDSR v lednu 1912, které se Lenin osobně zúčastnil. To se stalo také podmětem pro umístění expozice s edukačně-propagandistickým posláním zakotvit Leninův životní příběh do místní kolektivní paměti. Původní expozice byla modernizována v roce 1972.</v>
      </c>
      <c r="G10" s="9" t="str">
        <f>IFERROR(__xludf.DUMMYFUNCTION("""COMPUTED_VALUE"""),"muzea")</f>
        <v>muzea</v>
      </c>
      <c r="H10" s="9" t="str">
        <f>IFERROR(__xludf.DUMMYFUNCTION("""COMPUTED_VALUE"""),"Muzea a památníky spojené s jednotlivými osobnostmi")</f>
        <v>Muzea a památníky spojené s jednotlivými osobnostmi</v>
      </c>
      <c r="I10" s="9" t="str">
        <f>IFERROR(__xludf.DUMMYFUNCTION("""COMPUTED_VALUE"""),"Ne")</f>
        <v>Ne</v>
      </c>
      <c r="J10" s="9">
        <f>IFERROR(__xludf.DUMMYFUNCTION("""COMPUTED_VALUE"""),1952.0)</f>
        <v>1952</v>
      </c>
      <c r="K10" s="9">
        <f>IFERROR(__xludf.DUMMYFUNCTION("""COMPUTED_VALUE"""),1989.0)</f>
        <v>1989</v>
      </c>
      <c r="L10" s="12" t="str">
        <f>IFERROR(__xludf.DUMMYFUNCTION("""COMPUTED_VALUE"""),"Jaroslav Soukup: Praha. Město revolučních tradic, Praha: Olympia 1971; Alexandr Ježek - Milan Peremský: Muzeum Vladimíra Iljiče Lenina v Praze, Praha: Středočeské nakladatelství a knihkupectví v Praze 1976")</f>
        <v>Jaroslav Soukup: Praha. Město revolučních tradic, Praha: Olympia 1971; Alexandr Ježek - Milan Peremský: Muzeum Vladimíra Iljiče Lenina v Praze, Praha: Středočeské nakladatelství a knihkupectví v Praze 1976</v>
      </c>
      <c r="M10" s="9"/>
      <c r="N10" s="9" t="str">
        <f>IFERROR(__xludf.DUMMYFUNCTION("""COMPUTED_VALUE"""),"o4.jpg")</f>
        <v>o4.jpg</v>
      </c>
      <c r="O10" s="6" t="str">
        <f>IFERROR(__xludf.DUMMYFUNCTION("""COMPUTED_VALUE"""),"Z expozice")</f>
        <v>Z expozice</v>
      </c>
      <c r="P10" s="6" t="str">
        <f>IFERROR(__xludf.DUMMYFUNCTION("""COMPUTED_VALUE"""),"NM, fond Sbírka Muzeum dělnického hnutí, nezpracováno")</f>
        <v>NM, fond Sbírka Muzeum dělnického hnutí, nezpracováno</v>
      </c>
      <c r="Q10" s="6" t="str">
        <f>IFERROR(__xludf.DUMMYFUNCTION("""COMPUTED_VALUE"""),"o6.jpg")</f>
        <v>o6.jpg</v>
      </c>
      <c r="R10" s="6" t="str">
        <f>IFERROR(__xludf.DUMMYFUNCTION("""COMPUTED_VALUE"""),"Z expozic")</f>
        <v>Z expozic</v>
      </c>
      <c r="S10" s="6" t="str">
        <f>IFERROR(__xludf.DUMMYFUNCTION("""COMPUTED_VALUE"""),"NM, fond Sbírka Muzeum dělnického hnutí, nezpracováno")</f>
        <v>NM, fond Sbírka Muzeum dělnického hnutí, nezpracováno</v>
      </c>
      <c r="T10" s="6"/>
      <c r="U10" s="6"/>
      <c r="V10" s="6"/>
      <c r="W10" s="6"/>
      <c r="X10" s="6"/>
      <c r="Y10" s="6"/>
      <c r="Z10" s="6"/>
      <c r="AA10" s="6"/>
    </row>
    <row r="11" ht="15.75" customHeight="1">
      <c r="A11" s="7">
        <f t="shared" si="1"/>
        <v>10</v>
      </c>
      <c r="B11" s="9" t="str">
        <f>IFERROR(__xludf.DUMMYFUNCTION("""COMPUTED_VALUE"""),"16.8817542")</f>
        <v>16.8817542</v>
      </c>
      <c r="C11" s="9" t="str">
        <f>IFERROR(__xludf.DUMMYFUNCTION("""COMPUTED_VALUE"""),"49.2016067")</f>
        <v>49.2016067</v>
      </c>
      <c r="D11" s="9" t="str">
        <f>IFERROR(__xludf.DUMMYFUNCTION("""COMPUTED_VALUE"""),"Světnička Klementa Gottwalda v Rousínově ")</f>
        <v>Světnička Klementa Gottwalda v Rousínově </v>
      </c>
      <c r="E11" s="10" t="str">
        <f>IFERROR(__xludf.DUMMYFUNCTION("""COMPUTED_VALUE"""),"památníky")</f>
        <v>památníky</v>
      </c>
      <c r="F11" s="9" t="str">
        <f>IFERROR(__xludf.DUMMYFUNCTION("""COMPUTED_VALUE"""),"Místo spojené s pobytem Klementa Gottwalda, který v letech 1920–1921 pracoval v místní truhlářské dílně. Objekt byl veřejnosti zpřístupněn v roce 1954 ve formě expozice v pamětní světničce. Památník nejprve spravovalo pražské Muzea Klementa Gottwalda a po"&amp;"sléze fungoval pod dohledem Muzea dělnického hnutí v Brně. V roce 1985 započala rekonstrukce objektu.")</f>
        <v>Místo spojené s pobytem Klementa Gottwalda, který v letech 1920–1921 pracoval v místní truhlářské dílně. Objekt byl veřejnosti zpřístupněn v roce 1954 ve formě expozice v pamětní světničce. Památník nejprve spravovalo pražské Muzea Klementa Gottwalda a posléze fungoval pod dohledem Muzea dělnického hnutí v Brně. V roce 1985 započala rekonstrukce objektu.</v>
      </c>
      <c r="G11" s="9" t="str">
        <f>IFERROR(__xludf.DUMMYFUNCTION("""COMPUTED_VALUE"""),"muzea")</f>
        <v>muzea</v>
      </c>
      <c r="H11" s="9" t="str">
        <f>IFERROR(__xludf.DUMMYFUNCTION("""COMPUTED_VALUE"""),"Muzea a památníky spojené s jednotlivými osobnostmi")</f>
        <v>Muzea a památníky spojené s jednotlivými osobnostmi</v>
      </c>
      <c r="I11" s="9" t="str">
        <f>IFERROR(__xludf.DUMMYFUNCTION("""COMPUTED_VALUE"""),"Ne")</f>
        <v>Ne</v>
      </c>
      <c r="J11" s="9">
        <f>IFERROR(__xludf.DUMMYFUNCTION("""COMPUTED_VALUE"""),1954.0)</f>
        <v>1954</v>
      </c>
      <c r="K11" s="9">
        <f>IFERROR(__xludf.DUMMYFUNCTION("""COMPUTED_VALUE"""),1989.0)</f>
        <v>1989</v>
      </c>
      <c r="L11" s="12" t="str">
        <f>IFERROR(__xludf.DUMMYFUNCTION("""COMPUTED_VALUE"""),"ANM, fond Sbírka Muzeum dělnického hnutí, nezpracováno; Sbírky Muzea Vyškovska")</f>
        <v>ANM, fond Sbírka Muzeum dělnického hnutí, nezpracováno; Sbírky Muzea Vyškovska</v>
      </c>
      <c r="M11" s="9"/>
      <c r="N11" s="9" t="str">
        <f>IFERROR(__xludf.DUMMYFUNCTION("""COMPUTED_VALUE"""),"o2.JPG")</f>
        <v>o2.JPG</v>
      </c>
      <c r="O11" s="6" t="str">
        <f>IFERROR(__xludf.DUMMYFUNCTION("""COMPUTED_VALUE"""),"Vstupní část expozice.")</f>
        <v>Vstupní část expozice.</v>
      </c>
      <c r="P11" s="6" t="str">
        <f>IFERROR(__xludf.DUMMYFUNCTION("""COMPUTED_VALUE"""),"ANM, fond Sbírka Muzeum dělnického hnutí, nezpracováno")</f>
        <v>ANM, fond Sbírka Muzeum dělnického hnutí, nezpracováno</v>
      </c>
      <c r="Q11" s="6" t="str">
        <f>IFERROR(__xludf.DUMMYFUNCTION("""COMPUTED_VALUE"""),"o3.JPG")</f>
        <v>o3.JPG</v>
      </c>
      <c r="R11" s="6" t="str">
        <f>IFERROR(__xludf.DUMMYFUNCTION("""COMPUTED_VALUE"""),"Z expozice: Gottwald truhlářem a státníkem.")</f>
        <v>Z expozice: Gottwald truhlářem a státníkem.</v>
      </c>
      <c r="S11" s="6" t="str">
        <f>IFERROR(__xludf.DUMMYFUNCTION("""COMPUTED_VALUE"""),"ANM, fond Sbírka Muzeum dělnického hnutí, nezpracováno")</f>
        <v>ANM, fond Sbírka Muzeum dělnického hnutí, nezpracováno</v>
      </c>
      <c r="T11" s="6"/>
      <c r="U11" s="6"/>
      <c r="V11" s="6"/>
      <c r="W11" s="6"/>
      <c r="X11" s="6"/>
      <c r="Y11" s="6"/>
      <c r="Z11" s="6"/>
      <c r="AA11" s="6"/>
    </row>
    <row r="12" ht="15.75" customHeight="1">
      <c r="A12" s="7">
        <f t="shared" si="1"/>
        <v>11</v>
      </c>
      <c r="B12" s="9" t="str">
        <f>IFERROR(__xludf.DUMMYFUNCTION("""COMPUTED_VALUE"""),"14.3262307")</f>
        <v>14.3262307</v>
      </c>
      <c r="C12" s="9" t="str">
        <f>IFERROR(__xludf.DUMMYFUNCTION("""COMPUTED_VALUE"""),"50.0833908")</f>
        <v>50.0833908</v>
      </c>
      <c r="D12" s="9" t="str">
        <f>IFERROR(__xludf.DUMMYFUNCTION("""COMPUTED_VALUE"""),"Muzeum Aloise Jiráska a Mikoláše Alše, Letohrádek Hvězda")</f>
        <v>Muzeum Aloise Jiráska a Mikoláše Alše, Letohrádek Hvězda</v>
      </c>
      <c r="E12" s="10" t="str">
        <f>IFERROR(__xludf.DUMMYFUNCTION("""COMPUTED_VALUE"""),"muzea")</f>
        <v>muzea</v>
      </c>
      <c r="F12" s="9" t="str">
        <f>IFERROR(__xludf.DUMMYFUNCTION("""COMPUTED_VALUE"""),"Muzeum, jehož stěžejní částí byla expozice Život a dílo Aloise Jiráska, vznikla v rámci Jiráskovské akce v roce 1951 pod vedením Drahomíry Jiráskové a Zdeňka Nejedlého. Související přestavbu objektu vedl architekt Jaroslav Pospíšil. Hlavním tématem bylo p"&amp;"ropojení národních dějin s Jiráskovými romány vnímanými jako učebnice pro lid. K dílčím zásahům a rozšíření expozice došlo v roce 1966, kdy se zájem částečně přesunul k samotnému objektu letohrádku a k Bělohorské bitvě.")</f>
        <v>Muzeum, jehož stěžejní částí byla expozice Život a dílo Aloise Jiráska, vznikla v rámci Jiráskovské akce v roce 1951 pod vedením Drahomíry Jiráskové a Zdeňka Nejedlého. Související přestavbu objektu vedl architekt Jaroslav Pospíšil. Hlavním tématem bylo propojení národních dějin s Jiráskovými romány vnímanými jako učebnice pro lid. K dílčím zásahům a rozšíření expozice došlo v roce 1966, kdy se zájem částečně přesunul k samotnému objektu letohrádku a k Bělohorské bitvě.</v>
      </c>
      <c r="G12" s="9" t="str">
        <f>IFERROR(__xludf.DUMMYFUNCTION("""COMPUTED_VALUE"""),"muzea")</f>
        <v>muzea</v>
      </c>
      <c r="H12" s="9" t="str">
        <f>IFERROR(__xludf.DUMMYFUNCTION("""COMPUTED_VALUE"""),"Muzea a památníky spojené s jednotlivými osobnostmi")</f>
        <v>Muzea a památníky spojené s jednotlivými osobnostmi</v>
      </c>
      <c r="I12" s="9" t="str">
        <f>IFERROR(__xludf.DUMMYFUNCTION("""COMPUTED_VALUE"""),"Ne")</f>
        <v>Ne</v>
      </c>
      <c r="J12" s="9">
        <f>IFERROR(__xludf.DUMMYFUNCTION("""COMPUTED_VALUE"""),1951.0)</f>
        <v>1951</v>
      </c>
      <c r="K12" s="9">
        <f>IFERROR(__xludf.DUMMYFUNCTION("""COMPUTED_VALUE"""),1989.0)</f>
        <v>1989</v>
      </c>
      <c r="L12" s="12" t="str">
        <f>IFERROR(__xludf.DUMMYFUNCTION("""COMPUTED_VALUE"""),"Jiří Padevět: Průvodce stalinistickou Prahou 1948-1956. Místa-události-lidé, Praha: Academia 2018, str. 694; František Kavka – Stanislav Pánek – Jakub Pavel – Josef Polišenský – Marie Vorlíčková: Bílá hora. Národní kulturní památka, Praha: Muzeum Aloise J"&amp;"iráska a Mikoláše Alše – Olympia 1969; Drahomíra Jirásková – Václav Kamelský – Jaromír Kouba – Marie Vorlíčková: Muzeum Aloise Jiráska, Praha: Sportovní a turistické nakladatelství 1962")</f>
        <v>Jiří Padevět: Průvodce stalinistickou Prahou 1948-1956. Místa-události-lidé, Praha: Academia 2018, str. 694; František Kavka – Stanislav Pánek – Jakub Pavel – Josef Polišenský – Marie Vorlíčková: Bílá hora. Národní kulturní památka, Praha: Muzeum Aloise Jiráska a Mikoláše Alše – Olympia 1969; Drahomíra Jirásková – Václav Kamelský – Jaromír Kouba – Marie Vorlíčková: Muzeum Aloise Jiráska, Praha: Sportovní a turistické nakladatelství 1962</v>
      </c>
      <c r="M12" s="9"/>
      <c r="N12" s="9" t="str">
        <f>IFERROR(__xludf.DUMMYFUNCTION("""COMPUTED_VALUE"""),"o1.JPG")</f>
        <v>o1.JPG</v>
      </c>
      <c r="O12" s="6" t="str">
        <f>IFERROR(__xludf.DUMMYFUNCTION("""COMPUTED_VALUE"""),"Letohrádek Hvězda v 50. letech.")</f>
        <v>Letohrádek Hvězda v 50. letech.</v>
      </c>
      <c r="P12" s="6" t="str">
        <f>IFERROR(__xludf.DUMMYFUNCTION("""COMPUTED_VALUE"""),"Drahomíra Jirásková – Václav Kamelský – Jaromír Kouba – Marie Vorlíčková: Muzeum Aloise Jiráska, Praha: Sportovní a turistické nakladatelství 1962")</f>
        <v>Drahomíra Jirásková – Václav Kamelský – Jaromír Kouba – Marie Vorlíčková: Muzeum Aloise Jiráska, Praha: Sportovní a turistické nakladatelství 1962</v>
      </c>
      <c r="Q12" s="6" t="str">
        <f>IFERROR(__xludf.DUMMYFUNCTION("""COMPUTED_VALUE"""),"o2.JPG")</f>
        <v>o2.JPG</v>
      </c>
      <c r="R12" s="6" t="str">
        <f>IFERROR(__xludf.DUMMYFUNCTION("""COMPUTED_VALUE"""),"Socha Aloise Jiráska v expozici.")</f>
        <v>Socha Aloise Jiráska v expozici.</v>
      </c>
      <c r="S12" s="6" t="str">
        <f>IFERROR(__xludf.DUMMYFUNCTION("""COMPUTED_VALUE"""),"Drahomíra Jirásková – Václav Kamelský – Jaromír Kouba – Marie Vorlíčková: Muzeum Aloise Jiráska, Praha: Sportovní a turistické nakladatelství 1962")</f>
        <v>Drahomíra Jirásková – Václav Kamelský – Jaromír Kouba – Marie Vorlíčková: Muzeum Aloise Jiráska, Praha: Sportovní a turistické nakladatelství 1962</v>
      </c>
      <c r="T12" s="6"/>
      <c r="U12" s="6"/>
      <c r="V12" s="6"/>
      <c r="W12" s="6"/>
      <c r="X12" s="6"/>
      <c r="Y12" s="6"/>
      <c r="Z12" s="6"/>
      <c r="AA12" s="6"/>
    </row>
    <row r="13" ht="15.75" customHeight="1">
      <c r="A13" s="7">
        <f t="shared" si="1"/>
        <v>12</v>
      </c>
      <c r="B13" s="9" t="str">
        <f>IFERROR(__xludf.DUMMYFUNCTION("""COMPUTED_VALUE"""),"12.8719616")</f>
        <v>12.8719616</v>
      </c>
      <c r="C13" s="9" t="str">
        <f>IFERROR(__xludf.DUMMYFUNCTION("""COMPUTED_VALUE"""),"50.2318521")</f>
        <v>50.2318521</v>
      </c>
      <c r="D13" s="9" t="str">
        <f>IFERROR(__xludf.DUMMYFUNCTION("""COMPUTED_VALUE"""),"Muzeum Karla Marxe, Karlovy Vary")</f>
        <v>Muzeum Karla Marxe, Karlovy Vary</v>
      </c>
      <c r="E13" s="10" t="str">
        <f>IFERROR(__xludf.DUMMYFUNCTION("""COMPUTED_VALUE"""),"muzea")</f>
        <v>muzea</v>
      </c>
      <c r="F13" s="9" t="str">
        <f>IFERROR(__xludf.DUMMYFUNCTION("""COMPUTED_VALUE"""),"Muzeum zřídil v roce 1960 Ústav dějin KSČ ve spolupráci s Karlovarským muzeem. Základem expozice Karel Marx v Karlových Varech byl filosofův pobyt ve městě v souvislosti se stavem regionu v období kapitalismu. Ve městě se nachází také Marxův pomník z roku"&amp;" 1988.")</f>
        <v>Muzeum zřídil v roce 1960 Ústav dějin KSČ ve spolupráci s Karlovarským muzeem. Základem expozice Karel Marx v Karlových Varech byl filosofův pobyt ve městě v souvislosti se stavem regionu v období kapitalismu. Ve městě se nachází také Marxův pomník z roku 1988.</v>
      </c>
      <c r="G13" s="9" t="str">
        <f>IFERROR(__xludf.DUMMYFUNCTION("""COMPUTED_VALUE"""),"muzea")</f>
        <v>muzea</v>
      </c>
      <c r="H13" s="9" t="str">
        <f>IFERROR(__xludf.DUMMYFUNCTION("""COMPUTED_VALUE"""),"Muzea a památníky spojené s jednotlivými osobnostmi")</f>
        <v>Muzea a památníky spojené s jednotlivými osobnostmi</v>
      </c>
      <c r="I13" s="9" t="str">
        <f>IFERROR(__xludf.DUMMYFUNCTION("""COMPUTED_VALUE"""),"Ne")</f>
        <v>Ne</v>
      </c>
      <c r="J13" s="9">
        <f>IFERROR(__xludf.DUMMYFUNCTION("""COMPUTED_VALUE"""),1960.0)</f>
        <v>1960</v>
      </c>
      <c r="K13" s="9">
        <f>IFERROR(__xludf.DUMMYFUNCTION("""COMPUTED_VALUE"""),1989.0)</f>
        <v>1989</v>
      </c>
      <c r="L13" s="12" t="str">
        <f>IFERROR(__xludf.DUMMYFUNCTION("""COMPUTED_VALUE"""),"Milan Hromádka - Marie Poláková - Jarmila Valentová: Kulturní adresář ČSR, Praha: Ústav pro výzkum kultury 1973, str. 337; Václav Pubal: Muzea, galerie a památkové objekty v ČSR, Praha: Národní muzeum 1973, s. 120")</f>
        <v>Milan Hromádka - Marie Poláková - Jarmila Valentová: Kulturní adresář ČSR, Praha: Ústav pro výzkum kultury 1973, str. 337; Václav Pubal: Muzea, galerie a památkové objekty v ČSR, Praha: Národní muzeum 1973, s. 120</v>
      </c>
      <c r="M13" s="9"/>
      <c r="N13" s="9"/>
      <c r="O13" s="6"/>
      <c r="P13" s="6"/>
      <c r="Q13" s="6"/>
      <c r="R13" s="6"/>
      <c r="S13" s="6"/>
      <c r="T13" s="6"/>
      <c r="U13" s="6"/>
      <c r="V13" s="6"/>
      <c r="W13" s="6"/>
      <c r="X13" s="6"/>
      <c r="Y13" s="6"/>
      <c r="Z13" s="6"/>
      <c r="AA13" s="6"/>
    </row>
    <row r="14" ht="15.75" customHeight="1">
      <c r="A14" s="7">
        <f t="shared" si="1"/>
        <v>13</v>
      </c>
      <c r="B14" s="9" t="str">
        <f>IFERROR(__xludf.DUMMYFUNCTION("""COMPUTED_VALUE"""),"16.0427679")</f>
        <v>16.0427679</v>
      </c>
      <c r="C14" s="9" t="str">
        <f>IFERROR(__xludf.DUMMYFUNCTION("""COMPUTED_VALUE"""),"50.3946667")</f>
        <v>50.3946667</v>
      </c>
      <c r="D14" s="9" t="str">
        <f>IFERROR(__xludf.DUMMYFUNCTION("""COMPUTED_VALUE"""),"Muzeum Boženy Němcové, Česká Skalice")</f>
        <v>Muzeum Boženy Němcové, Česká Skalice</v>
      </c>
      <c r="E14" s="10" t="str">
        <f>IFERROR(__xludf.DUMMYFUNCTION("""COMPUTED_VALUE"""),"muzea")</f>
        <v>muzea</v>
      </c>
      <c r="F14" s="9" t="str">
        <f>IFERROR(__xludf.DUMMYFUNCTION("""COMPUTED_VALUE"""),"Zatímco městské muzeum se již v meziválečné době na postavu autorky silně orientovalo, samostatná instituce s vlastní expozicí Život a dílo Boženy Němcové vznikla v roce 1962.")</f>
        <v>Zatímco městské muzeum se již v meziválečné době na postavu autorky silně orientovalo, samostatná instituce s vlastní expozicí Život a dílo Boženy Němcové vznikla v roce 1962.</v>
      </c>
      <c r="G14" s="9" t="str">
        <f>IFERROR(__xludf.DUMMYFUNCTION("""COMPUTED_VALUE"""),"muzea")</f>
        <v>muzea</v>
      </c>
      <c r="H14" s="9" t="str">
        <f>IFERROR(__xludf.DUMMYFUNCTION("""COMPUTED_VALUE"""),"Muzea a památníky spojené s jednotlivými osobnostmi")</f>
        <v>Muzea a památníky spojené s jednotlivými osobnostmi</v>
      </c>
      <c r="I14" s="9" t="str">
        <f>IFERROR(__xludf.DUMMYFUNCTION("""COMPUTED_VALUE"""),"Ano")</f>
        <v>Ano</v>
      </c>
      <c r="J14" s="9">
        <f>IFERROR(__xludf.DUMMYFUNCTION("""COMPUTED_VALUE"""),1962.0)</f>
        <v>1962</v>
      </c>
      <c r="K14" s="9"/>
      <c r="L14" s="12" t="str">
        <f>IFERROR(__xludf.DUMMYFUNCTION("""COMPUTED_VALUE"""),"Milan Hromádka - Marie Poláková - Jarmila Valentová: Kulturní adresář ČSR, Praha: Ústav pro výzkum kultury 1973, str. 342; Václav Pubal: Muzea, galerie a památkové objekty v ČSR, Praha: Národní muzeum 1973, s. 82")</f>
        <v>Milan Hromádka - Marie Poláková - Jarmila Valentová: Kulturní adresář ČSR, Praha: Ústav pro výzkum kultury 1973, str. 342; Václav Pubal: Muzea, galerie a památkové objekty v ČSR, Praha: Národní muzeum 1973, s. 82</v>
      </c>
      <c r="M14" s="9"/>
      <c r="N14" s="9"/>
      <c r="O14" s="6"/>
      <c r="P14" s="6"/>
      <c r="Q14" s="6"/>
      <c r="R14" s="6"/>
      <c r="S14" s="6"/>
      <c r="T14" s="6"/>
      <c r="U14" s="6"/>
      <c r="V14" s="6"/>
      <c r="W14" s="6"/>
      <c r="X14" s="6"/>
      <c r="Y14" s="6"/>
      <c r="Z14" s="6"/>
      <c r="AA14" s="6"/>
    </row>
    <row r="15" ht="15.75" customHeight="1">
      <c r="A15" s="7">
        <f t="shared" si="1"/>
        <v>14</v>
      </c>
      <c r="B15" s="9" t="str">
        <f>IFERROR(__xludf.DUMMYFUNCTION("""COMPUTED_VALUE"""),"16.1816772")</f>
        <v>16.1816772</v>
      </c>
      <c r="C15" s="9" t="str">
        <f>IFERROR(__xludf.DUMMYFUNCTION("""COMPUTED_VALUE"""),"50.4800637")</f>
        <v>50.4800637</v>
      </c>
      <c r="D15" s="9" t="str">
        <f>IFERROR(__xludf.DUMMYFUNCTION("""COMPUTED_VALUE"""),"Jiráskovo muzeum, Hronov")</f>
        <v>Jiráskovo muzeum, Hronov</v>
      </c>
      <c r="E15" s="10" t="str">
        <f>IFERROR(__xludf.DUMMYFUNCTION("""COMPUTED_VALUE"""),"muzea")</f>
        <v>muzea</v>
      </c>
      <c r="F15" s="9" t="str">
        <f>IFERROR(__xludf.DUMMYFUNCTION("""COMPUTED_VALUE"""),"Expozice dokumentovala společenský život na Hronovsku související s tematikou Jiráskova díla a národními dějinami.")</f>
        <v>Expozice dokumentovala společenský život na Hronovsku související s tematikou Jiráskova díla a národními dějinami.</v>
      </c>
      <c r="G15" s="9" t="str">
        <f>IFERROR(__xludf.DUMMYFUNCTION("""COMPUTED_VALUE"""),"muzea")</f>
        <v>muzea</v>
      </c>
      <c r="H15" s="9" t="str">
        <f>IFERROR(__xludf.DUMMYFUNCTION("""COMPUTED_VALUE"""),"Muzea a památníky spojené s jednotlivými osobnostmi")</f>
        <v>Muzea a památníky spojené s jednotlivými osobnostmi</v>
      </c>
      <c r="I15" s="9" t="str">
        <f>IFERROR(__xludf.DUMMYFUNCTION("""COMPUTED_VALUE"""),"Ano")</f>
        <v>Ano</v>
      </c>
      <c r="J15" s="9">
        <f>IFERROR(__xludf.DUMMYFUNCTION("""COMPUTED_VALUE"""),1908.0)</f>
        <v>1908</v>
      </c>
      <c r="K15" s="9"/>
      <c r="L15" s="12" t="str">
        <f>IFERROR(__xludf.DUMMYFUNCTION("""COMPUTED_VALUE"""),"Milan Hromádka - Marie Poláková - Jarmila Valentová: Kulturní adresář ČSR, Praha: Ústav pro výzkum kultury 1973, str. 342")</f>
        <v>Milan Hromádka - Marie Poláková - Jarmila Valentová: Kulturní adresář ČSR, Praha: Ústav pro výzkum kultury 1973, str. 342</v>
      </c>
      <c r="M15" s="9"/>
      <c r="N15" s="9"/>
      <c r="O15" s="6"/>
      <c r="P15" s="6"/>
      <c r="Q15" s="6"/>
      <c r="R15" s="6"/>
      <c r="S15" s="6"/>
      <c r="T15" s="6"/>
      <c r="U15" s="6"/>
      <c r="V15" s="6"/>
      <c r="W15" s="6"/>
      <c r="X15" s="6"/>
      <c r="Y15" s="6"/>
      <c r="Z15" s="6"/>
      <c r="AA15" s="6"/>
    </row>
    <row r="16" ht="15.75" customHeight="1">
      <c r="A16" s="7">
        <f t="shared" si="1"/>
        <v>15</v>
      </c>
      <c r="B16" s="9" t="str">
        <f>IFERROR(__xludf.DUMMYFUNCTION("""COMPUTED_VALUE"""),"16.0514705")</f>
        <v>16.0514705</v>
      </c>
      <c r="C16" s="9" t="str">
        <f>IFERROR(__xludf.DUMMYFUNCTION("""COMPUTED_VALUE"""),"50.4166208")</f>
        <v>50.4166208</v>
      </c>
      <c r="D16" s="9" t="str">
        <f>IFERROR(__xludf.DUMMYFUNCTION("""COMPUTED_VALUE"""),"Muzeum Babičky Ratibořice")</f>
        <v>Muzeum Babičky Ratibořice</v>
      </c>
      <c r="E16" s="10" t="str">
        <f>IFERROR(__xludf.DUMMYFUNCTION("""COMPUTED_VALUE"""),"muzea")</f>
        <v>muzea</v>
      </c>
      <c r="F16" s="9" t="str">
        <f>IFERROR(__xludf.DUMMYFUNCTION("""COMPUTED_VALUE"""),"Expozice inspirována dílem Boženy Němcové byla vnímána jako hold konstrukci tradic českého lidu. Zámek prošel procesem muzealizace společně s integrací krajiny Babiččina údolí do vznikající revoluční lidové tradice na počátku 50. let.")</f>
        <v>Expozice inspirována dílem Boženy Němcové byla vnímána jako hold konstrukci tradic českého lidu. Zámek prošel procesem muzealizace společně s integrací krajiny Babiččina údolí do vznikající revoluční lidové tradice na počátku 50. let.</v>
      </c>
      <c r="G16" s="9" t="str">
        <f>IFERROR(__xludf.DUMMYFUNCTION("""COMPUTED_VALUE"""),"muzea")</f>
        <v>muzea</v>
      </c>
      <c r="H16" s="9" t="str">
        <f>IFERROR(__xludf.DUMMYFUNCTION("""COMPUTED_VALUE"""),"Muzea a památníky spojené s jednotlivými osobnostmi")</f>
        <v>Muzea a památníky spojené s jednotlivými osobnostmi</v>
      </c>
      <c r="I16" s="9" t="str">
        <f>IFERROR(__xludf.DUMMYFUNCTION("""COMPUTED_VALUE"""),"Ne")</f>
        <v>Ne</v>
      </c>
      <c r="J16" s="9"/>
      <c r="K16" s="9"/>
      <c r="L16" s="12" t="str">
        <f>IFERROR(__xludf.DUMMYFUNCTION("""COMPUTED_VALUE"""),"Milan Hromádka - Marie Poláková - Jarmila Valentová: Kulturní adresář ČSR, Praha: Ústav pro výzkum kultury 1973, str. 342; Kateřina Sixtová: Kulturní paměť a její funkce: případ Boženy Němcové, diplomová práce, vedoucí Kamil Činátl, Praha, FF UK 2019")</f>
        <v>Milan Hromádka - Marie Poláková - Jarmila Valentová: Kulturní adresář ČSR, Praha: Ústav pro výzkum kultury 1973, str. 342; Kateřina Sixtová: Kulturní paměť a její funkce: případ Boženy Němcové, diplomová práce, vedoucí Kamil Činátl, Praha, FF UK 2019</v>
      </c>
      <c r="M16" s="9"/>
      <c r="N16" s="9"/>
      <c r="O16" s="6"/>
      <c r="P16" s="6"/>
      <c r="Q16" s="6"/>
      <c r="R16" s="6"/>
      <c r="S16" s="6"/>
      <c r="T16" s="6"/>
      <c r="U16" s="6"/>
      <c r="V16" s="6"/>
      <c r="W16" s="6"/>
      <c r="X16" s="6"/>
      <c r="Y16" s="6"/>
      <c r="Z16" s="6"/>
      <c r="AA16" s="6"/>
    </row>
    <row r="17" ht="15.75" customHeight="1">
      <c r="A17" s="7">
        <f t="shared" si="1"/>
        <v>16</v>
      </c>
      <c r="B17" s="9" t="str">
        <f>IFERROR(__xludf.DUMMYFUNCTION("""COMPUTED_VALUE"""),"14.9715535")</f>
        <v>14.9715535</v>
      </c>
      <c r="C17" s="9" t="str">
        <f>IFERROR(__xludf.DUMMYFUNCTION("""COMPUTED_VALUE"""),"50.5276793")</f>
        <v>50.5276793</v>
      </c>
      <c r="D17" s="9" t="str">
        <f>IFERROR(__xludf.DUMMYFUNCTION("""COMPUTED_VALUE"""),"Pamětní síň Jana Švermy, Mnichovo Hradiště")</f>
        <v>Pamětní síň Jana Švermy, Mnichovo Hradiště</v>
      </c>
      <c r="E17" s="10" t="str">
        <f>IFERROR(__xludf.DUMMYFUNCTION("""COMPUTED_VALUE"""),"památníky")</f>
        <v>památníky</v>
      </c>
      <c r="F17" s="9" t="str">
        <f>IFERROR(__xludf.DUMMYFUNCTION("""COMPUTED_VALUE"""),"Pamětní síň vybudována v rámci expozice Městského muzea Mnichovo hradiště.")</f>
        <v>Pamětní síň vybudována v rámci expozice Městského muzea Mnichovo hradiště.</v>
      </c>
      <c r="G17" s="9" t="str">
        <f>IFERROR(__xludf.DUMMYFUNCTION("""COMPUTED_VALUE"""),"muzea")</f>
        <v>muzea</v>
      </c>
      <c r="H17" s="9" t="str">
        <f>IFERROR(__xludf.DUMMYFUNCTION("""COMPUTED_VALUE"""),"Muzea a památníky spojené s jednotlivými osobnostmi")</f>
        <v>Muzea a památníky spojené s jednotlivými osobnostmi</v>
      </c>
      <c r="I17" s="9" t="str">
        <f>IFERROR(__xludf.DUMMYFUNCTION("""COMPUTED_VALUE"""),"Ne")</f>
        <v>Ne</v>
      </c>
      <c r="J17" s="9"/>
      <c r="K17" s="9">
        <f>IFERROR(__xludf.DUMMYFUNCTION("""COMPUTED_VALUE"""),1989.0)</f>
        <v>1989</v>
      </c>
      <c r="L17" s="12" t="str">
        <f>IFERROR(__xludf.DUMMYFUNCTION("""COMPUTED_VALUE"""),"Milan Hromádka - Marie Poláková - Jarmila Valentová: Kulturní adresář ČSR, Praha: Ústav pro výzkum kultury 1973, str. 333")</f>
        <v>Milan Hromádka - Marie Poláková - Jarmila Valentová: Kulturní adresář ČSR, Praha: Ústav pro výzkum kultury 1973, str. 333</v>
      </c>
      <c r="M17" s="9"/>
      <c r="N17" s="9"/>
      <c r="O17" s="6"/>
      <c r="P17" s="6"/>
      <c r="Q17" s="6"/>
      <c r="R17" s="6"/>
      <c r="S17" s="6"/>
      <c r="T17" s="6"/>
      <c r="U17" s="6"/>
      <c r="V17" s="6"/>
      <c r="W17" s="6"/>
      <c r="X17" s="6"/>
      <c r="Y17" s="6"/>
      <c r="Z17" s="6"/>
      <c r="AA17" s="6"/>
    </row>
    <row r="18" ht="15.75" customHeight="1">
      <c r="A18" s="7">
        <f t="shared" si="1"/>
        <v>17</v>
      </c>
      <c r="B18" s="9" t="str">
        <f>IFERROR(__xludf.DUMMYFUNCTION("""COMPUTED_VALUE"""),"13.02203")</f>
        <v>13.02203</v>
      </c>
      <c r="C18" s="9" t="str">
        <f>IFERROR(__xludf.DUMMYFUNCTION("""COMPUTED_VALUE"""),"49.50447")</f>
        <v>49.50447</v>
      </c>
      <c r="D18" s="9" t="str">
        <f>IFERROR(__xludf.DUMMYFUNCTION("""COMPUTED_VALUE"""),"Pamětní síň Julia Fučíka, Chotiměř")</f>
        <v>Pamětní síň Julia Fučíka, Chotiměř</v>
      </c>
      <c r="E18" s="10" t="str">
        <f>IFERROR(__xludf.DUMMYFUNCTION("""COMPUTED_VALUE"""),"památníky")</f>
        <v>památníky</v>
      </c>
      <c r="F18" s="9" t="str">
        <f>IFERROR(__xludf.DUMMYFUNCTION("""COMPUTED_VALUE"""),"Dům, ve kterém pobýval Julius Fučík v letních měsících a zvláště během let 1938 a 1939. Na zámku v Chotiměři měla být zřízena pamětní síň.")</f>
        <v>Dům, ve kterém pobýval Julius Fučík v letních měsících a zvláště během let 1938 a 1939. Na zámku v Chotiměři měla být zřízena pamětní síň.</v>
      </c>
      <c r="G18" s="9" t="str">
        <f>IFERROR(__xludf.DUMMYFUNCTION("""COMPUTED_VALUE"""),"muzea")</f>
        <v>muzea</v>
      </c>
      <c r="H18" s="9" t="str">
        <f>IFERROR(__xludf.DUMMYFUNCTION("""COMPUTED_VALUE"""),"Muzea a památníky spojené s jednotlivými osobnostmi")</f>
        <v>Muzea a památníky spojené s jednotlivými osobnostmi</v>
      </c>
      <c r="I18" s="9" t="str">
        <f>IFERROR(__xludf.DUMMYFUNCTION("""COMPUTED_VALUE"""),"Ne")</f>
        <v>Ne</v>
      </c>
      <c r="J18" s="9"/>
      <c r="K18" s="9">
        <f>IFERROR(__xludf.DUMMYFUNCTION("""COMPUTED_VALUE"""),1989.0)</f>
        <v>1989</v>
      </c>
      <c r="L18" s="12" t="str">
        <f>IFERROR(__xludf.DUMMYFUNCTION("""COMPUTED_VALUE"""),"ANM, osobní fond Gusta Fučíková; Jaroslav Nečas-Libor Kněžek: Malý literární místopis Československa, Praha 1972, str. 35")</f>
        <v>ANM, osobní fond Gusta Fučíková; Jaroslav Nečas-Libor Kněžek: Malý literární místopis Československa, Praha 1972, str. 35</v>
      </c>
      <c r="M18" s="9"/>
      <c r="N18" s="9"/>
      <c r="O18" s="6"/>
      <c r="P18" s="6"/>
      <c r="Q18" s="6"/>
      <c r="R18" s="6"/>
      <c r="S18" s="6"/>
      <c r="T18" s="6"/>
      <c r="U18" s="6"/>
      <c r="V18" s="6"/>
      <c r="W18" s="6"/>
      <c r="X18" s="6"/>
      <c r="Y18" s="6"/>
      <c r="Z18" s="6"/>
      <c r="AA18" s="6"/>
    </row>
    <row r="19" ht="15.75" customHeight="1">
      <c r="A19" s="7">
        <f t="shared" si="1"/>
        <v>18</v>
      </c>
      <c r="B19" s="9" t="str">
        <f>IFERROR(__xludf.DUMMYFUNCTION("""COMPUTED_VALUE"""),"13.37429")</f>
        <v>13.37429</v>
      </c>
      <c r="C19" s="9" t="str">
        <f>IFERROR(__xludf.DUMMYFUNCTION("""COMPUTED_VALUE"""),"49.74266")</f>
        <v>49.74266</v>
      </c>
      <c r="D19" s="9" t="str">
        <f>IFERROR(__xludf.DUMMYFUNCTION("""COMPUTED_VALUE"""),"Pamětní síň Julia Fučíka, Plzeň")</f>
        <v>Pamětní síň Julia Fučíka, Plzeň</v>
      </c>
      <c r="E19" s="10" t="str">
        <f>IFERROR(__xludf.DUMMYFUNCTION("""COMPUTED_VALUE"""),"památníky")</f>
        <v>památníky</v>
      </c>
      <c r="F19" s="9" t="str">
        <f>IFERROR(__xludf.DUMMYFUNCTION("""COMPUTED_VALUE"""),"Dům, ve kterém prožil Fučík část dětství. Tuto jeho životní epochu měl od roku 1955 připomínat památník Julia Fučíka v jednom z bytů. Budova byla v roce 1953 osazena pamětní deskou Jaroslava Dittricha.")</f>
        <v>Dům, ve kterém prožil Fučík část dětství. Tuto jeho životní epochu měl od roku 1955 připomínat památník Julia Fučíka v jednom z bytů. Budova byla v roce 1953 osazena pamětní deskou Jaroslava Dittricha.</v>
      </c>
      <c r="G19" s="9" t="str">
        <f>IFERROR(__xludf.DUMMYFUNCTION("""COMPUTED_VALUE"""),"muzea")</f>
        <v>muzea</v>
      </c>
      <c r="H19" s="9" t="str">
        <f>IFERROR(__xludf.DUMMYFUNCTION("""COMPUTED_VALUE"""),"Muzea a památníky spojené s jednotlivými osobnostmi")</f>
        <v>Muzea a památníky spojené s jednotlivými osobnostmi</v>
      </c>
      <c r="I19" s="9" t="str">
        <f>IFERROR(__xludf.DUMMYFUNCTION("""COMPUTED_VALUE"""),"Ne")</f>
        <v>Ne</v>
      </c>
      <c r="J19" s="9">
        <f>IFERROR(__xludf.DUMMYFUNCTION("""COMPUTED_VALUE"""),1955.0)</f>
        <v>1955</v>
      </c>
      <c r="K19" s="9">
        <f>IFERROR(__xludf.DUMMYFUNCTION("""COMPUTED_VALUE"""),1989.0)</f>
        <v>1989</v>
      </c>
      <c r="L19" s="12" t="str">
        <f>IFERROR(__xludf.DUMMYFUNCTION("""COMPUTED_VALUE"""),"ANM, osobní fond Gusta Fučíková; Plzeňský deník: Fučík se vrátil na fasádu domu, kde bydlel, 24. 11. 2021, plzenskydenik.cz (dostupné na plzensky.denik.cz/zpravy_region/fucik-se-vratil-na-fasadu-domu-kde-bydlel-20150126.html)")</f>
        <v>ANM, osobní fond Gusta Fučíková; Plzeňský deník: Fučík se vrátil na fasádu domu, kde bydlel, 24. 11. 2021, plzenskydenik.cz (dostupné na plzensky.denik.cz/zpravy_region/fucik-se-vratil-na-fasadu-domu-kde-bydlel-20150126.html)</v>
      </c>
      <c r="M19" s="9"/>
      <c r="N19" s="9"/>
      <c r="O19" s="6"/>
      <c r="P19" s="6"/>
      <c r="Q19" s="6"/>
      <c r="R19" s="6"/>
      <c r="S19" s="6"/>
      <c r="T19" s="6"/>
      <c r="U19" s="6"/>
      <c r="V19" s="6"/>
      <c r="W19" s="6"/>
      <c r="X19" s="6"/>
      <c r="Y19" s="6"/>
      <c r="Z19" s="6"/>
      <c r="AA19" s="6"/>
    </row>
    <row r="20" ht="15.75" customHeight="1">
      <c r="A20" s="7">
        <f t="shared" si="1"/>
        <v>19</v>
      </c>
      <c r="B20" s="9" t="str">
        <f>IFERROR(__xludf.DUMMYFUNCTION("""COMPUTED_VALUE"""),"12.7066111")</f>
        <v>12.7066111</v>
      </c>
      <c r="C20" s="9" t="str">
        <f>IFERROR(__xludf.DUMMYFUNCTION("""COMPUTED_VALUE"""),"49.977335")</f>
        <v>49.977335</v>
      </c>
      <c r="D20" s="9" t="str">
        <f>IFERROR(__xludf.DUMMYFUNCTION("""COMPUTED_VALUE"""),"Památník Maxima Gorkého, Františkovy Lázně")</f>
        <v>Památník Maxima Gorkého, Františkovy Lázně</v>
      </c>
      <c r="E20" s="10" t="str">
        <f>IFERROR(__xludf.DUMMYFUNCTION("""COMPUTED_VALUE"""),"památníky")</f>
        <v>památníky</v>
      </c>
      <c r="F20" s="9" t="str">
        <f>IFERROR(__xludf.DUMMYFUNCTION("""COMPUTED_VALUE"""),"Expozice, spravovaná Městským muzeem Františkovy Lázně, nabízela přehled o životě a díle Maxima Gorkého a podrobnou dokumentaci jeho pobytu v Mariánských Lázních.")</f>
        <v>Expozice, spravovaná Městským muzeem Františkovy Lázně, nabízela přehled o životě a díle Maxima Gorkého a podrobnou dokumentaci jeho pobytu v Mariánských Lázních.</v>
      </c>
      <c r="G20" s="9" t="str">
        <f>IFERROR(__xludf.DUMMYFUNCTION("""COMPUTED_VALUE"""),"muzea")</f>
        <v>muzea</v>
      </c>
      <c r="H20" s="9" t="str">
        <f>IFERROR(__xludf.DUMMYFUNCTION("""COMPUTED_VALUE"""),"Muzea a památníky spojené s jednotlivými osobnostmi")</f>
        <v>Muzea a památníky spojené s jednotlivými osobnostmi</v>
      </c>
      <c r="I20" s="9" t="str">
        <f>IFERROR(__xludf.DUMMYFUNCTION("""COMPUTED_VALUE"""),"Ne")</f>
        <v>Ne</v>
      </c>
      <c r="J20" s="9">
        <f>IFERROR(__xludf.DUMMYFUNCTION("""COMPUTED_VALUE"""),1952.0)</f>
        <v>1952</v>
      </c>
      <c r="K20" s="9">
        <f>IFERROR(__xludf.DUMMYFUNCTION("""COMPUTED_VALUE"""),1989.0)</f>
        <v>1989</v>
      </c>
      <c r="L20" s="12" t="str">
        <f>IFERROR(__xludf.DUMMYFUNCTION("""COMPUTED_VALUE"""),"Milan Hromádka - Marie Poláková - Jarmila Valentová: Kulturní adresář ČSR, Praha: Ústav pro výzkum kultury 1973, str. 352; Václav Pubal: Muzea, galerie a památkové objekty v ČSR, Praha: Národní muzeum 1973, s. 140")</f>
        <v>Milan Hromádka - Marie Poláková - Jarmila Valentová: Kulturní adresář ČSR, Praha: Ústav pro výzkum kultury 1973, str. 352; Václav Pubal: Muzea, galerie a památkové objekty v ČSR, Praha: Národní muzeum 1973, s. 140</v>
      </c>
      <c r="M20" s="9"/>
      <c r="N20" s="9"/>
      <c r="O20" s="6"/>
      <c r="P20" s="6"/>
      <c r="Q20" s="6"/>
      <c r="R20" s="6"/>
      <c r="S20" s="6"/>
      <c r="T20" s="6"/>
      <c r="U20" s="6"/>
      <c r="V20" s="6"/>
      <c r="W20" s="6"/>
      <c r="X20" s="6"/>
      <c r="Y20" s="6"/>
      <c r="Z20" s="6"/>
      <c r="AA20" s="6"/>
    </row>
    <row r="21" ht="15.75" customHeight="1">
      <c r="A21" s="7">
        <f t="shared" si="1"/>
        <v>20</v>
      </c>
      <c r="B21" s="9" t="str">
        <f>IFERROR(__xludf.DUMMYFUNCTION("""COMPUTED_VALUE"""),"15.91244")</f>
        <v>15.91244</v>
      </c>
      <c r="C21" s="9" t="str">
        <f>IFERROR(__xludf.DUMMYFUNCTION("""COMPUTED_VALUE"""),"50.0284447")</f>
        <v>50.0284447</v>
      </c>
      <c r="D21" s="9" t="str">
        <f>IFERROR(__xludf.DUMMYFUNCTION("""COMPUTED_VALUE"""),"Pamětní síň Josefa Hybeše, Dašice")</f>
        <v>Pamětní síň Josefa Hybeše, Dašice</v>
      </c>
      <c r="E21" s="10" t="str">
        <f>IFERROR(__xludf.DUMMYFUNCTION("""COMPUTED_VALUE"""),"památníky")</f>
        <v>památníky</v>
      </c>
      <c r="F21" s="9" t="str">
        <f>IFERROR(__xludf.DUMMYFUNCTION("""COMPUTED_VALUE"""),"Expozice, instalovaná v roce 1971, byla postavená na dokumentech o životě a díle Josefa Hybeše, průkopníka socialismu na Moravě. ")</f>
        <v>Expozice, instalovaná v roce 1971, byla postavená na dokumentech o životě a díle Josefa Hybeše, průkopníka socialismu na Moravě. </v>
      </c>
      <c r="G21" s="9" t="str">
        <f>IFERROR(__xludf.DUMMYFUNCTION("""COMPUTED_VALUE"""),"muzea")</f>
        <v>muzea</v>
      </c>
      <c r="H21" s="9" t="str">
        <f>IFERROR(__xludf.DUMMYFUNCTION("""COMPUTED_VALUE"""),"Muzea a památníky spojené s jednotlivými osobnostmi")</f>
        <v>Muzea a památníky spojené s jednotlivými osobnostmi</v>
      </c>
      <c r="I21" s="9" t="str">
        <f>IFERROR(__xludf.DUMMYFUNCTION("""COMPUTED_VALUE"""),"Ne")</f>
        <v>Ne</v>
      </c>
      <c r="J21" s="9">
        <f>IFERROR(__xludf.DUMMYFUNCTION("""COMPUTED_VALUE"""),1971.0)</f>
        <v>1971</v>
      </c>
      <c r="K21" s="9">
        <f>IFERROR(__xludf.DUMMYFUNCTION("""COMPUTED_VALUE"""),1989.0)</f>
        <v>1989</v>
      </c>
      <c r="L21" s="12" t="str">
        <f>IFERROR(__xludf.DUMMYFUNCTION("""COMPUTED_VALUE"""),"Milan Hromádka - Marie Poláková - Jarmila Valentová: Kulturní adresář ČSR, Praha: Ústav pro výzkum kultury 1973, str. 354; Václav Pubal: Muzea a galerie v ČSR, Praha: Národní muzeum 1972, s. 198")</f>
        <v>Milan Hromádka - Marie Poláková - Jarmila Valentová: Kulturní adresář ČSR, Praha: Ústav pro výzkum kultury 1973, str. 354; Václav Pubal: Muzea a galerie v ČSR, Praha: Národní muzeum 1972, s. 198</v>
      </c>
      <c r="M21" s="9"/>
      <c r="N21" s="9" t="str">
        <f>IFERROR(__xludf.DUMMYFUNCTION("""COMPUTED_VALUE"""),"o1.JPG")</f>
        <v>o1.JPG</v>
      </c>
      <c r="O21" s="6" t="str">
        <f>IFERROR(__xludf.DUMMYFUNCTION("""COMPUTED_VALUE"""),"Budova památníku.")</f>
        <v>Budova památníku.</v>
      </c>
      <c r="P21" s="6" t="str">
        <f>IFERROR(__xludf.DUMMYFUNCTION("""COMPUTED_VALUE"""),"ANM, sbírka Muzea dělnického hnutí, nezpracováno")</f>
        <v>ANM, sbírka Muzea dělnického hnutí, nezpracováno</v>
      </c>
      <c r="Q21" s="6"/>
      <c r="R21" s="6"/>
      <c r="S21" s="6"/>
      <c r="T21" s="6"/>
      <c r="U21" s="6"/>
      <c r="V21" s="6"/>
      <c r="W21" s="6"/>
      <c r="X21" s="6"/>
      <c r="Y21" s="6"/>
      <c r="Z21" s="6"/>
      <c r="AA21" s="6"/>
    </row>
    <row r="22" ht="15.75" customHeight="1">
      <c r="A22" s="7">
        <f t="shared" si="1"/>
        <v>21</v>
      </c>
      <c r="B22" s="9" t="str">
        <f>IFERROR(__xludf.DUMMYFUNCTION("""COMPUTED_VALUE"""),"13.110215")</f>
        <v>13.110215</v>
      </c>
      <c r="C22" s="9" t="str">
        <f>IFERROR(__xludf.DUMMYFUNCTION("""COMPUTED_VALUE"""),"50.3816694")</f>
        <v>50.3816694</v>
      </c>
      <c r="D22" s="9" t="str">
        <f>IFERROR(__xludf.DUMMYFUNCTION("""COMPUTED_VALUE"""),"Památník Václava Řezáče, Perštejn")</f>
        <v>Památník Václava Řezáče, Perštejn</v>
      </c>
      <c r="E22" s="10" t="str">
        <f>IFERROR(__xludf.DUMMYFUNCTION("""COMPUTED_VALUE"""),"památníky")</f>
        <v>památníky</v>
      </c>
      <c r="F22" s="9" t="str">
        <f>IFERROR(__xludf.DUMMYFUNCTION("""COMPUTED_VALUE"""),"Expozice nabízela dokumenty o životě spisovatele a o jeho vztahu k tomuto kraji. Zvláštní zřetel byl věnován jeho ústřednímu dílu – knize Nástup a její interpretaci.")</f>
        <v>Expozice nabízela dokumenty o životě spisovatele a o jeho vztahu k tomuto kraji. Zvláštní zřetel byl věnován jeho ústřednímu dílu – knize Nástup a její interpretaci.</v>
      </c>
      <c r="G22" s="9" t="str">
        <f>IFERROR(__xludf.DUMMYFUNCTION("""COMPUTED_VALUE"""),"muzea")</f>
        <v>muzea</v>
      </c>
      <c r="H22" s="9" t="str">
        <f>IFERROR(__xludf.DUMMYFUNCTION("""COMPUTED_VALUE"""),"Muzea a památníky spojené s jednotlivými osobnostmi")</f>
        <v>Muzea a památníky spojené s jednotlivými osobnostmi</v>
      </c>
      <c r="I22" s="9" t="str">
        <f>IFERROR(__xludf.DUMMYFUNCTION("""COMPUTED_VALUE"""),"Ne")</f>
        <v>Ne</v>
      </c>
      <c r="J22" s="9"/>
      <c r="K22" s="9"/>
      <c r="L22" s="12" t="str">
        <f>IFERROR(__xludf.DUMMYFUNCTION("""COMPUTED_VALUE"""),"Milan Hromádka - Marie Poláková - Jarmila Valentová: Kulturní adresář ČSR, Praha: Ústav pro výzkum kultury 1973, str. 354")</f>
        <v>Milan Hromádka - Marie Poláková - Jarmila Valentová: Kulturní adresář ČSR, Praha: Ústav pro výzkum kultury 1973, str. 354</v>
      </c>
      <c r="M22" s="9"/>
      <c r="N22" s="9"/>
      <c r="O22" s="6"/>
      <c r="P22" s="6"/>
      <c r="Q22" s="6"/>
      <c r="R22" s="6"/>
      <c r="S22" s="6"/>
      <c r="T22" s="6"/>
      <c r="U22" s="6"/>
      <c r="V22" s="6"/>
      <c r="W22" s="6"/>
      <c r="X22" s="6"/>
      <c r="Y22" s="6"/>
      <c r="Z22" s="6"/>
      <c r="AA22" s="6"/>
    </row>
    <row r="23" ht="15.75" customHeight="1">
      <c r="A23" s="7">
        <f t="shared" si="1"/>
        <v>22</v>
      </c>
      <c r="B23" s="9" t="str">
        <f>IFERROR(__xludf.DUMMYFUNCTION("""COMPUTED_VALUE"""),"16.3105222")</f>
        <v>16.3105222</v>
      </c>
      <c r="C23" s="9" t="str">
        <f>IFERROR(__xludf.DUMMYFUNCTION("""COMPUTED_VALUE"""),"49.8720322")</f>
        <v>49.8720322</v>
      </c>
      <c r="D23" s="9" t="str">
        <f>IFERROR(__xludf.DUMMYFUNCTION("""COMPUTED_VALUE"""),"Památník Zdeňka Nejedlého, Litomyšl")</f>
        <v>Památník Zdeňka Nejedlého, Litomyšl</v>
      </c>
      <c r="E23" s="10" t="str">
        <f>IFERROR(__xludf.DUMMYFUNCTION("""COMPUTED_VALUE"""),"památníky")</f>
        <v>památníky</v>
      </c>
      <c r="F23" s="9" t="str">
        <f>IFERROR(__xludf.DUMMYFUNCTION("""COMPUTED_VALUE"""),"Expozice, oslavující život a dílo Zdeňka Nejedlého, zaujímala plochu osmi sálů a nacházela se v interiéru zámku. Hlavními tématy byly vztah Nejedlého ke KSČ a jeho dílo věnované dějinám husitství a studiu díla Aloisa Jiráska a Bedřicha Smetany.")</f>
        <v>Expozice, oslavující život a dílo Zdeňka Nejedlého, zaujímala plochu osmi sálů a nacházela se v interiéru zámku. Hlavními tématy byly vztah Nejedlého ke KSČ a jeho dílo věnované dějinám husitství a studiu díla Aloisa Jiráska a Bedřicha Smetany.</v>
      </c>
      <c r="G23" s="9" t="str">
        <f>IFERROR(__xludf.DUMMYFUNCTION("""COMPUTED_VALUE"""),"muzea")</f>
        <v>muzea</v>
      </c>
      <c r="H23" s="9" t="str">
        <f>IFERROR(__xludf.DUMMYFUNCTION("""COMPUTED_VALUE"""),"Muzea a památníky spojené s jednotlivými osobnostmi")</f>
        <v>Muzea a památníky spojené s jednotlivými osobnostmi</v>
      </c>
      <c r="I23" s="9" t="str">
        <f>IFERROR(__xludf.DUMMYFUNCTION("""COMPUTED_VALUE"""),"Ne")</f>
        <v>Ne</v>
      </c>
      <c r="J23" s="9">
        <f>IFERROR(__xludf.DUMMYFUNCTION("""COMPUTED_VALUE"""),1966.0)</f>
        <v>1966</v>
      </c>
      <c r="K23" s="9"/>
      <c r="L23" s="12" t="str">
        <f>IFERROR(__xludf.DUMMYFUNCTION("""COMPUTED_VALUE"""),"Milan Hromádka - Marie Poláková - Jarmila Valentová: Kulturní adresář ČSR, Praha: Ústav pro výzkum kultury 1973, str. 356; Vladimír Kovařík: Literární toulky po Čechách, Praha 1977, str. 196; Před otevřením Památníků Zd. Nejedlého, Rudé právo, roč. 46-47,"&amp;" č. 169, 21. 6. 1966")</f>
        <v>Milan Hromádka - Marie Poláková - Jarmila Valentová: Kulturní adresář ČSR, Praha: Ústav pro výzkum kultury 1973, str. 356; Vladimír Kovařík: Literární toulky po Čechách, Praha 1977, str. 196; Před otevřením Památníků Zd. Nejedlého, Rudé právo, roč. 46-47, č. 169, 21. 6. 1966</v>
      </c>
      <c r="M23" s="9"/>
      <c r="N23" s="9"/>
      <c r="O23" s="6"/>
      <c r="P23" s="6"/>
      <c r="Q23" s="6"/>
      <c r="R23" s="6"/>
      <c r="S23" s="6"/>
      <c r="T23" s="6"/>
      <c r="U23" s="6"/>
      <c r="V23" s="6"/>
      <c r="W23" s="6"/>
      <c r="X23" s="6"/>
      <c r="Y23" s="6"/>
      <c r="Z23" s="6"/>
      <c r="AA23" s="6"/>
    </row>
    <row r="24" ht="15.75" customHeight="1">
      <c r="A24" s="7">
        <f t="shared" si="1"/>
        <v>23</v>
      </c>
      <c r="B24" s="9" t="str">
        <f>IFERROR(__xludf.DUMMYFUNCTION("""COMPUTED_VALUE"""),"14.4149733")</f>
        <v>14.4149733</v>
      </c>
      <c r="C24" s="9" t="str">
        <f>IFERROR(__xludf.DUMMYFUNCTION("""COMPUTED_VALUE"""),"50.0757651")</f>
        <v>50.0757651</v>
      </c>
      <c r="D24" s="9" t="str">
        <f>IFERROR(__xludf.DUMMYFUNCTION("""COMPUTED_VALUE"""),"Expozice v bytě Aloise Jiráska")</f>
        <v>Expozice v bytě Aloise Jiráska</v>
      </c>
      <c r="E24" s="10" t="str">
        <f>IFERROR(__xludf.DUMMYFUNCTION("""COMPUTED_VALUE"""),"památníky")</f>
        <v>památníky</v>
      </c>
      <c r="F24" s="9" t="str">
        <f>IFERROR(__xludf.DUMMYFUNCTION("""COMPUTED_VALUE"""),"V roce 1951 byla expozice v soukromých prostorech spisovatele přičleněna k Muzeu Aloise Jiráska v letohrádku Hvězda.")</f>
        <v>V roce 1951 byla expozice v soukromých prostorech spisovatele přičleněna k Muzeu Aloise Jiráska v letohrádku Hvězda.</v>
      </c>
      <c r="G24" s="9" t="str">
        <f>IFERROR(__xludf.DUMMYFUNCTION("""COMPUTED_VALUE"""),"muzea")</f>
        <v>muzea</v>
      </c>
      <c r="H24" s="9" t="str">
        <f>IFERROR(__xludf.DUMMYFUNCTION("""COMPUTED_VALUE"""),"Muzea a památníky spojené s jednotlivými osobnostmi")</f>
        <v>Muzea a památníky spojené s jednotlivými osobnostmi</v>
      </c>
      <c r="I24" s="9" t="str">
        <f>IFERROR(__xludf.DUMMYFUNCTION("""COMPUTED_VALUE"""),"Ne")</f>
        <v>Ne</v>
      </c>
      <c r="J24" s="9">
        <f>IFERROR(__xludf.DUMMYFUNCTION("""COMPUTED_VALUE"""),1951.0)</f>
        <v>1951</v>
      </c>
      <c r="K24" s="9"/>
      <c r="L24" s="12" t="str">
        <f>IFERROR(__xludf.DUMMYFUNCTION("""COMPUTED_VALUE"""),"Jiří Padevět: Průvodce stalinistickou Prahou 1948-1956. Místa-události-lidé, Praha: Academia 2018, str. 401")</f>
        <v>Jiří Padevět: Průvodce stalinistickou Prahou 1948-1956. Místa-události-lidé, Praha: Academia 2018, str. 401</v>
      </c>
      <c r="M24" s="9"/>
      <c r="N24" s="9"/>
      <c r="O24" s="6"/>
      <c r="P24" s="6"/>
      <c r="Q24" s="6"/>
      <c r="R24" s="6"/>
      <c r="S24" s="6"/>
      <c r="T24" s="6"/>
      <c r="U24" s="6"/>
      <c r="V24" s="6"/>
      <c r="W24" s="6"/>
      <c r="X24" s="6"/>
      <c r="Y24" s="6"/>
      <c r="Z24" s="6"/>
      <c r="AA24" s="6"/>
    </row>
    <row r="25" ht="15.75" customHeight="1">
      <c r="A25" s="7">
        <f t="shared" si="1"/>
        <v>24</v>
      </c>
      <c r="B25" s="9" t="str">
        <f>IFERROR(__xludf.DUMMYFUNCTION("""COMPUTED_VALUE"""),"17.1065323")</f>
        <v>17.1065323</v>
      </c>
      <c r="C25" s="9" t="str">
        <f>IFERROR(__xludf.DUMMYFUNCTION("""COMPUTED_VALUE"""),"48.1522441")</f>
        <v>48.1522441</v>
      </c>
      <c r="D25" s="9" t="str">
        <f>IFERROR(__xludf.DUMMYFUNCTION("""COMPUTED_VALUE"""),"Múzeum V. I. Lenina, Bratislava")</f>
        <v>Múzeum V. I. Lenina, Bratislava</v>
      </c>
      <c r="E25" s="10" t="str">
        <f>IFERROR(__xludf.DUMMYFUNCTION("""COMPUTED_VALUE"""),"muzea")</f>
        <v>muzea</v>
      </c>
      <c r="F25" s="9" t="str">
        <f>IFERROR(__xludf.DUMMYFUNCTION("""COMPUTED_VALUE"""),"Expozice, otevřená v roce 1954, měla jako hlavní téma Leninův životní příběh a revoluci 1917. Důležitými exponáty však byly také artefakty dokládající vliv Říjnové revoluce na Slovensku.")</f>
        <v>Expozice, otevřená v roce 1954, měla jako hlavní téma Leninův životní příběh a revoluci 1917. Důležitými exponáty však byly také artefakty dokládající vliv Říjnové revoluce na Slovensku.</v>
      </c>
      <c r="G25" s="9" t="str">
        <f>IFERROR(__xludf.DUMMYFUNCTION("""COMPUTED_VALUE"""),"muzea")</f>
        <v>muzea</v>
      </c>
      <c r="H25" s="9" t="str">
        <f>IFERROR(__xludf.DUMMYFUNCTION("""COMPUTED_VALUE"""),"Muzea a památníky spojené s jednotlivými osobnostmi")</f>
        <v>Muzea a památníky spojené s jednotlivými osobnostmi</v>
      </c>
      <c r="I25" s="9" t="str">
        <f>IFERROR(__xludf.DUMMYFUNCTION("""COMPUTED_VALUE"""),"Ne")</f>
        <v>Ne</v>
      </c>
      <c r="J25" s="9">
        <f>IFERROR(__xludf.DUMMYFUNCTION("""COMPUTED_VALUE"""),1951.0)</f>
        <v>1951</v>
      </c>
      <c r="K25" s="9">
        <f>IFERROR(__xludf.DUMMYFUNCTION("""COMPUTED_VALUE"""),1989.0)</f>
        <v>1989</v>
      </c>
      <c r="L25" s="12" t="str">
        <f>IFERROR(__xludf.DUMMYFUNCTION("""COMPUTED_VALUE"""),"Múzeum V. I. Lenina v Bratislave. Sprievodca, Bratislava: ÚV KSS [1954]; M. Rybecký a kol.: Sprievodca po múzeách na Slovensku, Bratislava: Vydavaťelstvo politickej literatúry 1964, str. 32-33")</f>
        <v>Múzeum V. I. Lenina v Bratislave. Sprievodca, Bratislava: ÚV KSS [1954]; M. Rybecký a kol.: Sprievodca po múzeách na Slovensku, Bratislava: Vydavaťelstvo politickej literatúry 1964, str. 32-33</v>
      </c>
      <c r="M25" s="9"/>
      <c r="N25" s="9" t="str">
        <f>IFERROR(__xludf.DUMMYFUNCTION("""COMPUTED_VALUE"""),"o1.JPG")</f>
        <v>o1.JPG</v>
      </c>
      <c r="O25" s="6" t="str">
        <f>IFERROR(__xludf.DUMMYFUNCTION("""COMPUTED_VALUE"""),"Budova muzea")</f>
        <v>Budova muzea</v>
      </c>
      <c r="P25" s="6" t="str">
        <f>IFERROR(__xludf.DUMMYFUNCTION("""COMPUTED_VALUE"""),"M. Rybecký a kol.: Sprievodca po múzeách na Slovensku, Bratislava: Vydavaťelstvo politickej literatúry 1964")</f>
        <v>M. Rybecký a kol.: Sprievodca po múzeách na Slovensku, Bratislava: Vydavaťelstvo politickej literatúry 1964</v>
      </c>
      <c r="Q25" s="6" t="str">
        <f>IFERROR(__xludf.DUMMYFUNCTION("""COMPUTED_VALUE"""),"o2.JPG")</f>
        <v>o2.JPG</v>
      </c>
      <c r="R25" s="6" t="str">
        <f>IFERROR(__xludf.DUMMYFUNCTION("""COMPUTED_VALUE"""),"Z expozic")</f>
        <v>Z expozic</v>
      </c>
      <c r="S25" s="6" t="str">
        <f>IFERROR(__xludf.DUMMYFUNCTION("""COMPUTED_VALUE"""),"M. Rybecký a kol.: Sprievodca po múzeách na Slovensku, Bratislava: Vydavaťelstvo politickej literatúry 1964")</f>
        <v>M. Rybecký a kol.: Sprievodca po múzeách na Slovensku, Bratislava: Vydavaťelstvo politickej literatúry 1964</v>
      </c>
      <c r="T25" s="6"/>
      <c r="U25" s="6"/>
      <c r="V25" s="6"/>
      <c r="W25" s="6"/>
      <c r="X25" s="6"/>
      <c r="Y25" s="6"/>
      <c r="Z25" s="6"/>
      <c r="AA25" s="6"/>
    </row>
    <row r="26" ht="15.75" customHeight="1">
      <c r="A26" s="7">
        <f t="shared" si="1"/>
        <v>25</v>
      </c>
      <c r="B26" s="9" t="str">
        <f>IFERROR(__xludf.DUMMYFUNCTION("""COMPUTED_VALUE"""),"16.1374678")</f>
        <v>16.1374678</v>
      </c>
      <c r="C26" s="9" t="str">
        <f>IFERROR(__xludf.DUMMYFUNCTION("""COMPUTED_VALUE"""),"50.5723588")</f>
        <v>50.5723588</v>
      </c>
      <c r="D26" s="9" t="str">
        <f>IFERROR(__xludf.DUMMYFUNCTION("""COMPUTED_VALUE"""),"Zámek Skály – Muzeum Aloise Jiráska")</f>
        <v>Zámek Skály – Muzeum Aloise Jiráska</v>
      </c>
      <c r="E26" s="10" t="str">
        <f>IFERROR(__xludf.DUMMYFUNCTION("""COMPUTED_VALUE"""),"muzea")</f>
        <v>muzea</v>
      </c>
      <c r="F26" s="9" t="str">
        <f>IFERROR(__xludf.DUMMYFUNCTION("""COMPUTED_VALUE"""),"V roce 1950 zde byla pod patronací Muzea Aloise Jiráska v Praze otevřena expozice věnovaná Jiráskově dílu, zvláště románu Skály, který sepsal inspirován tímto místem. Expozice byla zrušena v roce 1974, kdy byl zámek přestavěn na rekreační objekt.")</f>
        <v>V roce 1950 zde byla pod patronací Muzea Aloise Jiráska v Praze otevřena expozice věnovaná Jiráskově dílu, zvláště románu Skály, který sepsal inspirován tímto místem. Expozice byla zrušena v roce 1974, kdy byl zámek přestavěn na rekreační objekt.</v>
      </c>
      <c r="G26" s="9" t="str">
        <f>IFERROR(__xludf.DUMMYFUNCTION("""COMPUTED_VALUE"""),"muzea")</f>
        <v>muzea</v>
      </c>
      <c r="H26" s="9" t="str">
        <f>IFERROR(__xludf.DUMMYFUNCTION("""COMPUTED_VALUE"""),"Muzea a památníky spojené s jednotlivými osobnostmi")</f>
        <v>Muzea a památníky spojené s jednotlivými osobnostmi</v>
      </c>
      <c r="I26" s="9" t="str">
        <f>IFERROR(__xludf.DUMMYFUNCTION("""COMPUTED_VALUE"""),"Ne")</f>
        <v>Ne</v>
      </c>
      <c r="J26" s="9">
        <f>IFERROR(__xludf.DUMMYFUNCTION("""COMPUTED_VALUE"""),1950.0)</f>
        <v>1950</v>
      </c>
      <c r="K26" s="9">
        <f>IFERROR(__xludf.DUMMYFUNCTION("""COMPUTED_VALUE"""),1974.0)</f>
        <v>1974</v>
      </c>
      <c r="L26" s="12" t="str">
        <f>IFERROR(__xludf.DUMMYFUNCTION("""COMPUTED_VALUE"""),"Zdeněk M. Zenger: Jiráskovi Skály, Praha: Čedok 1953; NPÚ: Zámek Bischofstein, 24. 11. 2021, pamatkovykatalog.cz (dostupné na https://pamatkovykatalog.cz/pravni-ochrana/zamek-bischofstein-133579)")</f>
        <v>Zdeněk M. Zenger: Jiráskovi Skály, Praha: Čedok 1953; NPÚ: Zámek Bischofstein, 24. 11. 2021, pamatkovykatalog.cz (dostupné na https://pamatkovykatalog.cz/pravni-ochrana/zamek-bischofstein-133579)</v>
      </c>
      <c r="M26" s="9"/>
      <c r="N26" s="9"/>
      <c r="O26" s="6"/>
      <c r="P26" s="6"/>
      <c r="Q26" s="6"/>
      <c r="R26" s="6"/>
      <c r="S26" s="6"/>
      <c r="T26" s="6"/>
      <c r="U26" s="6"/>
      <c r="V26" s="6"/>
      <c r="W26" s="6"/>
      <c r="X26" s="6"/>
      <c r="Y26" s="6"/>
      <c r="Z26" s="6"/>
      <c r="AA26" s="6"/>
    </row>
    <row r="27" ht="15.75" customHeight="1">
      <c r="A27" s="7">
        <f t="shared" si="1"/>
        <v>26</v>
      </c>
      <c r="B27" s="9" t="str">
        <f>IFERROR(__xludf.DUMMYFUNCTION("""COMPUTED_VALUE"""),"17.207806")</f>
        <v>17.207806</v>
      </c>
      <c r="C27" s="9" t="str">
        <f>IFERROR(__xludf.DUMMYFUNCTION("""COMPUTED_VALUE"""),"48.253372")</f>
        <v>48.253372</v>
      </c>
      <c r="D27" s="9" t="str">
        <f>IFERROR(__xludf.DUMMYFUNCTION("""COMPUTED_VALUE"""),"Múzeum Petra Jilemnického v Jure pri Bratislave")</f>
        <v>Múzeum Petra Jilemnického v Jure pri Bratislave</v>
      </c>
      <c r="E27" s="10" t="str">
        <f>IFERROR(__xludf.DUMMYFUNCTION("""COMPUTED_VALUE"""),"muzea")</f>
        <v>muzea</v>
      </c>
      <c r="F27" s="9" t="str">
        <f>IFERROR(__xludf.DUMMYFUNCTION("""COMPUTED_VALUE"""),"V domku, kde žil Petr Jilemnický, byla otevřena expozice v roce 1952. Tematický záběr pokrýval zejména život a dílo stranického literáta. Klíčovou součástí expozice byla jeho původní pracovna.")</f>
        <v>V domku, kde žil Petr Jilemnický, byla otevřena expozice v roce 1952. Tematický záběr pokrýval zejména život a dílo stranického literáta. Klíčovou součástí expozice byla jeho původní pracovna.</v>
      </c>
      <c r="G27" s="9" t="str">
        <f>IFERROR(__xludf.DUMMYFUNCTION("""COMPUTED_VALUE"""),"muzea")</f>
        <v>muzea</v>
      </c>
      <c r="H27" s="9" t="str">
        <f>IFERROR(__xludf.DUMMYFUNCTION("""COMPUTED_VALUE"""),"Muzea a památníky spojené s jednotlivými osobnostmi")</f>
        <v>Muzea a památníky spojené s jednotlivými osobnostmi</v>
      </c>
      <c r="I27" s="9" t="str">
        <f>IFERROR(__xludf.DUMMYFUNCTION("""COMPUTED_VALUE"""),"Ne")</f>
        <v>Ne</v>
      </c>
      <c r="J27" s="9">
        <f>IFERROR(__xludf.DUMMYFUNCTION("""COMPUTED_VALUE"""),1952.0)</f>
        <v>1952</v>
      </c>
      <c r="K27" s="9"/>
      <c r="L27" s="12" t="str">
        <f>IFERROR(__xludf.DUMMYFUNCTION("""COMPUTED_VALUE"""),"M. Rybecký a kol.: Sprievodca po múzeách na Slovensku, Bratislava: Vydavaťelstvo politickej literatúry 1964, str. 38-39")</f>
        <v>M. Rybecký a kol.: Sprievodca po múzeách na Slovensku, Bratislava: Vydavaťelstvo politickej literatúry 1964, str. 38-39</v>
      </c>
      <c r="M27" s="9"/>
      <c r="N27" s="9" t="str">
        <f>IFERROR(__xludf.DUMMYFUNCTION("""COMPUTED_VALUE"""),"o1.JPG")</f>
        <v>o1.JPG</v>
      </c>
      <c r="O27" s="6" t="str">
        <f>IFERROR(__xludf.DUMMYFUNCTION("""COMPUTED_VALUE"""),"Dům, kde žil Petr Jilemnický")</f>
        <v>Dům, kde žil Petr Jilemnický</v>
      </c>
      <c r="P27" s="6" t="str">
        <f>IFERROR(__xludf.DUMMYFUNCTION("""COMPUTED_VALUE"""),"M. Rybecký a kol.: Sprievodca po múzeách na Slovensku, Bratislava: Vydavaťelstvo politickej literatúry 1964, str. 38-39")</f>
        <v>M. Rybecký a kol.: Sprievodca po múzeách na Slovensku, Bratislava: Vydavaťelstvo politickej literatúry 1964, str. 38-39</v>
      </c>
      <c r="Q27" s="6" t="str">
        <f>IFERROR(__xludf.DUMMYFUNCTION("""COMPUTED_VALUE"""),"o2.JPG")</f>
        <v>o2.JPG</v>
      </c>
      <c r="R27" s="6" t="str">
        <f>IFERROR(__xludf.DUMMYFUNCTION("""COMPUTED_VALUE"""),"Z expozice.")</f>
        <v>Z expozice.</v>
      </c>
      <c r="S27" s="6" t="str">
        <f>IFERROR(__xludf.DUMMYFUNCTION("""COMPUTED_VALUE"""),"M. Rybecký a kol.: Sprievodca po múzeách na Slovensku, Bratislava: Vydavaťelstvo politickej literatúry 1964, str. 38-39")</f>
        <v>M. Rybecký a kol.: Sprievodca po múzeách na Slovensku, Bratislava: Vydavaťelstvo politickej literatúry 1964, str. 38-39</v>
      </c>
      <c r="T27" s="6"/>
      <c r="U27" s="6"/>
      <c r="V27" s="6"/>
      <c r="W27" s="6"/>
      <c r="X27" s="6"/>
      <c r="Y27" s="6"/>
      <c r="Z27" s="6"/>
      <c r="AA27" s="6"/>
    </row>
    <row r="28" ht="15.75" customHeight="1">
      <c r="A28" s="7">
        <f t="shared" si="1"/>
        <v>27</v>
      </c>
      <c r="B28" s="9" t="str">
        <f>IFERROR(__xludf.DUMMYFUNCTION("""COMPUTED_VALUE"""),"16.4998155")</f>
        <v>16.4998155</v>
      </c>
      <c r="C28" s="9" t="str">
        <f>IFERROR(__xludf.DUMMYFUNCTION("""COMPUTED_VALUE"""),"50.0353009")</f>
        <v>50.0353009</v>
      </c>
      <c r="D28" s="9" t="str">
        <f>IFERROR(__xludf.DUMMYFUNCTION("""COMPUTED_VALUE"""),"Pamětní síň Petra Jilemnického, Zámek Letohrad")</f>
        <v>Pamětní síň Petra Jilemnického, Zámek Letohrad</v>
      </c>
      <c r="E28" s="10" t="str">
        <f>IFERROR(__xludf.DUMMYFUNCTION("""COMPUTED_VALUE"""),"památníky")</f>
        <v>památníky</v>
      </c>
      <c r="F28" s="9" t="str">
        <f>IFERROR(__xludf.DUMMYFUNCTION("""COMPUTED_VALUE"""),"Pamětní síň komunistického spisovatele a místního rodáka vznikla v roce 1958.")</f>
        <v>Pamětní síň komunistického spisovatele a místního rodáka vznikla v roce 1958.</v>
      </c>
      <c r="G28" s="9" t="str">
        <f>IFERROR(__xludf.DUMMYFUNCTION("""COMPUTED_VALUE"""),"muzea")</f>
        <v>muzea</v>
      </c>
      <c r="H28" s="9" t="str">
        <f>IFERROR(__xludf.DUMMYFUNCTION("""COMPUTED_VALUE"""),"Muzea a památníky spojené s jednotlivými osobnostmi")</f>
        <v>Muzea a památníky spojené s jednotlivými osobnostmi</v>
      </c>
      <c r="I28" s="9" t="str">
        <f>IFERROR(__xludf.DUMMYFUNCTION("""COMPUTED_VALUE"""),"Ne")</f>
        <v>Ne</v>
      </c>
      <c r="J28" s="9">
        <f>IFERROR(__xludf.DUMMYFUNCTION("""COMPUTED_VALUE"""),1958.0)</f>
        <v>1958</v>
      </c>
      <c r="K28" s="9">
        <f>IFERROR(__xludf.DUMMYFUNCTION("""COMPUTED_VALUE"""),1989.0)</f>
        <v>1989</v>
      </c>
      <c r="L28" s="12" t="str">
        <f>IFERROR(__xludf.DUMMYFUNCTION("""COMPUTED_VALUE"""),"Václav Pubal: Muzea a galerie v ČSR, Praha: Národní muzeum 1972, str. 116")</f>
        <v>Václav Pubal: Muzea a galerie v ČSR, Praha: Národní muzeum 1972, str. 116</v>
      </c>
      <c r="M28" s="9"/>
      <c r="N28" s="9"/>
      <c r="O28" s="6"/>
      <c r="P28" s="6"/>
      <c r="Q28" s="6"/>
      <c r="R28" s="6"/>
      <c r="S28" s="6"/>
      <c r="T28" s="6"/>
      <c r="U28" s="6"/>
      <c r="V28" s="6"/>
      <c r="W28" s="6"/>
      <c r="X28" s="6"/>
      <c r="Y28" s="6"/>
      <c r="Z28" s="6"/>
      <c r="AA28" s="6"/>
    </row>
    <row r="29" ht="15.75" customHeight="1">
      <c r="A29" s="7">
        <f t="shared" si="1"/>
        <v>28</v>
      </c>
      <c r="B29" s="9" t="str">
        <f>IFERROR(__xludf.DUMMYFUNCTION("""COMPUTED_VALUE"""),"18.3904377")</f>
        <v>18.3904377</v>
      </c>
      <c r="C29" s="9" t="str">
        <f>IFERROR(__xludf.DUMMYFUNCTION("""COMPUTED_VALUE"""),"49.5255788")</f>
        <v>49.5255788</v>
      </c>
      <c r="D29" s="9" t="str">
        <f>IFERROR(__xludf.DUMMYFUNCTION("""COMPUTED_VALUE"""),"Srub Petra Bezruče, Ostravice")</f>
        <v>Srub Petra Bezruče, Ostravice</v>
      </c>
      <c r="E29" s="10" t="str">
        <f>IFERROR(__xludf.DUMMYFUNCTION("""COMPUTED_VALUE"""),"památníky")</f>
        <v>památníky</v>
      </c>
      <c r="F29" s="9" t="str">
        <f>IFERROR(__xludf.DUMMYFUNCTION("""COMPUTED_VALUE"""),"Expozice instalovaná ve srubu z roku 1935, kde spisovatel trávil letní volno. Autentické vybavení z doby užívání objektu básníkem doplněno expozicí mapující jeho tvorbu. Objekt spravuje Slezské muzeum v Opavě.")</f>
        <v>Expozice instalovaná ve srubu z roku 1935, kde spisovatel trávil letní volno. Autentické vybavení z doby užívání objektu básníkem doplněno expozicí mapující jeho tvorbu. Objekt spravuje Slezské muzeum v Opavě.</v>
      </c>
      <c r="G29" s="9" t="str">
        <f>IFERROR(__xludf.DUMMYFUNCTION("""COMPUTED_VALUE"""),"muzea")</f>
        <v>muzea</v>
      </c>
      <c r="H29" s="9" t="str">
        <f>IFERROR(__xludf.DUMMYFUNCTION("""COMPUTED_VALUE"""),"Muzea a památníky spojené s jednotlivými osobnostmi")</f>
        <v>Muzea a památníky spojené s jednotlivými osobnostmi</v>
      </c>
      <c r="I29" s="9" t="str">
        <f>IFERROR(__xludf.DUMMYFUNCTION("""COMPUTED_VALUE"""),"Ano")</f>
        <v>Ano</v>
      </c>
      <c r="J29" s="9"/>
      <c r="K29" s="9"/>
      <c r="L29" s="12" t="str">
        <f>IFERROR(__xludf.DUMMYFUNCTION("""COMPUTED_VALUE"""),"Jaromír Kalous: Muzea na Moravě a ve Slezsku, Ostrava: Profil 1988, str. 206")</f>
        <v>Jaromír Kalous: Muzea na Moravě a ve Slezsku, Ostrava: Profil 1988, str. 206</v>
      </c>
      <c r="M29" s="9"/>
      <c r="N29" s="9" t="str">
        <f>IFERROR(__xludf.DUMMYFUNCTION("""COMPUTED_VALUE"""),"o1.JPG")</f>
        <v>o1.JPG</v>
      </c>
      <c r="O29" s="6" t="str">
        <f>IFERROR(__xludf.DUMMYFUNCTION("""COMPUTED_VALUE"""),"Srub Petra Bezruče, kde trávil léto.")</f>
        <v>Srub Petra Bezruče, kde trávil léto.</v>
      </c>
      <c r="P29" s="6" t="str">
        <f>IFERROR(__xludf.DUMMYFUNCTION("""COMPUTED_VALUE"""),"Jaromír Kalous: Muzea na Moravě a ve Slezsku, Ostrava: Profil 1988, s. 206")</f>
        <v>Jaromír Kalous: Muzea na Moravě a ve Slezsku, Ostrava: Profil 1988, s. 206</v>
      </c>
      <c r="Q29" s="6"/>
      <c r="R29" s="6"/>
      <c r="S29" s="6"/>
      <c r="T29" s="6"/>
      <c r="U29" s="6"/>
      <c r="V29" s="6"/>
      <c r="W29" s="6"/>
      <c r="X29" s="6"/>
      <c r="Y29" s="6"/>
      <c r="Z29" s="6"/>
      <c r="AA29" s="6"/>
    </row>
    <row r="30" ht="15.75" customHeight="1">
      <c r="A30" s="7">
        <f t="shared" si="1"/>
        <v>29</v>
      </c>
      <c r="B30" s="9" t="str">
        <f>IFERROR(__xludf.DUMMYFUNCTION("""COMPUTED_VALUE"""),"17.3459531")</f>
        <v>17.3459531</v>
      </c>
      <c r="C30" s="9" t="str">
        <f>IFERROR(__xludf.DUMMYFUNCTION("""COMPUTED_VALUE"""),"48.9270919")</f>
        <v>48.9270919</v>
      </c>
      <c r="D30" s="9" t="str">
        <f>IFERROR(__xludf.DUMMYFUNCTION("""COMPUTED_VALUE"""),"Památník Marušky Kudeříkové, Vnorovy")</f>
        <v>Památník Marušky Kudeříkové, Vnorovy</v>
      </c>
      <c r="E30" s="10" t="str">
        <f>IFERROR(__xludf.DUMMYFUNCTION("""COMPUTED_VALUE"""),"památníky")</f>
        <v>památníky</v>
      </c>
      <c r="F30" s="9" t="str">
        <f>IFERROR(__xludf.DUMMYFUNCTION("""COMPUTED_VALUE"""),"V roce 1978 byla v rodném domku vybudována expozice připomínající život odbojářky Marie Kudeříkové. Jádrem objektu byla rekonstrukce původní domácnosti rodiny.")</f>
        <v>V roce 1978 byla v rodném domku vybudována expozice připomínající život odbojářky Marie Kudeříkové. Jádrem objektu byla rekonstrukce původní domácnosti rodiny.</v>
      </c>
      <c r="G30" s="9" t="str">
        <f>IFERROR(__xludf.DUMMYFUNCTION("""COMPUTED_VALUE"""),"muzea")</f>
        <v>muzea</v>
      </c>
      <c r="H30" s="9" t="str">
        <f>IFERROR(__xludf.DUMMYFUNCTION("""COMPUTED_VALUE"""),"Muzea a památníky spojené s jednotlivými osobnostmi")</f>
        <v>Muzea a památníky spojené s jednotlivými osobnostmi</v>
      </c>
      <c r="I30" s="9" t="str">
        <f>IFERROR(__xludf.DUMMYFUNCTION("""COMPUTED_VALUE"""),"Ne")</f>
        <v>Ne</v>
      </c>
      <c r="J30" s="9">
        <f>IFERROR(__xludf.DUMMYFUNCTION("""COMPUTED_VALUE"""),1978.0)</f>
        <v>1978</v>
      </c>
      <c r="K30" s="9">
        <f>IFERROR(__xludf.DUMMYFUNCTION("""COMPUTED_VALUE"""),1989.0)</f>
        <v>1989</v>
      </c>
      <c r="L30" s="12" t="str">
        <f>IFERROR(__xludf.DUMMYFUNCTION("""COMPUTED_VALUE"""),"Jaromír Kalous: Muzea na Moravě a ve Slezsku, Ostrava: Profil 1988, str. 287; Daniela Poláková: Marie Kudeříková. Životnost mýtu a lidské zkušenosti, Praha: Academia 2017")</f>
        <v>Jaromír Kalous: Muzea na Moravě a ve Slezsku, Ostrava: Profil 1988, str. 287; Daniela Poláková: Marie Kudeříková. Životnost mýtu a lidské zkušenosti, Praha: Academia 2017</v>
      </c>
      <c r="M30" s="9"/>
      <c r="N30" s="9"/>
      <c r="O30" s="6"/>
      <c r="P30" s="6"/>
      <c r="Q30" s="6"/>
      <c r="R30" s="6"/>
      <c r="S30" s="6"/>
      <c r="T30" s="6"/>
      <c r="U30" s="6"/>
      <c r="V30" s="6"/>
      <c r="W30" s="6"/>
      <c r="X30" s="6"/>
      <c r="Y30" s="6"/>
      <c r="Z30" s="6"/>
      <c r="AA30" s="6"/>
    </row>
    <row r="31" ht="15.75" customHeight="1">
      <c r="A31" s="7">
        <f t="shared" si="1"/>
        <v>30</v>
      </c>
      <c r="B31" s="9" t="str">
        <f>IFERROR(__xludf.DUMMYFUNCTION("""COMPUTED_VALUE"""),"12.8614994")</f>
        <v>12.8614994</v>
      </c>
      <c r="C31" s="9" t="str">
        <f>IFERROR(__xludf.DUMMYFUNCTION("""COMPUTED_VALUE"""),"49.4309439")</f>
        <v>49.4309439</v>
      </c>
      <c r="D31" s="9" t="str">
        <f>IFERROR(__xludf.DUMMYFUNCTION("""COMPUTED_VALUE"""),"Kozinova pamětní síň, Újezd")</f>
        <v>Kozinova pamětní síň, Újezd</v>
      </c>
      <c r="E31" s="10" t="str">
        <f>IFERROR(__xludf.DUMMYFUNCTION("""COMPUTED_VALUE"""),"památníky")</f>
        <v>památníky</v>
      </c>
      <c r="F31" s="9" t="str">
        <f>IFERROR(__xludf.DUMMYFUNCTION("""COMPUTED_VALUE"""),"Expozice byla postavena na rekonstrukci dobové podoby rodného statku Jana Sladkého Koziny. Obsahovala dokumenty o Jiráskových studijních pobytech na Chodsku.")</f>
        <v>Expozice byla postavena na rekonstrukci dobové podoby rodného statku Jana Sladkého Koziny. Obsahovala dokumenty o Jiráskových studijních pobytech na Chodsku.</v>
      </c>
      <c r="G31" s="9" t="str">
        <f>IFERROR(__xludf.DUMMYFUNCTION("""COMPUTED_VALUE"""),"muzea")</f>
        <v>muzea</v>
      </c>
      <c r="H31" s="9" t="str">
        <f>IFERROR(__xludf.DUMMYFUNCTION("""COMPUTED_VALUE"""),"Muzea a památníky spojené s jednotlivými osobnostmi")</f>
        <v>Muzea a památníky spojené s jednotlivými osobnostmi</v>
      </c>
      <c r="I31" s="9" t="str">
        <f>IFERROR(__xludf.DUMMYFUNCTION("""COMPUTED_VALUE"""),"Ano")</f>
        <v>Ano</v>
      </c>
      <c r="J31" s="9">
        <f>IFERROR(__xludf.DUMMYFUNCTION("""COMPUTED_VALUE"""),1958.0)</f>
        <v>1958</v>
      </c>
      <c r="K31" s="9"/>
      <c r="L31" s="12" t="str">
        <f>IFERROR(__xludf.DUMMYFUNCTION("""COMPUTED_VALUE"""),"Milan Hromádka - Marie Poláková - Jarmila Valentová: Kulturní adresář ČSR, Praha: Ústav pro výzkum kultury 1973, str. 353; Miroslav Hauner: Západní Čechy: krajina, architektura, umění, Plzeň: Zápodočeské nakladatelství 1984")</f>
        <v>Milan Hromádka - Marie Poláková - Jarmila Valentová: Kulturní adresář ČSR, Praha: Ústav pro výzkum kultury 1973, str. 353; Miroslav Hauner: Západní Čechy: krajina, architektura, umění, Plzeň: Zápodočeské nakladatelství 1984</v>
      </c>
      <c r="M31" s="9"/>
      <c r="N31" s="9" t="str">
        <f>IFERROR(__xludf.DUMMYFUNCTION("""COMPUTED_VALUE"""),"o1.JPG")</f>
        <v>o1.JPG</v>
      </c>
      <c r="O31" s="6" t="str">
        <f>IFERROR(__xludf.DUMMYFUNCTION("""COMPUTED_VALUE"""),"Před branou Kozinova rodného statku.")</f>
        <v>Před branou Kozinova rodného statku.</v>
      </c>
      <c r="P31" s="6" t="str">
        <f>IFERROR(__xludf.DUMMYFUNCTION("""COMPUTED_VALUE"""),"Miroslav Hauner: Západní Čechy: krajina, architektura, umění, Plzeň: Zápodočeské nakladatelství 1984")</f>
        <v>Miroslav Hauner: Západní Čechy: krajina, architektura, umění, Plzeň: Zápodočeské nakladatelství 1984</v>
      </c>
      <c r="Q31" s="6"/>
      <c r="R31" s="6"/>
      <c r="S31" s="6"/>
      <c r="T31" s="6"/>
      <c r="U31" s="6"/>
      <c r="V31" s="6"/>
      <c r="W31" s="6"/>
      <c r="X31" s="6"/>
      <c r="Y31" s="6"/>
      <c r="Z31" s="6"/>
      <c r="AA31" s="6"/>
    </row>
    <row r="32" ht="15.75" customHeight="1">
      <c r="A32" s="7">
        <f t="shared" si="1"/>
        <v>31</v>
      </c>
      <c r="B32" s="9" t="str">
        <f>IFERROR(__xludf.DUMMYFUNCTION("""COMPUTED_VALUE"""),"13.9869736")</f>
        <v>13.9869736</v>
      </c>
      <c r="C32" s="9" t="str">
        <f>IFERROR(__xludf.DUMMYFUNCTION("""COMPUTED_VALUE"""),"49.054965")</f>
        <v>49.054965</v>
      </c>
      <c r="D32" s="9" t="str">
        <f>IFERROR(__xludf.DUMMYFUNCTION("""COMPUTED_VALUE"""),"Památník Mistra Jana Husa, Husinec")</f>
        <v>Památník Mistra Jana Husa, Husinec</v>
      </c>
      <c r="E32" s="10" t="str">
        <f>IFERROR(__xludf.DUMMYFUNCTION("""COMPUTED_VALUE"""),"památníky")</f>
        <v>památníky</v>
      </c>
      <c r="F32" s="9" t="str">
        <f>IFERROR(__xludf.DUMMYFUNCTION("""COMPUTED_VALUE"""),"Památník vybudovaný v domnělém rodném domě Jana Husa v roce 1952. Jádrem expozice byla tzv. rodná světnička. Kolem ní se nacházela výstava s názvem Život a dílo Mistra Jana Husa a jeho tradice. V roce 1970 byla expozice modernizována a v objektu byla zbud"&amp;"ována knihovna se studovnou.")</f>
        <v>Památník vybudovaný v domnělém rodném domě Jana Husa v roce 1952. Jádrem expozice byla tzv. rodná světnička. Kolem ní se nacházela výstava s názvem Život a dílo Mistra Jana Husa a jeho tradice. V roce 1970 byla expozice modernizována a v objektu byla zbudována knihovna se studovnou.</v>
      </c>
      <c r="G32" s="9" t="str">
        <f>IFERROR(__xludf.DUMMYFUNCTION("""COMPUTED_VALUE"""),"muzea")</f>
        <v>muzea</v>
      </c>
      <c r="H32" s="9" t="str">
        <f>IFERROR(__xludf.DUMMYFUNCTION("""COMPUTED_VALUE"""),"Muzea a památníky spojené s jednotlivými osobnostmi")</f>
        <v>Muzea a památníky spojené s jednotlivými osobnostmi</v>
      </c>
      <c r="I32" s="9" t="str">
        <f>IFERROR(__xludf.DUMMYFUNCTION("""COMPUTED_VALUE"""),"Ano")</f>
        <v>Ano</v>
      </c>
      <c r="J32" s="9">
        <f>IFERROR(__xludf.DUMMYFUNCTION("""COMPUTED_VALUE"""),1952.0)</f>
        <v>1952</v>
      </c>
      <c r="K32" s="9"/>
      <c r="L32" s="12" t="str">
        <f>IFERROR(__xludf.DUMMYFUNCTION("""COMPUTED_VALUE"""),"Milan Hromádka - Marie Poláková - Jarmila Valentová: Kulturní adresář ČSR, Praha: Ústav pro výzkum kultury 1973, str. 353; Václav Pubal: Muzea, galerie a památkové objekty v ČSR, Praha: Národní muzeum 1973; Jaroslav Nečas: Mistr Jan Hus a Husinec, Praha: "&amp;"Svépomoc 1969")</f>
        <v>Milan Hromádka - Marie Poláková - Jarmila Valentová: Kulturní adresář ČSR, Praha: Ústav pro výzkum kultury 1973, str. 353; Václav Pubal: Muzea, galerie a památkové objekty v ČSR, Praha: Národní muzeum 1973; Jaroslav Nečas: Mistr Jan Hus a Husinec, Praha: Svépomoc 1969</v>
      </c>
      <c r="M32" s="9"/>
      <c r="N32" s="9" t="str">
        <f>IFERROR(__xludf.DUMMYFUNCTION("""COMPUTED_VALUE"""),"o1.JPG")</f>
        <v>o1.JPG</v>
      </c>
      <c r="O32" s="6" t="str">
        <f>IFERROR(__xludf.DUMMYFUNCTION("""COMPUTED_VALUE"""),"Budova památníku.")</f>
        <v>Budova památníku.</v>
      </c>
      <c r="P32" s="6" t="str">
        <f>IFERROR(__xludf.DUMMYFUNCTION("""COMPUTED_VALUE"""),"Jaroslav Nečas: Mistr Jan Hus a Husinec, Praha: Svépomoc 1969")</f>
        <v>Jaroslav Nečas: Mistr Jan Hus a Husinec, Praha: Svépomoc 1969</v>
      </c>
      <c r="Q32" s="6" t="str">
        <f>IFERROR(__xludf.DUMMYFUNCTION("""COMPUTED_VALUE"""),"o2.JPG")</f>
        <v>o2.JPG</v>
      </c>
      <c r="R32" s="6" t="str">
        <f>IFERROR(__xludf.DUMMYFUNCTION("""COMPUTED_VALUE"""),"Z expozice.")</f>
        <v>Z expozice.</v>
      </c>
      <c r="S32" s="6" t="str">
        <f>IFERROR(__xludf.DUMMYFUNCTION("""COMPUTED_VALUE"""),"Jaroslav Nečas: Mistr Jan Hus a Husinec, Praha: Svépomoc 1969")</f>
        <v>Jaroslav Nečas: Mistr Jan Hus a Husinec, Praha: Svépomoc 1969</v>
      </c>
      <c r="T32" s="6"/>
      <c r="U32" s="6"/>
      <c r="V32" s="6"/>
      <c r="W32" s="6"/>
      <c r="X32" s="6"/>
      <c r="Y32" s="6"/>
      <c r="Z32" s="6"/>
      <c r="AA32" s="6"/>
    </row>
    <row r="33" ht="15.75" customHeight="1">
      <c r="A33" s="7">
        <f t="shared" si="1"/>
        <v>32</v>
      </c>
      <c r="B33" s="9" t="str">
        <f>IFERROR(__xludf.DUMMYFUNCTION("""COMPUTED_VALUE"""),"15.1195133")</f>
        <v>15.1195133</v>
      </c>
      <c r="C33" s="9" t="str">
        <f>IFERROR(__xludf.DUMMYFUNCTION("""COMPUTED_VALUE"""),"50.1414789")</f>
        <v>50.1414789</v>
      </c>
      <c r="D33" s="9" t="str">
        <f>IFERROR(__xludf.DUMMYFUNCTION("""COMPUTED_VALUE"""),"Památník krále JIřího z Poděbrad v zámku v Poděbradech")</f>
        <v>Památník krále JIřího z Poděbrad v zámku v Poděbradech</v>
      </c>
      <c r="E33" s="10" t="str">
        <f>IFERROR(__xludf.DUMMYFUNCTION("""COMPUTED_VALUE"""),"památníky")</f>
        <v>památníky</v>
      </c>
      <c r="F33" s="9" t="str">
        <f>IFERROR(__xludf.DUMMYFUNCTION("""COMPUTED_VALUE"""),"V zámeckých prostorech byla umístěna speciální expozice věnovaná životu a dílu Jiřího z Poděbrad a jeho mírovým snahám.")</f>
        <v>V zámeckých prostorech byla umístěna speciální expozice věnovaná životu a dílu Jiřího z Poděbrad a jeho mírovým snahám.</v>
      </c>
      <c r="G33" s="9" t="str">
        <f>IFERROR(__xludf.DUMMYFUNCTION("""COMPUTED_VALUE"""),"muzea")</f>
        <v>muzea</v>
      </c>
      <c r="H33" s="9" t="str">
        <f>IFERROR(__xludf.DUMMYFUNCTION("""COMPUTED_VALUE"""),"Muzea a památníky spojené s jednotlivými osobnostmi")</f>
        <v>Muzea a památníky spojené s jednotlivými osobnostmi</v>
      </c>
      <c r="I33" s="9" t="str">
        <f>IFERROR(__xludf.DUMMYFUNCTION("""COMPUTED_VALUE"""),"Ano")</f>
        <v>Ano</v>
      </c>
      <c r="J33" s="9"/>
      <c r="K33" s="9"/>
      <c r="L33" s="12" t="str">
        <f>IFERROR(__xludf.DUMMYFUNCTION("""COMPUTED_VALUE"""),"Milan Hromádka - Marie Poláková - Jarmila Valentová: Kulturní adresář ČSR, Praha: Ústav pro výzkum kultury 1973, str. 333")</f>
        <v>Milan Hromádka - Marie Poláková - Jarmila Valentová: Kulturní adresář ČSR, Praha: Ústav pro výzkum kultury 1973, str. 333</v>
      </c>
      <c r="M33" s="9"/>
      <c r="N33" s="9"/>
      <c r="O33" s="6"/>
      <c r="P33" s="6"/>
      <c r="Q33" s="6"/>
      <c r="R33" s="6"/>
      <c r="S33" s="6"/>
      <c r="T33" s="6"/>
      <c r="U33" s="6"/>
      <c r="V33" s="6"/>
      <c r="W33" s="6"/>
      <c r="X33" s="6"/>
      <c r="Y33" s="6"/>
      <c r="Z33" s="6"/>
      <c r="AA33" s="6"/>
    </row>
    <row r="34" ht="15.75" customHeight="1">
      <c r="A34" s="7">
        <f t="shared" si="1"/>
        <v>33</v>
      </c>
      <c r="B34" s="9" t="str">
        <f>IFERROR(__xludf.DUMMYFUNCTION("""COMPUTED_VALUE"""),"14.5954317")</f>
        <v>14.5954317</v>
      </c>
      <c r="C34" s="9" t="str">
        <f>IFERROR(__xludf.DUMMYFUNCTION("""COMPUTED_VALUE"""),"48.9064712")</f>
        <v>48.9064712</v>
      </c>
      <c r="D34" s="9" t="str">
        <f>IFERROR(__xludf.DUMMYFUNCTION("""COMPUTED_VALUE"""),"Památník Jana Žižky z Trocnova")</f>
        <v>Památník Jana Žižky z Trocnova</v>
      </c>
      <c r="E34" s="10" t="str">
        <f>IFERROR(__xludf.DUMMYFUNCTION("""COMPUTED_VALUE"""),"památníky")</f>
        <v>památníky</v>
      </c>
      <c r="F34" s="9" t="str">
        <f>IFERROR(__xludf.DUMMYFUNCTION("""COMPUTED_VALUE"""),"Památník modernizován roku 1958 péčí Jihočeského muzea v Českých Budějovicích. Hlavním tématem expozice byla osobnost Jana Žižky a jeho role v událostech husitské revoluce.")</f>
        <v>Památník modernizován roku 1958 péčí Jihočeského muzea v Českých Budějovicích. Hlavním tématem expozice byla osobnost Jana Žižky a jeho role v událostech husitské revoluce.</v>
      </c>
      <c r="G34" s="9" t="str">
        <f>IFERROR(__xludf.DUMMYFUNCTION("""COMPUTED_VALUE"""),"muzea")</f>
        <v>muzea</v>
      </c>
      <c r="H34" s="9" t="str">
        <f>IFERROR(__xludf.DUMMYFUNCTION("""COMPUTED_VALUE"""),"Muzea a památníky spojené s jednotlivými osobnostmi")</f>
        <v>Muzea a památníky spojené s jednotlivými osobnostmi</v>
      </c>
      <c r="I34" s="9" t="str">
        <f>IFERROR(__xludf.DUMMYFUNCTION("""COMPUTED_VALUE"""),"Ano")</f>
        <v>Ano</v>
      </c>
      <c r="J34" s="9">
        <f>IFERROR(__xludf.DUMMYFUNCTION("""COMPUTED_VALUE"""),1958.0)</f>
        <v>1958</v>
      </c>
      <c r="K34" s="9"/>
      <c r="L34" s="12" t="str">
        <f>IFERROR(__xludf.DUMMYFUNCTION("""COMPUTED_VALUE"""),"Milan Hromádka - Marie Poláková - Jarmila Valentová: Kulturní adresář ČSR, Praha: Ústav pro výzkum kultury 1973, str. 352; Václav Pubal: Muzea, galerie a památkové objekty v ČSR, Praha: Národní muzeum 1973")</f>
        <v>Milan Hromádka - Marie Poláková - Jarmila Valentová: Kulturní adresář ČSR, Praha: Ústav pro výzkum kultury 1973, str. 352; Václav Pubal: Muzea, galerie a památkové objekty v ČSR, Praha: Národní muzeum 1973</v>
      </c>
      <c r="M34" s="9"/>
      <c r="N34" s="9"/>
      <c r="O34" s="6"/>
      <c r="P34" s="6"/>
      <c r="Q34" s="6"/>
      <c r="R34" s="6"/>
      <c r="S34" s="6"/>
      <c r="T34" s="6"/>
      <c r="U34" s="6"/>
      <c r="V34" s="6"/>
      <c r="W34" s="6"/>
      <c r="X34" s="6"/>
      <c r="Y34" s="6"/>
      <c r="Z34" s="6"/>
      <c r="AA34" s="6"/>
    </row>
    <row r="35" ht="15.75" customHeight="1">
      <c r="A35" s="7">
        <f t="shared" si="1"/>
        <v>34</v>
      </c>
      <c r="B35" s="9" t="str">
        <f>IFERROR(__xludf.DUMMYFUNCTION("""COMPUTED_VALUE"""),"14.095291")</f>
        <v>14.095291</v>
      </c>
      <c r="C35" s="9" t="str">
        <f>IFERROR(__xludf.DUMMYFUNCTION("""COMPUTED_VALUE"""),"50.144310")</f>
        <v>50.144310</v>
      </c>
      <c r="D35" s="9" t="str">
        <f>IFERROR(__xludf.DUMMYFUNCTION("""COMPUTED_VALUE"""),"Síň Antonína Zápotockého v Dělnickém domě na Kladně")</f>
        <v>Síň Antonína Zápotockého v Dělnickém domě na Kladně</v>
      </c>
      <c r="E35" s="10" t="str">
        <f>IFERROR(__xludf.DUMMYFUNCTION("""COMPUTED_VALUE"""),"památníky")</f>
        <v>památníky</v>
      </c>
      <c r="F35" s="9" t="str">
        <f>IFERROR(__xludf.DUMMYFUNCTION("""COMPUTED_VALUE"""),"Pamětní síň Antonína Zápotockého byla otevřena v květnu 1971 u příležitosti 50.  výročí vzniku KSČ. Nacházela se v Domě politické výchovy, který využíval prostory Dělnického domu. Centrum expozice představovala obnovená pracovna, z níž měl Zápotocký v roc"&amp;"e 1920 řídit prosincovou generální stávku místních horníků a hutníků.")</f>
        <v>Pamětní síň Antonína Zápotockého byla otevřena v květnu 1971 u příležitosti 50.  výročí vzniku KSČ. Nacházela se v Domě politické výchovy, který využíval prostory Dělnického domu. Centrum expozice představovala obnovená pracovna, z níž měl Zápotocký v roce 1920 řídit prosincovou generální stávku místních horníků a hutníků.</v>
      </c>
      <c r="G35" s="9" t="str">
        <f>IFERROR(__xludf.DUMMYFUNCTION("""COMPUTED_VALUE"""),"muzea")</f>
        <v>muzea</v>
      </c>
      <c r="H35" s="9" t="str">
        <f>IFERROR(__xludf.DUMMYFUNCTION("""COMPUTED_VALUE"""),"Muzea a památníky spojené s jednotlivými osobnostmi")</f>
        <v>Muzea a památníky spojené s jednotlivými osobnostmi</v>
      </c>
      <c r="I35" s="9" t="str">
        <f>IFERROR(__xludf.DUMMYFUNCTION("""COMPUTED_VALUE"""),"Ne")</f>
        <v>Ne</v>
      </c>
      <c r="J35" s="9">
        <f>IFERROR(__xludf.DUMMYFUNCTION("""COMPUTED_VALUE"""),1971.0)</f>
        <v>1971</v>
      </c>
      <c r="K35" s="9"/>
      <c r="L35" s="12" t="str">
        <f>IFERROR(__xludf.DUMMYFUNCTION("""COMPUTED_VALUE"""),"Rudolf Pobořil: Síň Antonína Zápotockého v Dělnickém domě v Kladně, Kladno: Dům politické výchovy, [198-?]")</f>
        <v>Rudolf Pobořil: Síň Antonína Zápotockého v Dělnickém domě v Kladně, Kladno: Dům politické výchovy, [198-?]</v>
      </c>
      <c r="M35" s="9"/>
      <c r="N35" s="9" t="str">
        <f>IFERROR(__xludf.DUMMYFUNCTION("""COMPUTED_VALUE"""),"o1.JPG")</f>
        <v>o1.JPG</v>
      </c>
      <c r="O35" s="6" t="str">
        <f>IFERROR(__xludf.DUMMYFUNCTION("""COMPUTED_VALUE"""),"Kresba dělnického domu v Kladně během prosincové stávky roku 1920.")</f>
        <v>Kresba dělnického domu v Kladně během prosincové stávky roku 1920.</v>
      </c>
      <c r="P35" s="6" t="str">
        <f>IFERROR(__xludf.DUMMYFUNCTION("""COMPUTED_VALUE"""),"Alois Pěnička: Antonín Zápotocký a Kladensko, Kladno: Důl Antonín Zápotocký v Kladně, 1959, str. 7")</f>
        <v>Alois Pěnička: Antonín Zápotocký a Kladensko, Kladno: Důl Antonín Zápotocký v Kladně, 1959, str. 7</v>
      </c>
      <c r="Q35" s="6"/>
      <c r="R35" s="6"/>
      <c r="S35" s="6"/>
      <c r="T35" s="6"/>
      <c r="U35" s="6"/>
      <c r="V35" s="6"/>
      <c r="W35" s="6"/>
      <c r="X35" s="6"/>
      <c r="Y35" s="6"/>
      <c r="Z35" s="6"/>
      <c r="AA35" s="6"/>
    </row>
    <row r="36" ht="15.75" customHeight="1">
      <c r="A36" s="7">
        <f t="shared" si="1"/>
        <v>35</v>
      </c>
      <c r="B36" s="9" t="str">
        <f>IFERROR(__xludf.DUMMYFUNCTION("""COMPUTED_VALUE"""),"14.445029")</f>
        <v>14.445029</v>
      </c>
      <c r="C36" s="9" t="str">
        <f>IFERROR(__xludf.DUMMYFUNCTION("""COMPUTED_VALUE"""),"50.087343")</f>
        <v>50.087343</v>
      </c>
      <c r="D36" s="9" t="str">
        <f>IFERROR(__xludf.DUMMYFUNCTION("""COMPUTED_VALUE"""),"Muzeum Československé armády")</f>
        <v>Muzeum Československé armády</v>
      </c>
      <c r="E36" s="10" t="str">
        <f>IFERROR(__xludf.DUMMYFUNCTION("""COMPUTED_VALUE"""),"muzea")</f>
        <v>muzea</v>
      </c>
      <c r="F36" s="9" t="str">
        <f>IFERROR(__xludf.DUMMYFUNCTION("""COMPUTED_VALUE"""),"Muzeum se od července 1954 věnovalo vývoji Československé lidové armády a jejím ""pokrokovým bojovým tradicím nové doby"". V roce 1962 bylo sloučeno s Vojenským historickým muzeem.")</f>
        <v>Muzeum se od července 1954 věnovalo vývoji Československé lidové armády a jejím "pokrokovým bojovým tradicím nové doby". V roce 1962 bylo sloučeno s Vojenským historickým muzeem.</v>
      </c>
      <c r="G36" s="9" t="str">
        <f>IFERROR(__xludf.DUMMYFUNCTION("""COMPUTED_VALUE"""),"muzea")</f>
        <v>muzea</v>
      </c>
      <c r="H36" s="9" t="str">
        <f>IFERROR(__xludf.DUMMYFUNCTION("""COMPUTED_VALUE"""),"Památníky a muzea revolučního hnutí")</f>
        <v>Památníky a muzea revolučního hnutí</v>
      </c>
      <c r="I36" s="9" t="str">
        <f>IFERROR(__xludf.DUMMYFUNCTION("""COMPUTED_VALUE"""),"Ano")</f>
        <v>Ano</v>
      </c>
      <c r="J36" s="9">
        <f>IFERROR(__xludf.DUMMYFUNCTION("""COMPUTED_VALUE"""),1954.0)</f>
        <v>1954</v>
      </c>
      <c r="K36" s="9"/>
      <c r="L36" s="12" t="str">
        <f>IFERROR(__xludf.DUMMYFUNCTION("""COMPUTED_VALUE"""),"Jiří Padevět: Průvodce stalinistickou Prahou 1948-1956. Místa-události-lidé, Praha: Academia 2018, str. 460-461; Václav Pubal: Muzea, galerie a památkové objekty ČSR, Praha: Národní muzeum 1973, 47-48")</f>
        <v>Jiří Padevět: Průvodce stalinistickou Prahou 1948-1956. Místa-události-lidé, Praha: Academia 2018, str. 460-461; Václav Pubal: Muzea, galerie a památkové objekty ČSR, Praha: Národní muzeum 1973, 47-48</v>
      </c>
      <c r="M36" s="9"/>
      <c r="N36" s="9"/>
      <c r="O36" s="6"/>
      <c r="P36" s="6"/>
      <c r="Q36" s="6"/>
      <c r="R36" s="6"/>
      <c r="S36" s="6"/>
      <c r="T36" s="6"/>
      <c r="U36" s="6"/>
      <c r="V36" s="6"/>
      <c r="W36" s="6"/>
      <c r="X36" s="6"/>
      <c r="Y36" s="6"/>
      <c r="Z36" s="6"/>
      <c r="AA36" s="6"/>
    </row>
    <row r="37" ht="15.75" customHeight="1">
      <c r="A37" s="7">
        <f t="shared" si="1"/>
        <v>36</v>
      </c>
      <c r="B37" s="9" t="str">
        <f>IFERROR(__xludf.DUMMYFUNCTION("""COMPUTED_VALUE"""),"16.3961958")</f>
        <v>16.3961958</v>
      </c>
      <c r="C37" s="9" t="str">
        <f>IFERROR(__xludf.DUMMYFUNCTION("""COMPUTED_VALUE"""),"49.9731208")</f>
        <v>49.9731208</v>
      </c>
      <c r="D37" s="9" t="str">
        <f>IFERROR(__xludf.DUMMYFUNCTION("""COMPUTED_VALUE"""),"Památník revolučních tradic v Ústí nad Orlicí")</f>
        <v>Památník revolučních tradic v Ústí nad Orlicí</v>
      </c>
      <c r="E37" s="10" t="str">
        <f>IFERROR(__xludf.DUMMYFUNCTION("""COMPUTED_VALUE"""),"památníky")</f>
        <v>památníky</v>
      </c>
      <c r="F37" s="9" t="str">
        <f>IFERROR(__xludf.DUMMYFUNCTION("""COMPUTED_VALUE"""),"Vila podnikatele Floriana Henrycha se po roce 1948 využívala jako školící středisko ROH  a v roce 1971 byla adaptována na Památník revolučních tradic.")</f>
        <v>Vila podnikatele Floriana Henrycha se po roce 1948 využívala jako školící středisko ROH  a v roce 1971 byla adaptována na Památník revolučních tradic.</v>
      </c>
      <c r="G37" s="9" t="str">
        <f>IFERROR(__xludf.DUMMYFUNCTION("""COMPUTED_VALUE"""),"památníky")</f>
        <v>památníky</v>
      </c>
      <c r="H37" s="9" t="str">
        <f>IFERROR(__xludf.DUMMYFUNCTION("""COMPUTED_VALUE"""),"Památníky a muzea revolučního hnutí")</f>
        <v>Památníky a muzea revolučního hnutí</v>
      </c>
      <c r="I37" s="9" t="str">
        <f>IFERROR(__xludf.DUMMYFUNCTION("""COMPUTED_VALUE"""),"Ne")</f>
        <v>Ne</v>
      </c>
      <c r="J37" s="9">
        <f>IFERROR(__xludf.DUMMYFUNCTION("""COMPUTED_VALUE"""),1971.0)</f>
        <v>1971</v>
      </c>
      <c r="K37" s="9">
        <f>IFERROR(__xludf.DUMMYFUNCTION("""COMPUTED_VALUE"""),1989.0)</f>
        <v>1989</v>
      </c>
      <c r="L37" s="12" t="str">
        <f>IFERROR(__xludf.DUMMYFUNCTION("""COMPUTED_VALUE"""),"ANM, fond Sbírka Muzeum dělnického hnutí, nezpracováno")</f>
        <v>ANM, fond Sbírka Muzeum dělnického hnutí, nezpracováno</v>
      </c>
      <c r="M37" s="9"/>
      <c r="N37" s="9" t="str">
        <f>IFERROR(__xludf.DUMMYFUNCTION("""COMPUTED_VALUE"""),"o1.JPG")</f>
        <v>o1.JPG</v>
      </c>
      <c r="O37" s="6" t="str">
        <f>IFERROR(__xludf.DUMMYFUNCTION("""COMPUTED_VALUE"""),"Budova památníku.")</f>
        <v>Budova památníku.</v>
      </c>
      <c r="P37" s="6" t="str">
        <f>IFERROR(__xludf.DUMMYFUNCTION("""COMPUTED_VALUE"""),"ANM, fond Sbírka Muzeum dělnického hnutí, nezpracováno")</f>
        <v>ANM, fond Sbírka Muzeum dělnického hnutí, nezpracováno</v>
      </c>
      <c r="Q37" s="6" t="str">
        <f>IFERROR(__xludf.DUMMYFUNCTION("""COMPUTED_VALUE"""),"o2.JPG")</f>
        <v>o2.JPG</v>
      </c>
      <c r="R37" s="6" t="str">
        <f>IFERROR(__xludf.DUMMYFUNCTION("""COMPUTED_VALUE"""),"Z expozice.")</f>
        <v>Z expozice.</v>
      </c>
      <c r="S37" s="6" t="str">
        <f>IFERROR(__xludf.DUMMYFUNCTION("""COMPUTED_VALUE"""),"ANM, fond Sbírka Muzeum dělnického hnutí, nezpracováno")</f>
        <v>ANM, fond Sbírka Muzeum dělnického hnutí, nezpracováno</v>
      </c>
      <c r="T37" s="6"/>
      <c r="U37" s="6"/>
      <c r="V37" s="6"/>
      <c r="W37" s="6"/>
      <c r="X37" s="6"/>
      <c r="Y37" s="6"/>
      <c r="Z37" s="6"/>
      <c r="AA37" s="6"/>
    </row>
    <row r="38" ht="15.75" customHeight="1">
      <c r="A38" s="7">
        <f t="shared" si="1"/>
        <v>37</v>
      </c>
      <c r="B38" s="9" t="str">
        <f>IFERROR(__xludf.DUMMYFUNCTION("""COMPUTED_VALUE"""),"15.578517")</f>
        <v>15.578517</v>
      </c>
      <c r="C38" s="9" t="str">
        <f>IFERROR(__xludf.DUMMYFUNCTION("""COMPUTED_VALUE"""),"49.599596")</f>
        <v>49.599596</v>
      </c>
      <c r="D38" s="9" t="str">
        <f>IFERROR(__xludf.DUMMYFUNCTION("""COMPUTED_VALUE"""),"Muzeum dějin dělnického a komunistického hnutí na Havlíčkobrodsku")</f>
        <v>Muzeum dějin dělnického a komunistického hnutí na Havlíčkobrodsku</v>
      </c>
      <c r="E38" s="10" t="str">
        <f>IFERROR(__xludf.DUMMYFUNCTION("""COMPUTED_VALUE"""),"muzea")</f>
        <v>muzea</v>
      </c>
      <c r="F38" s="9" t="str">
        <f>IFERROR(__xludf.DUMMYFUNCTION("""COMPUTED_VALUE"""),"Muzeum zaměřené na regionální dějiny dělnického hnutí a třídních bojů vzniklo v roce 1978. Expozice se dělila na části podle dějinných období – boj proti kapitalismu, odboj proti fašismu, převzetí moci v únoru 1948 a socialistické budování.")</f>
        <v>Muzeum zaměřené na regionální dějiny dělnického hnutí a třídních bojů vzniklo v roce 1978. Expozice se dělila na části podle dějinných období – boj proti kapitalismu, odboj proti fašismu, převzetí moci v únoru 1948 a socialistické budování.</v>
      </c>
      <c r="G38" s="9" t="str">
        <f>IFERROR(__xludf.DUMMYFUNCTION("""COMPUTED_VALUE"""),"muzea")</f>
        <v>muzea</v>
      </c>
      <c r="H38" s="9" t="str">
        <f>IFERROR(__xludf.DUMMYFUNCTION("""COMPUTED_VALUE"""),"Památníky a muzea revolučního hnutí")</f>
        <v>Památníky a muzea revolučního hnutí</v>
      </c>
      <c r="I38" s="9" t="str">
        <f>IFERROR(__xludf.DUMMYFUNCTION("""COMPUTED_VALUE"""),"Ne")</f>
        <v>Ne</v>
      </c>
      <c r="J38" s="9">
        <f>IFERROR(__xludf.DUMMYFUNCTION("""COMPUTED_VALUE"""),1978.0)</f>
        <v>1978</v>
      </c>
      <c r="K38" s="9">
        <f>IFERROR(__xludf.DUMMYFUNCTION("""COMPUTED_VALUE"""),1989.0)</f>
        <v>1989</v>
      </c>
      <c r="L38" s="12" t="str">
        <f>IFERROR(__xludf.DUMMYFUNCTION("""COMPUTED_VALUE"""),"Josef Herink: Průvodce expozicí muzea dělnického a komunistického hnutí na Havlíčkobrodsku, Havlíčkův Brod 1983")</f>
        <v>Josef Herink: Průvodce expozicí muzea dělnického a komunistického hnutí na Havlíčkobrodsku, Havlíčkův Brod 1983</v>
      </c>
      <c r="M38" s="9"/>
      <c r="N38" s="9" t="str">
        <f>IFERROR(__xludf.DUMMYFUNCTION("""COMPUTED_VALUE"""),"o1.JPG")</f>
        <v>o1.JPG</v>
      </c>
      <c r="O38" s="6" t="str">
        <f>IFERROR(__xludf.DUMMYFUNCTION("""COMPUTED_VALUE"""),"Budova muzea.")</f>
        <v>Budova muzea.</v>
      </c>
      <c r="P38" s="6" t="str">
        <f>IFERROR(__xludf.DUMMYFUNCTION("""COMPUTED_VALUE"""),"ANM, fond Sbírka Muzeum dělnického hnutí, nezpracováno")</f>
        <v>ANM, fond Sbírka Muzeum dělnického hnutí, nezpracováno</v>
      </c>
      <c r="Q38" s="6"/>
      <c r="R38" s="6"/>
      <c r="S38" s="6"/>
      <c r="T38" s="6"/>
      <c r="U38" s="6"/>
      <c r="V38" s="6"/>
      <c r="W38" s="6"/>
      <c r="X38" s="6"/>
      <c r="Y38" s="6"/>
      <c r="Z38" s="6"/>
      <c r="AA38" s="6"/>
    </row>
    <row r="39" ht="15.75" customHeight="1">
      <c r="A39" s="7">
        <f t="shared" si="1"/>
        <v>38</v>
      </c>
      <c r="B39" s="9" t="str">
        <f>IFERROR(__xludf.DUMMYFUNCTION("""COMPUTED_VALUE"""),"21.2406972")</f>
        <v>21.2406972</v>
      </c>
      <c r="C39" s="9" t="str">
        <f>IFERROR(__xludf.DUMMYFUNCTION("""COMPUTED_VALUE"""),"48.9981565")</f>
        <v>48.9981565</v>
      </c>
      <c r="D39" s="9" t="str">
        <f>IFERROR(__xludf.DUMMYFUNCTION("""COMPUTED_VALUE"""),"Múzeum Slovenskej republiky rád Prešov")</f>
        <v>Múzeum Slovenskej republiky rád Prešov</v>
      </c>
      <c r="E39" s="10" t="str">
        <f>IFERROR(__xludf.DUMMYFUNCTION("""COMPUTED_VALUE"""),"muzea")</f>
        <v>muzea</v>
      </c>
      <c r="F39" s="9" t="str">
        <f>IFERROR(__xludf.DUMMYFUNCTION("""COMPUTED_VALUE"""),"Místní krajské muzeum bylo v roce 1961 přejmenováno podle Slovenské republiky rad, státního útvaru z roku 1919, jehož bylo město centrem. Muzeum se sice výrazně zaměřovalo na revoluční hnutí a události spojené se vznikem SRR, ale věnovalo se také klasické"&amp;" vlastivědné a regionálně historické práci.")</f>
        <v>Místní krajské muzeum bylo v roce 1961 přejmenováno podle Slovenské republiky rad, státního útvaru z roku 1919, jehož bylo město centrem. Muzeum se sice výrazně zaměřovalo na revoluční hnutí a události spojené se vznikem SRR, ale věnovalo se také klasické vlastivědné a regionálně historické práci.</v>
      </c>
      <c r="G39" s="9" t="str">
        <f>IFERROR(__xludf.DUMMYFUNCTION("""COMPUTED_VALUE"""),"muzea")</f>
        <v>muzea</v>
      </c>
      <c r="H39" s="9" t="str">
        <f>IFERROR(__xludf.DUMMYFUNCTION("""COMPUTED_VALUE"""),"Památníky a muzea revolučního hnutí")</f>
        <v>Památníky a muzea revolučního hnutí</v>
      </c>
      <c r="I39" s="9" t="str">
        <f>IFERROR(__xludf.DUMMYFUNCTION("""COMPUTED_VALUE"""),"Ne")</f>
        <v>Ne</v>
      </c>
      <c r="J39" s="9">
        <f>IFERROR(__xludf.DUMMYFUNCTION("""COMPUTED_VALUE"""),1961.0)</f>
        <v>1961</v>
      </c>
      <c r="K39" s="9">
        <f>IFERROR(__xludf.DUMMYFUNCTION("""COMPUTED_VALUE"""),1989.0)</f>
        <v>1989</v>
      </c>
      <c r="L39" s="12" t="str">
        <f>IFERROR(__xludf.DUMMYFUNCTION("""COMPUTED_VALUE"""),"Múzeá vo východoslovenskom kraji. Stručný sprievodca, Košice: Východoslovenské múzeúm v Košiciach 1979, str. 30-33; Dvadsať rokov slovenskej republiky rád v prešove, Prešov: Múzeum Slovenskej republiky rád 1967")</f>
        <v>Múzeá vo východoslovenskom kraji. Stručný sprievodca, Košice: Východoslovenské múzeúm v Košiciach 1979, str. 30-33; Dvadsať rokov slovenskej republiky rád v prešove, Prešov: Múzeum Slovenskej republiky rád 1967</v>
      </c>
      <c r="M39" s="9"/>
      <c r="N39" s="9" t="str">
        <f>IFERROR(__xludf.DUMMYFUNCTION("""COMPUTED_VALUE"""),"o1.JPG")</f>
        <v>o1.JPG</v>
      </c>
      <c r="O39" s="6" t="str">
        <f>IFERROR(__xludf.DUMMYFUNCTION("""COMPUTED_VALUE"""),"Budova muzea.")</f>
        <v>Budova muzea.</v>
      </c>
      <c r="P39" s="6" t="str">
        <f>IFERROR(__xludf.DUMMYFUNCTION("""COMPUTED_VALUE"""),"Múzeá vo východoslovenskom kraji. Stručný sprievodca, Košice: Východoslovenské múzeúm v Košiciach 1979, s.30")</f>
        <v>Múzeá vo východoslovenskom kraji. Stručný sprievodca, Košice: Východoslovenské múzeúm v Košiciach 1979, s.30</v>
      </c>
      <c r="Q39" s="6" t="str">
        <f>IFERROR(__xludf.DUMMYFUNCTION("""COMPUTED_VALUE"""),"o3.JPG")</f>
        <v>o3.JPG</v>
      </c>
      <c r="R39" s="6" t="str">
        <f>IFERROR(__xludf.DUMMYFUNCTION("""COMPUTED_VALUE"""),"Múzeá vo východoslovenskom kraji. Stručný sprievodca, Košice: Východoslovenské múzeúm v Košiciach 1979, s.30")</f>
        <v>Múzeá vo východoslovenskom kraji. Stručný sprievodca, Košice: Východoslovenské múzeúm v Košiciach 1979, s.30</v>
      </c>
      <c r="S39" s="6"/>
      <c r="T39" s="6"/>
      <c r="U39" s="6"/>
      <c r="V39" s="6"/>
      <c r="W39" s="6"/>
      <c r="X39" s="6"/>
      <c r="Y39" s="6"/>
      <c r="Z39" s="6"/>
      <c r="AA39" s="6"/>
    </row>
    <row r="40" ht="15.75" customHeight="1">
      <c r="A40" s="7">
        <f t="shared" si="1"/>
        <v>39</v>
      </c>
      <c r="B40" s="9" t="str">
        <f>IFERROR(__xludf.DUMMYFUNCTION("""COMPUTED_VALUE"""),"16.4725386")</f>
        <v>16.4725386</v>
      </c>
      <c r="C40" s="9" t="str">
        <f>IFERROR(__xludf.DUMMYFUNCTION("""COMPUTED_VALUE"""),"49.7542675")</f>
        <v>49.7542675</v>
      </c>
      <c r="D40" s="9" t="str">
        <f>IFERROR(__xludf.DUMMYFUNCTION("""COMPUTED_VALUE"""),"Muzeum dělnického hnutí, Svitavy")</f>
        <v>Muzeum dělnického hnutí, Svitavy</v>
      </c>
      <c r="E40" s="10" t="str">
        <f>IFERROR(__xludf.DUMMYFUNCTION("""COMPUTED_VALUE"""),"muzea")</f>
        <v>muzea</v>
      </c>
      <c r="F40" s="9" t="str">
        <f>IFERROR(__xludf.DUMMYFUNCTION("""COMPUTED_VALUE"""),"V roce 1974 počaly přípravy ke zřízení místního muzea dělnického hnutí, které by zároveň sloužilo jako okresní muzeum. Tematicky byla expozice zaměřena na dějiny místního dělnictva od 70. let 19. století a respektovala oficiální příběh dělnické třídy.")</f>
        <v>V roce 1974 počaly přípravy ke zřízení místního muzea dělnického hnutí, které by zároveň sloužilo jako okresní muzeum. Tematicky byla expozice zaměřena na dějiny místního dělnictva od 70. let 19. století a respektovala oficiální příběh dělnické třídy.</v>
      </c>
      <c r="G40" s="9" t="str">
        <f>IFERROR(__xludf.DUMMYFUNCTION("""COMPUTED_VALUE"""),"muzea")</f>
        <v>muzea</v>
      </c>
      <c r="H40" s="9" t="str">
        <f>IFERROR(__xludf.DUMMYFUNCTION("""COMPUTED_VALUE"""),"Památníky a muzea revolučního hnutí")</f>
        <v>Památníky a muzea revolučního hnutí</v>
      </c>
      <c r="I40" s="9" t="str">
        <f>IFERROR(__xludf.DUMMYFUNCTION("""COMPUTED_VALUE"""),"Ne")</f>
        <v>Ne</v>
      </c>
      <c r="J40" s="9">
        <f>IFERROR(__xludf.DUMMYFUNCTION("""COMPUTED_VALUE"""),1974.0)</f>
        <v>1974</v>
      </c>
      <c r="K40" s="9">
        <f>IFERROR(__xludf.DUMMYFUNCTION("""COMPUTED_VALUE"""),1989.0)</f>
        <v>1989</v>
      </c>
      <c r="L40" s="12" t="str">
        <f>IFERROR(__xludf.DUMMYFUNCTION("""COMPUTED_VALUE"""),"Jaromír Kalus: Muzea na Moravě a ve Slezsku, Ostrava: Profil 1988, str. 247-248; Jaroslav Gloser - Jindřich Růžička: Sto let bojů za socialismus. Výklad k expozici z dějin dělnického a komunistického hnutí v okrese Svitavy, Svitavy 1976; ANM, fond Sbírka "&amp;"Muzeum dělnického hnutí, nezpracováno")</f>
        <v>Jaromír Kalus: Muzea na Moravě a ve Slezsku, Ostrava: Profil 1988, str. 247-248; Jaroslav Gloser - Jindřich Růžička: Sto let bojů za socialismus. Výklad k expozici z dějin dělnického a komunistického hnutí v okrese Svitavy, Svitavy 1976; ANM, fond Sbírka Muzeum dělnického hnutí, nezpracováno</v>
      </c>
      <c r="M40" s="9"/>
      <c r="N40" s="9" t="str">
        <f>IFERROR(__xludf.DUMMYFUNCTION("""COMPUTED_VALUE"""),"o1.JPG")</f>
        <v>o1.JPG</v>
      </c>
      <c r="O40" s="6" t="str">
        <f>IFERROR(__xludf.DUMMYFUNCTION("""COMPUTED_VALUE"""),"Z expozice.")</f>
        <v>Z expozice.</v>
      </c>
      <c r="P40" s="6" t="str">
        <f>IFERROR(__xludf.DUMMYFUNCTION("""COMPUTED_VALUE"""),"ANM, fond Sbírka Muzeum dělnického hnutí, nezpracováno")</f>
        <v>ANM, fond Sbírka Muzeum dělnického hnutí, nezpracováno</v>
      </c>
      <c r="Q40" s="6" t="str">
        <f>IFERROR(__xludf.DUMMYFUNCTION("""COMPUTED_VALUE"""),"o2.JPG")</f>
        <v>o2.JPG</v>
      </c>
      <c r="R40" s="6"/>
      <c r="S40" s="6" t="str">
        <f>IFERROR(__xludf.DUMMYFUNCTION("""COMPUTED_VALUE"""),"ANM, fond Sbírka Muzeum dělnického hnutí, nezpracováno")</f>
        <v>ANM, fond Sbírka Muzeum dělnického hnutí, nezpracováno</v>
      </c>
      <c r="T40" s="6"/>
      <c r="U40" s="6"/>
      <c r="V40" s="6"/>
      <c r="W40" s="6"/>
      <c r="X40" s="6"/>
      <c r="Y40" s="6"/>
      <c r="Z40" s="6"/>
      <c r="AA40" s="6"/>
    </row>
    <row r="41" ht="15.75" customHeight="1">
      <c r="A41" s="7">
        <f t="shared" si="1"/>
        <v>40</v>
      </c>
      <c r="B41" s="9" t="str">
        <f>IFERROR(__xludf.DUMMYFUNCTION("""COMPUTED_VALUE"""),"15.7702778")</f>
        <v>15.7702778</v>
      </c>
      <c r="C41" s="9" t="str">
        <f>IFERROR(__xludf.DUMMYFUNCTION("""COMPUTED_VALUE"""),"49.1236111")</f>
        <v>49.1236111</v>
      </c>
      <c r="D41" s="9" t="str">
        <f>IFERROR(__xludf.DUMMYFUNCTION("""COMPUTED_VALUE"""),"Památník třídních bojů a vítězství, Babice")</f>
        <v>Památník třídních bojů a vítězství, Babice</v>
      </c>
      <c r="E41" s="10" t="str">
        <f>IFERROR(__xludf.DUMMYFUNCTION("""COMPUTED_VALUE"""),"památníky")</f>
        <v>památníky</v>
      </c>
      <c r="F41" s="9" t="str">
        <f>IFERROR(__xludf.DUMMYFUNCTION("""COMPUTED_VALUE"""),"První výstavka předmětů z Babického případu byla veřejnosti zpřístupněna v místní škole v roce 1953. Rok poté vznikla pamětní síň s toutéž tematikou. V roce 1981 byla pro památník postavena samostatná budova, kterou provozovalo Západomoravské muzeum v Tře"&amp;"bíči. Expozice, soustředěná na události z roku 1951, se věnovala také širšímu pojetí revolučních tradic regionu.")</f>
        <v>První výstavka předmětů z Babického případu byla veřejnosti zpřístupněna v místní škole v roce 1953. Rok poté vznikla pamětní síň s toutéž tematikou. V roce 1981 byla pro památník postavena samostatná budova, kterou provozovalo Západomoravské muzeum v Třebíči. Expozice, soustředěná na události z roku 1951, se věnovala také širšímu pojetí revolučních tradic regionu.</v>
      </c>
      <c r="G41" s="9" t="str">
        <f>IFERROR(__xludf.DUMMYFUNCTION("""COMPUTED_VALUE"""),"památníky")</f>
        <v>památníky</v>
      </c>
      <c r="H41" s="9" t="str">
        <f>IFERROR(__xludf.DUMMYFUNCTION("""COMPUTED_VALUE"""),"Památníky a muzea revolučního hnutí")</f>
        <v>Památníky a muzea revolučního hnutí</v>
      </c>
      <c r="I41" s="9" t="str">
        <f>IFERROR(__xludf.DUMMYFUNCTION("""COMPUTED_VALUE"""),"Ne")</f>
        <v>Ne</v>
      </c>
      <c r="J41" s="9">
        <f>IFERROR(__xludf.DUMMYFUNCTION("""COMPUTED_VALUE"""),1981.0)</f>
        <v>1981</v>
      </c>
      <c r="K41" s="9">
        <f>IFERROR(__xludf.DUMMYFUNCTION("""COMPUTED_VALUE"""),1989.0)</f>
        <v>1989</v>
      </c>
      <c r="L41" s="12" t="str">
        <f>IFERROR(__xludf.DUMMYFUNCTION("""COMPUTED_VALUE"""),"Jaromír Kalous: Muzea na Moravě a ve Slezsku, Ostrava: Profil 1988, str. 45")</f>
        <v>Jaromír Kalous: Muzea na Moravě a ve Slezsku, Ostrava: Profil 1988, str. 45</v>
      </c>
      <c r="M41" s="9"/>
      <c r="N41" s="9"/>
      <c r="O41" s="6"/>
      <c r="P41" s="6"/>
      <c r="Q41" s="6"/>
      <c r="R41" s="6"/>
      <c r="S41" s="6"/>
      <c r="T41" s="6"/>
      <c r="U41" s="6"/>
      <c r="V41" s="6"/>
      <c r="W41" s="6"/>
      <c r="X41" s="6"/>
      <c r="Y41" s="6"/>
      <c r="Z41" s="6"/>
      <c r="AA41" s="6"/>
    </row>
    <row r="42" ht="15.75" customHeight="1">
      <c r="A42" s="7">
        <f t="shared" si="1"/>
        <v>41</v>
      </c>
      <c r="B42" s="9" t="str">
        <f>IFERROR(__xludf.DUMMYFUNCTION("""COMPUTED_VALUE"""),"16.6083094")</f>
        <v>16.6083094</v>
      </c>
      <c r="C42" s="9" t="str">
        <f>IFERROR(__xludf.DUMMYFUNCTION("""COMPUTED_VALUE"""),"49.1978356")</f>
        <v>49.1978356</v>
      </c>
      <c r="D42" s="9" t="str">
        <f>IFERROR(__xludf.DUMMYFUNCTION("""COMPUTED_VALUE"""),"Muzeum dělnického hnutí Brněnska")</f>
        <v>Muzeum dělnického hnutí Brněnska</v>
      </c>
      <c r="E42" s="10" t="str">
        <f>IFERROR(__xludf.DUMMYFUNCTION("""COMPUTED_VALUE"""),"muzea")</f>
        <v>muzea</v>
      </c>
      <c r="F42" s="9" t="str">
        <f>IFERROR(__xludf.DUMMYFUNCTION("""COMPUTED_VALUE"""),"Muzeum bylo otevřeno v roce 1959. Sbírkový fond a zaměření muzea souviselo s prioritami stranické historiografie. Expozice, aktualizovaná v roce 1971, v devatenácti výstavních místnostech vyprávěla příběh národních dějin od útlaku lidu během feudalismu a "&amp;"kapitalismu k soudobému budování socialismu. Regionální kontext byl zdůrazněn zaměřením na místní postavy sociální demokracie a KSČ Josefa Jurana a Josefa Hybeše. V 80. letech instituce zahájila rozsáhlou revitalizací, která nebyla před listopadem 1989 do"&amp;"končena. V březnu 1990 sbírky převzalo Moravské zemské muzeum, které je ve spěchu převezlo do depozitáře.")</f>
        <v>Muzeum bylo otevřeno v roce 1959. Sbírkový fond a zaměření muzea souviselo s prioritami stranické historiografie. Expozice, aktualizovaná v roce 1971, v devatenácti výstavních místnostech vyprávěla příběh národních dějin od útlaku lidu během feudalismu a kapitalismu k soudobému budování socialismu. Regionální kontext byl zdůrazněn zaměřením na místní postavy sociální demokracie a KSČ Josefa Jurana a Josefa Hybeše. V 80. letech instituce zahájila rozsáhlou revitalizací, která nebyla před listopadem 1989 dokončena. V březnu 1990 sbírky převzalo Moravské zemské muzeum, které je ve spěchu převezlo do depozitáře.</v>
      </c>
      <c r="G42" s="9" t="str">
        <f>IFERROR(__xludf.DUMMYFUNCTION("""COMPUTED_VALUE"""),"muzea")</f>
        <v>muzea</v>
      </c>
      <c r="H42" s="9" t="str">
        <f>IFERROR(__xludf.DUMMYFUNCTION("""COMPUTED_VALUE"""),"Památníky a muzea revolučního hnutí")</f>
        <v>Památníky a muzea revolučního hnutí</v>
      </c>
      <c r="I42" s="9" t="str">
        <f>IFERROR(__xludf.DUMMYFUNCTION("""COMPUTED_VALUE"""),"Ne")</f>
        <v>Ne</v>
      </c>
      <c r="J42" s="9">
        <f>IFERROR(__xludf.DUMMYFUNCTION("""COMPUTED_VALUE"""),1959.0)</f>
        <v>1959</v>
      </c>
      <c r="K42" s="9">
        <f>IFERROR(__xludf.DUMMYFUNCTION("""COMPUTED_VALUE"""),1989.0)</f>
        <v>1989</v>
      </c>
      <c r="L42" s="12" t="str">
        <f>IFERROR(__xludf.DUMMYFUNCTION("""COMPUTED_VALUE"""),"Jaromír Kalous: Muzea na  Moravě a ve Slezsku, Ostrava: Profil 1988, str. 68-69; Ladislav Bednařík-Otakar Franěk-Václav Halama-Vlastimila Tesařová: Muzeum dělnického hnutí Brněnska. Průvodce, Brno: MDHB 1958; Otakar Franěk: Muzeum dělnického hnutí v Brně,"&amp;" Brno: Krajské středisko státní památkové péče 1975")</f>
        <v>Jaromír Kalous: Muzea na  Moravě a ve Slezsku, Ostrava: Profil 1988, str. 68-69; Ladislav Bednařík-Otakar Franěk-Václav Halama-Vlastimila Tesařová: Muzeum dělnického hnutí Brněnska. Průvodce, Brno: MDHB 1958; Otakar Franěk: Muzeum dělnického hnutí v Brně, Brno: Krajské středisko státní památkové péče 1975</v>
      </c>
      <c r="M42" s="9"/>
      <c r="N42" s="9" t="str">
        <f>IFERROR(__xludf.DUMMYFUNCTION("""COMPUTED_VALUE"""),"o1.JPG")</f>
        <v>o1.JPG</v>
      </c>
      <c r="O42" s="6" t="str">
        <f>IFERROR(__xludf.DUMMYFUNCTION("""COMPUTED_VALUE"""),"Budova muzea.")</f>
        <v>Budova muzea.</v>
      </c>
      <c r="P42" s="6" t="str">
        <f>IFERROR(__xludf.DUMMYFUNCTION("""COMPUTED_VALUE"""),"Otakar Franěk: Muzeum dělnického hnutí v Brně, Brno: Krajské středisko státní památkové péče 1975")</f>
        <v>Otakar Franěk: Muzeum dělnického hnutí v Brně, Brno: Krajské středisko státní památkové péče 1975</v>
      </c>
      <c r="Q42" s="6" t="str">
        <f>IFERROR(__xludf.DUMMYFUNCTION("""COMPUTED_VALUE"""),"o3.JPG")</f>
        <v>o3.JPG</v>
      </c>
      <c r="R42" s="6" t="str">
        <f>IFERROR(__xludf.DUMMYFUNCTION("""COMPUTED_VALUE"""),"Z výstavy k 25. výročí února 1948.")</f>
        <v>Z výstavy k 25. výročí února 1948.</v>
      </c>
      <c r="S42" s="6" t="str">
        <f>IFERROR(__xludf.DUMMYFUNCTION("""COMPUTED_VALUE"""),"Otakar Franěk: Muzeum dělnického hnutí v Brně, Brno: Krajské středisko státní památkové péče 1975")</f>
        <v>Otakar Franěk: Muzeum dělnického hnutí v Brně, Brno: Krajské středisko státní památkové péče 1975</v>
      </c>
      <c r="T42" s="6"/>
      <c r="U42" s="6"/>
      <c r="V42" s="6"/>
      <c r="W42" s="6"/>
      <c r="X42" s="6"/>
      <c r="Y42" s="6"/>
      <c r="Z42" s="6"/>
      <c r="AA42" s="6"/>
    </row>
    <row r="43" ht="15.75" customHeight="1">
      <c r="A43" s="7">
        <f t="shared" si="1"/>
        <v>42</v>
      </c>
      <c r="B43" s="9" t="str">
        <f>IFERROR(__xludf.DUMMYFUNCTION("""COMPUTED_VALUE"""),"16.3259036")</f>
        <v>16.3259036</v>
      </c>
      <c r="C43" s="9" t="str">
        <f>IFERROR(__xludf.DUMMYFUNCTION("""COMPUTED_VALUE"""),"49.1276583")</f>
        <v>49.1276583</v>
      </c>
      <c r="D43" s="9" t="str">
        <f>IFERROR(__xludf.DUMMYFUNCTION("""COMPUTED_VALUE"""),"Expozice rosicko-oslavanské stávky v budově stávkového výboru, Oslavany")</f>
        <v>Expozice rosicko-oslavanské stávky v budově stávkového výboru, Oslavany</v>
      </c>
      <c r="E43" s="10" t="str">
        <f>IFERROR(__xludf.DUMMYFUNCTION("""COMPUTED_VALUE"""),"památníky")</f>
        <v>památníky</v>
      </c>
      <c r="F43" s="9" t="str">
        <f>IFERROR(__xludf.DUMMYFUNCTION("""COMPUTED_VALUE"""),"V roce 1975 byla v budově, ve které v roce 1920 sídlil stávkový výbor, otevřena expozice zaměřená nejen na tuto událost související se založením KSČ, ale také na těžbu uhlí a život dělnictva v regionu.")</f>
        <v>V roce 1975 byla v budově, ve které v roce 1920 sídlil stávkový výbor, otevřena expozice zaměřená nejen na tuto událost související se založením KSČ, ale také na těžbu uhlí a život dělnictva v regionu.</v>
      </c>
      <c r="G43" s="9" t="str">
        <f>IFERROR(__xludf.DUMMYFUNCTION("""COMPUTED_VALUE"""),"památníky")</f>
        <v>památníky</v>
      </c>
      <c r="H43" s="9" t="str">
        <f>IFERROR(__xludf.DUMMYFUNCTION("""COMPUTED_VALUE"""),"Památníky a muzea revolučního hnutí")</f>
        <v>Památníky a muzea revolučního hnutí</v>
      </c>
      <c r="I43" s="9" t="str">
        <f>IFERROR(__xludf.DUMMYFUNCTION("""COMPUTED_VALUE"""),"Ne")</f>
        <v>Ne</v>
      </c>
      <c r="J43" s="9">
        <f>IFERROR(__xludf.DUMMYFUNCTION("""COMPUTED_VALUE"""),1975.0)</f>
        <v>1975</v>
      </c>
      <c r="K43" s="9">
        <f>IFERROR(__xludf.DUMMYFUNCTION("""COMPUTED_VALUE"""),1989.0)</f>
        <v>1989</v>
      </c>
      <c r="L43" s="12" t="str">
        <f>IFERROR(__xludf.DUMMYFUNCTION("""COMPUTED_VALUE"""),"Oslavany v prosinci 1920, průvodce expozicí, nedatováno, ANM, fond Sbírka Muzeum dělnického hnutí, nezpracováno")</f>
        <v>Oslavany v prosinci 1920, průvodce expozicí, nedatováno, ANM, fond Sbírka Muzeum dělnického hnutí, nezpracováno</v>
      </c>
      <c r="M43" s="9"/>
      <c r="N43" s="9"/>
      <c r="O43" s="6"/>
      <c r="P43" s="6"/>
      <c r="Q43" s="6"/>
      <c r="R43" s="6"/>
      <c r="S43" s="6"/>
      <c r="T43" s="6"/>
      <c r="U43" s="6"/>
      <c r="V43" s="6"/>
      <c r="W43" s="6"/>
      <c r="X43" s="6"/>
      <c r="Y43" s="6"/>
      <c r="Z43" s="6"/>
      <c r="AA43" s="6"/>
    </row>
    <row r="44" ht="15.75" customHeight="1">
      <c r="A44" s="7">
        <f t="shared" si="1"/>
        <v>43</v>
      </c>
      <c r="B44" s="9" t="str">
        <f>IFERROR(__xludf.DUMMYFUNCTION("""COMPUTED_VALUE"""),"18.2922642")</f>
        <v>18.2922642</v>
      </c>
      <c r="C44" s="9" t="str">
        <f>IFERROR(__xludf.DUMMYFUNCTION("""COMPUTED_VALUE"""),"49.8348964")</f>
        <v>49.8348964</v>
      </c>
      <c r="D44" s="9" t="str">
        <f>IFERROR(__xludf.DUMMYFUNCTION("""COMPUTED_VALUE"""),"Muzeum revolučních bojů a budování socialismu v Ostravě")</f>
        <v>Muzeum revolučních bojů a budování socialismu v Ostravě</v>
      </c>
      <c r="E44" s="10" t="str">
        <f>IFERROR(__xludf.DUMMYFUNCTION("""COMPUTED_VALUE"""),"muzea")</f>
        <v>muzea</v>
      </c>
      <c r="F44" s="9" t="str">
        <f>IFERROR(__xludf.DUMMYFUNCTION("""COMPUTED_VALUE"""),"Institucionálně bylo do roku 1979 součástí Slezského muzea, od té doby fungovalo samostatně jako Muzeum revolučních bojů a osvobození. Jádrem byla expozice Z dějin Komunistické strany Československa a socialistické výstavby v Severomoravském kraji z roku "&amp;"1976. Instituce sloužila jako metodické centrum pro podobná muzea v kraji.")</f>
        <v>Institucionálně bylo do roku 1979 součástí Slezského muzea, od té doby fungovalo samostatně jako Muzeum revolučních bojů a osvobození. Jádrem byla expozice Z dějin Komunistické strany Československa a socialistické výstavby v Severomoravském kraji z roku 1976. Instituce sloužila jako metodické centrum pro podobná muzea v kraji.</v>
      </c>
      <c r="G44" s="9" t="str">
        <f>IFERROR(__xludf.DUMMYFUNCTION("""COMPUTED_VALUE"""),"muzea")</f>
        <v>muzea</v>
      </c>
      <c r="H44" s="9" t="str">
        <f>IFERROR(__xludf.DUMMYFUNCTION("""COMPUTED_VALUE"""),"Památníky a muzea revolučního hnutí")</f>
        <v>Památníky a muzea revolučního hnutí</v>
      </c>
      <c r="I44" s="9" t="str">
        <f>IFERROR(__xludf.DUMMYFUNCTION("""COMPUTED_VALUE"""),"Ne")</f>
        <v>Ne</v>
      </c>
      <c r="J44" s="9">
        <f>IFERROR(__xludf.DUMMYFUNCTION("""COMPUTED_VALUE"""),1979.0)</f>
        <v>1979</v>
      </c>
      <c r="K44" s="9">
        <f>IFERROR(__xludf.DUMMYFUNCTION("""COMPUTED_VALUE"""),1989.0)</f>
        <v>1989</v>
      </c>
      <c r="L44" s="12" t="str">
        <f>IFERROR(__xludf.DUMMYFUNCTION("""COMPUTED_VALUE"""),"Mečislav Barák: Průvodce z dějin KSČ a socialistické výstavby v severomoravském kraji, Ostrava: Muzeum revolučních bojů a budování socialismu 1979; ANM, fond Sbírka Muzeum dělnického hnutí, nezpracováno")</f>
        <v>Mečislav Barák: Průvodce z dějin KSČ a socialistické výstavby v severomoravském kraji, Ostrava: Muzeum revolučních bojů a budování socialismu 1979; ANM, fond Sbírka Muzeum dělnického hnutí, nezpracováno</v>
      </c>
      <c r="M44" s="9"/>
      <c r="N44" s="9" t="str">
        <f>IFERROR(__xludf.DUMMYFUNCTION("""COMPUTED_VALUE"""),"o1.JPG")</f>
        <v>o1.JPG</v>
      </c>
      <c r="O44" s="6" t="str">
        <f>IFERROR(__xludf.DUMMYFUNCTION("""COMPUTED_VALUE"""),"Budova muzea")</f>
        <v>Budova muzea</v>
      </c>
      <c r="P44" s="6" t="str">
        <f>IFERROR(__xludf.DUMMYFUNCTION("""COMPUTED_VALUE"""),"ANM, fond Sbírka Muzeum dělnického hnutí, nezpracováno")</f>
        <v>ANM, fond Sbírka Muzeum dělnického hnutí, nezpracováno</v>
      </c>
      <c r="Q44" s="6" t="str">
        <f>IFERROR(__xludf.DUMMYFUNCTION("""COMPUTED_VALUE"""),"o2.JPG")</f>
        <v>o2.JPG</v>
      </c>
      <c r="R44" s="6" t="str">
        <f>IFERROR(__xludf.DUMMYFUNCTION("""COMPUTED_VALUE"""),"Z expozice")</f>
        <v>Z expozice</v>
      </c>
      <c r="S44" s="6" t="str">
        <f>IFERROR(__xludf.DUMMYFUNCTION("""COMPUTED_VALUE"""),"ANM, fond Sbírka Muzeum dělnického hnutí, nezpracováno")</f>
        <v>ANM, fond Sbírka Muzeum dělnického hnutí, nezpracováno</v>
      </c>
      <c r="T44" s="6"/>
      <c r="U44" s="6"/>
      <c r="V44" s="6"/>
      <c r="W44" s="6"/>
      <c r="X44" s="6"/>
      <c r="Y44" s="6"/>
      <c r="Z44" s="6"/>
      <c r="AA44" s="6"/>
    </row>
    <row r="45" ht="15.75" customHeight="1">
      <c r="A45" s="7">
        <f t="shared" si="1"/>
        <v>44</v>
      </c>
      <c r="B45" s="9" t="str">
        <f>IFERROR(__xludf.DUMMYFUNCTION("""COMPUTED_VALUE"""),"17.113725")</f>
        <v>17.113725</v>
      </c>
      <c r="C45" s="9" t="str">
        <f>IFERROR(__xludf.DUMMYFUNCTION("""COMPUTED_VALUE"""),"49.4717631")</f>
        <v>49.4717631</v>
      </c>
      <c r="D45" s="9" t="str">
        <f>IFERROR(__xludf.DUMMYFUNCTION("""COMPUTED_VALUE"""),"Expozice dějin dělnického hnutí, Prostějov")</f>
        <v>Expozice dějin dělnického hnutí, Prostějov</v>
      </c>
      <c r="E45" s="10" t="str">
        <f>IFERROR(__xludf.DUMMYFUNCTION("""COMPUTED_VALUE"""),"muzeum")</f>
        <v>muzeum</v>
      </c>
      <c r="F45" s="9" t="str">
        <f>IFERROR(__xludf.DUMMYFUNCTION("""COMPUTED_VALUE"""),"Detašované pracoviště Muzea Prostějovska spravující expozici s názvem Pokrokové tradice dělnického hnutí na Prostějovsku s edukačně-propagandistickým zaměřením.")</f>
        <v>Detašované pracoviště Muzea Prostějovska spravující expozici s názvem Pokrokové tradice dělnického hnutí na Prostějovsku s edukačně-propagandistickým zaměřením.</v>
      </c>
      <c r="G45" s="9" t="str">
        <f>IFERROR(__xludf.DUMMYFUNCTION("""COMPUTED_VALUE"""),"muzea")</f>
        <v>muzea</v>
      </c>
      <c r="H45" s="9" t="str">
        <f>IFERROR(__xludf.DUMMYFUNCTION("""COMPUTED_VALUE"""),"Památníky a muzea revolučního hnutí")</f>
        <v>Památníky a muzea revolučního hnutí</v>
      </c>
      <c r="I45" s="9" t="str">
        <f>IFERROR(__xludf.DUMMYFUNCTION("""COMPUTED_VALUE"""),"Ne")</f>
        <v>Ne</v>
      </c>
      <c r="J45" s="9"/>
      <c r="K45" s="9">
        <f>IFERROR(__xludf.DUMMYFUNCTION("""COMPUTED_VALUE"""),1989.0)</f>
        <v>1989</v>
      </c>
      <c r="L45" s="12" t="str">
        <f>IFERROR(__xludf.DUMMYFUNCTION("""COMPUTED_VALUE"""),"Jaromír Kalous: Muzea na Moravě a ve Slezsku, Ostrava: Profil 1988, str. 216")</f>
        <v>Jaromír Kalous: Muzea na Moravě a ve Slezsku, Ostrava: Profil 1988, str. 216</v>
      </c>
      <c r="M45" s="9"/>
      <c r="N45" s="9"/>
      <c r="O45" s="6"/>
      <c r="P45" s="6"/>
      <c r="Q45" s="6"/>
      <c r="R45" s="6"/>
      <c r="S45" s="6"/>
      <c r="T45" s="6"/>
      <c r="U45" s="6"/>
      <c r="V45" s="6"/>
      <c r="W45" s="6"/>
      <c r="X45" s="6"/>
      <c r="Y45" s="6"/>
      <c r="Z45" s="6"/>
      <c r="AA45" s="6"/>
    </row>
    <row r="46" ht="15.75" customHeight="1">
      <c r="A46" s="7">
        <f t="shared" si="1"/>
        <v>45</v>
      </c>
      <c r="B46" s="9" t="str">
        <f>IFERROR(__xludf.DUMMYFUNCTION("""COMPUTED_VALUE"""),"16.0515272")</f>
        <v>16.0515272</v>
      </c>
      <c r="C46" s="9" t="str">
        <f>IFERROR(__xludf.DUMMYFUNCTION("""COMPUTED_VALUE"""),"48.8567081")</f>
        <v>48.8567081</v>
      </c>
      <c r="D46" s="9" t="str">
        <f>IFERROR(__xludf.DUMMYFUNCTION("""COMPUTED_VALUE"""),"Dům revolučních tradic a družby, Znojmo")</f>
        <v>Dům revolučních tradic a družby, Znojmo</v>
      </c>
      <c r="E46" s="10" t="str">
        <f>IFERROR(__xludf.DUMMYFUNCTION("""COMPUTED_VALUE"""),"muzeum")</f>
        <v>muzeum</v>
      </c>
      <c r="F46" s="9" t="str">
        <f>IFERROR(__xludf.DUMMYFUNCTION("""COMPUTED_VALUE"""),"V roce 1985 otevřelo Jihomoravské muzeum výstavní projekt s názvem Expozice revolučních tradic s tematickým záběrem dějin třídního boje od 18. století až k soudobému socialistickému budování.")</f>
        <v>V roce 1985 otevřelo Jihomoravské muzeum výstavní projekt s názvem Expozice revolučních tradic s tematickým záběrem dějin třídního boje od 18. století až k soudobému socialistickému budování.</v>
      </c>
      <c r="G46" s="9" t="str">
        <f>IFERROR(__xludf.DUMMYFUNCTION("""COMPUTED_VALUE"""),"muzea")</f>
        <v>muzea</v>
      </c>
      <c r="H46" s="9" t="str">
        <f>IFERROR(__xludf.DUMMYFUNCTION("""COMPUTED_VALUE"""),"Památníky a muzea revolučního hnutí")</f>
        <v>Památníky a muzea revolučního hnutí</v>
      </c>
      <c r="I46" s="9" t="str">
        <f>IFERROR(__xludf.DUMMYFUNCTION("""COMPUTED_VALUE"""),"Ne")</f>
        <v>Ne</v>
      </c>
      <c r="J46" s="9">
        <f>IFERROR(__xludf.DUMMYFUNCTION("""COMPUTED_VALUE"""),1985.0)</f>
        <v>1985</v>
      </c>
      <c r="K46" s="9">
        <f>IFERROR(__xludf.DUMMYFUNCTION("""COMPUTED_VALUE"""),1989.0)</f>
        <v>1989</v>
      </c>
      <c r="L46" s="12" t="str">
        <f>IFERROR(__xludf.DUMMYFUNCTION("""COMPUTED_VALUE"""),"Jaromír Kalous: Muzea na Moravě a ve Slezsku, Ostrava: Profil 1988, str. 297")</f>
        <v>Jaromír Kalous: Muzea na Moravě a ve Slezsku, Ostrava: Profil 1988, str. 297</v>
      </c>
      <c r="M46" s="9"/>
      <c r="N46" s="9"/>
      <c r="O46" s="6"/>
      <c r="P46" s="6"/>
      <c r="Q46" s="6"/>
      <c r="R46" s="6"/>
      <c r="S46" s="6"/>
      <c r="T46" s="6"/>
      <c r="U46" s="6"/>
      <c r="V46" s="6"/>
      <c r="W46" s="6"/>
      <c r="X46" s="6"/>
      <c r="Y46" s="6"/>
      <c r="Z46" s="6"/>
      <c r="AA46" s="6"/>
    </row>
    <row r="47" ht="15.75" customHeight="1">
      <c r="A47" s="7">
        <f t="shared" si="1"/>
        <v>46</v>
      </c>
      <c r="B47" s="9" t="str">
        <f>IFERROR(__xludf.DUMMYFUNCTION("""COMPUTED_VALUE"""),"14.3608333")</f>
        <v>14.3608333</v>
      </c>
      <c r="C47" s="9" t="str">
        <f>IFERROR(__xludf.DUMMYFUNCTION("""COMPUTED_VALUE"""),"50.0836111")</f>
        <v>50.0836111</v>
      </c>
      <c r="D47" s="9" t="str">
        <f>IFERROR(__xludf.DUMMYFUNCTION("""COMPUTED_VALUE"""),"Muzeum počátků československého dělnického hnutí v Praze, Hostinec u Kaštanu na Břevnově")</f>
        <v>Muzeum počátků československého dělnického hnutí v Praze, Hostinec u Kaštanu na Břevnově</v>
      </c>
      <c r="E47" s="10" t="str">
        <f>IFERROR(__xludf.DUMMYFUNCTION("""COMPUTED_VALUE"""),"muzea")</f>
        <v>muzea</v>
      </c>
      <c r="F47" s="9" t="str">
        <f>IFERROR(__xludf.DUMMYFUNCTION("""COMPUTED_VALUE"""),"Na místě založení Sociálně demokratické strany českoslovanské bylo v roce 1952 zřízeno Muzeum počátků československého dělnického hnutí, které fungovalo jako pobočka Muzea Klementa Gottwalda. Místu byl odebrán status samostatného muzea v roce 1962, nicmén"&amp;"ě Okresní národní výbor Prahy 6 zde v 70. letech provozoval expozici s názvem Průkopníci socialismu.")</f>
        <v>Na místě založení Sociálně demokratické strany českoslovanské bylo v roce 1952 zřízeno Muzeum počátků československého dělnického hnutí, které fungovalo jako pobočka Muzea Klementa Gottwalda. Místu byl odebrán status samostatného muzea v roce 1962, nicméně Okresní národní výbor Prahy 6 zde v 70. letech provozoval expozici s názvem Průkopníci socialismu.</v>
      </c>
      <c r="G47" s="9" t="str">
        <f>IFERROR(__xludf.DUMMYFUNCTION("""COMPUTED_VALUE"""),"muzea")</f>
        <v>muzea</v>
      </c>
      <c r="H47" s="9" t="str">
        <f>IFERROR(__xludf.DUMMYFUNCTION("""COMPUTED_VALUE"""),"Památníky a muzea revolučního hnutí")</f>
        <v>Památníky a muzea revolučního hnutí</v>
      </c>
      <c r="I47" s="9" t="str">
        <f>IFERROR(__xludf.DUMMYFUNCTION("""COMPUTED_VALUE"""),"Ne")</f>
        <v>Ne</v>
      </c>
      <c r="J47" s="9">
        <f>IFERROR(__xludf.DUMMYFUNCTION("""COMPUTED_VALUE"""),1953.0)</f>
        <v>1953</v>
      </c>
      <c r="K47" s="9">
        <f>IFERROR(__xludf.DUMMYFUNCTION("""COMPUTED_VALUE"""),1989.0)</f>
        <v>1989</v>
      </c>
      <c r="L47" s="12" t="str">
        <f>IFERROR(__xludf.DUMMYFUNCTION("""COMPUTED_VALUE"""),"Jaroslav Soukup: Praha. Město revolučních tradic, Praha: Olympia 1971; Jiří Padevět: Průvodce stalinistickou Prahou 1948-1956. Místa-události-lidé, Praha: Academia 2018, str. 644-645")</f>
        <v>Jaroslav Soukup: Praha. Město revolučních tradic, Praha: Olympia 1971; Jiří Padevět: Průvodce stalinistickou Prahou 1948-1956. Místa-události-lidé, Praha: Academia 2018, str. 644-645</v>
      </c>
      <c r="M47" s="9"/>
      <c r="N47" s="9" t="str">
        <f>IFERROR(__xludf.DUMMYFUNCTION("""COMPUTED_VALUE"""),"hostinec u kaštanu.JPG")</f>
        <v>hostinec u kaštanu.JPG</v>
      </c>
      <c r="O47" s="6" t="str">
        <f>IFERROR(__xludf.DUMMYFUNCTION("""COMPUTED_VALUE"""),"Budova bývalého hostince adaptovaná na muzeum.")</f>
        <v>Budova bývalého hostince adaptovaná na muzeum.</v>
      </c>
      <c r="P47" s="6" t="str">
        <f>IFERROR(__xludf.DUMMYFUNCTION("""COMPUTED_VALUE"""),"NM, sbírka dělnického hnutí, sbírka fotografií (nezpracováno)")</f>
        <v>NM, sbírka dělnického hnutí, sbírka fotografií (nezpracováno)</v>
      </c>
      <c r="Q47" s="6" t="str">
        <f>IFERROR(__xludf.DUMMYFUNCTION("""COMPUTED_VALUE"""),"hostinec u kaštanu2.JPG")</f>
        <v>hostinec u kaštanu2.JPG</v>
      </c>
      <c r="R47" s="6" t="str">
        <f>IFERROR(__xludf.DUMMYFUNCTION("""COMPUTED_VALUE"""),"Pohled do expozice.")</f>
        <v>Pohled do expozice.</v>
      </c>
      <c r="S47" s="6" t="str">
        <f>IFERROR(__xludf.DUMMYFUNCTION("""COMPUTED_VALUE"""),"NM, sbírka dělnického hnutí, sbírka fotografií (nezpracováno)")</f>
        <v>NM, sbírka dělnického hnutí, sbírka fotografií (nezpracováno)</v>
      </c>
      <c r="T47" s="6"/>
      <c r="U47" s="6"/>
      <c r="V47" s="6"/>
      <c r="W47" s="6"/>
      <c r="X47" s="6"/>
      <c r="Y47" s="6"/>
      <c r="Z47" s="6"/>
      <c r="AA47" s="6"/>
    </row>
    <row r="48" ht="15.75" customHeight="1">
      <c r="A48" s="7">
        <f t="shared" si="1"/>
        <v>47</v>
      </c>
      <c r="B48" s="9" t="str">
        <f>IFERROR(__xludf.DUMMYFUNCTION("""COMPUTED_VALUE"""),"14.449809")</f>
        <v>14.449809</v>
      </c>
      <c r="C48" s="9" t="str">
        <f>IFERROR(__xludf.DUMMYFUNCTION("""COMPUTED_VALUE"""),"50.088537")</f>
        <v>50.088537</v>
      </c>
      <c r="D48" s="9" t="str">
        <f>IFERROR(__xludf.DUMMYFUNCTION("""COMPUTED_VALUE"""),"Národní památník na Vítkově")</f>
        <v>Národní památník na Vítkově</v>
      </c>
      <c r="E48" s="10" t="str">
        <f>IFERROR(__xludf.DUMMYFUNCTION("""COMPUTED_VALUE"""),"památníky")</f>
        <v>památníky</v>
      </c>
      <c r="F48" s="9" t="str">
        <f>IFERROR(__xludf.DUMMYFUNCTION("""COMPUTED_VALUE"""),"Komplex se začal budovat již v meziválečné éře, kdy měl v kolektivní národní paměti propojit  husitskou tradici s příběhem legionářů. Stavba byla dokončena v roce 1938, ale pomník Jana Žižky byl odhalen až v roce 1950, kdy místo sloužilo jako pantheon hrd"&amp;"inů třídního boje –funkcionářů KSČ. Po smrti Klementa Gottwalda se z místa stalo jeho mauzoleum. Objekt měl v symbolickém systému diktatury důležitou pozici díky husitské minulosti, k níž oficiální historiografie vztahovala revoluční tradice československ"&amp;"ého lidu.")</f>
        <v>Komplex se začal budovat již v meziválečné éře, kdy měl v kolektivní národní paměti propojit  husitskou tradici s příběhem legionářů. Stavba byla dokončena v roce 1938, ale pomník Jana Žižky byl odhalen až v roce 1950, kdy místo sloužilo jako pantheon hrdinů třídního boje –funkcionářů KSČ. Po smrti Klementa Gottwalda se z místa stalo jeho mauzoleum. Objekt měl v symbolickém systému diktatury důležitou pozici díky husitské minulosti, k níž oficiální historiografie vztahovala revoluční tradice československého lidu.</v>
      </c>
      <c r="G48" s="9" t="str">
        <f>IFERROR(__xludf.DUMMYFUNCTION("""COMPUTED_VALUE"""),"památníky")</f>
        <v>památníky</v>
      </c>
      <c r="H48" s="9" t="str">
        <f>IFERROR(__xludf.DUMMYFUNCTION("""COMPUTED_VALUE"""),"Památníky a muzea revolučního hnutí")</f>
        <v>Památníky a muzea revolučního hnutí</v>
      </c>
      <c r="I48" s="9" t="str">
        <f>IFERROR(__xludf.DUMMYFUNCTION("""COMPUTED_VALUE"""),"Ano")</f>
        <v>Ano</v>
      </c>
      <c r="J48" s="9">
        <f>IFERROR(__xludf.DUMMYFUNCTION("""COMPUTED_VALUE"""),1933.0)</f>
        <v>1933</v>
      </c>
      <c r="K48" s="9"/>
      <c r="L48" s="12" t="str">
        <f>IFERROR(__xludf.DUMMYFUNCTION("""COMPUTED_VALUE"""),"Jan Galandauer: Chrám bez boha nad Prahou. Památník na Vítkově, Praha: Havran, 2014; Jaroslav Soukup: Praha. Město revolučních tradic, Praha: Olympia 1971")</f>
        <v>Jan Galandauer: Chrám bez boha nad Prahou. Památník na Vítkově, Praha: Havran, 2014; Jaroslav Soukup: Praha. Město revolučních tradic, Praha: Olympia 1971</v>
      </c>
      <c r="M48" s="9"/>
      <c r="N48" s="9" t="str">
        <f>IFERROR(__xludf.DUMMYFUNCTION("""COMPUTED_VALUE"""),"vítkov1.JPG")</f>
        <v>vítkov1.JPG</v>
      </c>
      <c r="O48" s="6" t="str">
        <f>IFERROR(__xludf.DUMMYFUNCTION("""COMPUTED_VALUE"""),"Areál Vítkova v 60. letech 20. století.")</f>
        <v>Areál Vítkova v 60. letech 20. století.</v>
      </c>
      <c r="P48" s="6" t="str">
        <f>IFERROR(__xludf.DUMMYFUNCTION("""COMPUTED_VALUE"""),"Bohumil Landisch: Praha, matka měst, Praha: Olympia 1970")</f>
        <v>Bohumil Landisch: Praha, matka měst, Praha: Olympia 1970</v>
      </c>
      <c r="Q48" s="6" t="str">
        <f>IFERROR(__xludf.DUMMYFUNCTION("""COMPUTED_VALUE"""),"vítkov2.JPG")</f>
        <v>vítkov2.JPG</v>
      </c>
      <c r="R48" s="6" t="str">
        <f>IFERROR(__xludf.DUMMYFUNCTION("""COMPUTED_VALUE"""),"Mozaiková výzdoba interiéru oslavující vojáky Rudé armády jako vítěze druhé světové války.")</f>
        <v>Mozaiková výzdoba interiéru oslavující vojáky Rudé armády jako vítěze druhé světové války.</v>
      </c>
      <c r="S48" s="6" t="str">
        <f>IFERROR(__xludf.DUMMYFUNCTION("""COMPUTED_VALUE"""),"Nebylo marné žít a umírat, Praha: Nakladatelství výtvarných umělců 1957")</f>
        <v>Nebylo marné žít a umírat, Praha: Nakladatelství výtvarných umělců 1957</v>
      </c>
      <c r="T48" s="6"/>
      <c r="U48" s="6"/>
      <c r="V48" s="6"/>
      <c r="W48" s="6"/>
      <c r="X48" s="6"/>
      <c r="Y48" s="6"/>
      <c r="Z48" s="6"/>
      <c r="AA48" s="6"/>
    </row>
    <row r="49" ht="15.75" customHeight="1">
      <c r="A49" s="7">
        <f t="shared" si="1"/>
        <v>48</v>
      </c>
      <c r="B49" s="9" t="str">
        <f>IFERROR(__xludf.DUMMYFUNCTION("""COMPUTED_VALUE"""),"14.5576531")</f>
        <v>14.5576531</v>
      </c>
      <c r="C49" s="9" t="str">
        <f>IFERROR(__xludf.DUMMYFUNCTION("""COMPUTED_VALUE"""),"50.9499958")</f>
        <v>50.9499958</v>
      </c>
      <c r="D49" s="9" t="str">
        <f>IFERROR(__xludf.DUMMYFUNCTION("""COMPUTED_VALUE"""),"Pamětní síň rumburské vzpoury, Rumburk")</f>
        <v>Pamětní síň rumburské vzpoury, Rumburk</v>
      </c>
      <c r="E49" s="10" t="str">
        <f>IFERROR(__xludf.DUMMYFUNCTION("""COMPUTED_VALUE"""),"památníky")</f>
        <v>památníky</v>
      </c>
      <c r="F49" s="9" t="str">
        <f>IFERROR(__xludf.DUMMYFUNCTION("""COMPUTED_VALUE"""),"Pamětní síň byla ve správě Městského vlastivědného muzea Rumburk, které se věnovalo dokumentaci rumburské vzpoury.")</f>
        <v>Pamětní síň byla ve správě Městského vlastivědného muzea Rumburk, které se věnovalo dokumentaci rumburské vzpoury.</v>
      </c>
      <c r="G49" s="9" t="str">
        <f>IFERROR(__xludf.DUMMYFUNCTION("""COMPUTED_VALUE"""),"památníky")</f>
        <v>památníky</v>
      </c>
      <c r="H49" s="9" t="str">
        <f>IFERROR(__xludf.DUMMYFUNCTION("""COMPUTED_VALUE"""),"Památníky a muzea revolučního hnutí")</f>
        <v>Památníky a muzea revolučního hnutí</v>
      </c>
      <c r="I49" s="9" t="str">
        <f>IFERROR(__xludf.DUMMYFUNCTION("""COMPUTED_VALUE"""),"?")</f>
        <v>?</v>
      </c>
      <c r="J49" s="9"/>
      <c r="K49" s="9"/>
      <c r="L49" s="12" t="str">
        <f>IFERROR(__xludf.DUMMYFUNCTION("""COMPUTED_VALUE"""),"Milan Hromádka - Marie Poláková - Jarmila Valentová: Kulturní adresář ČSR, Praha: Ústav pro výzkum kultury 1973, str. 339")</f>
        <v>Milan Hromádka - Marie Poláková - Jarmila Valentová: Kulturní adresář ČSR, Praha: Ústav pro výzkum kultury 1973, str. 339</v>
      </c>
      <c r="M49" s="9"/>
      <c r="N49" s="9"/>
      <c r="O49" s="6"/>
      <c r="P49" s="6"/>
      <c r="Q49" s="6"/>
      <c r="R49" s="6"/>
      <c r="S49" s="6"/>
      <c r="T49" s="6"/>
      <c r="U49" s="6"/>
      <c r="V49" s="6"/>
      <c r="W49" s="6"/>
      <c r="X49" s="6"/>
      <c r="Y49" s="6"/>
      <c r="Z49" s="6"/>
      <c r="AA49" s="6"/>
    </row>
    <row r="50" ht="15.75" customHeight="1">
      <c r="A50" s="7">
        <f t="shared" si="1"/>
        <v>49</v>
      </c>
      <c r="B50" s="9" t="str">
        <f>IFERROR(__xludf.DUMMYFUNCTION("""COMPUTED_VALUE"""),"15.3349036")</f>
        <v>15.3349036</v>
      </c>
      <c r="C50" s="9" t="str">
        <f>IFERROR(__xludf.DUMMYFUNCTION("""COMPUTED_VALUE"""),"50.6033983")</f>
        <v>50.6033983</v>
      </c>
      <c r="D50" s="9" t="str">
        <f>IFERROR(__xludf.DUMMYFUNCTION("""COMPUTED_VALUE"""),"Muzeum dělnického hnutí, Semily")</f>
        <v>Muzeum dělnického hnutí, Semily</v>
      </c>
      <c r="E50" s="10" t="str">
        <f>IFERROR(__xludf.DUMMYFUNCTION("""COMPUTED_VALUE"""),"muzea")</f>
        <v>muzea</v>
      </c>
      <c r="F50" s="9" t="str">
        <f>IFERROR(__xludf.DUMMYFUNCTION("""COMPUTED_VALUE"""),"Instituce se profilovala sběrem dokladů o dělnickém hnutí na Semilsku se zvláštním zřetelem k osobnostem Antala Staška a Ivana Olbrachta.")</f>
        <v>Instituce se profilovala sběrem dokladů o dělnickém hnutí na Semilsku se zvláštním zřetelem k osobnostem Antala Staška a Ivana Olbrachta.</v>
      </c>
      <c r="G50" s="9" t="str">
        <f>IFERROR(__xludf.DUMMYFUNCTION("""COMPUTED_VALUE"""),"muzea")</f>
        <v>muzea</v>
      </c>
      <c r="H50" s="9" t="str">
        <f>IFERROR(__xludf.DUMMYFUNCTION("""COMPUTED_VALUE"""),"Památníky a muzea revolučního hnutí")</f>
        <v>Památníky a muzea revolučního hnutí</v>
      </c>
      <c r="I50" s="9" t="str">
        <f>IFERROR(__xludf.DUMMYFUNCTION("""COMPUTED_VALUE"""),"Ne")</f>
        <v>Ne</v>
      </c>
      <c r="J50" s="9"/>
      <c r="K50" s="9"/>
      <c r="L50" s="12" t="str">
        <f>IFERROR(__xludf.DUMMYFUNCTION("""COMPUTED_VALUE"""),"Milan Hromádka - Marie Poláková - Jarmila Valentová: Kulturní adresář ČSR, Praha: Ústav pro výzkum kultury 1973, str. 343")</f>
        <v>Milan Hromádka - Marie Poláková - Jarmila Valentová: Kulturní adresář ČSR, Praha: Ústav pro výzkum kultury 1973, str. 343</v>
      </c>
      <c r="M50" s="9"/>
      <c r="N50" s="9"/>
      <c r="O50" s="6"/>
      <c r="P50" s="6"/>
      <c r="Q50" s="6"/>
      <c r="R50" s="6"/>
      <c r="S50" s="6"/>
      <c r="T50" s="6"/>
      <c r="U50" s="6"/>
      <c r="V50" s="6"/>
      <c r="W50" s="6"/>
      <c r="X50" s="6"/>
      <c r="Y50" s="6"/>
      <c r="Z50" s="6"/>
      <c r="AA50" s="6"/>
    </row>
    <row r="51" ht="15.75" customHeight="1">
      <c r="A51" s="7">
        <f t="shared" si="1"/>
        <v>50</v>
      </c>
      <c r="B51" s="9" t="str">
        <f>IFERROR(__xludf.DUMMYFUNCTION("""COMPUTED_VALUE"""),"15.8140269")</f>
        <v>15.8140269</v>
      </c>
      <c r="C51" s="9" t="str">
        <f>IFERROR(__xludf.DUMMYFUNCTION("""COMPUTED_VALUE"""),"50.4317202")</f>
        <v>50.4317202</v>
      </c>
      <c r="D51" s="9" t="str">
        <f>IFERROR(__xludf.DUMMYFUNCTION("""COMPUTED_VALUE"""),"Textilní muzeum, Dvůr Králové nad Labem")</f>
        <v>Textilní muzeum, Dvůr Králové nad Labem</v>
      </c>
      <c r="E51" s="10" t="str">
        <f>IFERROR(__xludf.DUMMYFUNCTION("""COMPUTED_VALUE"""),"muzea")</f>
        <v>muzea</v>
      </c>
      <c r="F51" s="9" t="str">
        <f>IFERROR(__xludf.DUMMYFUNCTION("""COMPUTED_VALUE"""),"Muzejní instituce, jejíž popularizační a badatelská činnost se zaměřovala na vývoj textilní výroby a dělnického hnutí v textilním průmyslu ČSSR.")</f>
        <v>Muzejní instituce, jejíž popularizační a badatelská činnost se zaměřovala na vývoj textilní výroby a dělnického hnutí v textilním průmyslu ČSSR.</v>
      </c>
      <c r="G51" s="9" t="str">
        <f>IFERROR(__xludf.DUMMYFUNCTION("""COMPUTED_VALUE"""),"muzea")</f>
        <v>muzea</v>
      </c>
      <c r="H51" s="9" t="str">
        <f>IFERROR(__xludf.DUMMYFUNCTION("""COMPUTED_VALUE"""),"Památníky a muzea revolučního hnutí")</f>
        <v>Památníky a muzea revolučního hnutí</v>
      </c>
      <c r="I51" s="9" t="str">
        <f>IFERROR(__xludf.DUMMYFUNCTION("""COMPUTED_VALUE"""),"Ne")</f>
        <v>Ne</v>
      </c>
      <c r="J51" s="9">
        <f>IFERROR(__xludf.DUMMYFUNCTION("""COMPUTED_VALUE"""),1965.0)</f>
        <v>1965</v>
      </c>
      <c r="K51" s="9"/>
      <c r="L51" s="12" t="str">
        <f>IFERROR(__xludf.DUMMYFUNCTION("""COMPUTED_VALUE"""),"Milan Hromádka - Marie Poláková - Jarmila Valentová: Kulturní adresář ČSR, Praha: Ústav pro výzkum kultury 1973, str. 344")</f>
        <v>Milan Hromádka - Marie Poláková - Jarmila Valentová: Kulturní adresář ČSR, Praha: Ústav pro výzkum kultury 1973, str. 344</v>
      </c>
      <c r="M51" s="9"/>
      <c r="N51" s="9"/>
      <c r="O51" s="6"/>
      <c r="P51" s="6"/>
      <c r="Q51" s="6"/>
      <c r="R51" s="6"/>
      <c r="S51" s="6"/>
      <c r="T51" s="6"/>
      <c r="U51" s="6"/>
      <c r="V51" s="6"/>
      <c r="W51" s="6"/>
      <c r="X51" s="6"/>
      <c r="Y51" s="6"/>
      <c r="Z51" s="6"/>
      <c r="AA51" s="6"/>
    </row>
    <row r="52" ht="15.75" customHeight="1">
      <c r="A52" s="7">
        <f t="shared" si="1"/>
        <v>51</v>
      </c>
      <c r="B52" s="9" t="str">
        <f>IFERROR(__xludf.DUMMYFUNCTION("""COMPUTED_VALUE"""),"16.0160733")</f>
        <v>16.0160733</v>
      </c>
      <c r="C52" s="9" t="str">
        <f>IFERROR(__xludf.DUMMYFUNCTION("""COMPUTED_VALUE"""),"50.5123719")</f>
        <v>50.5123719</v>
      </c>
      <c r="D52" s="9" t="str">
        <f>IFERROR(__xludf.DUMMYFUNCTION("""COMPUTED_VALUE"""),"Městské muzeum Úpice")</f>
        <v>Městské muzeum Úpice</v>
      </c>
      <c r="E52" s="10" t="str">
        <f>IFERROR(__xludf.DUMMYFUNCTION("""COMPUTED_VALUE"""),"muzea")</f>
        <v>muzea</v>
      </c>
      <c r="F52" s="9" t="str">
        <f>IFERROR(__xludf.DUMMYFUNCTION("""COMPUTED_VALUE"""),"Činnost muzea byla zaměřená na regionální dějiny dělnického hnutí a národně osvobozovacího boje.")</f>
        <v>Činnost muzea byla zaměřená na regionální dějiny dělnického hnutí a národně osvobozovacího boje.</v>
      </c>
      <c r="G52" s="9" t="str">
        <f>IFERROR(__xludf.DUMMYFUNCTION("""COMPUTED_VALUE"""),"muzea")</f>
        <v>muzea</v>
      </c>
      <c r="H52" s="9" t="str">
        <f>IFERROR(__xludf.DUMMYFUNCTION("""COMPUTED_VALUE"""),"Památníky a muzea revolučního hnutí")</f>
        <v>Památníky a muzea revolučního hnutí</v>
      </c>
      <c r="I52" s="9" t="str">
        <f>IFERROR(__xludf.DUMMYFUNCTION("""COMPUTED_VALUE"""),"Ano")</f>
        <v>Ano</v>
      </c>
      <c r="J52" s="9"/>
      <c r="K52" s="9"/>
      <c r="L52" s="12" t="str">
        <f>IFERROR(__xludf.DUMMYFUNCTION("""COMPUTED_VALUE"""),"Milan Hromádka - Marie Poláková - Jarmila Valentová: Kulturní adresář ČSR, Praha: Ústav pro výzkum kultury 1973, str. 344")</f>
        <v>Milan Hromádka - Marie Poláková - Jarmila Valentová: Kulturní adresář ČSR, Praha: Ústav pro výzkum kultury 1973, str. 344</v>
      </c>
      <c r="M52" s="9"/>
      <c r="N52" s="9"/>
      <c r="O52" s="6"/>
      <c r="P52" s="6"/>
      <c r="Q52" s="6"/>
      <c r="R52" s="6"/>
      <c r="S52" s="6"/>
      <c r="T52" s="6"/>
      <c r="U52" s="6"/>
      <c r="V52" s="6"/>
      <c r="W52" s="6"/>
      <c r="X52" s="6"/>
      <c r="Y52" s="6"/>
      <c r="Z52" s="6"/>
      <c r="AA52" s="6"/>
    </row>
    <row r="53" ht="15.75" customHeight="1">
      <c r="A53" s="7">
        <f t="shared" si="1"/>
        <v>52</v>
      </c>
      <c r="B53" s="9" t="str">
        <f>IFERROR(__xludf.DUMMYFUNCTION("""COMPUTED_VALUE"""),"18.4306253")</f>
        <v>18.4306253</v>
      </c>
      <c r="C53" s="9" t="str">
        <f>IFERROR(__xludf.DUMMYFUNCTION("""COMPUTED_VALUE"""),"49.7803923")</f>
        <v>49.7803923</v>
      </c>
      <c r="D53" s="9" t="str">
        <f>IFERROR(__xludf.DUMMYFUNCTION("""COMPUTED_VALUE"""),"Muzeum socialistické výstavby, Havířov")</f>
        <v>Muzeum socialistické výstavby, Havířov</v>
      </c>
      <c r="E53" s="10" t="str">
        <f>IFERROR(__xludf.DUMMYFUNCTION("""COMPUTED_VALUE"""),"muzea")</f>
        <v>muzea</v>
      </c>
      <c r="F53" s="9" t="str">
        <f>IFERROR(__xludf.DUMMYFUNCTION("""COMPUTED_VALUE"""),"Muzeum revolučních bojů a budování socialismu v Ostravě otevřelo expozici socialistické výstavby v roce 1960. Jejím hlavním smyslem byla oslava výsledků socialistického budování na poli urbanismu a městské výstavby. Instituce fungovala jako pobočka vlasti"&amp;"vědného ústavu okresu Karviná v Českém Těšíně.")</f>
        <v>Muzeum revolučních bojů a budování socialismu v Ostravě otevřelo expozici socialistické výstavby v roce 1960. Jejím hlavním smyslem byla oslava výsledků socialistického budování na poli urbanismu a městské výstavby. Instituce fungovala jako pobočka vlastivědného ústavu okresu Karviná v Českém Těšíně.</v>
      </c>
      <c r="G53" s="9" t="str">
        <f>IFERROR(__xludf.DUMMYFUNCTION("""COMPUTED_VALUE"""),"muzea")</f>
        <v>muzea</v>
      </c>
      <c r="H53" s="9" t="str">
        <f>IFERROR(__xludf.DUMMYFUNCTION("""COMPUTED_VALUE"""),"Památníky a muzea revolučního hnutí")</f>
        <v>Památníky a muzea revolučního hnutí</v>
      </c>
      <c r="I53" s="9" t="str">
        <f>IFERROR(__xludf.DUMMYFUNCTION("""COMPUTED_VALUE"""),"Ne")</f>
        <v>Ne</v>
      </c>
      <c r="J53" s="9">
        <f>IFERROR(__xludf.DUMMYFUNCTION("""COMPUTED_VALUE"""),1960.0)</f>
        <v>1960</v>
      </c>
      <c r="K53" s="9"/>
      <c r="L53" s="12" t="str">
        <f>IFERROR(__xludf.DUMMYFUNCTION("""COMPUTED_VALUE"""),"Milan Hromádka - Marie Poláková - Jarmila Valentová: Kulturní adresář ČSR, Praha: Ústav pro výzkum kultury 1973, str. 348; Jaromír Kalus: Muzea na Moravě a ve Slezsku, Ostrava: Profil 1988, str. 107")</f>
        <v>Milan Hromádka - Marie Poláková - Jarmila Valentová: Kulturní adresář ČSR, Praha: Ústav pro výzkum kultury 1973, str. 348; Jaromír Kalus: Muzea na Moravě a ve Slezsku, Ostrava: Profil 1988, str. 107</v>
      </c>
      <c r="M53" s="9"/>
      <c r="N53" s="9"/>
      <c r="O53" s="6"/>
      <c r="P53" s="6"/>
      <c r="Q53" s="6"/>
      <c r="R53" s="6"/>
      <c r="S53" s="6"/>
      <c r="T53" s="6"/>
      <c r="U53" s="6"/>
      <c r="V53" s="6"/>
      <c r="W53" s="6"/>
      <c r="X53" s="6"/>
      <c r="Y53" s="6"/>
      <c r="Z53" s="6"/>
      <c r="AA53" s="6"/>
    </row>
    <row r="54" ht="15.75" customHeight="1">
      <c r="A54" s="7">
        <f t="shared" si="1"/>
        <v>53</v>
      </c>
      <c r="B54" s="9" t="str">
        <f>IFERROR(__xludf.DUMMYFUNCTION("""COMPUTED_VALUE"""),"15.0301748")</f>
        <v>15.0301748</v>
      </c>
      <c r="C54" s="9" t="str">
        <f>IFERROR(__xludf.DUMMYFUNCTION("""COMPUTED_VALUE"""),"50.0904268")</f>
        <v>50.0904268</v>
      </c>
      <c r="D54" s="9" t="str">
        <f>IFERROR(__xludf.DUMMYFUNCTION("""COMPUTED_VALUE"""),"Památník dělnického hnutí, Pečky")</f>
        <v>Památník dělnického hnutí, Pečky</v>
      </c>
      <c r="E54" s="10" t="str">
        <f>IFERROR(__xludf.DUMMYFUNCTION("""COMPUTED_VALUE"""),"památníky")</f>
        <v>památníky</v>
      </c>
      <c r="F54" s="9" t="str">
        <f>IFERROR(__xludf.DUMMYFUNCTION("""COMPUTED_VALUE"""),"Expozice zaměřená na téma regionálních projevů třídních bojů.")</f>
        <v>Expozice zaměřená na téma regionálních projevů třídních bojů.</v>
      </c>
      <c r="G54" s="9" t="str">
        <f>IFERROR(__xludf.DUMMYFUNCTION("""COMPUTED_VALUE"""),"památníky")</f>
        <v>památníky</v>
      </c>
      <c r="H54" s="9" t="str">
        <f>IFERROR(__xludf.DUMMYFUNCTION("""COMPUTED_VALUE"""),"Památníky a muzea revolučního hnutí")</f>
        <v>Památníky a muzea revolučního hnutí</v>
      </c>
      <c r="I54" s="9" t="str">
        <f>IFERROR(__xludf.DUMMYFUNCTION("""COMPUTED_VALUE"""),"Ne")</f>
        <v>Ne</v>
      </c>
      <c r="J54" s="9"/>
      <c r="K54" s="9">
        <f>IFERROR(__xludf.DUMMYFUNCTION("""COMPUTED_VALUE"""),1989.0)</f>
        <v>1989</v>
      </c>
      <c r="L54" s="12" t="str">
        <f>IFERROR(__xludf.DUMMYFUNCTION("""COMPUTED_VALUE"""),"Milan Hromádka - Marie Poláková - Jarmila Valentová: Kulturní adresář ČSR, Praha: Ústav pro výzkum kultury 1973, str. 352")</f>
        <v>Milan Hromádka - Marie Poláková - Jarmila Valentová: Kulturní adresář ČSR, Praha: Ústav pro výzkum kultury 1973, str. 352</v>
      </c>
      <c r="M54" s="9"/>
      <c r="N54" s="9"/>
      <c r="O54" s="6"/>
      <c r="P54" s="6"/>
      <c r="Q54" s="6"/>
      <c r="R54" s="6"/>
      <c r="S54" s="6"/>
      <c r="T54" s="6"/>
      <c r="U54" s="6"/>
      <c r="V54" s="6"/>
      <c r="W54" s="6"/>
      <c r="X54" s="6"/>
      <c r="Y54" s="6"/>
      <c r="Z54" s="6"/>
      <c r="AA54" s="6"/>
    </row>
    <row r="55" ht="15.75" customHeight="1">
      <c r="A55" s="7">
        <f t="shared" si="1"/>
        <v>54</v>
      </c>
      <c r="B55" s="9" t="str">
        <f>IFERROR(__xludf.DUMMYFUNCTION("""COMPUTED_VALUE"""),"13.7446031")</f>
        <v>13.7446031</v>
      </c>
      <c r="C55" s="9" t="str">
        <f>IFERROR(__xludf.DUMMYFUNCTION("""COMPUTED_VALUE"""),"50.6021667")</f>
        <v>50.6021667</v>
      </c>
      <c r="D55" s="9" t="str">
        <f>IFERROR(__xludf.DUMMYFUNCTION("""COMPUTED_VALUE"""),"Expozice dělnického hnutí Duchcovska a Pamětní síň Hrdiny Sovětského svazu genmjr. Antonína Sochora na Státním zámku Duchcov")</f>
        <v>Expozice dělnického hnutí Duchcovska a Pamětní síň Hrdiny Sovětského svazu genmjr. Antonína Sochora na Státním zámku Duchcov</v>
      </c>
      <c r="E55" s="10" t="str">
        <f>IFERROR(__xludf.DUMMYFUNCTION("""COMPUTED_VALUE"""),"muzea")</f>
        <v>muzea</v>
      </c>
      <c r="F55" s="9" t="str">
        <f>IFERROR(__xludf.DUMMYFUNCTION("""COMPUTED_VALUE"""),"Zámek prošel v roce 1961 rekonstrukcí a vznikly zde expozice s tématy umění a regionálních dějin, mezi kterými zaujímala významné místo výstava dějin dělnického hnutí.")</f>
        <v>Zámek prošel v roce 1961 rekonstrukcí a vznikly zde expozice s tématy umění a regionálních dějin, mezi kterými zaujímala významné místo výstava dějin dělnického hnutí.</v>
      </c>
      <c r="G55" s="9" t="str">
        <f>IFERROR(__xludf.DUMMYFUNCTION("""COMPUTED_VALUE"""),"muzea")</f>
        <v>muzea</v>
      </c>
      <c r="H55" s="9" t="str">
        <f>IFERROR(__xludf.DUMMYFUNCTION("""COMPUTED_VALUE"""),"Památníky a muzea revolučního hnutí")</f>
        <v>Památníky a muzea revolučního hnutí</v>
      </c>
      <c r="I55" s="9" t="str">
        <f>IFERROR(__xludf.DUMMYFUNCTION("""COMPUTED_VALUE"""),"Ne")</f>
        <v>Ne</v>
      </c>
      <c r="J55" s="9">
        <f>IFERROR(__xludf.DUMMYFUNCTION("""COMPUTED_VALUE"""),1961.0)</f>
        <v>1961</v>
      </c>
      <c r="K55" s="9">
        <f>IFERROR(__xludf.DUMMYFUNCTION("""COMPUTED_VALUE"""),1989.0)</f>
        <v>1989</v>
      </c>
      <c r="L55" s="12" t="str">
        <f>IFERROR(__xludf.DUMMYFUNCTION("""COMPUTED_VALUE"""),"Petr Chotěbor - Jiří Čížek: Hrady a zámky v Čechách, Praha: Olympia 1986, str. 115; ANM, fond Sbírka Muzeum dělnického hnutí, nezpracováno")</f>
        <v>Petr Chotěbor - Jiří Čížek: Hrady a zámky v Čechách, Praha: Olympia 1986, str. 115; ANM, fond Sbírka Muzeum dělnického hnutí, nezpracováno</v>
      </c>
      <c r="M55" s="9"/>
      <c r="N55" s="9" t="str">
        <f>IFERROR(__xludf.DUMMYFUNCTION("""COMPUTED_VALUE"""),"o1.JPG")</f>
        <v>o1.JPG</v>
      </c>
      <c r="O55" s="6" t="str">
        <f>IFERROR(__xludf.DUMMYFUNCTION("""COMPUTED_VALUE"""),"Zámek ,v němž se expozice nacházela")</f>
        <v>Zámek ,v němž se expozice nacházela</v>
      </c>
      <c r="P55" s="6" t="str">
        <f>IFERROR(__xludf.DUMMYFUNCTION("""COMPUTED_VALUE"""),"ANM, fond Sbírka Muzeum dělnického hnutí, nezpracováno")</f>
        <v>ANM, fond Sbírka Muzeum dělnického hnutí, nezpracováno</v>
      </c>
      <c r="Q55" s="6" t="str">
        <f>IFERROR(__xludf.DUMMYFUNCTION("""COMPUTED_VALUE"""),"o2.jpg")</f>
        <v>o2.jpg</v>
      </c>
      <c r="R55" s="6" t="str">
        <f>IFERROR(__xludf.DUMMYFUNCTION("""COMPUTED_VALUE"""),"Umělecké reflexe střetu policie a demonstrantů u Duchcovského viaduktu v únoru 1931.")</f>
        <v>Umělecké reflexe střetu policie a demonstrantů u Duchcovského viaduktu v únoru 1931.</v>
      </c>
      <c r="S55" s="6" t="str">
        <f>IFERROR(__xludf.DUMMYFUNCTION("""COMPUTED_VALUE"""),"ANM, fond Sbírka Muzeum dělnického hnutí, nezpracováno")</f>
        <v>ANM, fond Sbírka Muzeum dělnického hnutí, nezpracováno</v>
      </c>
      <c r="T55" s="6"/>
      <c r="U55" s="6"/>
      <c r="V55" s="6"/>
      <c r="W55" s="6"/>
      <c r="X55" s="6"/>
      <c r="Y55" s="6"/>
      <c r="Z55" s="6"/>
      <c r="AA55" s="6"/>
    </row>
    <row r="56" ht="15.75" customHeight="1">
      <c r="A56" s="7">
        <f t="shared" si="1"/>
        <v>55</v>
      </c>
      <c r="B56" s="9" t="str">
        <f>IFERROR(__xludf.DUMMYFUNCTION("""COMPUTED_VALUE"""),"14.4755251")</f>
        <v>14.4755251</v>
      </c>
      <c r="C56" s="9" t="str">
        <f>IFERROR(__xludf.DUMMYFUNCTION("""COMPUTED_VALUE"""),"48.9704969")</f>
        <v>48.9704969</v>
      </c>
      <c r="D56" s="9" t="str">
        <f>IFERROR(__xludf.DUMMYFUNCTION("""COMPUTED_VALUE"""),"Muzeum dělnického revolučního hnutí jižních Čech – České Budějovice")</f>
        <v>Muzeum dělnického revolučního hnutí jižních Čech – České Budějovice</v>
      </c>
      <c r="E56" s="10" t="str">
        <f>IFERROR(__xludf.DUMMYFUNCTION("""COMPUTED_VALUE"""),"muzea")</f>
        <v>muzea</v>
      </c>
      <c r="F56" s="9" t="str">
        <f>IFERROR(__xludf.DUMMYFUNCTION("""COMPUTED_VALUE"""),"Muzeum bylo otevřeno v roce 1975. Oficiálně se hlásilo k paměti předválečných členů KSČ, kterým mělo skládat symbolický hold. Expozice byla obsahově dílem kolektivu jihočeských historiků a pamětníků. Instituce měla plnit zejména edukačně-propagandistickou"&amp;" roli.")</f>
        <v>Muzeum bylo otevřeno v roce 1975. Oficiálně se hlásilo k paměti předválečných členů KSČ, kterým mělo skládat symbolický hold. Expozice byla obsahově dílem kolektivu jihočeských historiků a pamětníků. Instituce měla plnit zejména edukačně-propagandistickou roli.</v>
      </c>
      <c r="G56" s="9" t="str">
        <f>IFERROR(__xludf.DUMMYFUNCTION("""COMPUTED_VALUE"""),"muzea")</f>
        <v>muzea</v>
      </c>
      <c r="H56" s="9" t="str">
        <f>IFERROR(__xludf.DUMMYFUNCTION("""COMPUTED_VALUE"""),"Památníky a muzea revolučního hnutí")</f>
        <v>Památníky a muzea revolučního hnutí</v>
      </c>
      <c r="I56" s="9" t="str">
        <f>IFERROR(__xludf.DUMMYFUNCTION("""COMPUTED_VALUE"""),"Ne")</f>
        <v>Ne</v>
      </c>
      <c r="J56" s="9">
        <f>IFERROR(__xludf.DUMMYFUNCTION("""COMPUTED_VALUE"""),1975.0)</f>
        <v>1975</v>
      </c>
      <c r="K56" s="9">
        <f>IFERROR(__xludf.DUMMYFUNCTION("""COMPUTED_VALUE"""),1989.0)</f>
        <v>1989</v>
      </c>
      <c r="L56" s="12" t="str">
        <f>IFERROR(__xludf.DUMMYFUNCTION("""COMPUTED_VALUE"""),"Evžen Schneider: Stručný průvodce Muzea dělnického hnutí jižních Čech v Českých Budějovicích, České Budějovice: Jihočeské muzeum v Českých Budějovicích 1975; ANM, fond Sbírka Muzeum dělnického hnutí, nezpracováno")</f>
        <v>Evžen Schneider: Stručný průvodce Muzea dělnického hnutí jižních Čech v Českých Budějovicích, České Budějovice: Jihočeské muzeum v Českých Budějovicích 1975; ANM, fond Sbírka Muzeum dělnického hnutí, nezpracováno</v>
      </c>
      <c r="M56" s="9"/>
      <c r="N56" s="9" t="str">
        <f>IFERROR(__xludf.DUMMYFUNCTION("""COMPUTED_VALUE"""),"o1.JPG")</f>
        <v>o1.JPG</v>
      </c>
      <c r="O56" s="6" t="str">
        <f>IFERROR(__xludf.DUMMYFUNCTION("""COMPUTED_VALUE"""),"Z expozice.")</f>
        <v>Z expozice.</v>
      </c>
      <c r="P56" s="6" t="str">
        <f>IFERROR(__xludf.DUMMYFUNCTION("""COMPUTED_VALUE"""),"ANM, fond Sbírka Muzeum dělnického hnutí, nezpracováno")</f>
        <v>ANM, fond Sbírka Muzeum dělnického hnutí, nezpracováno</v>
      </c>
      <c r="Q56" s="6"/>
      <c r="R56" s="6"/>
      <c r="S56" s="6"/>
      <c r="T56" s="6"/>
      <c r="U56" s="6"/>
      <c r="V56" s="6"/>
      <c r="W56" s="6"/>
      <c r="X56" s="6"/>
      <c r="Y56" s="6"/>
      <c r="Z56" s="6"/>
      <c r="AA56" s="6"/>
    </row>
    <row r="57" ht="15.75" customHeight="1">
      <c r="A57" s="7">
        <f t="shared" si="1"/>
        <v>56</v>
      </c>
      <c r="B57" s="9" t="str">
        <f>IFERROR(__xludf.DUMMYFUNCTION("""COMPUTED_VALUE"""),"20.87356")</f>
        <v>20.87356</v>
      </c>
      <c r="C57" s="9" t="str">
        <f>IFERROR(__xludf.DUMMYFUNCTION("""COMPUTED_VALUE"""),"48.915")</f>
        <v>48.915</v>
      </c>
      <c r="D57" s="9" t="str">
        <f>IFERROR(__xludf.DUMMYFUNCTION("""COMPUTED_VALUE"""),"Múzeum revolučného robotníckeho hnutia, Krompachy")</f>
        <v>Múzeum revolučného robotníckeho hnutia, Krompachy</v>
      </c>
      <c r="E57" s="10" t="str">
        <f>IFERROR(__xludf.DUMMYFUNCTION("""COMPUTED_VALUE"""),"muzea")</f>
        <v>muzea</v>
      </c>
      <c r="F57" s="9" t="str">
        <f>IFERROR(__xludf.DUMMYFUNCTION("""COMPUTED_VALUE"""),"Muzeum otevřeno v roce 1961 v rámci oslav 40 let od založení KSČ. Hlavním tématem expozice byla Krompašská vzpoura (1921), ale celkový záměr počítal s rekonstrukcí revolučních tradic celého regionu. Muzeum spravovalo Vlastivedné múzeum ve Spišské Nové Vsi"&amp;".")</f>
        <v>Muzeum otevřeno v roce 1961 v rámci oslav 40 let od založení KSČ. Hlavním tématem expozice byla Krompašská vzpoura (1921), ale celkový záměr počítal s rekonstrukcí revolučních tradic celého regionu. Muzeum spravovalo Vlastivedné múzeum ve Spišské Nové Vsi.</v>
      </c>
      <c r="G57" s="9" t="str">
        <f>IFERROR(__xludf.DUMMYFUNCTION("""COMPUTED_VALUE"""),"muzea")</f>
        <v>muzea</v>
      </c>
      <c r="H57" s="9" t="str">
        <f>IFERROR(__xludf.DUMMYFUNCTION("""COMPUTED_VALUE"""),"Památníky a muzea revolučního hnutí")</f>
        <v>Památníky a muzea revolučního hnutí</v>
      </c>
      <c r="I57" s="9" t="str">
        <f>IFERROR(__xludf.DUMMYFUNCTION("""COMPUTED_VALUE"""),"Ne")</f>
        <v>Ne</v>
      </c>
      <c r="J57" s="9">
        <f>IFERROR(__xludf.DUMMYFUNCTION("""COMPUTED_VALUE"""),1961.0)</f>
        <v>1961</v>
      </c>
      <c r="K57" s="9">
        <f>IFERROR(__xludf.DUMMYFUNCTION("""COMPUTED_VALUE"""),1989.0)</f>
        <v>1989</v>
      </c>
      <c r="L57" s="12" t="str">
        <f>IFERROR(__xludf.DUMMYFUNCTION("""COMPUTED_VALUE"""),"Múzeá vo východoslovenskom kraji. Stručný sprievodca, Košice: Východoslovenské múzeúm v Košiciach 1979, str. 43; M. Rybecký a kol.: Sprievodca po múzeách na Slovensku, Bratislava: Vydavaťelstvo politickej literatúry 1964, str. 116-117")</f>
        <v>Múzeá vo východoslovenskom kraji. Stručný sprievodca, Košice: Východoslovenské múzeúm v Košiciach 1979, str. 43; M. Rybecký a kol.: Sprievodca po múzeách na Slovensku, Bratislava: Vydavaťelstvo politickej literatúry 1964, str. 116-117</v>
      </c>
      <c r="M57" s="9"/>
      <c r="N57" s="9" t="str">
        <f>IFERROR(__xludf.DUMMYFUNCTION("""COMPUTED_VALUE"""),"o1.JPG")</f>
        <v>o1.JPG</v>
      </c>
      <c r="O57" s="6" t="str">
        <f>IFERROR(__xludf.DUMMYFUNCTION("""COMPUTED_VALUE"""),"Budova muzea.")</f>
        <v>Budova muzea.</v>
      </c>
      <c r="P57" s="6" t="str">
        <f>IFERROR(__xludf.DUMMYFUNCTION("""COMPUTED_VALUE"""),"Múzeá vo východoslovenskom kraji. Stručný sprievodca, Košice: Východoslovenské múzeúm v Košiciach 1979")</f>
        <v>Múzeá vo východoslovenskom kraji. Stručný sprievodca, Košice: Východoslovenské múzeúm v Košiciach 1979</v>
      </c>
      <c r="Q57" s="6" t="str">
        <f>IFERROR(__xludf.DUMMYFUNCTION("""COMPUTED_VALUE"""),"o2.JPG")</f>
        <v>o2.JPG</v>
      </c>
      <c r="R57" s="6" t="str">
        <f>IFERROR(__xludf.DUMMYFUNCTION("""COMPUTED_VALUE"""),"Z expozice.")</f>
        <v>Z expozice.</v>
      </c>
      <c r="S57" s="6" t="str">
        <f>IFERROR(__xludf.DUMMYFUNCTION("""COMPUTED_VALUE"""),"Múzeá vo východoslovenskom kraji. Stručný sprievodca, Košice: Východoslovenské múzeúm v Košiciach 1979")</f>
        <v>Múzeá vo východoslovenskom kraji. Stručný sprievodca, Košice: Východoslovenské múzeúm v Košiciach 1979</v>
      </c>
      <c r="T57" s="6"/>
      <c r="U57" s="6"/>
      <c r="V57" s="6"/>
      <c r="W57" s="6"/>
      <c r="X57" s="6"/>
      <c r="Y57" s="6"/>
      <c r="Z57" s="6"/>
      <c r="AA57" s="6"/>
    </row>
    <row r="58" ht="15.75" customHeight="1">
      <c r="A58" s="7">
        <f t="shared" si="1"/>
        <v>57</v>
      </c>
      <c r="B58" s="9" t="str">
        <f>IFERROR(__xludf.DUMMYFUNCTION("""COMPUTED_VALUE"""),"18.9244471")</f>
        <v>18.9244471</v>
      </c>
      <c r="C58" s="9" t="str">
        <f>IFERROR(__xludf.DUMMYFUNCTION("""COMPUTED_VALUE"""),"49.1114021")</f>
        <v>49.1114021</v>
      </c>
      <c r="D58" s="9" t="str">
        <f>IFERROR(__xludf.DUMMYFUNCTION("""COMPUTED_VALUE"""),"Múzeum revolučnej tlače Klementa Gottwalda, Vrútky")</f>
        <v>Múzeum revolučnej tlače Klementa Gottwalda, Vrútky</v>
      </c>
      <c r="E58" s="10" t="str">
        <f>IFERROR(__xludf.DUMMYFUNCTION("""COMPUTED_VALUE"""),"muzea")</f>
        <v>muzea</v>
      </c>
      <c r="F58" s="9" t="str">
        <f>IFERROR(__xludf.DUMMYFUNCTION("""COMPUTED_VALUE"""),"Muzeum bylo otevřeno v roce 1957 v prostorách bývalého sekretariátu KSČ, kde sídlila redakce stranického tisku. Expozice se zaměřovala na působení Klementa Gottwalda v místní organizaci a dobovou žurnalistiku KSČ od první světové války do konce 40. let.")</f>
        <v>Muzeum bylo otevřeno v roce 1957 v prostorách bývalého sekretariátu KSČ, kde sídlila redakce stranického tisku. Expozice se zaměřovala na působení Klementa Gottwalda v místní organizaci a dobovou žurnalistiku KSČ od první světové války do konce 40. let.</v>
      </c>
      <c r="G58" s="9" t="str">
        <f>IFERROR(__xludf.DUMMYFUNCTION("""COMPUTED_VALUE"""),"muzea")</f>
        <v>muzea</v>
      </c>
      <c r="H58" s="9" t="str">
        <f>IFERROR(__xludf.DUMMYFUNCTION("""COMPUTED_VALUE"""),"Památníky a muzea revolučního hnutí")</f>
        <v>Památníky a muzea revolučního hnutí</v>
      </c>
      <c r="I58" s="9" t="str">
        <f>IFERROR(__xludf.DUMMYFUNCTION("""COMPUTED_VALUE"""),"Ne")</f>
        <v>Ne</v>
      </c>
      <c r="J58" s="9">
        <f>IFERROR(__xludf.DUMMYFUNCTION("""COMPUTED_VALUE"""),1957.0)</f>
        <v>1957</v>
      </c>
      <c r="K58" s="9">
        <f>IFERROR(__xludf.DUMMYFUNCTION("""COMPUTED_VALUE"""),1989.0)</f>
        <v>1989</v>
      </c>
      <c r="L58" s="12" t="str">
        <f>IFERROR(__xludf.DUMMYFUNCTION("""COMPUTED_VALUE"""),"M. Rybecký a kol.: Sprievodca po múzeách na Slovensku, Bratislava: Vydavaťelstvo politickej literatúry 1964, str. 76")</f>
        <v>M. Rybecký a kol.: Sprievodca po múzeách na Slovensku, Bratislava: Vydavaťelstvo politickej literatúry 1964, str. 76</v>
      </c>
      <c r="M58" s="9"/>
      <c r="N58" s="9" t="str">
        <f>IFERROR(__xludf.DUMMYFUNCTION("""COMPUTED_VALUE"""),"o1.JPG")</f>
        <v>o1.JPG</v>
      </c>
      <c r="O58" s="6" t="str">
        <f>IFERROR(__xludf.DUMMYFUNCTION("""COMPUTED_VALUE"""),"z expozice.")</f>
        <v>z expozice.</v>
      </c>
      <c r="P58" s="6" t="str">
        <f>IFERROR(__xludf.DUMMYFUNCTION("""COMPUTED_VALUE"""),"M. Rybecký a kol.: Sprievodca po múzeách na Slovensku, Bratislava: Vydavaťelstvo politickej literatúry 1964, s. 76")</f>
        <v>M. Rybecký a kol.: Sprievodca po múzeách na Slovensku, Bratislava: Vydavaťelstvo politickej literatúry 1964, s. 76</v>
      </c>
      <c r="Q58" s="6"/>
      <c r="R58" s="6"/>
      <c r="S58" s="6"/>
      <c r="T58" s="6"/>
      <c r="U58" s="6"/>
      <c r="V58" s="6"/>
      <c r="W58" s="6"/>
      <c r="X58" s="6"/>
      <c r="Y58" s="6"/>
      <c r="Z58" s="6"/>
      <c r="AA58" s="6"/>
    </row>
    <row r="59" ht="15.75" customHeight="1">
      <c r="A59" s="7">
        <f t="shared" si="1"/>
        <v>58</v>
      </c>
      <c r="B59" s="9" t="str">
        <f>IFERROR(__xludf.DUMMYFUNCTION("""COMPUTED_VALUE"""),"20.5309987")</f>
        <v>20.5309987</v>
      </c>
      <c r="C59" s="9" t="str">
        <f>IFERROR(__xludf.DUMMYFUNCTION("""COMPUTED_VALUE"""),"48.6566935")</f>
        <v>48.6566935</v>
      </c>
      <c r="D59" s="9" t="str">
        <f>IFERROR(__xludf.DUMMYFUNCTION("""COMPUTED_VALUE"""),"Banícke múzeum, Rožnava")</f>
        <v>Banícke múzeum, Rožnava</v>
      </c>
      <c r="E59" s="10" t="str">
        <f>IFERROR(__xludf.DUMMYFUNCTION("""COMPUTED_VALUE"""),"muzea")</f>
        <v>muzea</v>
      </c>
      <c r="F59" s="9" t="str">
        <f>IFERROR(__xludf.DUMMYFUNCTION("""COMPUTED_VALUE"""),"Expozice otevřené v roce 1955 se kromě technicko-vlastivědného zaměření muzea obsáhle věnovaly také dějinám dělnictva a revolučních tradic.")</f>
        <v>Expozice otevřené v roce 1955 se kromě technicko-vlastivědného zaměření muzea obsáhle věnovaly také dějinám dělnictva a revolučních tradic.</v>
      </c>
      <c r="G59" s="9" t="str">
        <f>IFERROR(__xludf.DUMMYFUNCTION("""COMPUTED_VALUE"""),"muzea")</f>
        <v>muzea</v>
      </c>
      <c r="H59" s="9" t="str">
        <f>IFERROR(__xludf.DUMMYFUNCTION("""COMPUTED_VALUE"""),"Památníky a muzea revolučního hnutí")</f>
        <v>Památníky a muzea revolučního hnutí</v>
      </c>
      <c r="I59" s="9" t="str">
        <f>IFERROR(__xludf.DUMMYFUNCTION("""COMPUTED_VALUE"""),"Ano")</f>
        <v>Ano</v>
      </c>
      <c r="J59" s="9">
        <f>IFERROR(__xludf.DUMMYFUNCTION("""COMPUTED_VALUE"""),1955.0)</f>
        <v>1955</v>
      </c>
      <c r="K59" s="9"/>
      <c r="L59" s="12" t="str">
        <f>IFERROR(__xludf.DUMMYFUNCTION("""COMPUTED_VALUE"""),"Múzeá vo východoslovenskom kraji. Stručný sprievodca, Košice: Východoslovenské múzeúm v Košiciach 1979, str. 36-37")</f>
        <v>Múzeá vo východoslovenskom kraji. Stručný sprievodca, Košice: Východoslovenské múzeúm v Košiciach 1979, str. 36-37</v>
      </c>
      <c r="M59" s="9"/>
      <c r="N59" s="9" t="str">
        <f>IFERROR(__xludf.DUMMYFUNCTION("""COMPUTED_VALUE"""),"o1.JPG")</f>
        <v>o1.JPG</v>
      </c>
      <c r="O59" s="6" t="str">
        <f>IFERROR(__xludf.DUMMYFUNCTION("""COMPUTED_VALUE"""),"Budova muzea")</f>
        <v>Budova muzea</v>
      </c>
      <c r="P59" s="6" t="str">
        <f>IFERROR(__xludf.DUMMYFUNCTION("""COMPUTED_VALUE"""),"Múzeá vo východoslovenskom kraji. Stručný sprievodca, Košice: Východoslovenské múzeúm v Košiciach 1979, s. 36")</f>
        <v>Múzeá vo východoslovenskom kraji. Stručný sprievodca, Košice: Východoslovenské múzeúm v Košiciach 1979, s. 36</v>
      </c>
      <c r="Q59" s="6" t="str">
        <f>IFERROR(__xludf.DUMMYFUNCTION("""COMPUTED_VALUE"""),"o2.JPG")</f>
        <v>o2.JPG</v>
      </c>
      <c r="R59" s="6" t="str">
        <f>IFERROR(__xludf.DUMMYFUNCTION("""COMPUTED_VALUE"""),"Pohled do expozice.")</f>
        <v>Pohled do expozice.</v>
      </c>
      <c r="S59" s="6" t="str">
        <f>IFERROR(__xludf.DUMMYFUNCTION("""COMPUTED_VALUE"""),"Múzeá vo východoslovenskom kraji. Stručný sprievodca, Košice: Východoslovenské múzeúm v Košiciach 1979, s. 37")</f>
        <v>Múzeá vo východoslovenskom kraji. Stručný sprievodca, Košice: Východoslovenské múzeúm v Košiciach 1979, s. 37</v>
      </c>
      <c r="T59" s="6"/>
      <c r="U59" s="6"/>
      <c r="V59" s="6"/>
      <c r="W59" s="6"/>
      <c r="X59" s="6"/>
      <c r="Y59" s="6"/>
      <c r="Z59" s="6"/>
      <c r="AA59" s="6"/>
    </row>
    <row r="60" ht="15.75" customHeight="1">
      <c r="A60" s="7">
        <f t="shared" si="1"/>
        <v>59</v>
      </c>
      <c r="B60" s="9" t="str">
        <f>IFERROR(__xludf.DUMMYFUNCTION("""COMPUTED_VALUE"""),"18.3913344")</f>
        <v>18.3913344</v>
      </c>
      <c r="C60" s="9" t="str">
        <f>IFERROR(__xludf.DUMMYFUNCTION("""COMPUTED_VALUE"""),"48.7541837")</f>
        <v>48.7541837</v>
      </c>
      <c r="D60" s="9" t="str">
        <f>IFERROR(__xludf.DUMMYFUNCTION("""COMPUTED_VALUE"""),"Sieň revolučných tradicií, Uhrovec")</f>
        <v>Sieň revolučných tradicií, Uhrovec</v>
      </c>
      <c r="E60" s="10" t="str">
        <f>IFERROR(__xludf.DUMMYFUNCTION("""COMPUTED_VALUE"""),"síň tradic")</f>
        <v>síň tradic</v>
      </c>
      <c r="F60" s="9" t="str">
        <f>IFERROR(__xludf.DUMMYFUNCTION("""COMPUTED_VALUE"""),"Expozice se nacházela v hradním komplexu v roce 1962 jako pobočka Vlastivedného múzea v Topoľčanech. Zaměřovala se na dějiny revolučního hnutí v dlouhé perspektivě regionálních dějin.")</f>
        <v>Expozice se nacházela v hradním komplexu v roce 1962 jako pobočka Vlastivedného múzea v Topoľčanech. Zaměřovala se na dějiny revolučního hnutí v dlouhé perspektivě regionálních dějin.</v>
      </c>
      <c r="G60" s="9" t="str">
        <f>IFERROR(__xludf.DUMMYFUNCTION("""COMPUTED_VALUE"""),"muzea")</f>
        <v>muzea</v>
      </c>
      <c r="H60" s="9" t="str">
        <f>IFERROR(__xludf.DUMMYFUNCTION("""COMPUTED_VALUE"""),"Památníky a muzea revolučního hnutí")</f>
        <v>Památníky a muzea revolučního hnutí</v>
      </c>
      <c r="I60" s="9" t="str">
        <f>IFERROR(__xludf.DUMMYFUNCTION("""COMPUTED_VALUE"""),"Ne")</f>
        <v>Ne</v>
      </c>
      <c r="J60" s="9">
        <f>IFERROR(__xludf.DUMMYFUNCTION("""COMPUTED_VALUE"""),1962.0)</f>
        <v>1962</v>
      </c>
      <c r="K60" s="9">
        <f>IFERROR(__xludf.DUMMYFUNCTION("""COMPUTED_VALUE"""),1989.0)</f>
        <v>1989</v>
      </c>
      <c r="L60" s="12" t="str">
        <f>IFERROR(__xludf.DUMMYFUNCTION("""COMPUTED_VALUE"""),"M. Rybecký a kol.: Sprievodca po múzeách na Slovensku, Bratislava: Vydavaťelstvo politickej literatúry 1964, str. 48")</f>
        <v>M. Rybecký a kol.: Sprievodca po múzeách na Slovensku, Bratislava: Vydavaťelstvo politickej literatúry 1964, str. 48</v>
      </c>
      <c r="M60" s="9"/>
      <c r="N60" s="9"/>
      <c r="O60" s="6"/>
      <c r="P60" s="6"/>
      <c r="Q60" s="6"/>
      <c r="R60" s="6"/>
      <c r="S60" s="6"/>
      <c r="T60" s="6"/>
      <c r="U60" s="6"/>
      <c r="V60" s="6"/>
      <c r="W60" s="6"/>
      <c r="X60" s="6"/>
      <c r="Y60" s="6"/>
      <c r="Z60" s="6"/>
      <c r="AA60" s="6"/>
    </row>
    <row r="61" ht="15.75" customHeight="1">
      <c r="A61" s="7">
        <f t="shared" si="1"/>
        <v>60</v>
      </c>
      <c r="B61" s="9" t="str">
        <f>IFERROR(__xludf.DUMMYFUNCTION("""COMPUTED_VALUE"""),"21.827225")</f>
        <v>21.827225</v>
      </c>
      <c r="C61" s="9" t="str">
        <f>IFERROR(__xludf.DUMMYFUNCTION("""COMPUTED_VALUE"""),"49.3485531")</f>
        <v>49.3485531</v>
      </c>
      <c r="D61" s="9" t="str">
        <f>IFERROR(__xludf.DUMMYFUNCTION("""COMPUTED_VALUE"""),"Pamätné izby roľníckej vzbury, Čertižné a Habura")</f>
        <v>Pamätné izby roľníckej vzbury, Čertižné a Habura</v>
      </c>
      <c r="E61" s="10" t="str">
        <f>IFERROR(__xludf.DUMMYFUNCTION("""COMPUTED_VALUE"""),"památníky")</f>
        <v>památníky</v>
      </c>
      <c r="F61" s="9" t="str">
        <f>IFERROR(__xludf.DUMMYFUNCTION("""COMPUTED_VALUE"""),"V roce 1960 byly otevřeny expozice v budově bývalé četnické stanice v Čertižné a v domě Městského národního výboru v Haburech, které upomínaly na rolnickou vzpouru proti exekucím z roku 1935.")</f>
        <v>V roce 1960 byly otevřeny expozice v budově bývalé četnické stanice v Čertižné a v domě Městského národního výboru v Haburech, které upomínaly na rolnickou vzpouru proti exekucím z roku 1935.</v>
      </c>
      <c r="G61" s="9" t="str">
        <f>IFERROR(__xludf.DUMMYFUNCTION("""COMPUTED_VALUE"""),"památníky")</f>
        <v>památníky</v>
      </c>
      <c r="H61" s="9" t="str">
        <f>IFERROR(__xludf.DUMMYFUNCTION("""COMPUTED_VALUE"""),"Památníky a muzea revolučního hnutí")</f>
        <v>Památníky a muzea revolučního hnutí</v>
      </c>
      <c r="I61" s="9" t="str">
        <f>IFERROR(__xludf.DUMMYFUNCTION("""COMPUTED_VALUE"""),"Ne")</f>
        <v>Ne</v>
      </c>
      <c r="J61" s="9">
        <f>IFERROR(__xludf.DUMMYFUNCTION("""COMPUTED_VALUE"""),1960.0)</f>
        <v>1960</v>
      </c>
      <c r="K61" s="9"/>
      <c r="L61" s="12" t="str">
        <f>IFERROR(__xludf.DUMMYFUNCTION("""COMPUTED_VALUE"""),"M. Rybecký a kol.: Sprievodca po múzeách na Slovensku, Bratislava: Vydavaťelstvo politickej literatúry 1964, str. 94")</f>
        <v>M. Rybecký a kol.: Sprievodca po múzeách na Slovensku, Bratislava: Vydavaťelstvo politickej literatúry 1964, str. 94</v>
      </c>
      <c r="M61" s="9"/>
      <c r="N61" s="9"/>
      <c r="O61" s="6"/>
      <c r="P61" s="6"/>
      <c r="Q61" s="6"/>
      <c r="R61" s="6"/>
      <c r="S61" s="6"/>
      <c r="T61" s="6"/>
      <c r="U61" s="6"/>
      <c r="V61" s="6"/>
      <c r="W61" s="6"/>
      <c r="X61" s="6"/>
      <c r="Y61" s="6"/>
      <c r="Z61" s="6"/>
      <c r="AA61" s="6"/>
    </row>
    <row r="62" ht="15.75" customHeight="1">
      <c r="A62" s="7">
        <f t="shared" si="1"/>
        <v>61</v>
      </c>
      <c r="B62" s="9" t="str">
        <f>IFERROR(__xludf.DUMMYFUNCTION("""COMPUTED_VALUE"""),"14.0391606")</f>
        <v>14.0391606</v>
      </c>
      <c r="C62" s="9" t="str">
        <f>IFERROR(__xludf.DUMMYFUNCTION("""COMPUTED_VALUE"""),"49.9471144")</f>
        <v>49.9471144</v>
      </c>
      <c r="D62" s="9" t="str">
        <f>IFERROR(__xludf.DUMMYFUNCTION("""COMPUTED_VALUE"""),"Muzeum revolučního hnutí Berounska, Dvůr Králové")</f>
        <v>Muzeum revolučního hnutí Berounska, Dvůr Králové</v>
      </c>
      <c r="E62" s="10" t="str">
        <f>IFERROR(__xludf.DUMMYFUNCTION("""COMPUTED_VALUE"""),"muzea")</f>
        <v>muzea</v>
      </c>
      <c r="F62" s="9" t="str">
        <f>IFERROR(__xludf.DUMMYFUNCTION("""COMPUTED_VALUE"""),"Expozice, představující dějiny třídního boje regionu, byla otevřena v roce 1975.")</f>
        <v>Expozice, představující dějiny třídního boje regionu, byla otevřena v roce 1975.</v>
      </c>
      <c r="G62" s="9" t="str">
        <f>IFERROR(__xludf.DUMMYFUNCTION("""COMPUTED_VALUE"""),"muzea")</f>
        <v>muzea</v>
      </c>
      <c r="H62" s="9" t="str">
        <f>IFERROR(__xludf.DUMMYFUNCTION("""COMPUTED_VALUE"""),"Památníky a muzea revolučního hnutí")</f>
        <v>Památníky a muzea revolučního hnutí</v>
      </c>
      <c r="I62" s="9" t="str">
        <f>IFERROR(__xludf.DUMMYFUNCTION("""COMPUTED_VALUE"""),"Ne")</f>
        <v>Ne</v>
      </c>
      <c r="J62" s="9">
        <f>IFERROR(__xludf.DUMMYFUNCTION("""COMPUTED_VALUE"""),1975.0)</f>
        <v>1975</v>
      </c>
      <c r="K62" s="9">
        <f>IFERROR(__xludf.DUMMYFUNCTION("""COMPUTED_VALUE"""),1989.0)</f>
        <v>1989</v>
      </c>
      <c r="L62" s="12" t="str">
        <f>IFERROR(__xludf.DUMMYFUNCTION("""COMPUTED_VALUE"""),"ANM, fond Sbírka Muzeum dělnického hnutí, nezpracováno")</f>
        <v>ANM, fond Sbírka Muzeum dělnického hnutí, nezpracováno</v>
      </c>
      <c r="M62" s="9"/>
      <c r="N62" s="9" t="str">
        <f>IFERROR(__xludf.DUMMYFUNCTION("""COMPUTED_VALUE"""),"o1.JPG")</f>
        <v>o1.JPG</v>
      </c>
      <c r="O62" s="6" t="str">
        <f>IFERROR(__xludf.DUMMYFUNCTION("""COMPUTED_VALUE"""),"Z expozice.")</f>
        <v>Z expozice.</v>
      </c>
      <c r="P62" s="6" t="str">
        <f>IFERROR(__xludf.DUMMYFUNCTION("""COMPUTED_VALUE"""),"ANM, fond Sbírka Muzeum dělnického hnutí, nezpracováno")</f>
        <v>ANM, fond Sbírka Muzeum dělnického hnutí, nezpracováno</v>
      </c>
      <c r="Q62" s="6"/>
      <c r="R62" s="6"/>
      <c r="S62" s="6"/>
      <c r="T62" s="6"/>
      <c r="U62" s="6"/>
      <c r="V62" s="6"/>
      <c r="W62" s="6"/>
      <c r="X62" s="6"/>
      <c r="Y62" s="6"/>
      <c r="Z62" s="6"/>
      <c r="AA62" s="6"/>
    </row>
    <row r="63" ht="15.75" customHeight="1">
      <c r="A63" s="7">
        <f t="shared" si="1"/>
        <v>62</v>
      </c>
      <c r="B63" s="9" t="str">
        <f>IFERROR(__xludf.DUMMYFUNCTION("""COMPUTED_VALUE"""),"17.9993408")</f>
        <v>17.9993408</v>
      </c>
      <c r="C63" s="9" t="str">
        <f>IFERROR(__xludf.DUMMYFUNCTION("""COMPUTED_VALUE"""),"49.3408892")</f>
        <v>49.3408892</v>
      </c>
      <c r="D63" s="9" t="str">
        <f>IFERROR(__xludf.DUMMYFUNCTION("""COMPUTED_VALUE"""),"Vlastivědný ústav Vsetín – Expozice revoluční tradice Valašska")</f>
        <v>Vlastivědný ústav Vsetín – Expozice revoluční tradice Valašska</v>
      </c>
      <c r="E63" s="10" t="str">
        <f>IFERROR(__xludf.DUMMYFUNCTION("""COMPUTED_VALUE"""),"síň tradic")</f>
        <v>síň tradic</v>
      </c>
      <c r="F63" s="9" t="str">
        <f>IFERROR(__xludf.DUMMYFUNCTION("""COMPUTED_VALUE"""),"Expozice vznikla v rámci velké rekonstrukce zámeckého objektu v roce 1975 a věnovala se dějinám lidu od středověku po tehdejší současnost.")</f>
        <v>Expozice vznikla v rámci velké rekonstrukce zámeckého objektu v roce 1975 a věnovala se dějinám lidu od středověku po tehdejší současnost.</v>
      </c>
      <c r="G63" s="9" t="str">
        <f>IFERROR(__xludf.DUMMYFUNCTION("""COMPUTED_VALUE"""),"muzea")</f>
        <v>muzea</v>
      </c>
      <c r="H63" s="9" t="str">
        <f>IFERROR(__xludf.DUMMYFUNCTION("""COMPUTED_VALUE"""),"Památníky a muzea revolučního hnutí")</f>
        <v>Památníky a muzea revolučního hnutí</v>
      </c>
      <c r="I63" s="9" t="str">
        <f>IFERROR(__xludf.DUMMYFUNCTION("""COMPUTED_VALUE"""),"Ne")</f>
        <v>Ne</v>
      </c>
      <c r="J63" s="9">
        <f>IFERROR(__xludf.DUMMYFUNCTION("""COMPUTED_VALUE"""),1975.0)</f>
        <v>1975</v>
      </c>
      <c r="K63" s="9">
        <f>IFERROR(__xludf.DUMMYFUNCTION("""COMPUTED_VALUE"""),1989.0)</f>
        <v>1989</v>
      </c>
      <c r="L63" s="12" t="str">
        <f>IFERROR(__xludf.DUMMYFUNCTION("""COMPUTED_VALUE"""),"Ladislav Baletka: Revoluční tradice Valašska. Průvodce expozicí, Vsetín: Vlastivědný ústav Vsetín 1975")</f>
        <v>Ladislav Baletka: Revoluční tradice Valašska. Průvodce expozicí, Vsetín: Vlastivědný ústav Vsetín 1975</v>
      </c>
      <c r="M63" s="9"/>
      <c r="N63" s="9"/>
      <c r="O63" s="6"/>
      <c r="P63" s="6"/>
      <c r="Q63" s="6"/>
      <c r="R63" s="6"/>
      <c r="S63" s="6"/>
      <c r="T63" s="6"/>
      <c r="U63" s="6"/>
      <c r="V63" s="6"/>
      <c r="W63" s="6"/>
      <c r="X63" s="6"/>
      <c r="Y63" s="6"/>
      <c r="Z63" s="6"/>
      <c r="AA63" s="6"/>
    </row>
    <row r="64" ht="15.75" customHeight="1">
      <c r="A64" s="7">
        <f t="shared" si="1"/>
        <v>63</v>
      </c>
      <c r="B64" s="9" t="str">
        <f>IFERROR(__xludf.DUMMYFUNCTION("""COMPUTED_VALUE"""),"14.4279383")</f>
        <v>14.4279383</v>
      </c>
      <c r="C64" s="9" t="str">
        <f>IFERROR(__xludf.DUMMYFUNCTION("""COMPUTED_VALUE"""),"50.0687464")</f>
        <v>50.0687464</v>
      </c>
      <c r="D64" s="9" t="str">
        <f>IFERROR(__xludf.DUMMYFUNCTION("""COMPUTED_VALUE"""),"Muzeum Sboru národní bezpečnosti a vojsk ministerstva vnitra, Praha")</f>
        <v>Muzeum Sboru národní bezpečnosti a vojsk ministerstva vnitra, Praha</v>
      </c>
      <c r="E64" s="10" t="str">
        <f>IFERROR(__xludf.DUMMYFUNCTION("""COMPUTED_VALUE"""),"muzea")</f>
        <v>muzea</v>
      </c>
      <c r="F64" s="9" t="str">
        <f>IFERROR(__xludf.DUMMYFUNCTION("""COMPUTED_VALUE"""),"V 60. letech byly prostory kláštera na Karlově rekonstruovány pro účely zřízení expozic. V roce 1973 vzniklo Muzeum pohraniční stráže, které se stalo základem rozsáhlejší instituce s názvem Muzeum Sboru národní bezpečnosti a vojsk ministerstva vnitra zřiz"&amp;"ené Správou pro politickovýchovnou, vzdělávací, kulturní a propagační činnost federálního ministerstva vnitra. Expozice byly otevřeny v roce 1975 a zaměřovaly se na období od roku 1918. Jejich hlavním těžištěm byly události po roce 1948 se zaměřením na di"&amp;"verzní a politickou kriminalitu.")</f>
        <v>V 60. letech byly prostory kláštera na Karlově rekonstruovány pro účely zřízení expozic. V roce 1973 vzniklo Muzeum pohraniční stráže, které se stalo základem rozsáhlejší instituce s názvem Muzeum Sboru národní bezpečnosti a vojsk ministerstva vnitra zřizené Správou pro politickovýchovnou, vzdělávací, kulturní a propagační činnost federálního ministerstva vnitra. Expozice byly otevřeny v roce 1975 a zaměřovaly se na období od roku 1918. Jejich hlavním těžištěm byly události po roce 1948 se zaměřením na diverzní a politickou kriminalitu.</v>
      </c>
      <c r="G64" s="9" t="str">
        <f>IFERROR(__xludf.DUMMYFUNCTION("""COMPUTED_VALUE"""),"muzea")</f>
        <v>muzea</v>
      </c>
      <c r="H64" s="9" t="str">
        <f>IFERROR(__xludf.DUMMYFUNCTION("""COMPUTED_VALUE"""),"Památníky a muzea revolučního hnutí")</f>
        <v>Památníky a muzea revolučního hnutí</v>
      </c>
      <c r="I64" s="9" t="str">
        <f>IFERROR(__xludf.DUMMYFUNCTION("""COMPUTED_VALUE"""),"Ne")</f>
        <v>Ne</v>
      </c>
      <c r="J64" s="9">
        <f>IFERROR(__xludf.DUMMYFUNCTION("""COMPUTED_VALUE"""),1975.0)</f>
        <v>1975</v>
      </c>
      <c r="K64" s="9">
        <f>IFERROR(__xludf.DUMMYFUNCTION("""COMPUTED_VALUE"""),1989.0)</f>
        <v>1989</v>
      </c>
      <c r="L64" s="12" t="str">
        <f>IFERROR(__xludf.DUMMYFUNCTION("""COMPUTED_VALUE"""),"Nejen pro čtenáře detektivek, Mladý svět, roč. 17, č. 19, 30. 4. 1975; Václav Pubal: Muzea, galerie a památkové objekty v ČSR, Praha: Národní muzeum 1973")</f>
        <v>Nejen pro čtenáře detektivek, Mladý svět, roč. 17, č. 19, 30. 4. 1975; Václav Pubal: Muzea, galerie a památkové objekty v ČSR, Praha: Národní muzeum 1973</v>
      </c>
      <c r="M64" s="9"/>
      <c r="N64" s="9"/>
      <c r="O64" s="6"/>
      <c r="P64" s="6"/>
      <c r="Q64" s="6"/>
      <c r="R64" s="6"/>
      <c r="S64" s="6"/>
      <c r="T64" s="6"/>
      <c r="U64" s="6"/>
      <c r="V64" s="6"/>
      <c r="W64" s="6"/>
      <c r="X64" s="6"/>
      <c r="Y64" s="6"/>
      <c r="Z64" s="6"/>
      <c r="AA64" s="6"/>
    </row>
    <row r="65" ht="15.75" customHeight="1">
      <c r="A65" s="7">
        <f t="shared" si="1"/>
        <v>64</v>
      </c>
      <c r="B65" s="9" t="str">
        <f>IFERROR(__xludf.DUMMYFUNCTION("""COMPUTED_VALUE"""),"14.1490153")</f>
        <v>14.1490153</v>
      </c>
      <c r="C65" s="9" t="str">
        <f>IFERROR(__xludf.DUMMYFUNCTION("""COMPUTED_VALUE"""),"50.5114415")</f>
        <v>50.5114415</v>
      </c>
      <c r="D65" s="9" t="str">
        <f>IFERROR(__xludf.DUMMYFUNCTION("""COMPUTED_VALUE"""),"Stálá expozice historie SNB a revolučních tradic Severočeského kraje v Terezíně")</f>
        <v>Stálá expozice historie SNB a revolučních tradic Severočeského kraje v Terezíně</v>
      </c>
      <c r="E65" s="10" t="str">
        <f>IFERROR(__xludf.DUMMYFUNCTION("""COMPUTED_VALUE"""),"muzea")</f>
        <v>muzea</v>
      </c>
      <c r="F65" s="9" t="str">
        <f>IFERROR(__xludf.DUMMYFUNCTION("""COMPUTED_VALUE"""),"Muzeum zřízené v roce 1979 jako pracoviště Muzea SNB v Praze. Expozice  se zaměřovala na výklad dějin regionálního působení komunistického hnutí, především na období od roku 1917. Důležitou součástí instituce byla deska cti a slávy příslušníkům SNB padlým"&amp;" při plnění svých povinností. Hlavním úkolem byla popularizační, propagandistická a vzdělávací činnost.")</f>
        <v>Muzeum zřízené v roce 1979 jako pracoviště Muzea SNB v Praze. Expozice  se zaměřovala na výklad dějin regionálního působení komunistického hnutí, především na období od roku 1917. Důležitou součástí instituce byla deska cti a slávy příslušníkům SNB padlým při plnění svých povinností. Hlavním úkolem byla popularizační, propagandistická a vzdělávací činnost.</v>
      </c>
      <c r="G65" s="9" t="str">
        <f>IFERROR(__xludf.DUMMYFUNCTION("""COMPUTED_VALUE"""),"muzea")</f>
        <v>muzea</v>
      </c>
      <c r="H65" s="9" t="str">
        <f>IFERROR(__xludf.DUMMYFUNCTION("""COMPUTED_VALUE"""),"Památníky a muzea revolučního hnutí")</f>
        <v>Památníky a muzea revolučního hnutí</v>
      </c>
      <c r="I65" s="9" t="str">
        <f>IFERROR(__xludf.DUMMYFUNCTION("""COMPUTED_VALUE"""),"Ne")</f>
        <v>Ne</v>
      </c>
      <c r="J65" s="9">
        <f>IFERROR(__xludf.DUMMYFUNCTION("""COMPUTED_VALUE"""),1979.0)</f>
        <v>1979</v>
      </c>
      <c r="K65" s="9">
        <f>IFERROR(__xludf.DUMMYFUNCTION("""COMPUTED_VALUE"""),1989.0)</f>
        <v>1989</v>
      </c>
      <c r="L65" s="12" t="str">
        <f>IFERROR(__xludf.DUMMYFUNCTION("""COMPUTED_VALUE"""),"Jindřich Spěvák: Ve jménu historie i současnosti. Pozvánka do Stále expozice historie SNB a revolučních tradic Severočeského kraje, Rudé právo, roč. 60-61, č. 216, 12. 9. 1980")</f>
        <v>Jindřich Spěvák: Ve jménu historie i současnosti. Pozvánka do Stále expozice historie SNB a revolučních tradic Severočeského kraje, Rudé právo, roč. 60-61, č. 216, 12. 9. 1980</v>
      </c>
      <c r="M65" s="9"/>
      <c r="N65" s="9"/>
      <c r="O65" s="6"/>
      <c r="P65" s="6"/>
      <c r="Q65" s="6"/>
      <c r="R65" s="6"/>
      <c r="S65" s="6"/>
      <c r="T65" s="6"/>
      <c r="U65" s="6"/>
      <c r="V65" s="6"/>
      <c r="W65" s="6"/>
      <c r="X65" s="6"/>
      <c r="Y65" s="6"/>
      <c r="Z65" s="6"/>
      <c r="AA65" s="6"/>
    </row>
    <row r="66" ht="15.75" customHeight="1">
      <c r="A66" s="7">
        <f t="shared" si="1"/>
        <v>65</v>
      </c>
      <c r="B66" s="9" t="str">
        <f>IFERROR(__xludf.DUMMYFUNCTION("""COMPUTED_VALUE"""),"16.0718728")</f>
        <v>16.0718728</v>
      </c>
      <c r="C66" s="9" t="str">
        <f>IFERROR(__xludf.DUMMYFUNCTION("""COMPUTED_VALUE"""),"50.5052285")</f>
        <v>50.5052285</v>
      </c>
      <c r="D66" s="9" t="str">
        <f>IFERROR(__xludf.DUMMYFUNCTION("""COMPUTED_VALUE"""),"Památník selských bouří, Rtyně v Podkrkonoší")</f>
        <v>Památník selských bouří, Rtyně v Podkrkonoší</v>
      </c>
      <c r="E66" s="10" t="str">
        <f>IFERROR(__xludf.DUMMYFUNCTION("""COMPUTED_VALUE"""),"památníky")</f>
        <v>památníky</v>
      </c>
      <c r="F66" s="9" t="str">
        <f>IFERROR(__xludf.DUMMYFUNCTION("""COMPUTED_VALUE"""),"Jádrem expozice z roku 1975, umístěné na původní rychtě, byly dokumenty ze selského povstání z roku 1775.")</f>
        <v>Jádrem expozice z roku 1975, umístěné na původní rychtě, byly dokumenty ze selského povstání z roku 1775.</v>
      </c>
      <c r="G66" s="9" t="str">
        <f>IFERROR(__xludf.DUMMYFUNCTION("""COMPUTED_VALUE"""),"památníky")</f>
        <v>památníky</v>
      </c>
      <c r="H66" s="9" t="str">
        <f>IFERROR(__xludf.DUMMYFUNCTION("""COMPUTED_VALUE"""),"Muzea a památníky spojené s klíčovou událostí či s konkrétním dějinným obdobím")</f>
        <v>Muzea a památníky spojené s klíčovou událostí či s konkrétním dějinným obdobím</v>
      </c>
      <c r="I66" s="9" t="str">
        <f>IFERROR(__xludf.DUMMYFUNCTION("""COMPUTED_VALUE"""),"Ano")</f>
        <v>Ano</v>
      </c>
      <c r="J66" s="9">
        <f>IFERROR(__xludf.DUMMYFUNCTION("""COMPUTED_VALUE"""),1975.0)</f>
        <v>1975</v>
      </c>
      <c r="K66" s="9"/>
      <c r="L66" s="12" t="str">
        <f>IFERROR(__xludf.DUMMYFUNCTION("""COMPUTED_VALUE"""),"Milan Hromádka - Marie Poláková - Jarmila Valentová: Kulturní adresář ČSR, Praha: Ústav pro výzkum kultury 1973, str. 356")</f>
        <v>Milan Hromádka - Marie Poláková - Jarmila Valentová: Kulturní adresář ČSR, Praha: Ústav pro výzkum kultury 1973, str. 356</v>
      </c>
      <c r="M66" s="9"/>
      <c r="N66" s="9"/>
      <c r="O66" s="6"/>
      <c r="P66" s="6"/>
      <c r="Q66" s="6"/>
      <c r="R66" s="6"/>
      <c r="S66" s="6"/>
      <c r="T66" s="6"/>
      <c r="U66" s="6"/>
      <c r="V66" s="6"/>
      <c r="W66" s="6"/>
      <c r="X66" s="6"/>
      <c r="Y66" s="6"/>
      <c r="Z66" s="6"/>
      <c r="AA66" s="6"/>
    </row>
    <row r="67" ht="15.75" customHeight="1">
      <c r="A67" s="7">
        <f t="shared" si="1"/>
        <v>66</v>
      </c>
      <c r="B67" s="9" t="str">
        <f>IFERROR(__xludf.DUMMYFUNCTION("""COMPUTED_VALUE"""),"16.9208597")</f>
        <v>16.9208597</v>
      </c>
      <c r="C67" s="9" t="str">
        <f>IFERROR(__xludf.DUMMYFUNCTION("""COMPUTED_VALUE"""),"49.6721436")</f>
        <v>49.6721436</v>
      </c>
      <c r="D67" s="9" t="str">
        <f>IFERROR(__xludf.DUMMYFUNCTION("""COMPUTED_VALUE"""),"Památník protifašistického odboje a javoříčské tragédie")</f>
        <v>Památník protifašistického odboje a javoříčské tragédie</v>
      </c>
      <c r="E67" s="10" t="str">
        <f>IFERROR(__xludf.DUMMYFUNCTION("""COMPUTED_VALUE"""),"památníky")</f>
        <v>památníky</v>
      </c>
      <c r="F67" s="9" t="str">
        <f>IFERROR(__xludf.DUMMYFUNCTION("""COMPUTED_VALUE"""),"Expozice věnovaná zániku obce v květnu 1945 a působení partyzánské skupiny Jermak. V roce 1951 vztyčen pomník. V roce 1985 otevřen památník s expozicí v bývalé škole.")</f>
        <v>Expozice věnovaná zániku obce v květnu 1945 a působení partyzánské skupiny Jermak. V roce 1951 vztyčen pomník. V roce 1985 otevřen památník s expozicí v bývalé škole.</v>
      </c>
      <c r="G67" s="9" t="str">
        <f>IFERROR(__xludf.DUMMYFUNCTION("""COMPUTED_VALUE"""),"památníky")</f>
        <v>památníky</v>
      </c>
      <c r="H67" s="9" t="str">
        <f>IFERROR(__xludf.DUMMYFUNCTION("""COMPUTED_VALUE"""),"Muzea a památníky spojené s klíčovou událostí či s konkrétním dějinným obdobím")</f>
        <v>Muzea a památníky spojené s klíčovou událostí či s konkrétním dějinným obdobím</v>
      </c>
      <c r="I67" s="9" t="str">
        <f>IFERROR(__xludf.DUMMYFUNCTION("""COMPUTED_VALUE"""),"Ano")</f>
        <v>Ano</v>
      </c>
      <c r="J67" s="9">
        <f>IFERROR(__xludf.DUMMYFUNCTION("""COMPUTED_VALUE"""),1985.0)</f>
        <v>1985</v>
      </c>
      <c r="K67" s="9"/>
      <c r="L67" s="12" t="str">
        <f>IFERROR(__xludf.DUMMYFUNCTION("""COMPUTED_VALUE"""),"Jaromír Kalous: Muzea na Moravě a ve Slezsku, Ostrava: Profil 1988, str. 127")</f>
        <v>Jaromír Kalous: Muzea na Moravě a ve Slezsku, Ostrava: Profil 1988, str. 127</v>
      </c>
      <c r="M67" s="9"/>
      <c r="N67" s="9"/>
      <c r="O67" s="6"/>
      <c r="P67" s="6"/>
      <c r="Q67" s="6"/>
      <c r="R67" s="6"/>
      <c r="S67" s="6"/>
      <c r="T67" s="6"/>
      <c r="U67" s="6"/>
      <c r="V67" s="6"/>
      <c r="W67" s="6"/>
      <c r="X67" s="6"/>
      <c r="Y67" s="6"/>
      <c r="Z67" s="6"/>
      <c r="AA67" s="6"/>
    </row>
    <row r="68" ht="15.75" customHeight="1">
      <c r="A68" s="7">
        <f t="shared" si="1"/>
        <v>67</v>
      </c>
      <c r="B68" s="9" t="str">
        <f>IFERROR(__xludf.DUMMYFUNCTION("""COMPUTED_VALUE"""),"17.9584575")</f>
        <v>17.9584575</v>
      </c>
      <c r="C68" s="9" t="str">
        <f>IFERROR(__xludf.DUMMYFUNCTION("""COMPUTED_VALUE"""),"49.1952736")</f>
        <v>49.1952736</v>
      </c>
      <c r="D68" s="9" t="str">
        <f>IFERROR(__xludf.DUMMYFUNCTION("""COMPUTED_VALUE"""),"Památník odboje Ploština")</f>
        <v>Památník odboje Ploština</v>
      </c>
      <c r="E68" s="10" t="str">
        <f>IFERROR(__xludf.DUMMYFUNCTION("""COMPUTED_VALUE"""),"památníky")</f>
        <v>památníky</v>
      </c>
      <c r="F68" s="9" t="str">
        <f>IFERROR(__xludf.DUMMYFUNCTION("""COMPUTED_VALUE"""),"Památník s expozicí na místě vesnice vypálené jednotkami SS v dubnu 1945. V roce 1978 jej spravovalo Oblastní muzeum jihovýchodní Moravy v Gottwaldově (Zlíně).")</f>
        <v>Památník s expozicí na místě vesnice vypálené jednotkami SS v dubnu 1945. V roce 1978 jej spravovalo Oblastní muzeum jihovýchodní Moravy v Gottwaldově (Zlíně).</v>
      </c>
      <c r="G68" s="9" t="str">
        <f>IFERROR(__xludf.DUMMYFUNCTION("""COMPUTED_VALUE"""),"památníky")</f>
        <v>památníky</v>
      </c>
      <c r="H68" s="9" t="str">
        <f>IFERROR(__xludf.DUMMYFUNCTION("""COMPUTED_VALUE"""),"Muzea a památníky spojené s klíčovou událostí či s konkrétním dějinným obdobím")</f>
        <v>Muzea a památníky spojené s klíčovou událostí či s konkrétním dějinným obdobím</v>
      </c>
      <c r="I68" s="9" t="str">
        <f>IFERROR(__xludf.DUMMYFUNCTION("""COMPUTED_VALUE"""),"Ano")</f>
        <v>Ano</v>
      </c>
      <c r="J68" s="9">
        <f>IFERROR(__xludf.DUMMYFUNCTION("""COMPUTED_VALUE"""),1975.0)</f>
        <v>1975</v>
      </c>
      <c r="K68" s="9"/>
      <c r="L68" s="12" t="str">
        <f>IFERROR(__xludf.DUMMYFUNCTION("""COMPUTED_VALUE"""),"Jaromír Kalous: Muzea na Moravě a ve Slezsku, Ostrava: Profil 1988, str. 208")</f>
        <v>Jaromír Kalous: Muzea na Moravě a ve Slezsku, Ostrava: Profil 1988, str. 208</v>
      </c>
      <c r="M68" s="9"/>
      <c r="N68" s="9" t="str">
        <f>IFERROR(__xludf.DUMMYFUNCTION("""COMPUTED_VALUE"""),"Ploština památník.JPG")</f>
        <v>Ploština památník.JPG</v>
      </c>
      <c r="O68" s="6" t="str">
        <f>IFERROR(__xludf.DUMMYFUNCTION("""COMPUTED_VALUE"""),"Památník obětem v Ploštině.")</f>
        <v>Památník obětem v Ploštině.</v>
      </c>
      <c r="P68" s="6" t="str">
        <f>IFERROR(__xludf.DUMMYFUNCTION("""COMPUTED_VALUE"""),"Jaromír Kalous: Muzea na Moravě a ve Slezsku, Ostrava: Profil 1988, str. 208")</f>
        <v>Jaromír Kalous: Muzea na Moravě a ve Slezsku, Ostrava: Profil 1988, str. 208</v>
      </c>
      <c r="Q68" s="6"/>
      <c r="R68" s="6"/>
      <c r="S68" s="6"/>
      <c r="T68" s="6"/>
      <c r="U68" s="6"/>
      <c r="V68" s="6"/>
      <c r="W68" s="6"/>
      <c r="X68" s="6"/>
      <c r="Y68" s="6"/>
      <c r="Z68" s="6"/>
      <c r="AA68" s="6"/>
    </row>
    <row r="69" ht="15.75" customHeight="1">
      <c r="A69" s="7">
        <f t="shared" si="1"/>
        <v>68</v>
      </c>
      <c r="B69" s="9" t="str">
        <f>IFERROR(__xludf.DUMMYFUNCTION("""COMPUTED_VALUE"""),"16.4472456")</f>
        <v>16.4472456</v>
      </c>
      <c r="C69" s="9" t="str">
        <f>IFERROR(__xludf.DUMMYFUNCTION("""COMPUTED_VALUE"""),"49.3844394")</f>
        <v>49.3844394</v>
      </c>
      <c r="D69" s="9" t="str">
        <f>IFERROR(__xludf.DUMMYFUNCTION("""COMPUTED_VALUE"""),"Expozice partyzánského hnutí, Šerkovice")</f>
        <v>Expozice partyzánského hnutí, Šerkovice</v>
      </c>
      <c r="E69" s="10" t="str">
        <f>IFERROR(__xludf.DUMMYFUNCTION("""COMPUTED_VALUE"""),"památníky")</f>
        <v>památníky</v>
      </c>
      <c r="F69" s="9" t="str">
        <f>IFERROR(__xludf.DUMMYFUNCTION("""COMPUTED_VALUE"""),"V roce 1980 byla otevřena expozice partyzánského oddílu Jermak jako detašované pracoviště Okresního muzea Brno-venkov.")</f>
        <v>V roce 1980 byla otevřena expozice partyzánského oddílu Jermak jako detašované pracoviště Okresního muzea Brno-venkov.</v>
      </c>
      <c r="G69" s="9" t="str">
        <f>IFERROR(__xludf.DUMMYFUNCTION("""COMPUTED_VALUE"""),"památníky")</f>
        <v>památníky</v>
      </c>
      <c r="H69" s="9" t="str">
        <f>IFERROR(__xludf.DUMMYFUNCTION("""COMPUTED_VALUE"""),"Muzea a památníky spojené s klíčovou událostí či s konkrétním dějinným obdobím")</f>
        <v>Muzea a památníky spojené s klíčovou událostí či s konkrétním dějinným obdobím</v>
      </c>
      <c r="I69" s="9" t="str">
        <f>IFERROR(__xludf.DUMMYFUNCTION("""COMPUTED_VALUE"""),"Ne")</f>
        <v>Ne</v>
      </c>
      <c r="J69" s="9">
        <f>IFERROR(__xludf.DUMMYFUNCTION("""COMPUTED_VALUE"""),1980.0)</f>
        <v>1980</v>
      </c>
      <c r="K69" s="9">
        <f>IFERROR(__xludf.DUMMYFUNCTION("""COMPUTED_VALUE"""),1990.0)</f>
        <v>1990</v>
      </c>
      <c r="L69" s="12" t="str">
        <f>IFERROR(__xludf.DUMMYFUNCTION("""COMPUTED_VALUE"""),"Z historie partyzánského oddílu Jermak, Brno 1980")</f>
        <v>Z historie partyzánského oddílu Jermak, Brno 1980</v>
      </c>
      <c r="M69" s="9"/>
      <c r="N69" s="9"/>
      <c r="O69" s="6"/>
      <c r="P69" s="6"/>
      <c r="Q69" s="6"/>
      <c r="R69" s="6"/>
      <c r="S69" s="6"/>
      <c r="T69" s="6"/>
      <c r="U69" s="6"/>
      <c r="V69" s="6"/>
      <c r="W69" s="6"/>
      <c r="X69" s="6"/>
      <c r="Y69" s="6"/>
      <c r="Z69" s="6"/>
      <c r="AA69" s="6"/>
    </row>
    <row r="70" ht="15.75" customHeight="1">
      <c r="A70" s="7">
        <f t="shared" si="1"/>
        <v>69</v>
      </c>
      <c r="B70" s="9" t="str">
        <f>IFERROR(__xludf.DUMMYFUNCTION("""COMPUTED_VALUE"""),"18.0516984")</f>
        <v>18.0516984</v>
      </c>
      <c r="C70" s="9" t="str">
        <f>IFERROR(__xludf.DUMMYFUNCTION("""COMPUTED_VALUE"""),"49.8857506")</f>
        <v>49.8857506</v>
      </c>
      <c r="D70" s="9" t="str">
        <f>IFERROR(__xludf.DUMMYFUNCTION("""COMPUTED_VALUE"""),"Památník Ostravské operace v Hrabyni")</f>
        <v>Památník Ostravské operace v Hrabyni</v>
      </c>
      <c r="E70" s="10" t="str">
        <f>IFERROR(__xludf.DUMMYFUNCTION("""COMPUTED_VALUE"""),"památníky")</f>
        <v>památníky</v>
      </c>
      <c r="F70" s="9" t="str">
        <f>IFERROR(__xludf.DUMMYFUNCTION("""COMPUTED_VALUE"""),"V roce 1980 byl památník otevřen veřejnosti. Ústřední stavbou se stal betonový monolit, který tvoří dva monumentální klíny znázorňující společný boj československých a sovětských jednotek proti nacismu. Socha Miloše Axmana Bratrství v boji nesla stejné id"&amp;"eové sdělení. V interiéru se nachází síň osvoboditelů s prstí z bojišť východní fronty. Mělo jej ve správě Muzeum revolučních bojů a osvobození v Ostravě.")</f>
        <v>V roce 1980 byl památník otevřen veřejnosti. Ústřední stavbou se stal betonový monolit, který tvoří dva monumentální klíny znázorňující společný boj československých a sovětských jednotek proti nacismu. Socha Miloše Axmana Bratrství v boji nesla stejné ideové sdělení. V interiéru se nachází síň osvoboditelů s prstí z bojišť východní fronty. Mělo jej ve správě Muzeum revolučních bojů a osvobození v Ostravě.</v>
      </c>
      <c r="G70" s="9" t="str">
        <f>IFERROR(__xludf.DUMMYFUNCTION("""COMPUTED_VALUE"""),"památníky")</f>
        <v>památníky</v>
      </c>
      <c r="H70" s="9" t="str">
        <f>IFERROR(__xludf.DUMMYFUNCTION("""COMPUTED_VALUE"""),"Muzea a památníky spojené s klíčovou událostí či s konkrétním dějinným obdobím")</f>
        <v>Muzea a památníky spojené s klíčovou událostí či s konkrétním dějinným obdobím</v>
      </c>
      <c r="I70" s="9" t="str">
        <f>IFERROR(__xludf.DUMMYFUNCTION("""COMPUTED_VALUE"""),"Ano")</f>
        <v>Ano</v>
      </c>
      <c r="J70" s="9">
        <f>IFERROR(__xludf.DUMMYFUNCTION("""COMPUTED_VALUE"""),1980.0)</f>
        <v>1980</v>
      </c>
      <c r="K70" s="9"/>
      <c r="L70" s="12" t="str">
        <f>IFERROR(__xludf.DUMMYFUNCTION("""COMPUTED_VALUE"""),"Jaromír Kalous: Muzea na Moravě a ve Slezsku, Ostrava: Profil 1988, str.114-115; ANM, fond Sbírka Muzeum dělnického hnutí, nezpracováno")</f>
        <v>Jaromír Kalous: Muzea na Moravě a ve Slezsku, Ostrava: Profil 1988, str.114-115; ANM, fond Sbírka Muzeum dělnického hnutí, nezpracováno</v>
      </c>
      <c r="M70" s="9"/>
      <c r="N70" s="9" t="str">
        <f>IFERROR(__xludf.DUMMYFUNCTION("""COMPUTED_VALUE"""),"hrabyně.JPG")</f>
        <v>hrabyně.JPG</v>
      </c>
      <c r="O70" s="6" t="str">
        <f>IFERROR(__xludf.DUMMYFUNCTION("""COMPUTED_VALUE"""),"budova památníku.")</f>
        <v>budova památníku.</v>
      </c>
      <c r="P70" s="6" t="str">
        <f>IFERROR(__xludf.DUMMYFUNCTION("""COMPUTED_VALUE"""),"Jaromír Kalous: Muzea na Moravě a ve Slezsku, Ostrava: Profil 1988, str.114")</f>
        <v>Jaromír Kalous: Muzea na Moravě a ve Slezsku, Ostrava: Profil 1988, str.114</v>
      </c>
      <c r="Q70" s="6" t="str">
        <f>IFERROR(__xludf.DUMMYFUNCTION("""COMPUTED_VALUE"""),"o1.JPG")</f>
        <v>o1.JPG</v>
      </c>
      <c r="R70" s="6"/>
      <c r="S70" s="6" t="str">
        <f>IFERROR(__xludf.DUMMYFUNCTION("""COMPUTED_VALUE"""),"ANM, fond Sbírka Muzeum dělnického hnutí, nezpracováno")</f>
        <v>ANM, fond Sbírka Muzeum dělnického hnutí, nezpracováno</v>
      </c>
      <c r="T70" s="6"/>
      <c r="U70" s="6"/>
      <c r="V70" s="6"/>
      <c r="W70" s="6"/>
      <c r="X70" s="6"/>
      <c r="Y70" s="6"/>
      <c r="Z70" s="6"/>
      <c r="AA70" s="6"/>
    </row>
    <row r="71" ht="15.75" customHeight="1">
      <c r="A71" s="7">
        <f t="shared" si="1"/>
        <v>70</v>
      </c>
      <c r="B71" s="9" t="str">
        <f>IFERROR(__xludf.DUMMYFUNCTION("""COMPUTED_VALUE"""),"14.6577667")</f>
        <v>14.6577667</v>
      </c>
      <c r="C71" s="9" t="str">
        <f>IFERROR(__xludf.DUMMYFUNCTION("""COMPUTED_VALUE"""),"49.4139498")</f>
        <v>49.4139498</v>
      </c>
      <c r="D71" s="9" t="str">
        <f>IFERROR(__xludf.DUMMYFUNCTION("""COMPUTED_VALUE"""),"Muzeum husitského revolučního hnutí, Tábor")</f>
        <v>Muzeum husitského revolučního hnutí, Tábor</v>
      </c>
      <c r="E71" s="10" t="str">
        <f>IFERROR(__xludf.DUMMYFUNCTION("""COMPUTED_VALUE"""),"muzea")</f>
        <v>muzea</v>
      </c>
      <c r="F71" s="9" t="str">
        <f>IFERROR(__xludf.DUMMYFUNCTION("""COMPUTED_VALUE"""),"Expozici z roku 1953 připravil tým pod vedením historiků Grause a Macka. V roce 1972 byla modernizována. Jejím hlavním cílem bylo prezentovat dějiny první poloviny 15. století jako nejvýznamnější třídní konflikt v Čechách v období feudalismu.")</f>
        <v>Expozici z roku 1953 připravil tým pod vedením historiků Grause a Macka. V roce 1972 byla modernizována. Jejím hlavním cílem bylo prezentovat dějiny první poloviny 15. století jako nejvýznamnější třídní konflikt v Čechách v období feudalismu.</v>
      </c>
      <c r="G71" s="9" t="str">
        <f>IFERROR(__xludf.DUMMYFUNCTION("""COMPUTED_VALUE"""),"muzea")</f>
        <v>muzea</v>
      </c>
      <c r="H71" s="9" t="str">
        <f>IFERROR(__xludf.DUMMYFUNCTION("""COMPUTED_VALUE"""),"Muzea a památníky spojené s klíčovou událostí či s konkrétním dějinným obdobím")</f>
        <v>Muzea a památníky spojené s klíčovou událostí či s konkrétním dějinným obdobím</v>
      </c>
      <c r="I71" s="9" t="str">
        <f>IFERROR(__xludf.DUMMYFUNCTION("""COMPUTED_VALUE"""),"Ano")</f>
        <v>Ano</v>
      </c>
      <c r="J71" s="9">
        <f>IFERROR(__xludf.DUMMYFUNCTION("""COMPUTED_VALUE"""),1953.0)</f>
        <v>1953</v>
      </c>
      <c r="K71" s="9"/>
      <c r="L71" s="12" t="str">
        <f>IFERROR(__xludf.DUMMYFUNCTION("""COMPUTED_VALUE"""),"Muzeum husitstkého revolučního hnutí v Táboře. Expozice husité, Praha [197-?]; SOKA Tábor, fond husitské muzeum, kart. 4-8")</f>
        <v>Muzeum husitstkého revolučního hnutí v Táboře. Expozice husité, Praha [197-?]; SOKA Tábor, fond husitské muzeum, kart. 4-8</v>
      </c>
      <c r="M71" s="9"/>
      <c r="N71" s="9" t="str">
        <f>IFERROR(__xludf.DUMMYFUNCTION("""COMPUTED_VALUE"""),"o1.JPG")</f>
        <v>o1.JPG</v>
      </c>
      <c r="O71" s="6" t="str">
        <f>IFERROR(__xludf.DUMMYFUNCTION("""COMPUTED_VALUE"""),"Budova muzea.")</f>
        <v>Budova muzea.</v>
      </c>
      <c r="P71" s="6" t="str">
        <f>IFERROR(__xludf.DUMMYFUNCTION("""COMPUTED_VALUE"""),"ANM, Sbírka Muzeum dělnického hnutí, nezpracováno")</f>
        <v>ANM, Sbírka Muzeum dělnického hnutí, nezpracováno</v>
      </c>
      <c r="Q71" s="6" t="str">
        <f>IFERROR(__xludf.DUMMYFUNCTION("""COMPUTED_VALUE"""),"o2.JPG")</f>
        <v>o2.JPG</v>
      </c>
      <c r="R71" s="6" t="str">
        <f>IFERROR(__xludf.DUMMYFUNCTION("""COMPUTED_VALUE"""),"Z expozice.")</f>
        <v>Z expozice.</v>
      </c>
      <c r="S71" s="6" t="str">
        <f>IFERROR(__xludf.DUMMYFUNCTION("""COMPUTED_VALUE"""),"ANM, Sbírka Muzeum dělnického hnutí, nezpracováno")</f>
        <v>ANM, Sbírka Muzeum dělnického hnutí, nezpracováno</v>
      </c>
      <c r="T71" s="6"/>
      <c r="U71" s="6"/>
      <c r="V71" s="6"/>
      <c r="W71" s="6"/>
      <c r="X71" s="6"/>
      <c r="Y71" s="6"/>
      <c r="Z71" s="6"/>
      <c r="AA71" s="6"/>
    </row>
    <row r="72" ht="15.75" customHeight="1">
      <c r="A72" s="7">
        <f t="shared" si="1"/>
        <v>71</v>
      </c>
      <c r="B72" s="9" t="str">
        <f>IFERROR(__xludf.DUMMYFUNCTION("""COMPUTED_VALUE"""),"18.3295119")</f>
        <v>18.3295119</v>
      </c>
      <c r="C72" s="9" t="str">
        <f>IFERROR(__xludf.DUMMYFUNCTION("""COMPUTED_VALUE"""),"49.5280653")</f>
        <v>49.5280653</v>
      </c>
      <c r="D72" s="9" t="str">
        <f>IFERROR(__xludf.DUMMYFUNCTION("""COMPUTED_VALUE"""),"Památník partyzánského odboje, Čeladná")</f>
        <v>Památník partyzánského odboje, Čeladná</v>
      </c>
      <c r="E72" s="10" t="str">
        <f>IFERROR(__xludf.DUMMYFUNCTION("""COMPUTED_VALUE"""),"památníky")</f>
        <v>památníky</v>
      </c>
      <c r="F72" s="9" t="str">
        <f>IFERROR(__xludf.DUMMYFUNCTION("""COMPUTED_VALUE"""),"Expozice v bývalé základní škole v obci Čeladná vznikla v roce 1981. Hlavní tematickým zaměřením byl příběh partyzánské skupiny Jana Žižky. Její obsah se ale nevyhýbal ani rozsáhlému vyprávění o historii lidu v regionu.")</f>
        <v>Expozice v bývalé základní škole v obci Čeladná vznikla v roce 1981. Hlavní tematickým zaměřením byl příběh partyzánské skupiny Jana Žižky. Její obsah se ale nevyhýbal ani rozsáhlému vyprávění o historii lidu v regionu.</v>
      </c>
      <c r="G72" s="9" t="str">
        <f>IFERROR(__xludf.DUMMYFUNCTION("""COMPUTED_VALUE"""),"památníky")</f>
        <v>památníky</v>
      </c>
      <c r="H72" s="9" t="str">
        <f>IFERROR(__xludf.DUMMYFUNCTION("""COMPUTED_VALUE"""),"Muzea a památníky spojené s klíčovou událostí či s konkrétním dějinným obdobím")</f>
        <v>Muzea a památníky spojené s klíčovou událostí či s konkrétním dějinným obdobím</v>
      </c>
      <c r="I72" s="9" t="str">
        <f>IFERROR(__xludf.DUMMYFUNCTION("""COMPUTED_VALUE"""),"Ne?")</f>
        <v>Ne?</v>
      </c>
      <c r="J72" s="9">
        <f>IFERROR(__xludf.DUMMYFUNCTION("""COMPUTED_VALUE"""),1981.0)</f>
        <v>1981</v>
      </c>
      <c r="K72" s="9"/>
      <c r="L72" s="12" t="str">
        <f>IFERROR(__xludf.DUMMYFUNCTION("""COMPUTED_VALUE"""),"Jaromír Kalous: Muzea na Moravě a ve Slezsku, Ostrava: Profil 1988, str. 85-86")</f>
        <v>Jaromír Kalous: Muzea na Moravě a ve Slezsku, Ostrava: Profil 1988, str. 85-86</v>
      </c>
      <c r="M72" s="9"/>
      <c r="N72" s="9" t="str">
        <f>IFERROR(__xludf.DUMMYFUNCTION("""COMPUTED_VALUE"""),"památník patyzánského odboje Čeladná.JPG")</f>
        <v>památník patyzánského odboje Čeladná.JPG</v>
      </c>
      <c r="O72" s="6" t="str">
        <f>IFERROR(__xludf.DUMMYFUNCTION("""COMPUTED_VALUE"""),"Z expozice.")</f>
        <v>Z expozice.</v>
      </c>
      <c r="P72" s="6" t="str">
        <f>IFERROR(__xludf.DUMMYFUNCTION("""COMPUTED_VALUE"""),"Jaromír Kalous: Muzea na Moravě a ve Slezsku, Ostrava: Profil 1988, str. 85")</f>
        <v>Jaromír Kalous: Muzea na Moravě a ve Slezsku, Ostrava: Profil 1988, str. 85</v>
      </c>
      <c r="Q72" s="6"/>
      <c r="R72" s="6"/>
      <c r="S72" s="6"/>
      <c r="T72" s="6"/>
      <c r="U72" s="6"/>
      <c r="V72" s="6"/>
      <c r="W72" s="6"/>
      <c r="X72" s="6"/>
      <c r="Y72" s="6"/>
      <c r="Z72" s="6"/>
      <c r="AA72" s="6"/>
    </row>
    <row r="73" ht="15.75" customHeight="1">
      <c r="A73" s="7">
        <f t="shared" si="1"/>
        <v>72</v>
      </c>
      <c r="B73" s="9" t="str">
        <f>IFERROR(__xludf.DUMMYFUNCTION("""COMPUTED_VALUE"""),"17.9991567")</f>
        <v>17.9991567</v>
      </c>
      <c r="C73" s="9" t="str">
        <f>IFERROR(__xludf.DUMMYFUNCTION("""COMPUTED_VALUE"""),"49.9289222")</f>
        <v>49.9289222</v>
      </c>
      <c r="D73" s="9" t="str">
        <f>IFERROR(__xludf.DUMMYFUNCTION("""COMPUTED_VALUE"""),"Expozice ostravské operace, Kravaře")</f>
        <v>Expozice ostravské operace, Kravaře</v>
      </c>
      <c r="E73" s="10" t="str">
        <f>IFERROR(__xludf.DUMMYFUNCTION("""COMPUTED_VALUE"""),"muzea")</f>
        <v>muzea</v>
      </c>
      <c r="F73" s="9" t="str">
        <f>IFERROR(__xludf.DUMMYFUNCTION("""COMPUTED_VALUE"""),"Expozice otevřena v roce 1970 v barokním zámku. Věnovala se Ostravské operaci, vojenské ofenzivě z konce 2. světové války.")</f>
        <v>Expozice otevřena v roce 1970 v barokním zámku. Věnovala se Ostravské operaci, vojenské ofenzivě z konce 2. světové války.</v>
      </c>
      <c r="G73" s="9" t="str">
        <f>IFERROR(__xludf.DUMMYFUNCTION("""COMPUTED_VALUE"""),"muzea")</f>
        <v>muzea</v>
      </c>
      <c r="H73" s="9" t="str">
        <f>IFERROR(__xludf.DUMMYFUNCTION("""COMPUTED_VALUE"""),"Muzea a památníky spojené s klíčovou událostí či s konkrétním dějinným obdobím")</f>
        <v>Muzea a památníky spojené s klíčovou událostí či s konkrétním dějinným obdobím</v>
      </c>
      <c r="I73" s="9" t="str">
        <f>IFERROR(__xludf.DUMMYFUNCTION("""COMPUTED_VALUE"""),"Ne")</f>
        <v>Ne</v>
      </c>
      <c r="J73" s="9">
        <f>IFERROR(__xludf.DUMMYFUNCTION("""COMPUTED_VALUE"""),1970.0)</f>
        <v>1970</v>
      </c>
      <c r="K73" s="9">
        <f>IFERROR(__xludf.DUMMYFUNCTION("""COMPUTED_VALUE"""),1989.0)</f>
        <v>1989</v>
      </c>
      <c r="L73" s="12" t="str">
        <f>IFERROR(__xludf.DUMMYFUNCTION("""COMPUTED_VALUE"""),"ANM, fond Sbírka Muzeum dělnického hnutí, nezpracováno")</f>
        <v>ANM, fond Sbírka Muzeum dělnického hnutí, nezpracováno</v>
      </c>
      <c r="M73" s="9"/>
      <c r="N73" s="9" t="str">
        <f>IFERROR(__xludf.DUMMYFUNCTION("""COMPUTED_VALUE"""),"o1.JPG")</f>
        <v>o1.JPG</v>
      </c>
      <c r="O73" s="6" t="str">
        <f>IFERROR(__xludf.DUMMYFUNCTION("""COMPUTED_VALUE"""),"Pohled do expozice.")</f>
        <v>Pohled do expozice.</v>
      </c>
      <c r="P73" s="6" t="str">
        <f>IFERROR(__xludf.DUMMYFUNCTION("""COMPUTED_VALUE"""),"ANM, fond Sbírka Muzeum dělnického hnutí, nezpracováno")</f>
        <v>ANM, fond Sbírka Muzeum dělnického hnutí, nezpracováno</v>
      </c>
      <c r="Q73" s="6"/>
      <c r="R73" s="6"/>
      <c r="S73" s="6"/>
      <c r="T73" s="6"/>
      <c r="U73" s="6"/>
      <c r="V73" s="6"/>
      <c r="W73" s="6"/>
      <c r="X73" s="6"/>
      <c r="Y73" s="6"/>
      <c r="Z73" s="6"/>
      <c r="AA73" s="6"/>
    </row>
    <row r="74" ht="15.75" customHeight="1">
      <c r="A74" s="7">
        <f t="shared" si="1"/>
        <v>73</v>
      </c>
      <c r="B74" s="9" t="str">
        <f>IFERROR(__xludf.DUMMYFUNCTION("""COMPUTED_VALUE"""),"14.4174049")</f>
        <v>14.4174049</v>
      </c>
      <c r="C74" s="9" t="str">
        <f>IFERROR(__xludf.DUMMYFUNCTION("""COMPUTED_VALUE"""),"50.0843165")</f>
        <v>50.0843165</v>
      </c>
      <c r="D74" s="9" t="str">
        <f>IFERROR(__xludf.DUMMYFUNCTION("""COMPUTED_VALUE"""),"Betlémská kaple")</f>
        <v>Betlémská kaple</v>
      </c>
      <c r="E74" s="10" t="str">
        <f>IFERROR(__xludf.DUMMYFUNCTION("""COMPUTED_VALUE"""),"památníky")</f>
        <v>památníky</v>
      </c>
      <c r="F74" s="9" t="str">
        <f>IFERROR(__xludf.DUMMYFUNCTION("""COMPUTED_VALUE"""),"Původní stavba z pozdního středověku byla stržena v roce 1786. Obnova na základě nových architektonických plánů, jejichž ideovým autorem byl Zdeněk Nejedlý, začala roku 1948 a stala se jednou z priorit kulturní politiky strany v první pětiletce. V roce 19"&amp;"54 byl objekt předán veřejnosti jako místo paměti husitské revoluce.")</f>
        <v>Původní stavba z pozdního středověku byla stržena v roce 1786. Obnova na základě nových architektonických plánů, jejichž ideovým autorem byl Zdeněk Nejedlý, začala roku 1948 a stala se jednou z priorit kulturní politiky strany v první pětiletce. V roce 1954 byl objekt předán veřejnosti jako místo paměti husitské revoluce.</v>
      </c>
      <c r="G74" s="9" t="str">
        <f>IFERROR(__xludf.DUMMYFUNCTION("""COMPUTED_VALUE"""),"památníky")</f>
        <v>památníky</v>
      </c>
      <c r="H74" s="9" t="str">
        <f>IFERROR(__xludf.DUMMYFUNCTION("""COMPUTED_VALUE"""),"Muzea a památníky spojené s klíčovou událostí či s konkrétním dějinným obdobím")</f>
        <v>Muzea a památníky spojené s klíčovou událostí či s konkrétním dějinným obdobím</v>
      </c>
      <c r="I74" s="9" t="str">
        <f>IFERROR(__xludf.DUMMYFUNCTION("""COMPUTED_VALUE"""),"Ano")</f>
        <v>Ano</v>
      </c>
      <c r="J74" s="9">
        <f>IFERROR(__xludf.DUMMYFUNCTION("""COMPUTED_VALUE"""),1954.0)</f>
        <v>1954</v>
      </c>
      <c r="K74" s="9"/>
      <c r="L74" s="12" t="str">
        <f>IFERROR(__xludf.DUMMYFUNCTION("""COMPUTED_VALUE"""),"Jaroslav Soukup: Praha. Město revolučních tradic, Praha: Olympia 1971; Jan Randák: V záři rudého kalicha. Politika dějin a husitská tradice v Československu 1948-1956, Praha: NLN, FF UK, 2015, str. 260-267")</f>
        <v>Jaroslav Soukup: Praha. Město revolučních tradic, Praha: Olympia 1971; Jan Randák: V záři rudého kalicha. Politika dějin a husitská tradice v Československu 1948-1956, Praha: NLN, FF UK, 2015, str. 260-267</v>
      </c>
      <c r="M74" s="9"/>
      <c r="N74" s="9"/>
      <c r="O74" s="6"/>
      <c r="P74" s="6"/>
      <c r="Q74" s="6"/>
      <c r="R74" s="6"/>
      <c r="S74" s="6"/>
      <c r="T74" s="6"/>
      <c r="U74" s="6"/>
      <c r="V74" s="6"/>
      <c r="W74" s="6"/>
      <c r="X74" s="6"/>
      <c r="Y74" s="6"/>
      <c r="Z74" s="6"/>
      <c r="AA74" s="6"/>
    </row>
    <row r="75" ht="15.75" customHeight="1">
      <c r="A75" s="7">
        <f t="shared" si="1"/>
        <v>74</v>
      </c>
      <c r="B75" s="9" t="str">
        <f>IFERROR(__xludf.DUMMYFUNCTION("""COMPUTED_VALUE"""),"14.2002671")</f>
        <v>14.2002671</v>
      </c>
      <c r="C75" s="9" t="str">
        <f>IFERROR(__xludf.DUMMYFUNCTION("""COMPUTED_VALUE"""),"50.1447096")</f>
        <v>50.1447096</v>
      </c>
      <c r="D75" s="9" t="str">
        <f>IFERROR(__xludf.DUMMYFUNCTION("""COMPUTED_VALUE"""),"Památník Lidické tragédie")</f>
        <v>Památník Lidické tragédie</v>
      </c>
      <c r="E75" s="10" t="str">
        <f>IFERROR(__xludf.DUMMYFUNCTION("""COMPUTED_VALUE"""),"památníky")</f>
        <v>památníky</v>
      </c>
      <c r="F75" s="9" t="str">
        <f>IFERROR(__xludf.DUMMYFUNCTION("""COMPUTED_VALUE"""),"V roce 1948 byl vybudován Společností pro obnovu Lidic památník s expozicí, zaměřující se na dějiny obce a zvláště na její tragické zničení roku 1942 s ohledem na osudy zdejších obyvatel.")</f>
        <v>V roce 1948 byl vybudován Společností pro obnovu Lidic památník s expozicí, zaměřující se na dějiny obce a zvláště na její tragické zničení roku 1942 s ohledem na osudy zdejších obyvatel.</v>
      </c>
      <c r="G75" s="9" t="str">
        <f>IFERROR(__xludf.DUMMYFUNCTION("""COMPUTED_VALUE"""),"památníky")</f>
        <v>památníky</v>
      </c>
      <c r="H75" s="9" t="str">
        <f>IFERROR(__xludf.DUMMYFUNCTION("""COMPUTED_VALUE"""),"Muzea a památníky spojené s klíčovou událostí či s konkrétním dějinným obdobím")</f>
        <v>Muzea a památníky spojené s klíčovou událostí či s konkrétním dějinným obdobím</v>
      </c>
      <c r="I75" s="9" t="str">
        <f>IFERROR(__xludf.DUMMYFUNCTION("""COMPUTED_VALUE"""),"Ano")</f>
        <v>Ano</v>
      </c>
      <c r="J75" s="9">
        <f>IFERROR(__xludf.DUMMYFUNCTION("""COMPUTED_VALUE"""),1948.0)</f>
        <v>1948</v>
      </c>
      <c r="K75" s="9"/>
      <c r="L75" s="12" t="str">
        <f>IFERROR(__xludf.DUMMYFUNCTION("""COMPUTED_VALUE"""),"Vladimír Konopka: Lidice, Praha: Naše vojsko 1966; Jiří Jožák: Místa bojů a vítězství. Výběr památných míst protifašistického boje v českých zemích, Praha: Naše vojsko 1977; Václav Pubal: Muzea, galerie a památkové objekty v ČSR, Praha: Národní muzeum 197"&amp;"3, str. 134")</f>
        <v>Vladimír Konopka: Lidice, Praha: Naše vojsko 1966; Jiří Jožák: Místa bojů a vítězství. Výběr památných míst protifašistického boje v českých zemích, Praha: Naše vojsko 1977; Václav Pubal: Muzea, galerie a památkové objekty v ČSR, Praha: Národní muzeum 1973, str. 134</v>
      </c>
      <c r="M75" s="9"/>
      <c r="N75" s="9" t="str">
        <f>IFERROR(__xludf.DUMMYFUNCTION("""COMPUTED_VALUE"""),"lidice.JPG")</f>
        <v>lidice.JPG</v>
      </c>
      <c r="O75" s="6"/>
      <c r="P75" s="6" t="str">
        <f>IFERROR(__xludf.DUMMYFUNCTION("""COMPUTED_VALUE"""),"Jaroslav Soukup: Praha. Město revolučních tradic, Praha: Olympia 1971")</f>
        <v>Jaroslav Soukup: Praha. Město revolučních tradic, Praha: Olympia 1971</v>
      </c>
      <c r="Q75" s="6"/>
      <c r="R75" s="6"/>
      <c r="S75" s="6"/>
      <c r="T75" s="6"/>
      <c r="U75" s="6"/>
      <c r="V75" s="6"/>
      <c r="W75" s="6"/>
      <c r="X75" s="6"/>
      <c r="Y75" s="6"/>
      <c r="Z75" s="6"/>
      <c r="AA75" s="6"/>
    </row>
    <row r="76" ht="15.75" customHeight="1">
      <c r="A76" s="7">
        <f t="shared" si="1"/>
        <v>75</v>
      </c>
      <c r="B76" s="9" t="str">
        <f>IFERROR(__xludf.DUMMYFUNCTION("""COMPUTED_VALUE"""),"18.0920025")</f>
        <v>18.0920025</v>
      </c>
      <c r="C76" s="9" t="str">
        <f>IFERROR(__xludf.DUMMYFUNCTION("""COMPUTED_VALUE"""),"49.4644917")</f>
        <v>49.4644917</v>
      </c>
      <c r="D76" s="9" t="str">
        <f>IFERROR(__xludf.DUMMYFUNCTION("""COMPUTED_VALUE"""),"Památník odboje, Zubří")</f>
        <v>Památník odboje, Zubří</v>
      </c>
      <c r="E76" s="10" t="str">
        <f>IFERROR(__xludf.DUMMYFUNCTION("""COMPUTED_VALUE"""),"památníky")</f>
        <v>památníky</v>
      </c>
      <c r="F76" s="9" t="str">
        <f>IFERROR(__xludf.DUMMYFUNCTION("""COMPUTED_VALUE"""),"V roce 1965 byl v historickém domě v rámci expozice revolučních tradic zřízen oddíl věnující se partyzánskému a dělnickému hnutí.")</f>
        <v>V roce 1965 byl v historickém domě v rámci expozice revolučních tradic zřízen oddíl věnující se partyzánskému a dělnickému hnutí.</v>
      </c>
      <c r="G76" s="9" t="str">
        <f>IFERROR(__xludf.DUMMYFUNCTION("""COMPUTED_VALUE"""),"památníky")</f>
        <v>památníky</v>
      </c>
      <c r="H76" s="9" t="str">
        <f>IFERROR(__xludf.DUMMYFUNCTION("""COMPUTED_VALUE"""),"Muzea a památníky spojené s klíčovou událostí či s konkrétním dějinným obdobím")</f>
        <v>Muzea a památníky spojené s klíčovou událostí či s konkrétním dějinným obdobím</v>
      </c>
      <c r="I76" s="9" t="str">
        <f>IFERROR(__xludf.DUMMYFUNCTION("""COMPUTED_VALUE"""),"Ne")</f>
        <v>Ne</v>
      </c>
      <c r="J76" s="9">
        <f>IFERROR(__xludf.DUMMYFUNCTION("""COMPUTED_VALUE"""),1965.0)</f>
        <v>1965</v>
      </c>
      <c r="K76" s="9">
        <f>IFERROR(__xludf.DUMMYFUNCTION("""COMPUTED_VALUE"""),1989.0)</f>
        <v>1989</v>
      </c>
      <c r="L76" s="12" t="str">
        <f>IFERROR(__xludf.DUMMYFUNCTION("""COMPUTED_VALUE"""),"Jaromír Kalous: Muzea na Moravě a ve Slezsku, Ostrava: Profil 1988, str. 297")</f>
        <v>Jaromír Kalous: Muzea na Moravě a ve Slezsku, Ostrava: Profil 1988, str. 297</v>
      </c>
      <c r="M76" s="9"/>
      <c r="N76" s="9"/>
      <c r="O76" s="6"/>
      <c r="P76" s="6"/>
      <c r="Q76" s="6"/>
      <c r="R76" s="6"/>
      <c r="S76" s="6"/>
      <c r="T76" s="6"/>
      <c r="U76" s="6"/>
      <c r="V76" s="6"/>
      <c r="W76" s="6"/>
      <c r="X76" s="6"/>
      <c r="Y76" s="6"/>
      <c r="Z76" s="6"/>
      <c r="AA76" s="6"/>
    </row>
    <row r="77" ht="15.75" customHeight="1">
      <c r="A77" s="7">
        <f t="shared" si="1"/>
        <v>76</v>
      </c>
      <c r="B77" s="9" t="str">
        <f>IFERROR(__xludf.DUMMYFUNCTION("""COMPUTED_VALUE"""),"15.8995393")</f>
        <v>15.8995393</v>
      </c>
      <c r="C77" s="9" t="str">
        <f>IFERROR(__xludf.DUMMYFUNCTION("""COMPUTED_VALUE"""),"49.8316526")</f>
        <v>49.8316526</v>
      </c>
      <c r="D77" s="9" t="str">
        <f>IFERROR(__xludf.DUMMYFUNCTION("""COMPUTED_VALUE"""),"Památník odboje proti fašismu, Ležáky")</f>
        <v>Památník odboje proti fašismu, Ležáky</v>
      </c>
      <c r="E77" s="10" t="str">
        <f>IFERROR(__xludf.DUMMYFUNCTION("""COMPUTED_VALUE"""),"památníky")</f>
        <v>památníky</v>
      </c>
      <c r="F77" s="9" t="str">
        <f>IFERROR(__xludf.DUMMYFUNCTION("""COMPUTED_VALUE"""),"Výstavba pietního místa na území bývalé obce začala v roce 1946 a na počátku 50. let byla první část předána veřejnosti. Od roku 1978 je areál Národní kulturní památkou. Součástí komplexu byl také prostor pro expozici.")</f>
        <v>Výstavba pietního místa na území bývalé obce začala v roce 1946 a na počátku 50. let byla první část předána veřejnosti. Od roku 1978 je areál Národní kulturní památkou. Součástí komplexu byl také prostor pro expozici.</v>
      </c>
      <c r="G77" s="9" t="str">
        <f>IFERROR(__xludf.DUMMYFUNCTION("""COMPUTED_VALUE"""),"památníky")</f>
        <v>památníky</v>
      </c>
      <c r="H77" s="9" t="str">
        <f>IFERROR(__xludf.DUMMYFUNCTION("""COMPUTED_VALUE"""),"Muzea a památníky spojené s klíčovou událostí či s konkrétním dějinným obdobím")</f>
        <v>Muzea a památníky spojené s klíčovou událostí či s konkrétním dějinným obdobím</v>
      </c>
      <c r="I77" s="9" t="str">
        <f>IFERROR(__xludf.DUMMYFUNCTION("""COMPUTED_VALUE"""),"Ano")</f>
        <v>Ano</v>
      </c>
      <c r="J77" s="9">
        <f>IFERROR(__xludf.DUMMYFUNCTION("""COMPUTED_VALUE"""),1948.0)</f>
        <v>1948</v>
      </c>
      <c r="K77" s="9"/>
      <c r="L77" s="12" t="str">
        <f>IFERROR(__xludf.DUMMYFUNCTION("""COMPUTED_VALUE"""),"Václav Pubal: Muzea a galerie v ČSR, Praha: Národní muzeum 1972, str. 116; ANM, fond Sbírka Muzeum dělnického hnutí, nezpracováno")</f>
        <v>Václav Pubal: Muzea a galerie v ČSR, Praha: Národní muzeum 1972, str. 116; ANM, fond Sbírka Muzeum dělnického hnutí, nezpracováno</v>
      </c>
      <c r="M77" s="9"/>
      <c r="N77" s="9" t="str">
        <f>IFERROR(__xludf.DUMMYFUNCTION("""COMPUTED_VALUE"""),"o1.JPG")</f>
        <v>o1.JPG</v>
      </c>
      <c r="O77" s="6" t="str">
        <f>IFERROR(__xludf.DUMMYFUNCTION("""COMPUTED_VALUE"""),"Pietní areál.")</f>
        <v>Pietní areál.</v>
      </c>
      <c r="P77" s="6" t="str">
        <f>IFERROR(__xludf.DUMMYFUNCTION("""COMPUTED_VALUE"""),"ANM, fond sbírka dělnického hnutí, nezpracováno")</f>
        <v>ANM, fond sbírka dělnického hnutí, nezpracováno</v>
      </c>
      <c r="Q77" s="6" t="str">
        <f>IFERROR(__xludf.DUMMYFUNCTION("""COMPUTED_VALUE"""),"o2.JPG")</f>
        <v>o2.JPG</v>
      </c>
      <c r="R77" s="6" t="str">
        <f>IFERROR(__xludf.DUMMYFUNCTION("""COMPUTED_VALUE"""),"Budova památníku.")</f>
        <v>Budova památníku.</v>
      </c>
      <c r="S77" s="6" t="str">
        <f>IFERROR(__xludf.DUMMYFUNCTION("""COMPUTED_VALUE"""),"ANM, fond sbírka dělnického hnutí, nezpracováno")</f>
        <v>ANM, fond sbírka dělnického hnutí, nezpracováno</v>
      </c>
      <c r="T77" s="6"/>
      <c r="U77" s="6"/>
      <c r="V77" s="6"/>
      <c r="W77" s="6"/>
      <c r="X77" s="6"/>
      <c r="Y77" s="6"/>
      <c r="Z77" s="6"/>
      <c r="AA77" s="6"/>
    </row>
    <row r="78" ht="15.75" customHeight="1">
      <c r="A78" s="7">
        <f t="shared" si="1"/>
        <v>77</v>
      </c>
      <c r="B78" s="9" t="str">
        <f>IFERROR(__xludf.DUMMYFUNCTION("""COMPUTED_VALUE"""),"15.5351906")</f>
        <v>15.5351906</v>
      </c>
      <c r="C78" s="9" t="str">
        <f>IFERROR(__xludf.DUMMYFUNCTION("""COMPUTED_VALUE"""),"49.7698958")</f>
        <v>49.7698958</v>
      </c>
      <c r="D78" s="9" t="str">
        <f>IFERROR(__xludf.DUMMYFUNCTION("""COMPUTED_VALUE"""),"Památník partyzánské brigády Mistr Jan Hus v Leškovicích")</f>
        <v>Památník partyzánské brigády Mistr Jan Hus v Leškovicích</v>
      </c>
      <c r="E78" s="10" t="str">
        <f>IFERROR(__xludf.DUMMYFUNCTION("""COMPUTED_VALUE"""),"památníky")</f>
        <v>památníky</v>
      </c>
      <c r="F78" s="9" t="str">
        <f>IFERROR(__xludf.DUMMYFUNCTION("""COMPUTED_VALUE"""),"Expozici z roku 1981, jež vznikla díky Okresnímu muzeu Havlíčkův Brod, dominoval pietní sál s urnami padlých členů brigády.")</f>
        <v>Expozici z roku 1981, jež vznikla díky Okresnímu muzeu Havlíčkův Brod, dominoval pietní sál s urnami padlých členů brigády.</v>
      </c>
      <c r="G78" s="9" t="str">
        <f>IFERROR(__xludf.DUMMYFUNCTION("""COMPUTED_VALUE"""),"památníky")</f>
        <v>památníky</v>
      </c>
      <c r="H78" s="9" t="str">
        <f>IFERROR(__xludf.DUMMYFUNCTION("""COMPUTED_VALUE"""),"Muzea a památníky spojené s klíčovou událostí či s konkrétním dějinným obdobím")</f>
        <v>Muzea a památníky spojené s klíčovou událostí či s konkrétním dějinným obdobím</v>
      </c>
      <c r="I78" s="9" t="str">
        <f>IFERROR(__xludf.DUMMYFUNCTION("""COMPUTED_VALUE"""),"Ano")</f>
        <v>Ano</v>
      </c>
      <c r="J78" s="9">
        <f>IFERROR(__xludf.DUMMYFUNCTION("""COMPUTED_VALUE"""),1981.0)</f>
        <v>1981</v>
      </c>
      <c r="K78" s="9"/>
      <c r="L78" s="12" t="str">
        <f>IFERROR(__xludf.DUMMYFUNCTION("""COMPUTED_VALUE"""),"ANM, fond Sbírka Muzeum dělnického hnutí, nezpracováno")</f>
        <v>ANM, fond Sbírka Muzeum dělnického hnutí, nezpracováno</v>
      </c>
      <c r="M78" s="9"/>
      <c r="N78" s="9" t="str">
        <f>IFERROR(__xludf.DUMMYFUNCTION("""COMPUTED_VALUE"""),"o1.JPG")</f>
        <v>o1.JPG</v>
      </c>
      <c r="O78" s="6" t="str">
        <f>IFERROR(__xludf.DUMMYFUNCTION("""COMPUTED_VALUE"""),"Budova památníku.")</f>
        <v>Budova památníku.</v>
      </c>
      <c r="P78" s="6" t="str">
        <f>IFERROR(__xludf.DUMMYFUNCTION("""COMPUTED_VALUE"""),"ANM, fond Sbírka Muzeum dělnického hnutí, nezpracováno")</f>
        <v>ANM, fond Sbírka Muzeum dělnického hnutí, nezpracováno</v>
      </c>
      <c r="Q78" s="6"/>
      <c r="R78" s="6"/>
      <c r="S78" s="6"/>
      <c r="T78" s="6"/>
      <c r="U78" s="6"/>
      <c r="V78" s="6"/>
      <c r="W78" s="6"/>
      <c r="X78" s="6"/>
      <c r="Y78" s="6"/>
      <c r="Z78" s="6"/>
      <c r="AA78" s="6"/>
    </row>
    <row r="79" ht="15.75" customHeight="1">
      <c r="A79" s="7">
        <f t="shared" si="1"/>
        <v>78</v>
      </c>
      <c r="B79" s="9" t="str">
        <f>IFERROR(__xludf.DUMMYFUNCTION("""COMPUTED_VALUE"""),"18.4748317")</f>
        <v>18.4748317</v>
      </c>
      <c r="C79" s="9" t="str">
        <f>IFERROR(__xludf.DUMMYFUNCTION("""COMPUTED_VALUE"""),"49.769475")</f>
        <v>49.769475</v>
      </c>
      <c r="D79" s="9" t="str">
        <f>IFERROR(__xludf.DUMMYFUNCTION("""COMPUTED_VALUE"""),"Muzeum boje proti fašismu, Havířov-Životice")</f>
        <v>Muzeum boje proti fašismu, Havířov-Životice</v>
      </c>
      <c r="E79" s="10" t="str">
        <f>IFERROR(__xludf.DUMMYFUNCTION("""COMPUTED_VALUE"""),"muzea")</f>
        <v>muzea</v>
      </c>
      <c r="F79" s="9" t="str">
        <f>IFERROR(__xludf.DUMMYFUNCTION("""COMPUTED_VALUE"""),"Pobočka Vlastivědného ústavu okresu Karviná se sídlem v Českém Těšíně zaměřená na udržování a popularizace odbojové tradice v regionu.")</f>
        <v>Pobočka Vlastivědného ústavu okresu Karviná se sídlem v Českém Těšíně zaměřená na udržování a popularizace odbojové tradice v regionu.</v>
      </c>
      <c r="G79" s="9" t="str">
        <f>IFERROR(__xludf.DUMMYFUNCTION("""COMPUTED_VALUE"""),"muzea")</f>
        <v>muzea</v>
      </c>
      <c r="H79" s="9" t="str">
        <f>IFERROR(__xludf.DUMMYFUNCTION("""COMPUTED_VALUE"""),"Muzea a památníky spojené s klíčovou událostí či s konkrétním dějinným obdobím")</f>
        <v>Muzea a památníky spojené s klíčovou událostí či s konkrétním dějinným obdobím</v>
      </c>
      <c r="I79" s="9" t="str">
        <f>IFERROR(__xludf.DUMMYFUNCTION("""COMPUTED_VALUE"""),"Ano")</f>
        <v>Ano</v>
      </c>
      <c r="J79" s="9">
        <f>IFERROR(__xludf.DUMMYFUNCTION("""COMPUTED_VALUE"""),1963.0)</f>
        <v>1963</v>
      </c>
      <c r="K79" s="9"/>
      <c r="L79" s="12" t="str">
        <f>IFERROR(__xludf.DUMMYFUNCTION("""COMPUTED_VALUE"""),"Milan Hromádka - Marie Poláková - Jarmila Valentová: Kulturní adresář ČSR, Praha: Ústav pro výzkum kultury 1973, str. 348")</f>
        <v>Milan Hromádka - Marie Poláková - Jarmila Valentová: Kulturní adresář ČSR, Praha: Ústav pro výzkum kultury 1973, str. 348</v>
      </c>
      <c r="M79" s="9"/>
      <c r="N79" s="9"/>
      <c r="O79" s="6"/>
      <c r="P79" s="6"/>
      <c r="Q79" s="6"/>
      <c r="R79" s="6"/>
      <c r="S79" s="6"/>
      <c r="T79" s="6"/>
      <c r="U79" s="6"/>
      <c r="V79" s="6"/>
      <c r="W79" s="6"/>
      <c r="X79" s="6"/>
      <c r="Y79" s="6"/>
      <c r="Z79" s="6"/>
      <c r="AA79" s="6"/>
    </row>
    <row r="80" ht="15.75" customHeight="1">
      <c r="A80" s="7">
        <f t="shared" si="1"/>
        <v>79</v>
      </c>
      <c r="B80" s="9" t="str">
        <f>IFERROR(__xludf.DUMMYFUNCTION("""COMPUTED_VALUE"""),"18.7409954")</f>
        <v>18.7409954</v>
      </c>
      <c r="C80" s="9" t="str">
        <f>IFERROR(__xludf.DUMMYFUNCTION("""COMPUTED_VALUE"""),"49.222283")</f>
        <v>49.222283</v>
      </c>
      <c r="D80" s="9" t="str">
        <f>IFERROR(__xludf.DUMMYFUNCTION("""COMPUTED_VALUE"""),"Pamätná izba KSČ v Žilinskej oblasti, Žilina")</f>
        <v>Pamätná izba KSČ v Žilinskej oblasti, Žilina</v>
      </c>
      <c r="E80" s="10" t="str">
        <f>IFERROR(__xludf.DUMMYFUNCTION("""COMPUTED_VALUE"""),"síň tradic")</f>
        <v>síň tradic</v>
      </c>
      <c r="F80" s="9" t="str">
        <f>IFERROR(__xludf.DUMMYFUNCTION("""COMPUTED_VALUE"""),"Izba byla zpřístupněna v roce 1961 v budově, kde se roku 1938 konala klíčová schůzka pro přechod strany do ilegality. Expozice se věnovala revoluční tradici celé oblasti.")</f>
        <v>Izba byla zpřístupněna v roce 1961 v budově, kde se roku 1938 konala klíčová schůzka pro přechod strany do ilegality. Expozice se věnovala revoluční tradici celé oblasti.</v>
      </c>
      <c r="G80" s="9" t="str">
        <f>IFERROR(__xludf.DUMMYFUNCTION("""COMPUTED_VALUE"""),"památníky")</f>
        <v>památníky</v>
      </c>
      <c r="H80" s="9" t="str">
        <f>IFERROR(__xludf.DUMMYFUNCTION("""COMPUTED_VALUE"""),"Muzea a památníky spojené s klíčovou událostí či s konkrétním dějinným obdobím")</f>
        <v>Muzea a památníky spojené s klíčovou událostí či s konkrétním dějinným obdobím</v>
      </c>
      <c r="I80" s="9" t="str">
        <f>IFERROR(__xludf.DUMMYFUNCTION("""COMPUTED_VALUE"""),"Ne")</f>
        <v>Ne</v>
      </c>
      <c r="J80" s="9">
        <f>IFERROR(__xludf.DUMMYFUNCTION("""COMPUTED_VALUE"""),1961.0)</f>
        <v>1961</v>
      </c>
      <c r="K80" s="9">
        <f>IFERROR(__xludf.DUMMYFUNCTION("""COMPUTED_VALUE"""),1989.0)</f>
        <v>1989</v>
      </c>
      <c r="L80" s="12" t="str">
        <f>IFERROR(__xludf.DUMMYFUNCTION("""COMPUTED_VALUE"""),"M. Rybecký a kol.: Sprievodca po múzeách na Slovensku, Bratislava: Vydavaťelstvo politickej literatúry 1964, str. 86; Dušan Halaj: Pamätná izba dejín KSČ v žilinskej oblasti, In: Vlastivedný sborník Považia V. – Banská Bystrica : Stredoslovenské vydavateľ"&amp;"stvo, 1962.")</f>
        <v>M. Rybecký a kol.: Sprievodca po múzeách na Slovensku, Bratislava: Vydavaťelstvo politickej literatúry 1964, str. 86; Dušan Halaj: Pamätná izba dejín KSČ v žilinskej oblasti, In: Vlastivedný sborník Považia V. – Banská Bystrica : Stredoslovenské vydavateľstvo, 1962.</v>
      </c>
      <c r="M80" s="9"/>
      <c r="N80" s="9"/>
      <c r="O80" s="6"/>
      <c r="P80" s="6"/>
      <c r="Q80" s="6"/>
      <c r="R80" s="6"/>
      <c r="S80" s="6"/>
      <c r="T80" s="6"/>
      <c r="U80" s="6"/>
      <c r="V80" s="6"/>
      <c r="W80" s="6"/>
      <c r="X80" s="6"/>
      <c r="Y80" s="6"/>
      <c r="Z80" s="6"/>
      <c r="AA80" s="6"/>
    </row>
    <row r="81" ht="15.75" customHeight="1">
      <c r="A81" s="7">
        <f t="shared" si="1"/>
        <v>80</v>
      </c>
      <c r="B81" s="9" t="str">
        <f>IFERROR(__xludf.DUMMYFUNCTION("""COMPUTED_VALUE"""),"13.4518747")</f>
        <v>13.4518747</v>
      </c>
      <c r="C81" s="9" t="str">
        <f>IFERROR(__xludf.DUMMYFUNCTION("""COMPUTED_VALUE"""),"50.5117519")</f>
        <v>50.5117519</v>
      </c>
      <c r="D81" s="9" t="str">
        <f>IFERROR(__xludf.DUMMYFUNCTION("""COMPUTED_VALUE"""),"Památník boje proti fašismu, Červený hrádek")</f>
        <v>Památník boje proti fašismu, Červený hrádek</v>
      </c>
      <c r="E81" s="10" t="str">
        <f>IFERROR(__xludf.DUMMYFUNCTION("""COMPUTED_VALUE"""),"památníky")</f>
        <v>památníky</v>
      </c>
      <c r="F81" s="9" t="str">
        <f>IFERROR(__xludf.DUMMYFUNCTION("""COMPUTED_VALUE"""),"Jádrem expozice v zámku, známém pobytem Runcimanovy mise v r. 1938, byly dokumenty týkající se boje proti fašismu a Mnichovské krize.")</f>
        <v>Jádrem expozice v zámku, známém pobytem Runcimanovy mise v r. 1938, byly dokumenty týkající se boje proti fašismu a Mnichovské krize.</v>
      </c>
      <c r="G81" s="9" t="str">
        <f>IFERROR(__xludf.DUMMYFUNCTION("""COMPUTED_VALUE"""),"památníky")</f>
        <v>památníky</v>
      </c>
      <c r="H81" s="9" t="str">
        <f>IFERROR(__xludf.DUMMYFUNCTION("""COMPUTED_VALUE"""),"Muzea a památníky spojené s klíčovou událostí či s konkrétním dějinným obdobím")</f>
        <v>Muzea a památníky spojené s klíčovou událostí či s konkrétním dějinným obdobím</v>
      </c>
      <c r="I81" s="9" t="str">
        <f>IFERROR(__xludf.DUMMYFUNCTION("""COMPUTED_VALUE"""),"?")</f>
        <v>?</v>
      </c>
      <c r="J81" s="9">
        <f>IFERROR(__xludf.DUMMYFUNCTION("""COMPUTED_VALUE"""),1969.0)</f>
        <v>1969</v>
      </c>
      <c r="K81" s="9"/>
      <c r="L81" s="12" t="str">
        <f>IFERROR(__xludf.DUMMYFUNCTION("""COMPUTED_VALUE"""),"Milan Hromádka - Marie Poláková - Jarmila Valentová: Kulturní adresář ČSR, Praha: Ústav pro výzkum kultury 1973, str. 354")</f>
        <v>Milan Hromádka - Marie Poláková - Jarmila Valentová: Kulturní adresář ČSR, Praha: Ústav pro výzkum kultury 1973, str. 354</v>
      </c>
      <c r="M81" s="9"/>
      <c r="N81" s="9"/>
      <c r="O81" s="6"/>
      <c r="P81" s="6"/>
      <c r="Q81" s="6"/>
      <c r="R81" s="6"/>
      <c r="S81" s="6"/>
      <c r="T81" s="6"/>
      <c r="U81" s="6"/>
      <c r="V81" s="6"/>
      <c r="W81" s="6"/>
      <c r="X81" s="6"/>
      <c r="Y81" s="6"/>
      <c r="Z81" s="6"/>
      <c r="AA81" s="6"/>
    </row>
    <row r="82" ht="15.75" customHeight="1">
      <c r="A82" s="7">
        <f t="shared" si="1"/>
        <v>81</v>
      </c>
      <c r="B82" s="9" t="str">
        <f>IFERROR(__xludf.DUMMYFUNCTION("""COMPUTED_VALUE"""),"19.65316")</f>
        <v>19.65316</v>
      </c>
      <c r="C82" s="9" t="str">
        <f>IFERROR(__xludf.DUMMYFUNCTION("""COMPUTED_VALUE"""),"48.7472094")</f>
        <v>48.7472094</v>
      </c>
      <c r="D82" s="9" t="str">
        <f>IFERROR(__xludf.DUMMYFUNCTION("""COMPUTED_VALUE"""),"Pamätná izba Slovenského národného povstania v Čiernom Balogu")</f>
        <v>Pamätná izba Slovenského národného povstania v Čiernom Balogu</v>
      </c>
      <c r="E82" s="10" t="str">
        <f>IFERROR(__xludf.DUMMYFUNCTION("""COMPUTED_VALUE"""),"síň tradic")</f>
        <v>síň tradic</v>
      </c>
      <c r="F82" s="9" t="str">
        <f>IFERROR(__xludf.DUMMYFUNCTION("""COMPUTED_VALUE"""),"V roce 1961 byla v Kulturním domě Petra Jilemnického instalována pamětní síň s tématem revolučních tradic obce a zejména hrdinství místních obyvatel během Slovenského národního povstání.")</f>
        <v>V roce 1961 byla v Kulturním domě Petra Jilemnického instalována pamětní síň s tématem revolučních tradic obce a zejména hrdinství místních obyvatel během Slovenského národního povstání.</v>
      </c>
      <c r="G82" s="9" t="str">
        <f>IFERROR(__xludf.DUMMYFUNCTION("""COMPUTED_VALUE"""),"památníky")</f>
        <v>památníky</v>
      </c>
      <c r="H82" s="9" t="str">
        <f>IFERROR(__xludf.DUMMYFUNCTION("""COMPUTED_VALUE"""),"Muzea a památníky spojené s klíčovou událostí či s konkrétním dějinným obdobím")</f>
        <v>Muzea a památníky spojené s klíčovou událostí či s konkrétním dějinným obdobím</v>
      </c>
      <c r="I82" s="9" t="str">
        <f>IFERROR(__xludf.DUMMYFUNCTION("""COMPUTED_VALUE"""),"Ne")</f>
        <v>Ne</v>
      </c>
      <c r="J82" s="9">
        <f>IFERROR(__xludf.DUMMYFUNCTION("""COMPUTED_VALUE"""),1961.0)</f>
        <v>1961</v>
      </c>
      <c r="K82" s="9">
        <f>IFERROR(__xludf.DUMMYFUNCTION("""COMPUTED_VALUE"""),1989.0)</f>
        <v>1989</v>
      </c>
      <c r="L82" s="12" t="str">
        <f>IFERROR(__xludf.DUMMYFUNCTION("""COMPUTED_VALUE"""),"M. Rybecký a kol.: Sprievodca po múzeách na Slovensku, Bratislava: Vydavaťelstvo politickej literatúry 1964, str. 64")</f>
        <v>M. Rybecký a kol.: Sprievodca po múzeách na Slovensku, Bratislava: Vydavaťelstvo politickej literatúry 1964, str. 64</v>
      </c>
      <c r="M82" s="9"/>
      <c r="N82" s="9"/>
      <c r="O82" s="6"/>
      <c r="P82" s="6"/>
      <c r="Q82" s="6"/>
      <c r="R82" s="6"/>
      <c r="S82" s="6"/>
      <c r="T82" s="6"/>
      <c r="U82" s="6"/>
      <c r="V82" s="6"/>
      <c r="W82" s="6"/>
      <c r="X82" s="6"/>
      <c r="Y82" s="6"/>
      <c r="Z82" s="6"/>
      <c r="AA82" s="6"/>
    </row>
    <row r="83" ht="15.75" customHeight="1">
      <c r="A83" s="7">
        <f t="shared" si="1"/>
        <v>82</v>
      </c>
      <c r="B83" s="9" t="str">
        <f>IFERROR(__xludf.DUMMYFUNCTION("""COMPUTED_VALUE"""),"14.1449736")</f>
        <v>14.1449736</v>
      </c>
      <c r="C83" s="9" t="str">
        <f>IFERROR(__xludf.DUMMYFUNCTION("""COMPUTED_VALUE"""),"50.5113045")</f>
        <v>50.5113045</v>
      </c>
      <c r="D83" s="9" t="str">
        <f>IFERROR(__xludf.DUMMYFUNCTION("""COMPUTED_VALUE"""),"Památník národního utrpení, Terezín")</f>
        <v>Památník národního utrpení, Terezín</v>
      </c>
      <c r="E83" s="10" t="str">
        <f>IFERROR(__xludf.DUMMYFUNCTION("""COMPUTED_VALUE"""),"památníky")</f>
        <v>památníky</v>
      </c>
      <c r="F83" s="9" t="str">
        <f>IFERROR(__xludf.DUMMYFUNCTION("""COMPUTED_VALUE"""),"Památník byl založen roku 1947 jako připomínka obětí zejména z řad levicového odboje a židovského ghetta.")</f>
        <v>Památník byl založen roku 1947 jako připomínka obětí zejména z řad levicového odboje a židovského ghetta.</v>
      </c>
      <c r="G83" s="9" t="str">
        <f>IFERROR(__xludf.DUMMYFUNCTION("""COMPUTED_VALUE"""),"památníky")</f>
        <v>památníky</v>
      </c>
      <c r="H83" s="9" t="str">
        <f>IFERROR(__xludf.DUMMYFUNCTION("""COMPUTED_VALUE"""),"Muzea a památníky spojené s klíčovou událostí či s konkrétním dějinným obdobím")</f>
        <v>Muzea a památníky spojené s klíčovou událostí či s konkrétním dějinným obdobím</v>
      </c>
      <c r="I83" s="9" t="str">
        <f>IFERROR(__xludf.DUMMYFUNCTION("""COMPUTED_VALUE"""),"Ano")</f>
        <v>Ano</v>
      </c>
      <c r="J83" s="9">
        <f>IFERROR(__xludf.DUMMYFUNCTION("""COMPUTED_VALUE"""),1947.0)</f>
        <v>1947</v>
      </c>
      <c r="K83" s="9"/>
      <c r="L83" s="12" t="str">
        <f>IFERROR(__xludf.DUMMYFUNCTION("""COMPUTED_VALUE"""),"Terezín: Malá pevnost. Průvodce po celách a budovách Malé pevnosti, Praha: Památník národního utrpení Terezín 1948; ANM, fond Sbírka Muzeum dělnického hnutí, nezpracováno")</f>
        <v>Terezín: Malá pevnost. Průvodce po celách a budovách Malé pevnosti, Praha: Památník národního utrpení Terezín 1948; ANM, fond Sbírka Muzeum dělnického hnutí, nezpracováno</v>
      </c>
      <c r="M83" s="9"/>
      <c r="N83" s="9" t="str">
        <f>IFERROR(__xludf.DUMMYFUNCTION("""COMPUTED_VALUE"""),"o1.JPG")</f>
        <v>o1.JPG</v>
      </c>
      <c r="O83" s="6" t="str">
        <f>IFERROR(__xludf.DUMMYFUNCTION("""COMPUTED_VALUE"""),"Z expozice.")</f>
        <v>Z expozice.</v>
      </c>
      <c r="P83" s="6" t="str">
        <f>IFERROR(__xludf.DUMMYFUNCTION("""COMPUTED_VALUE"""),"ANM, fond Sbírka Muzeum dělnického hnutí, nezpracováno")</f>
        <v>ANM, fond Sbírka Muzeum dělnického hnutí, nezpracováno</v>
      </c>
      <c r="Q83" s="6"/>
      <c r="R83" s="6"/>
      <c r="S83" s="6"/>
      <c r="T83" s="6"/>
      <c r="U83" s="6"/>
      <c r="V83" s="6"/>
      <c r="W83" s="6"/>
      <c r="X83" s="6"/>
      <c r="Y83" s="6"/>
      <c r="Z83" s="6"/>
      <c r="AA83" s="6"/>
    </row>
    <row r="84" ht="15.75" customHeight="1">
      <c r="A84" s="7">
        <f t="shared" si="1"/>
        <v>83</v>
      </c>
      <c r="B84" s="9" t="str">
        <f>IFERROR(__xludf.DUMMYFUNCTION("""COMPUTED_VALUE"""),"19.4037307")</f>
        <v>19.4037307</v>
      </c>
      <c r="C84" s="9" t="str">
        <f>IFERROR(__xludf.DUMMYFUNCTION("""COMPUTED_VALUE"""),"48.8101574")</f>
        <v>48.8101574</v>
      </c>
      <c r="D84" s="9" t="str">
        <f>IFERROR(__xludf.DUMMYFUNCTION("""COMPUTED_VALUE"""),"Pamätná izba v Nemeckej")</f>
        <v>Pamätná izba v Nemeckej</v>
      </c>
      <c r="E84" s="10" t="str">
        <f>IFERROR(__xludf.DUMMYFUNCTION("""COMPUTED_VALUE"""),"památníky")</f>
        <v>památníky</v>
      </c>
      <c r="F84" s="9" t="str">
        <f>IFERROR(__xludf.DUMMYFUNCTION("""COMPUTED_VALUE"""),"Památník v objektu postaveném v bývalé vápence, kde došlo během Slovenského národního povstání k popravě až 900 lidí. Památník v podobě sochařského díla byl vztyčen v roce 1958, o čtyři roky později byla zřízena stálá expozice.")</f>
        <v>Památník v objektu postaveném v bývalé vápence, kde došlo během Slovenského národního povstání k popravě až 900 lidí. Památník v podobě sochařského díla byl vztyčen v roce 1958, o čtyři roky později byla zřízena stálá expozice.</v>
      </c>
      <c r="G84" s="9" t="str">
        <f>IFERROR(__xludf.DUMMYFUNCTION("""COMPUTED_VALUE"""),"památníky")</f>
        <v>památníky</v>
      </c>
      <c r="H84" s="9" t="str">
        <f>IFERROR(__xludf.DUMMYFUNCTION("""COMPUTED_VALUE"""),"Muzea a památníky spojené s klíčovou událostí či s konkrétním dějinným obdobím")</f>
        <v>Muzea a památníky spojené s klíčovou událostí či s konkrétním dějinným obdobím</v>
      </c>
      <c r="I84" s="9" t="str">
        <f>IFERROR(__xludf.DUMMYFUNCTION("""COMPUTED_VALUE"""),"Ano")</f>
        <v>Ano</v>
      </c>
      <c r="J84" s="9">
        <f>IFERROR(__xludf.DUMMYFUNCTION("""COMPUTED_VALUE"""),1962.0)</f>
        <v>1962</v>
      </c>
      <c r="K84" s="9"/>
      <c r="L84" s="12" t="str">
        <f>IFERROR(__xludf.DUMMYFUNCTION("""COMPUTED_VALUE"""),"M. Rybecký a kol.: Sprievodca po múzeách na Slovensku, Bratislava: Vydavaťelstvo politickej literatúry 1964, str. 63")</f>
        <v>M. Rybecký a kol.: Sprievodca po múzeách na Slovensku, Bratislava: Vydavaťelstvo politickej literatúry 1964, str. 63</v>
      </c>
      <c r="M84" s="9"/>
      <c r="N84" s="9" t="str">
        <f>IFERROR(__xludf.DUMMYFUNCTION("""COMPUTED_VALUE"""),"o1.JPG")</f>
        <v>o1.JPG</v>
      </c>
      <c r="O84" s="6" t="str">
        <f>IFERROR(__xludf.DUMMYFUNCTION("""COMPUTED_VALUE"""),"Budova památnku")</f>
        <v>Budova památnku</v>
      </c>
      <c r="P84" s="6" t="str">
        <f>IFERROR(__xludf.DUMMYFUNCTION("""COMPUTED_VALUE"""),"M. Rybecký a kol.: Sprievodca po múzeách na Slovensku, Bratislava: Vydavaťelstvo politickej literatúry 1964, s. 63")</f>
        <v>M. Rybecký a kol.: Sprievodca po múzeách na Slovensku, Bratislava: Vydavaťelstvo politickej literatúry 1964, s. 63</v>
      </c>
      <c r="Q84" s="6"/>
      <c r="R84" s="6"/>
      <c r="S84" s="6"/>
      <c r="T84" s="6"/>
      <c r="U84" s="6"/>
      <c r="V84" s="6"/>
      <c r="W84" s="6"/>
      <c r="X84" s="6"/>
      <c r="Y84" s="6"/>
      <c r="Z84" s="6"/>
      <c r="AA84" s="6"/>
    </row>
    <row r="85" ht="15.75" customHeight="1">
      <c r="A85" s="7">
        <f t="shared" si="1"/>
        <v>84</v>
      </c>
      <c r="B85" s="9" t="str">
        <f>IFERROR(__xludf.DUMMYFUNCTION("""COMPUTED_VALUE"""),"21.5658731")</f>
        <v>21.5658731</v>
      </c>
      <c r="C85" s="9" t="str">
        <f>IFERROR(__xludf.DUMMYFUNCTION("""COMPUTED_VALUE"""),"49.3079147")</f>
        <v>49.3079147</v>
      </c>
      <c r="D85" s="9" t="str">
        <f>IFERROR(__xludf.DUMMYFUNCTION("""COMPUTED_VALUE"""),"Dukelské muzeum, Svidník")</f>
        <v>Dukelské muzeum, Svidník</v>
      </c>
      <c r="E85" s="10" t="str">
        <f>IFERROR(__xludf.DUMMYFUNCTION("""COMPUTED_VALUE"""),"muzea")</f>
        <v>muzea</v>
      </c>
      <c r="F85" s="9" t="str">
        <f>IFERROR(__xludf.DUMMYFUNCTION("""COMPUTED_VALUE"""),"Muzeum vzniklo v roce 1965. Velká expozice v nové budově byla otevřena roku 1969 při 25. výročí Karpatsko-dukelské operace. Hlavním tématem byla samotná bitva a československo-sovětská vojenská spolupráce.")</f>
        <v>Muzeum vzniklo v roce 1965. Velká expozice v nové budově byla otevřena roku 1969 při 25. výročí Karpatsko-dukelské operace. Hlavním tématem byla samotná bitva a československo-sovětská vojenská spolupráce.</v>
      </c>
      <c r="G85" s="9" t="str">
        <f>IFERROR(__xludf.DUMMYFUNCTION("""COMPUTED_VALUE"""),"muzea")</f>
        <v>muzea</v>
      </c>
      <c r="H85" s="9" t="str">
        <f>IFERROR(__xludf.DUMMYFUNCTION("""COMPUTED_VALUE"""),"Muzea a památníky spojené s klíčovou událostí či s konkrétním dějinným obdobím")</f>
        <v>Muzea a památníky spojené s klíčovou událostí či s konkrétním dějinným obdobím</v>
      </c>
      <c r="I85" s="9" t="str">
        <f>IFERROR(__xludf.DUMMYFUNCTION("""COMPUTED_VALUE"""),"Ano")</f>
        <v>Ano</v>
      </c>
      <c r="J85" s="9">
        <f>IFERROR(__xludf.DUMMYFUNCTION("""COMPUTED_VALUE"""),1965.0)</f>
        <v>1965</v>
      </c>
      <c r="K85" s="9"/>
      <c r="L85" s="12" t="str">
        <f>IFERROR(__xludf.DUMMYFUNCTION("""COMPUTED_VALUE"""),"Múzeá vo východoslovenskom kraji. Stručný sprievodca, Košice: Východoslovenské múzeúm v Košiciach 1979, str. 46-47")</f>
        <v>Múzeá vo východoslovenskom kraji. Stručný sprievodca, Košice: Východoslovenské múzeúm v Košiciach 1979, str. 46-47</v>
      </c>
      <c r="M85" s="9"/>
      <c r="N85" s="9" t="str">
        <f>IFERROR(__xludf.DUMMYFUNCTION("""COMPUTED_VALUE"""),"o1.JPG")</f>
        <v>o1.JPG</v>
      </c>
      <c r="O85" s="6" t="str">
        <f>IFERROR(__xludf.DUMMYFUNCTION("""COMPUTED_VALUE"""),"Budova muzea.")</f>
        <v>Budova muzea.</v>
      </c>
      <c r="P85" s="6" t="str">
        <f>IFERROR(__xludf.DUMMYFUNCTION("""COMPUTED_VALUE"""),"Múzeá vo východoslovenskom kraji. Stručný sprievodca, Košice: Východoslovenské múzeúm v Košiciach 1979, s. 46")</f>
        <v>Múzeá vo východoslovenskom kraji. Stručný sprievodca, Košice: Východoslovenské múzeúm v Košiciach 1979, s. 46</v>
      </c>
      <c r="Q85" s="6"/>
      <c r="R85" s="6"/>
      <c r="S85" s="6"/>
      <c r="T85" s="6"/>
      <c r="U85" s="6"/>
      <c r="V85" s="6"/>
      <c r="W85" s="6"/>
      <c r="X85" s="6"/>
      <c r="Y85" s="6"/>
      <c r="Z85" s="6"/>
      <c r="AA85" s="6"/>
    </row>
    <row r="86" ht="15.75" customHeight="1">
      <c r="A86" s="7">
        <f t="shared" si="1"/>
        <v>85</v>
      </c>
      <c r="B86" s="9" t="str">
        <f>IFERROR(__xludf.DUMMYFUNCTION("""COMPUTED_VALUE"""),"14.4310606")</f>
        <v>14.4310606</v>
      </c>
      <c r="C86" s="9" t="str">
        <f>IFERROR(__xludf.DUMMYFUNCTION("""COMPUTED_VALUE"""),"50.0813299")</f>
        <v>50.0813299</v>
      </c>
      <c r="D86" s="9" t="str">
        <f>IFERROR(__xludf.DUMMYFUNCTION("""COMPUTED_VALUE"""),"Petschkův palác – Památník českého odboje")</f>
        <v>Petschkův palác – Památník českého odboje</v>
      </c>
      <c r="E86" s="10" t="str">
        <f>IFERROR(__xludf.DUMMYFUNCTION("""COMPUTED_VALUE"""),"památníky")</f>
        <v>památníky</v>
      </c>
      <c r="F86" s="9" t="str">
        <f>IFERROR(__xludf.DUMMYFUNCTION("""COMPUTED_VALUE"""),"Po druhé světové válce se budova stala místem piety. V roce 1985 byla část objektu přeměněna na expozici, jejímž jádrem byly výslechové místnosti gestapa.")</f>
        <v>Po druhé světové válce se budova stala místem piety. V roce 1985 byla část objektu přeměněna na expozici, jejímž jádrem byly výslechové místnosti gestapa.</v>
      </c>
      <c r="G86" s="9" t="str">
        <f>IFERROR(__xludf.DUMMYFUNCTION("""COMPUTED_VALUE"""),"památníky")</f>
        <v>památníky</v>
      </c>
      <c r="H86" s="9" t="str">
        <f>IFERROR(__xludf.DUMMYFUNCTION("""COMPUTED_VALUE"""),"Muzea a památníky spojené s klíčovou událostí či s konkrétním dějinným obdobím")</f>
        <v>Muzea a památníky spojené s klíčovou událostí či s konkrétním dějinným obdobím</v>
      </c>
      <c r="I86" s="9" t="str">
        <f>IFERROR(__xludf.DUMMYFUNCTION("""COMPUTED_VALUE"""),"Ano")</f>
        <v>Ano</v>
      </c>
      <c r="J86" s="9">
        <f>IFERROR(__xludf.DUMMYFUNCTION("""COMPUTED_VALUE"""),1985.0)</f>
        <v>1985</v>
      </c>
      <c r="K86" s="9"/>
      <c r="L86" s="12" t="str">
        <f>IFERROR(__xludf.DUMMYFUNCTION("""COMPUTED_VALUE"""),"Pečkárna. Památník českého odboje, [S.n.], [S.l.], [1985?]; Památkový katalog, Národní památkový ústav: Památník českého odboje 1939-1945, 24. 11. 2021, pamatkovykatalog.cz (dostupné na https://pamatkovykatalog.cz/pravni-ochrana/pamatnik-ceskeho-odboje-19"&amp;"39-1945-peckarna-84048)")</f>
        <v>Pečkárna. Památník českého odboje, [S.n.], [S.l.], [1985?]; Památkový katalog, Národní památkový ústav: Památník českého odboje 1939-1945, 24. 11. 2021, pamatkovykatalog.cz (dostupné na https://pamatkovykatalog.cz/pravni-ochrana/pamatnik-ceskeho-odboje-1939-1945-peckarna-84048)</v>
      </c>
      <c r="M86" s="9"/>
      <c r="N86" s="9" t="str">
        <f>IFERROR(__xludf.DUMMYFUNCTION("""COMPUTED_VALUE"""),"Pečkárna 2.JPG")</f>
        <v>Pečkárna 2.JPG</v>
      </c>
      <c r="O86" s="6" t="str">
        <f>IFERROR(__xludf.DUMMYFUNCTION("""COMPUTED_VALUE"""),"Pamětní deska na objektu bývalého sídla gestapa.")</f>
        <v>Pamětní deska na objektu bývalého sídla gestapa.</v>
      </c>
      <c r="P86" s="6" t="str">
        <f>IFERROR(__xludf.DUMMYFUNCTION("""COMPUTED_VALUE"""),"Pečkárna. Památník českého odboje, [S.n.], [S.l.], [1985?]")</f>
        <v>Pečkárna. Památník českého odboje, [S.n.], [S.l.], [1985?]</v>
      </c>
      <c r="Q86" s="6" t="str">
        <f>IFERROR(__xludf.DUMMYFUNCTION("""COMPUTED_VALUE"""),"Pečkárna1.JPG")</f>
        <v>Pečkárna1.JPG</v>
      </c>
      <c r="R86" s="6" t="str">
        <f>IFERROR(__xludf.DUMMYFUNCTION("""COMPUTED_VALUE"""),"schéma expozice.")</f>
        <v>schéma expozice.</v>
      </c>
      <c r="S86" s="6" t="str">
        <f>IFERROR(__xludf.DUMMYFUNCTION("""COMPUTED_VALUE"""),"Pečkárna. Památník českého odboje, [S.n.], [S.l.], [1985?]")</f>
        <v>Pečkárna. Památník českého odboje, [S.n.], [S.l.], [1985?]</v>
      </c>
      <c r="T86" s="6"/>
      <c r="U86" s="6"/>
      <c r="V86" s="6"/>
      <c r="W86" s="6"/>
      <c r="X86" s="6"/>
      <c r="Y86" s="6"/>
      <c r="Z86" s="6"/>
      <c r="AA86" s="6"/>
    </row>
    <row r="87" ht="15.75" customHeight="1">
      <c r="A87" s="7">
        <f t="shared" si="1"/>
        <v>86</v>
      </c>
      <c r="B87" s="9" t="str">
        <f>IFERROR(__xludf.DUMMYFUNCTION("""COMPUTED_VALUE"""),"17.1412426")</f>
        <v>17.1412426</v>
      </c>
      <c r="C87" s="9" t="str">
        <f>IFERROR(__xludf.DUMMYFUNCTION("""COMPUTED_VALUE"""),"48.1573635")</f>
        <v>48.1573635</v>
      </c>
      <c r="D87" s="9" t="str">
        <f>IFERROR(__xludf.DUMMYFUNCTION("""COMPUTED_VALUE"""),"Pamätný domček ilegálnej činnosti KSS, Bratislava")</f>
        <v>Pamätný domček ilegálnej činnosti KSS, Bratislava</v>
      </c>
      <c r="E87" s="10" t="str">
        <f>IFERROR(__xludf.DUMMYFUNCTION("""COMPUTED_VALUE"""),"památníky")</f>
        <v>památníky</v>
      </c>
      <c r="F87" s="9" t="str">
        <f>IFERROR(__xludf.DUMMYFUNCTION("""COMPUTED_VALUE"""),"Expozice v domku, který během druhé světové války používala KSS jako ilegální byt a tiskárnu, byla otevřena v roce 1959 a spadala pod městské muzeum. Malá výstavka se věnovala ilegálnímu působení KSS.")</f>
        <v>Expozice v domku, který během druhé světové války používala KSS jako ilegální byt a tiskárnu, byla otevřena v roce 1959 a spadala pod městské muzeum. Malá výstavka se věnovala ilegálnímu působení KSS.</v>
      </c>
      <c r="G87" s="9" t="str">
        <f>IFERROR(__xludf.DUMMYFUNCTION("""COMPUTED_VALUE"""),"památníky")</f>
        <v>památníky</v>
      </c>
      <c r="H87" s="9" t="str">
        <f>IFERROR(__xludf.DUMMYFUNCTION("""COMPUTED_VALUE"""),"Muzea a památníky spojené s klíčovou událostí či s konkrétním dějinným obdobím")</f>
        <v>Muzea a památníky spojené s klíčovou událostí či s konkrétním dějinným obdobím</v>
      </c>
      <c r="I87" s="9" t="str">
        <f>IFERROR(__xludf.DUMMYFUNCTION("""COMPUTED_VALUE"""),"?")</f>
        <v>?</v>
      </c>
      <c r="J87" s="9">
        <f>IFERROR(__xludf.DUMMYFUNCTION("""COMPUTED_VALUE"""),1959.0)</f>
        <v>1959</v>
      </c>
      <c r="K87" s="9"/>
      <c r="L87" s="12" t="str">
        <f>IFERROR(__xludf.DUMMYFUNCTION("""COMPUTED_VALUE"""),"M. Rybecký a kol.: Sprievodca po múzeách na Slovensku, Bratislava: Vydavaťelstvo politickej literatúry 1964, str. 38")</f>
        <v>M. Rybecký a kol.: Sprievodca po múzeách na Slovensku, Bratislava: Vydavaťelstvo politickej literatúry 1964, str. 38</v>
      </c>
      <c r="M87" s="9"/>
      <c r="N87" s="9" t="str">
        <f>IFERROR(__xludf.DUMMYFUNCTION("""COMPUTED_VALUE"""),"o1.JPG")</f>
        <v>o1.JPG</v>
      </c>
      <c r="O87" s="6"/>
      <c r="P87" s="6" t="str">
        <f>IFERROR(__xludf.DUMMYFUNCTION("""COMPUTED_VALUE"""),"M. Rybecký a kol.: Sprievodca po múzeách na Slovensku, Bratislava: Vydavaťelstvo politickej literatúry 1964, s. 38")</f>
        <v>M. Rybecký a kol.: Sprievodca po múzeách na Slovensku, Bratislava: Vydavaťelstvo politickej literatúry 1964, s. 38</v>
      </c>
      <c r="Q87" s="6"/>
      <c r="R87" s="6"/>
      <c r="S87" s="6"/>
      <c r="T87" s="6"/>
      <c r="U87" s="6"/>
      <c r="V87" s="6"/>
      <c r="W87" s="6"/>
      <c r="X87" s="6"/>
      <c r="Y87" s="6"/>
      <c r="Z87" s="6"/>
      <c r="AA87" s="6"/>
    </row>
    <row r="88" ht="15.75" customHeight="1">
      <c r="A88" s="7">
        <f t="shared" si="1"/>
        <v>87</v>
      </c>
      <c r="B88" s="9" t="str">
        <f>IFERROR(__xludf.DUMMYFUNCTION("""COMPUTED_VALUE"""),"21.6999375")</f>
        <v>21.6999375</v>
      </c>
      <c r="C88" s="9" t="str">
        <f>IFERROR(__xludf.DUMMYFUNCTION("""COMPUTED_VALUE"""),"49.4146875")</f>
        <v>49.4146875</v>
      </c>
      <c r="D88" s="9" t="str">
        <f>IFERROR(__xludf.DUMMYFUNCTION("""COMPUTED_VALUE"""),"Památník Československého armádního sboru, Vyšnij Komárnik")</f>
        <v>Památník Československého armádního sboru, Vyšnij Komárnik</v>
      </c>
      <c r="E88" s="10" t="str">
        <f>IFERROR(__xludf.DUMMYFUNCTION("""COMPUTED_VALUE"""),"památníky")</f>
        <v>památníky</v>
      </c>
      <c r="F88" s="9" t="str">
        <f>IFERROR(__xludf.DUMMYFUNCTION("""COMPUTED_VALUE"""),"Památník byl založen roku 1949. V roce 1964 ho doplnilo sousoší Jana Krulicha Žalujem. O 10 let později byla otevřena pozorovatelna generála Svobody s malou expozicí. Jednalo se o památkovou úpravu bojiště a zároveň o přírodní rezervaci.")</f>
        <v>Památník byl založen roku 1949. V roce 1964 ho doplnilo sousoší Jana Krulicha Žalujem. O 10 let později byla otevřena pozorovatelna generála Svobody s malou expozicí. Jednalo se o památkovou úpravu bojiště a zároveň o přírodní rezervaci.</v>
      </c>
      <c r="G88" s="9" t="str">
        <f>IFERROR(__xludf.DUMMYFUNCTION("""COMPUTED_VALUE"""),"památníky")</f>
        <v>památníky</v>
      </c>
      <c r="H88" s="9" t="str">
        <f>IFERROR(__xludf.DUMMYFUNCTION("""COMPUTED_VALUE"""),"Muzea a památníky spojené s klíčovou událostí či s konkrétním dějinným obdobím")</f>
        <v>Muzea a památníky spojené s klíčovou událostí či s konkrétním dějinným obdobím</v>
      </c>
      <c r="I88" s="9" t="str">
        <f>IFERROR(__xludf.DUMMYFUNCTION("""COMPUTED_VALUE"""),"Ano")</f>
        <v>Ano</v>
      </c>
      <c r="J88" s="9">
        <f>IFERROR(__xludf.DUMMYFUNCTION("""COMPUTED_VALUE"""),1949.0)</f>
        <v>1949</v>
      </c>
      <c r="K88" s="9"/>
      <c r="L88" s="12" t="str">
        <f>IFERROR(__xludf.DUMMYFUNCTION("""COMPUTED_VALUE"""),"M. Rybecký a kol.: Sprievodca po múzeách na Slovensku, Bratislava: Vydavaťelstvo politickej literatúry 1964, str. 92-93")</f>
        <v>M. Rybecký a kol.: Sprievodca po múzeách na Slovensku, Bratislava: Vydavaťelstvo politickej literatúry 1964, str. 92-93</v>
      </c>
      <c r="M88" s="9"/>
      <c r="N88" s="9" t="str">
        <f>IFERROR(__xludf.DUMMYFUNCTION("""COMPUTED_VALUE"""),"o1.JPG")</f>
        <v>o1.JPG</v>
      </c>
      <c r="O88" s="6"/>
      <c r="P88" s="6" t="str">
        <f>IFERROR(__xludf.DUMMYFUNCTION("""COMPUTED_VALUE"""),"M. Rybecký a kol.: Sprievodca po múzeách na Slovensku, Bratislava: Vydavaťelstvo politickej literatúry 1964, s. 92")</f>
        <v>M. Rybecký a kol.: Sprievodca po múzeách na Slovensku, Bratislava: Vydavaťelstvo politickej literatúry 1964, s. 92</v>
      </c>
      <c r="Q88" s="6" t="str">
        <f>IFERROR(__xludf.DUMMYFUNCTION("""COMPUTED_VALUE"""),"o2.JPG")</f>
        <v>o2.JPG</v>
      </c>
      <c r="R88" s="6"/>
      <c r="S88" s="6" t="str">
        <f>IFERROR(__xludf.DUMMYFUNCTION("""COMPUTED_VALUE"""),"M. Rybecký a kol.: Sprievodca po múzeách na Slovensku, Bratislava: Vydavaťelstvo politickej literatúry 1964, s. 93")</f>
        <v>M. Rybecký a kol.: Sprievodca po múzeách na Slovensku, Bratislava: Vydavaťelstvo politickej literatúry 1964, s. 93</v>
      </c>
      <c r="T88" s="6"/>
      <c r="U88" s="6"/>
      <c r="V88" s="6"/>
      <c r="W88" s="6"/>
      <c r="X88" s="6"/>
      <c r="Y88" s="6"/>
      <c r="Z88" s="6"/>
      <c r="AA88" s="6"/>
    </row>
    <row r="89" ht="15.75" customHeight="1">
      <c r="A89" s="7">
        <f t="shared" si="1"/>
        <v>88</v>
      </c>
      <c r="B89" s="9" t="str">
        <f>IFERROR(__xludf.DUMMYFUNCTION("""COMPUTED_VALUE"""),"19.1497844")</f>
        <v>19.1497844</v>
      </c>
      <c r="C89" s="9" t="str">
        <f>IFERROR(__xludf.DUMMYFUNCTION("""COMPUTED_VALUE"""),"48.7351342")</f>
        <v>48.7351342</v>
      </c>
      <c r="D89" s="9" t="str">
        <f>IFERROR(__xludf.DUMMYFUNCTION("""COMPUTED_VALUE"""),"Pamätnik SNP, Bánská Bystrica ")</f>
        <v>Pamätnik SNP, Bánská Bystrica </v>
      </c>
      <c r="E89" s="10" t="str">
        <f>IFERROR(__xludf.DUMMYFUNCTION("""COMPUTED_VALUE"""),"památníky")</f>
        <v>památníky</v>
      </c>
      <c r="F89" s="9" t="str">
        <f>IFERROR(__xludf.DUMMYFUNCTION("""COMPUTED_VALUE"""),"Muzeum bylo zřízené v roce 1955, budova památníku dokončena v roce 1969, kdy se do ní instituce i s expozicemi přestěhovala. Muzeum se věnovalo Slovenskému národnímu povstání v kontextu 2. světové války.")</f>
        <v>Muzeum bylo zřízené v roce 1955, budova památníku dokončena v roce 1969, kdy se do ní instituce i s expozicemi přestěhovala. Muzeum se věnovalo Slovenskému národnímu povstání v kontextu 2. světové války.</v>
      </c>
      <c r="G89" s="9" t="str">
        <f>IFERROR(__xludf.DUMMYFUNCTION("""COMPUTED_VALUE"""),"památníky")</f>
        <v>památníky</v>
      </c>
      <c r="H89" s="9" t="str">
        <f>IFERROR(__xludf.DUMMYFUNCTION("""COMPUTED_VALUE"""),"Muzea a památníky spojené s klíčovou událostí či s konkrétním dějinným obdobím")</f>
        <v>Muzea a památníky spojené s klíčovou událostí či s konkrétním dějinným obdobím</v>
      </c>
      <c r="I89" s="9" t="str">
        <f>IFERROR(__xludf.DUMMYFUNCTION("""COMPUTED_VALUE"""),"Ano")</f>
        <v>Ano</v>
      </c>
      <c r="J89" s="9">
        <f>IFERROR(__xludf.DUMMYFUNCTION("""COMPUTED_VALUE"""),1955.0)</f>
        <v>1955</v>
      </c>
      <c r="K89" s="9"/>
      <c r="L89" s="12" t="str">
        <f>IFERROR(__xludf.DUMMYFUNCTION("""COMPUTED_VALUE"""),"Mária Dobriková: Pam'atnik SNP,  Bánská Bystrica 1971; M. Rybecký a kol.: Sprievodca po múzeách na Slovensku, Bratislava: Vydavaťelstvo politickej literatúry 1964, str. 59-60; Mária Chmelárová-Dušan Halaj: Múzeum Slovenského národného povstania Bánská Bys"&amp;"trica. Sprievodca po expozícii, Košice: Múzeum SNP v Banskej Bystrici 1977")</f>
        <v>Mária Dobriková: Pam'atnik SNP,  Bánská Bystrica 1971; M. Rybecký a kol.: Sprievodca po múzeách na Slovensku, Bratislava: Vydavaťelstvo politickej literatúry 1964, str. 59-60; Mária Chmelárová-Dušan Halaj: Múzeum Slovenského národného povstania Bánská Bystrica. Sprievodca po expozícii, Košice: Múzeum SNP v Banskej Bystrici 1977</v>
      </c>
      <c r="M89" s="9"/>
      <c r="N89" s="9" t="str">
        <f>IFERROR(__xludf.DUMMYFUNCTION("""COMPUTED_VALUE"""),"Banska bystrica SNP1.JPG")</f>
        <v>Banska bystrica SNP1.JPG</v>
      </c>
      <c r="O89" s="6" t="str">
        <f>IFERROR(__xludf.DUMMYFUNCTION("""COMPUTED_VALUE"""),"Budova památníku.")</f>
        <v>Budova památníku.</v>
      </c>
      <c r="P89" s="6" t="str">
        <f>IFERROR(__xludf.DUMMYFUNCTION("""COMPUTED_VALUE"""),"Mária Dobriková: Pam'atnik SNP, Bánská Bystrica 1971")</f>
        <v>Mária Dobriková: Pam'atnik SNP, Bánská Bystrica 1971</v>
      </c>
      <c r="Q89" s="6" t="str">
        <f>IFERROR(__xludf.DUMMYFUNCTION("""COMPUTED_VALUE"""),"Banska bystrica SNP2.JPG")</f>
        <v>Banska bystrica SNP2.JPG</v>
      </c>
      <c r="R89" s="6" t="str">
        <f>IFERROR(__xludf.DUMMYFUNCTION("""COMPUTED_VALUE"""),"z expozice.")</f>
        <v>z expozice.</v>
      </c>
      <c r="S89" s="6" t="str">
        <f>IFERROR(__xludf.DUMMYFUNCTION("""COMPUTED_VALUE"""),"Mária Dobriková: Pam'atnik SNP, Bánská Bystrica 1971")</f>
        <v>Mária Dobriková: Pam'atnik SNP, Bánská Bystrica 1971</v>
      </c>
      <c r="T89" s="6"/>
      <c r="U89" s="6"/>
      <c r="V89" s="6"/>
      <c r="W89" s="6"/>
      <c r="X89" s="6"/>
      <c r="Y89" s="6"/>
      <c r="Z89" s="6"/>
      <c r="AA89" s="6"/>
    </row>
    <row r="90" ht="15.75" customHeight="1">
      <c r="A90" s="7">
        <f t="shared" si="1"/>
        <v>89</v>
      </c>
      <c r="B90" s="9" t="str">
        <f>IFERROR(__xludf.DUMMYFUNCTION("""COMPUTED_VALUE"""),"18.3469423")</f>
        <v>18.3469423</v>
      </c>
      <c r="C90" s="9" t="str">
        <f>IFERROR(__xludf.DUMMYFUNCTION("""COMPUTED_VALUE"""),"49.895334")</f>
        <v>49.895334</v>
      </c>
      <c r="D90" s="9" t="str">
        <f>IFERROR(__xludf.DUMMYFUNCTION("""COMPUTED_VALUE"""),"Podnikové muzeum revolučních tradic Železáren a drátoven, Bohumín")</f>
        <v>Podnikové muzeum revolučních tradic Železáren a drátoven, Bohumín</v>
      </c>
      <c r="E90" s="10" t="str">
        <f>IFERROR(__xludf.DUMMYFUNCTION("""COMPUTED_VALUE"""),"tovární muzeum")</f>
        <v>tovární muzeum</v>
      </c>
      <c r="F90" s="9" t="str">
        <f>IFERROR(__xludf.DUMMYFUNCTION("""COMPUTED_VALUE"""),"Zdejší expozice byla otevřena v roce 1976. Zaměřovala se na dělnické hnutí a budování socialistického podniku od založení továrny v roce 1885 až do 80. let 20. století. Výstavní prostor měl 3 místnosti s centrem v hale vily bývalých ředitelů podniku, kde "&amp;"byla umístěna galerie zasloužilých pracovníků.")</f>
        <v>Zdejší expozice byla otevřena v roce 1976. Zaměřovala se na dělnické hnutí a budování socialistického podniku od založení továrny v roce 1885 až do 80. let 20. století. Výstavní prostor měl 3 místnosti s centrem v hale vily bývalých ředitelů podniku, kde byla umístěna galerie zasloužilých pracovníků.</v>
      </c>
      <c r="G90" s="9" t="str">
        <f>IFERROR(__xludf.DUMMYFUNCTION("""COMPUTED_VALUE"""),"muzea")</f>
        <v>muzea</v>
      </c>
      <c r="H90" s="9" t="str">
        <f>IFERROR(__xludf.DUMMYFUNCTION("""COMPUTED_VALUE"""),"Podniková a tovární muzea")</f>
        <v>Podniková a tovární muzea</v>
      </c>
      <c r="I90" s="9" t="str">
        <f>IFERROR(__xludf.DUMMYFUNCTION("""COMPUTED_VALUE"""),"Ano")</f>
        <v>Ano</v>
      </c>
      <c r="J90" s="9">
        <f>IFERROR(__xludf.DUMMYFUNCTION("""COMPUTED_VALUE"""),1976.0)</f>
        <v>1976</v>
      </c>
      <c r="K90" s="9"/>
      <c r="L90" s="12" t="str">
        <f>IFERROR(__xludf.DUMMYFUNCTION("""COMPUTED_VALUE"""),"Václav Pubal: podniková - závodní muzea a síně revolučních tradic, Praha: Ústřední škola ROH A. Zápotockého 1985")</f>
        <v>Václav Pubal: podniková - závodní muzea a síně revolučních tradic, Praha: Ústřední škola ROH A. Zápotockého 1985</v>
      </c>
      <c r="M90" s="9"/>
      <c r="N90" s="9"/>
      <c r="O90" s="6"/>
      <c r="P90" s="6"/>
      <c r="Q90" s="6"/>
      <c r="R90" s="6"/>
      <c r="S90" s="6"/>
      <c r="T90" s="6"/>
      <c r="U90" s="6"/>
      <c r="V90" s="6"/>
      <c r="W90" s="6"/>
      <c r="X90" s="6"/>
      <c r="Y90" s="6"/>
      <c r="Z90" s="6"/>
      <c r="AA90" s="6"/>
    </row>
    <row r="91" ht="15.75" customHeight="1">
      <c r="A91" s="7">
        <f t="shared" si="1"/>
        <v>90</v>
      </c>
      <c r="B91" s="9" t="str">
        <f>IFERROR(__xludf.DUMMYFUNCTION("""COMPUTED_VALUE"""),"14.0084347")</f>
        <v>14.0084347</v>
      </c>
      <c r="C91" s="9" t="str">
        <f>IFERROR(__xludf.DUMMYFUNCTION("""COMPUTED_VALUE"""),"49.6471258")</f>
        <v>49.6471258</v>
      </c>
      <c r="D91" s="9" t="str">
        <f>IFERROR(__xludf.DUMMYFUNCTION("""COMPUTED_VALUE"""),"Síň tradic k.p. Uranové doly, Příbram")</f>
        <v>Síň tradic k.p. Uranové doly, Příbram</v>
      </c>
      <c r="E91" s="10" t="str">
        <f>IFERROR(__xludf.DUMMYFUNCTION("""COMPUTED_VALUE"""),"síň tradic")</f>
        <v>síň tradic</v>
      </c>
      <c r="F91" s="9" t="str">
        <f>IFERROR(__xludf.DUMMYFUNCTION("""COMPUTED_VALUE"""),"Síň tradic byla založena roku 1979 s cílem popsat dějiny těžby od prvních objevů uranové rudy na Jáchymovsku při dolování stříbra v 10. století přes objev radia, zneužití rudy v první atomové bombě až k mírovému využití uranu. Zvláštní důraz byl kladen na"&amp;" dolování po roce 1949, socialistické soutěžení a dosažení světového rekordu v hloubení roku 1956.")</f>
        <v>Síň tradic byla založena roku 1979 s cílem popsat dějiny těžby od prvních objevů uranové rudy na Jáchymovsku při dolování stříbra v 10. století přes objev radia, zneužití rudy v první atomové bombě až k mírovému využití uranu. Zvláštní důraz byl kladen na dolování po roce 1949, socialistické soutěžení a dosažení světového rekordu v hloubení roku 1956.</v>
      </c>
      <c r="G91" s="9" t="str">
        <f>IFERROR(__xludf.DUMMYFUNCTION("""COMPUTED_VALUE"""),"muzea")</f>
        <v>muzea</v>
      </c>
      <c r="H91" s="9" t="str">
        <f>IFERROR(__xludf.DUMMYFUNCTION("""COMPUTED_VALUE"""),"Podniková a tovární muzea")</f>
        <v>Podniková a tovární muzea</v>
      </c>
      <c r="I91" s="9" t="str">
        <f>IFERROR(__xludf.DUMMYFUNCTION("""COMPUTED_VALUE"""),"Ne")</f>
        <v>Ne</v>
      </c>
      <c r="J91" s="9">
        <f>IFERROR(__xludf.DUMMYFUNCTION("""COMPUTED_VALUE"""),1979.0)</f>
        <v>1979</v>
      </c>
      <c r="K91" s="9">
        <f>IFERROR(__xludf.DUMMYFUNCTION("""COMPUTED_VALUE"""),1989.0)</f>
        <v>1989</v>
      </c>
      <c r="L91" s="12" t="str">
        <f>IFERROR(__xludf.DUMMYFUNCTION("""COMPUTED_VALUE"""),"Václav Pubal: podniková - závodní muzea a síně revolučních tradic, Praha: Ústřední škola ROH A. Zápotockého 1985, str. 50-51")</f>
        <v>Václav Pubal: podniková - závodní muzea a síně revolučních tradic, Praha: Ústřední škola ROH A. Zápotockého 1985, str. 50-51</v>
      </c>
      <c r="M91" s="9"/>
      <c r="N91" s="9"/>
      <c r="O91" s="6"/>
      <c r="P91" s="6"/>
      <c r="Q91" s="6"/>
      <c r="R91" s="6"/>
      <c r="S91" s="6"/>
      <c r="T91" s="6"/>
      <c r="U91" s="6"/>
      <c r="V91" s="6"/>
      <c r="W91" s="6"/>
      <c r="X91" s="6"/>
      <c r="Y91" s="6"/>
      <c r="Z91" s="6"/>
      <c r="AA91" s="6"/>
    </row>
    <row r="92" ht="15.75" customHeight="1">
      <c r="A92" s="7">
        <f t="shared" si="1"/>
        <v>91</v>
      </c>
      <c r="B92" s="9" t="str">
        <f>IFERROR(__xludf.DUMMYFUNCTION("""COMPUTED_VALUE"""),"18.2723031")</f>
        <v>18.2723031</v>
      </c>
      <c r="C92" s="9" t="str">
        <f>IFERROR(__xludf.DUMMYFUNCTION("""COMPUTED_VALUE"""),"49.8171594")</f>
        <v>49.8171594</v>
      </c>
      <c r="D92" s="9" t="str">
        <f>IFERROR(__xludf.DUMMYFUNCTION("""COMPUTED_VALUE"""),"Muzeum Vítkovic – Železáren a strojíren Klementa Gottwalda")</f>
        <v>Muzeum Vítkovic – Železáren a strojíren Klementa Gottwalda</v>
      </c>
      <c r="E92" s="10" t="str">
        <f>IFERROR(__xludf.DUMMYFUNCTION("""COMPUTED_VALUE"""),"tovární muzeum")</f>
        <v>tovární muzeum</v>
      </c>
      <c r="F92" s="9" t="str">
        <f>IFERROR(__xludf.DUMMYFUNCTION("""COMPUTED_VALUE"""),"V roce 1971 vzniklo muzeum v Rotschildově  paláci. Jeho základem byly dokumenty shromážděné komisí pro dějiny a kroniky Vítkovických železáren Klementa Gottwalda. Expozice nazvaná Od vlády kapitálu k socialistickému dnešku byla revitalizována v roce 1984.")</f>
        <v>V roce 1971 vzniklo muzeum v Rotschildově  paláci. Jeho základem byly dokumenty shromážděné komisí pro dějiny a kroniky Vítkovických železáren Klementa Gottwalda. Expozice nazvaná Od vlády kapitálu k socialistickému dnešku byla revitalizována v roce 1984.</v>
      </c>
      <c r="G92" s="9" t="str">
        <f>IFERROR(__xludf.DUMMYFUNCTION("""COMPUTED_VALUE"""),"muzea")</f>
        <v>muzea</v>
      </c>
      <c r="H92" s="9" t="str">
        <f>IFERROR(__xludf.DUMMYFUNCTION("""COMPUTED_VALUE"""),"Podniková a tovární muzea")</f>
        <v>Podniková a tovární muzea</v>
      </c>
      <c r="I92" s="9" t="str">
        <f>IFERROR(__xludf.DUMMYFUNCTION("""COMPUTED_VALUE"""),"Ne")</f>
        <v>Ne</v>
      </c>
      <c r="J92" s="9">
        <f>IFERROR(__xludf.DUMMYFUNCTION("""COMPUTED_VALUE"""),1971.0)</f>
        <v>1971</v>
      </c>
      <c r="K92" s="9">
        <f>IFERROR(__xludf.DUMMYFUNCTION("""COMPUTED_VALUE"""),1989.0)</f>
        <v>1989</v>
      </c>
      <c r="L92" s="12" t="str">
        <f>IFERROR(__xludf.DUMMYFUNCTION("""COMPUTED_VALUE"""),"Václav Pubal: podniková - závodní muzea a síně revolučních tradic, Praha: Ústřední škola ROH A. Zápotockého 1985, str. 41-42")</f>
        <v>Václav Pubal: podniková - závodní muzea a síně revolučních tradic, Praha: Ústřední škola ROH A. Zápotockého 1985, str. 41-42</v>
      </c>
      <c r="M92" s="9"/>
      <c r="N92" s="9"/>
      <c r="O92" s="6"/>
      <c r="P92" s="6"/>
      <c r="Q92" s="6"/>
      <c r="R92" s="6"/>
      <c r="S92" s="6"/>
      <c r="T92" s="6"/>
      <c r="U92" s="6"/>
      <c r="V92" s="6"/>
      <c r="W92" s="6"/>
      <c r="X92" s="6"/>
      <c r="Y92" s="6"/>
      <c r="Z92" s="6"/>
      <c r="AA92" s="6"/>
    </row>
    <row r="93" ht="15.75" customHeight="1">
      <c r="A93" s="7">
        <f t="shared" si="1"/>
        <v>92</v>
      </c>
      <c r="B93" s="9" t="str">
        <f>IFERROR(__xludf.DUMMYFUNCTION("""COMPUTED_VALUE"""),"13.8563592")</f>
        <v>13.8563592</v>
      </c>
      <c r="C93" s="9" t="str">
        <f>IFERROR(__xludf.DUMMYFUNCTION("""COMPUTED_VALUE"""),"49.8064956")</f>
        <v>49.8064956</v>
      </c>
      <c r="D93" s="9" t="str">
        <f>IFERROR(__xludf.DUMMYFUNCTION("""COMPUTED_VALUE"""),"Místní železářské muzeum Komárov u Hořovic, n. p. Buzuluk")</f>
        <v>Místní železářské muzeum Komárov u Hořovic, n. p. Buzuluk</v>
      </c>
      <c r="E93" s="10" t="str">
        <f>IFERROR(__xludf.DUMMYFUNCTION("""COMPUTED_VALUE"""),"tovární muzeum")</f>
        <v>tovární muzeum</v>
      </c>
      <c r="F93" s="9" t="str">
        <f>IFERROR(__xludf.DUMMYFUNCTION("""COMPUTED_VALUE"""),"Expozice zaměřená na výrobu místních železářů z n.p. Buzuluk, technickou historii podniku a dějiny dělnického hnutí.")</f>
        <v>Expozice zaměřená na výrobu místních železářů z n.p. Buzuluk, technickou historii podniku a dějiny dělnického hnutí.</v>
      </c>
      <c r="G93" s="9" t="str">
        <f>IFERROR(__xludf.DUMMYFUNCTION("""COMPUTED_VALUE"""),"muzea")</f>
        <v>muzea</v>
      </c>
      <c r="H93" s="9" t="str">
        <f>IFERROR(__xludf.DUMMYFUNCTION("""COMPUTED_VALUE"""),"Podniková a tovární muzea")</f>
        <v>Podniková a tovární muzea</v>
      </c>
      <c r="I93" s="9" t="str">
        <f>IFERROR(__xludf.DUMMYFUNCTION("""COMPUTED_VALUE"""),"Ano")</f>
        <v>Ano</v>
      </c>
      <c r="J93" s="9">
        <f>IFERROR(__xludf.DUMMYFUNCTION("""COMPUTED_VALUE"""),1960.0)</f>
        <v>1960</v>
      </c>
      <c r="K93" s="9"/>
      <c r="L93" s="12" t="str">
        <f>IFERROR(__xludf.DUMMYFUNCTION("""COMPUTED_VALUE"""),"Milan Hromádka - Marie Poláková - Jarmila Valentová: Kulturní adresář ČSR, Praha: Ústav pro výzkum kultury 1973, str. 332")</f>
        <v>Milan Hromádka - Marie Poláková - Jarmila Valentová: Kulturní adresář ČSR, Praha: Ústav pro výzkum kultury 1973, str. 332</v>
      </c>
      <c r="M93" s="9"/>
      <c r="N93" s="9"/>
      <c r="O93" s="6"/>
      <c r="P93" s="6"/>
      <c r="Q93" s="6"/>
      <c r="R93" s="6"/>
      <c r="S93" s="6"/>
      <c r="T93" s="6"/>
      <c r="U93" s="6"/>
      <c r="V93" s="6"/>
      <c r="W93" s="6"/>
      <c r="X93" s="6"/>
      <c r="Y93" s="6"/>
      <c r="Z93" s="6"/>
      <c r="AA93" s="6"/>
    </row>
    <row r="94" ht="15.75" customHeight="1">
      <c r="A94" s="7">
        <f t="shared" si="1"/>
        <v>93</v>
      </c>
      <c r="B94" s="9" t="str">
        <f>IFERROR(__xludf.DUMMYFUNCTION("""COMPUTED_VALUE"""),"14.1075872")</f>
        <v>14.1075872</v>
      </c>
      <c r="C94" s="9" t="str">
        <f>IFERROR(__xludf.DUMMYFUNCTION("""COMPUTED_VALUE"""),"50.1488647")</f>
        <v>50.1488647</v>
      </c>
      <c r="D94" s="9" t="str">
        <f>IFERROR(__xludf.DUMMYFUNCTION("""COMPUTED_VALUE"""),"Muzeum Poldi Kladno")</f>
        <v>Muzeum Poldi Kladno</v>
      </c>
      <c r="E94" s="10" t="str">
        <f>IFERROR(__xludf.DUMMYFUNCTION("""COMPUTED_VALUE"""),"tovární muzeum")</f>
        <v>tovární muzeum</v>
      </c>
      <c r="F94" s="9" t="str">
        <f>IFERROR(__xludf.DUMMYFUNCTION("""COMPUTED_VALUE"""),"V roce 1975 bylo ve vile majitele Karla Wittgensteina zřízeno muzeum továrny Poldi Kladno s tématem výroby a dělnického hnutí.")</f>
        <v>V roce 1975 bylo ve vile majitele Karla Wittgensteina zřízeno muzeum továrny Poldi Kladno s tématem výroby a dělnického hnutí.</v>
      </c>
      <c r="G94" s="9" t="str">
        <f>IFERROR(__xludf.DUMMYFUNCTION("""COMPUTED_VALUE"""),"muzea")</f>
        <v>muzea</v>
      </c>
      <c r="H94" s="9" t="str">
        <f>IFERROR(__xludf.DUMMYFUNCTION("""COMPUTED_VALUE"""),"Podniková a tovární muzea")</f>
        <v>Podniková a tovární muzea</v>
      </c>
      <c r="I94" s="9" t="str">
        <f>IFERROR(__xludf.DUMMYFUNCTION("""COMPUTED_VALUE"""),"Ano")</f>
        <v>Ano</v>
      </c>
      <c r="J94" s="9">
        <f>IFERROR(__xludf.DUMMYFUNCTION("""COMPUTED_VALUE"""),1975.0)</f>
        <v>1975</v>
      </c>
      <c r="K94" s="9"/>
      <c r="L94" s="12" t="str">
        <f>IFERROR(__xludf.DUMMYFUNCTION("""COMPUTED_VALUE"""),"Václav Pubal: podniková - závodní muzea a síně revolučních tradic, Praha: Ústřední škola ROH A. Zápotockého 1985, str. 28-29.;  Středočeská vědecká knihovna v Kladně: Muzeum Poldi, 24. 11. 2021, ipac.svkkl.cz (dostupné na https://ipac.svkkl.cz/arl-kl/cs/d"&amp;"etail-kl_us_auth-k0200008-Muzeum-Poldi-Kladno-cesko/)")</f>
        <v>Václav Pubal: podniková - závodní muzea a síně revolučních tradic, Praha: Ústřední škola ROH A. Zápotockého 1985, str. 28-29.;  Středočeská vědecká knihovna v Kladně: Muzeum Poldi, 24. 11. 2021, ipac.svkkl.cz (dostupné na https://ipac.svkkl.cz/arl-kl/cs/detail-kl_us_auth-k0200008-Muzeum-Poldi-Kladno-cesko/)</v>
      </c>
      <c r="M94" s="9"/>
      <c r="N94" s="9"/>
      <c r="O94" s="6"/>
      <c r="P94" s="6"/>
      <c r="Q94" s="6"/>
      <c r="R94" s="6"/>
      <c r="S94" s="6"/>
      <c r="T94" s="6"/>
      <c r="U94" s="6"/>
      <c r="V94" s="6"/>
      <c r="W94" s="6"/>
      <c r="X94" s="6"/>
      <c r="Y94" s="6"/>
      <c r="Z94" s="6"/>
      <c r="AA94" s="6"/>
    </row>
    <row r="95" ht="15.75" customHeight="1">
      <c r="A95" s="7">
        <f t="shared" si="1"/>
        <v>94</v>
      </c>
      <c r="B95" s="9" t="str">
        <f>IFERROR(__xludf.DUMMYFUNCTION("""COMPUTED_VALUE"""),"14.7385361")</f>
        <v>14.7385361</v>
      </c>
      <c r="C95" s="9" t="str">
        <f>IFERROR(__xludf.DUMMYFUNCTION("""COMPUTED_VALUE"""),"50.1627886")</f>
        <v>50.1627886</v>
      </c>
      <c r="D95" s="9" t="str">
        <f>IFERROR(__xludf.DUMMYFUNCTION("""COMPUTED_VALUE"""),"Síň tradic TOS Čelákovice")</f>
        <v>Síň tradic TOS Čelákovice</v>
      </c>
      <c r="E95" s="10" t="str">
        <f>IFERROR(__xludf.DUMMYFUNCTION("""COMPUTED_VALUE"""),"síň tradic")</f>
        <v>síň tradic</v>
      </c>
      <c r="F95" s="9" t="str">
        <f>IFERROR(__xludf.DUMMYFUNCTION("""COMPUTED_VALUE"""),"Expozice byla otevřena v roce 1983 a soustředila se na dějiny závodu, družbu se spřátelenými pracovními kolektivy a socialistické budování.")</f>
        <v>Expozice byla otevřena v roce 1983 a soustředila se na dějiny závodu, družbu se spřátelenými pracovními kolektivy a socialistické budování.</v>
      </c>
      <c r="G95" s="9" t="str">
        <f>IFERROR(__xludf.DUMMYFUNCTION("""COMPUTED_VALUE"""),"muzea")</f>
        <v>muzea</v>
      </c>
      <c r="H95" s="9" t="str">
        <f>IFERROR(__xludf.DUMMYFUNCTION("""COMPUTED_VALUE"""),"Podniková a tovární muzea")</f>
        <v>Podniková a tovární muzea</v>
      </c>
      <c r="I95" s="9" t="str">
        <f>IFERROR(__xludf.DUMMYFUNCTION("""COMPUTED_VALUE"""),"Ne")</f>
        <v>Ne</v>
      </c>
      <c r="J95" s="9">
        <f>IFERROR(__xludf.DUMMYFUNCTION("""COMPUTED_VALUE"""),1983.0)</f>
        <v>1983</v>
      </c>
      <c r="K95" s="9">
        <f>IFERROR(__xludf.DUMMYFUNCTION("""COMPUTED_VALUE"""),1989.0)</f>
        <v>1989</v>
      </c>
      <c r="L95" s="12" t="str">
        <f>IFERROR(__xludf.DUMMYFUNCTION("""COMPUTED_VALUE"""),"Václav Pubal: podniková - závodní muzea a síně revolučních tradic, Praha: Ústřední škola ROH A. Zápotockého 1985, str. 14")</f>
        <v>Václav Pubal: podniková - závodní muzea a síně revolučních tradic, Praha: Ústřední škola ROH A. Zápotockého 1985, str. 14</v>
      </c>
      <c r="M95" s="9"/>
      <c r="N95" s="9"/>
      <c r="O95" s="6"/>
      <c r="P95" s="6"/>
      <c r="Q95" s="6"/>
      <c r="R95" s="6"/>
      <c r="S95" s="6"/>
      <c r="T95" s="6"/>
      <c r="U95" s="6"/>
      <c r="V95" s="6"/>
      <c r="W95" s="6"/>
      <c r="X95" s="6"/>
      <c r="Y95" s="6"/>
      <c r="Z95" s="6"/>
      <c r="AA95" s="6"/>
    </row>
    <row r="96" ht="15.75" customHeight="1">
      <c r="A96" s="7">
        <f t="shared" si="1"/>
        <v>95</v>
      </c>
      <c r="B96" s="9" t="str">
        <f>IFERROR(__xludf.DUMMYFUNCTION("""COMPUTED_VALUE"""),"15.8067417")</f>
        <v>15.8067417</v>
      </c>
      <c r="C96" s="9" t="str">
        <f>IFERROR(__xludf.DUMMYFUNCTION("""COMPUTED_VALUE"""),"50.4428178")</f>
        <v>50.4428178</v>
      </c>
      <c r="D96" s="9" t="str">
        <f>IFERROR(__xludf.DUMMYFUNCTION("""COMPUTED_VALUE"""),"Textilní muzeum n.p. Tiba, Dvůr Králové")</f>
        <v>Textilní muzeum n.p. Tiba, Dvůr Králové</v>
      </c>
      <c r="E96" s="10" t="str">
        <f>IFERROR(__xludf.DUMMYFUNCTION("""COMPUTED_VALUE"""),"tovární muzeum")</f>
        <v>tovární muzeum</v>
      </c>
      <c r="F96" s="9" t="str">
        <f>IFERROR(__xludf.DUMMYFUNCTION("""COMPUTED_VALUE"""),"Muzeum v budově bývalého kláštera bylo založeno v roce 1936. Od roku 1963 se nacházelo ve správě n.p. TIBA a od roku 1980 bylo spravováno ve spolupráci s muzeem v České Skalici. Zaměřovalo se především na dějiny textilních technologií.")</f>
        <v>Muzeum v budově bývalého kláštera bylo založeno v roce 1936. Od roku 1963 se nacházelo ve správě n.p. TIBA a od roku 1980 bylo spravováno ve spolupráci s muzeem v České Skalici. Zaměřovalo se především na dějiny textilních technologií.</v>
      </c>
      <c r="G96" s="9" t="str">
        <f>IFERROR(__xludf.DUMMYFUNCTION("""COMPUTED_VALUE"""),"muzea")</f>
        <v>muzea</v>
      </c>
      <c r="H96" s="9" t="str">
        <f>IFERROR(__xludf.DUMMYFUNCTION("""COMPUTED_VALUE"""),"Podniková a tovární muzea")</f>
        <v>Podniková a tovární muzea</v>
      </c>
      <c r="I96" s="9" t="str">
        <f>IFERROR(__xludf.DUMMYFUNCTION("""COMPUTED_VALUE"""),"Ano")</f>
        <v>Ano</v>
      </c>
      <c r="J96" s="9">
        <f>IFERROR(__xludf.DUMMYFUNCTION("""COMPUTED_VALUE"""),1963.0)</f>
        <v>1963</v>
      </c>
      <c r="K96" s="9"/>
      <c r="L96" s="12" t="str">
        <f>IFERROR(__xludf.DUMMYFUNCTION("""COMPUTED_VALUE"""),"Václav Pubal: podniková - závodní muzea a síně revolučních tradic, Praha: Ústřední škola ROH A. Zápotockého 1985, str. 15")</f>
        <v>Václav Pubal: podniková - závodní muzea a síně revolučních tradic, Praha: Ústřední škola ROH A. Zápotockého 1985, str. 15</v>
      </c>
      <c r="M96" s="9"/>
      <c r="N96" s="9"/>
      <c r="O96" s="6"/>
      <c r="P96" s="6"/>
      <c r="Q96" s="6"/>
      <c r="R96" s="6"/>
      <c r="S96" s="6"/>
      <c r="T96" s="6"/>
      <c r="U96" s="6"/>
      <c r="V96" s="6"/>
      <c r="W96" s="6"/>
      <c r="X96" s="6"/>
      <c r="Y96" s="6"/>
      <c r="Z96" s="6"/>
      <c r="AA96" s="6"/>
    </row>
    <row r="97" ht="15.75" customHeight="1">
      <c r="A97" s="7">
        <f t="shared" si="1"/>
        <v>96</v>
      </c>
      <c r="B97" s="9" t="str">
        <f>IFERROR(__xludf.DUMMYFUNCTION("""COMPUTED_VALUE"""),"14.4882131")</f>
        <v>14.4882131</v>
      </c>
      <c r="C97" s="9" t="str">
        <f>IFERROR(__xludf.DUMMYFUNCTION("""COMPUTED_VALUE"""),"48.9798222")</f>
        <v>48.9798222</v>
      </c>
      <c r="D97" s="9" t="str">
        <f>IFERROR(__xludf.DUMMYFUNCTION("""COMPUTED_VALUE"""),"Síň tradic českobudějovických smaltoven")</f>
        <v>Síň tradic českobudějovických smaltoven</v>
      </c>
      <c r="E97" s="10" t="str">
        <f>IFERROR(__xludf.DUMMYFUNCTION("""COMPUTED_VALUE"""),"síň tradic")</f>
        <v>síň tradic</v>
      </c>
      <c r="F97" s="9" t="str">
        <f>IFERROR(__xludf.DUMMYFUNCTION("""COMPUTED_VALUE"""),"Expozice, otevřená v roce 1973 ve společenské a administrativní budově n.p. SFINX, mapovala technickou a sociálněpolitickou historii závodu.")</f>
        <v>Expozice, otevřená v roce 1973 ve společenské a administrativní budově n.p. SFINX, mapovala technickou a sociálněpolitickou historii závodu.</v>
      </c>
      <c r="G97" s="9" t="str">
        <f>IFERROR(__xludf.DUMMYFUNCTION("""COMPUTED_VALUE"""),"muzea")</f>
        <v>muzea</v>
      </c>
      <c r="H97" s="9" t="str">
        <f>IFERROR(__xludf.DUMMYFUNCTION("""COMPUTED_VALUE"""),"Podniková a tovární muzea")</f>
        <v>Podniková a tovární muzea</v>
      </c>
      <c r="I97" s="9" t="str">
        <f>IFERROR(__xludf.DUMMYFUNCTION("""COMPUTED_VALUE"""),"Ne")</f>
        <v>Ne</v>
      </c>
      <c r="J97" s="9">
        <f>IFERROR(__xludf.DUMMYFUNCTION("""COMPUTED_VALUE"""),1973.0)</f>
        <v>1973</v>
      </c>
      <c r="K97" s="9">
        <f>IFERROR(__xludf.DUMMYFUNCTION("""COMPUTED_VALUE"""),1989.0)</f>
        <v>1989</v>
      </c>
      <c r="L97" s="12" t="str">
        <f>IFERROR(__xludf.DUMMYFUNCTION("""COMPUTED_VALUE"""),"Václav Pubal: podniková - závodní muzea a síně revolučních tradic, Praha: Ústřední škola ROH A. Zápotockého 1985, str. 16")</f>
        <v>Václav Pubal: podniková - závodní muzea a síně revolučních tradic, Praha: Ústřední škola ROH A. Zápotockého 1985, str. 16</v>
      </c>
      <c r="M97" s="9"/>
      <c r="N97" s="9"/>
      <c r="O97" s="6"/>
      <c r="P97" s="6"/>
      <c r="Q97" s="6"/>
      <c r="R97" s="6"/>
      <c r="S97" s="6"/>
      <c r="T97" s="6"/>
      <c r="U97" s="6"/>
      <c r="V97" s="6"/>
      <c r="W97" s="6"/>
      <c r="X97" s="6"/>
      <c r="Y97" s="6"/>
      <c r="Z97" s="6"/>
      <c r="AA97" s="6"/>
    </row>
    <row r="98" ht="15.75" customHeight="1">
      <c r="A98" s="7">
        <f t="shared" si="1"/>
        <v>97</v>
      </c>
      <c r="B98" s="9" t="str">
        <f>IFERROR(__xludf.DUMMYFUNCTION("""COMPUTED_VALUE"""),"14.4759614")</f>
        <v>14.4759614</v>
      </c>
      <c r="C98" s="9" t="str">
        <f>IFERROR(__xludf.DUMMYFUNCTION("""COMPUTED_VALUE"""),"48.997567")</f>
        <v>48.997567</v>
      </c>
      <c r="D98" s="9" t="str">
        <f>IFERROR(__xludf.DUMMYFUNCTION("""COMPUTED_VALUE"""),"Síň tradic n.p. Motor České Budějovice")</f>
        <v>Síň tradic n.p. Motor České Budějovice</v>
      </c>
      <c r="E98" s="10" t="str">
        <f>IFERROR(__xludf.DUMMYFUNCTION("""COMPUTED_VALUE"""),"Síň tradic")</f>
        <v>Síň tradic</v>
      </c>
      <c r="F98" s="9" t="str">
        <f>IFERROR(__xludf.DUMMYFUNCTION("""COMPUTED_VALUE"""),"Síň tradic a historie podniku existovala od roku 1977 a jejím ústředním prvkem byla stěna cti s vyznamenáními podniků či kolektivů.")</f>
        <v>Síň tradic a historie podniku existovala od roku 1977 a jejím ústředním prvkem byla stěna cti s vyznamenáními podniků či kolektivů.</v>
      </c>
      <c r="G98" s="9" t="str">
        <f>IFERROR(__xludf.DUMMYFUNCTION("""COMPUTED_VALUE"""),"muzea")</f>
        <v>muzea</v>
      </c>
      <c r="H98" s="9" t="str">
        <f>IFERROR(__xludf.DUMMYFUNCTION("""COMPUTED_VALUE"""),"Podniková a tovární muzea")</f>
        <v>Podniková a tovární muzea</v>
      </c>
      <c r="I98" s="9" t="str">
        <f>IFERROR(__xludf.DUMMYFUNCTION("""COMPUTED_VALUE"""),"Ne")</f>
        <v>Ne</v>
      </c>
      <c r="J98" s="9">
        <f>IFERROR(__xludf.DUMMYFUNCTION("""COMPUTED_VALUE"""),1977.0)</f>
        <v>1977</v>
      </c>
      <c r="K98" s="9"/>
      <c r="L98" s="12" t="str">
        <f>IFERROR(__xludf.DUMMYFUNCTION("""COMPUTED_VALUE"""),"Václav Pubal: podniková - závodní muzea a síně revolučních tradic, Praha: Ústřední škola ROH A. Zápotockého 1985, str. 16-17")</f>
        <v>Václav Pubal: podniková - závodní muzea a síně revolučních tradic, Praha: Ústřední škola ROH A. Zápotockého 1985, str. 16-17</v>
      </c>
      <c r="M98" s="9"/>
      <c r="N98" s="9"/>
      <c r="O98" s="6"/>
      <c r="P98" s="6"/>
      <c r="Q98" s="6"/>
      <c r="R98" s="6"/>
      <c r="S98" s="6"/>
      <c r="T98" s="6"/>
      <c r="U98" s="6"/>
      <c r="V98" s="6"/>
      <c r="W98" s="6"/>
      <c r="X98" s="6"/>
      <c r="Y98" s="6"/>
      <c r="Z98" s="6"/>
      <c r="AA98" s="6"/>
    </row>
    <row r="99" ht="15.75" customHeight="1">
      <c r="A99" s="7">
        <f t="shared" si="1"/>
        <v>98</v>
      </c>
      <c r="B99" s="9" t="str">
        <f>IFERROR(__xludf.DUMMYFUNCTION("""COMPUTED_VALUE"""),"18.3292942")</f>
        <v>18.3292942</v>
      </c>
      <c r="C99" s="9" t="str">
        <f>IFERROR(__xludf.DUMMYFUNCTION("""COMPUTED_VALUE"""),"49.6946042")</f>
        <v>49.6946042</v>
      </c>
      <c r="D99" s="9" t="str">
        <f>IFERROR(__xludf.DUMMYFUNCTION("""COMPUTED_VALUE"""),"Podnikové muzeum Válcoven plechu n.p. Frýdek-Místek")</f>
        <v>Podnikové muzeum Válcoven plechu n.p. Frýdek-Místek</v>
      </c>
      <c r="E99" s="10" t="str">
        <f>IFERROR(__xludf.DUMMYFUNCTION("""COMPUTED_VALUE"""),"tovární muzeum")</f>
        <v>tovární muzeum</v>
      </c>
      <c r="F99" s="9" t="str">
        <f>IFERROR(__xludf.DUMMYFUNCTION("""COMPUTED_VALUE"""),"Podnikové muzeum vzniklo v roce 1983 rozšířením síně revolučních tradic. Expozice, zaměřená na dějiny podniku, se nacházela ve vile bývalého ředitele továrny.")</f>
        <v>Podnikové muzeum vzniklo v roce 1983 rozšířením síně revolučních tradic. Expozice, zaměřená na dějiny podniku, se nacházela ve vile bývalého ředitele továrny.</v>
      </c>
      <c r="G99" s="9" t="str">
        <f>IFERROR(__xludf.DUMMYFUNCTION("""COMPUTED_VALUE"""),"muzea")</f>
        <v>muzea</v>
      </c>
      <c r="H99" s="9" t="str">
        <f>IFERROR(__xludf.DUMMYFUNCTION("""COMPUTED_VALUE"""),"Podniková a tovární muzea")</f>
        <v>Podniková a tovární muzea</v>
      </c>
      <c r="I99" s="9" t="str">
        <f>IFERROR(__xludf.DUMMYFUNCTION("""COMPUTED_VALUE"""),"Ne")</f>
        <v>Ne</v>
      </c>
      <c r="J99" s="9">
        <f>IFERROR(__xludf.DUMMYFUNCTION("""COMPUTED_VALUE"""),1983.0)</f>
        <v>1983</v>
      </c>
      <c r="K99" s="9">
        <f>IFERROR(__xludf.DUMMYFUNCTION("""COMPUTED_VALUE"""),1989.0)</f>
        <v>1989</v>
      </c>
      <c r="L99" s="12" t="str">
        <f>IFERROR(__xludf.DUMMYFUNCTION("""COMPUTED_VALUE"""),"Václav Pubal: podniková - závodní muzea a síně revolučních tradic, Praha: Ústřední škola ROH A. Zápotockého 1985, str. 18")</f>
        <v>Václav Pubal: podniková - závodní muzea a síně revolučních tradic, Praha: Ústřední škola ROH A. Zápotockého 1985, str. 18</v>
      </c>
      <c r="M99" s="9"/>
      <c r="N99" s="9"/>
      <c r="O99" s="6"/>
      <c r="P99" s="6"/>
      <c r="Q99" s="6"/>
      <c r="R99" s="6"/>
      <c r="S99" s="6"/>
      <c r="T99" s="6"/>
      <c r="U99" s="6"/>
      <c r="V99" s="6"/>
      <c r="W99" s="6"/>
      <c r="X99" s="6"/>
      <c r="Y99" s="6"/>
      <c r="Z99" s="6"/>
      <c r="AA99" s="6"/>
    </row>
    <row r="100" ht="15.75" customHeight="1">
      <c r="A100" s="7">
        <f t="shared" si="1"/>
        <v>99</v>
      </c>
      <c r="B100" s="9" t="str">
        <f>IFERROR(__xludf.DUMMYFUNCTION("""COMPUTED_VALUE"""),"17.6583944")</f>
        <v>17.6583944</v>
      </c>
      <c r="C100" s="9" t="str">
        <f>IFERROR(__xludf.DUMMYFUNCTION("""COMPUTED_VALUE"""),"49.2229986")</f>
        <v>49.2229986</v>
      </c>
      <c r="D100" s="9" t="str">
        <f>IFERROR(__xludf.DUMMYFUNCTION("""COMPUTED_VALUE"""),"Obuvnické muzeum n.p. Svit Gottwaldov")</f>
        <v>Obuvnické muzeum n.p. Svit Gottwaldov</v>
      </c>
      <c r="E100" s="10" t="str">
        <f>IFERROR(__xludf.DUMMYFUNCTION("""COMPUTED_VALUE"""),"tovární muzeum")</f>
        <v>tovární muzeum</v>
      </c>
      <c r="F100" s="9" t="str">
        <f>IFERROR(__xludf.DUMMYFUNCTION("""COMPUTED_VALUE"""),"Muzeum založeno v roce 1959 po převzetí a novém využití sbírky bývalého studijního ústavu firmy Baťa. Expozice se věnovala historii obuvi od pravěku, výrobní technologii, dělnickému hnutí a socialistickému budování.")</f>
        <v>Muzeum založeno v roce 1959 po převzetí a novém využití sbírky bývalého studijního ústavu firmy Baťa. Expozice se věnovala historii obuvi od pravěku, výrobní technologii, dělnickému hnutí a socialistickému budování.</v>
      </c>
      <c r="G100" s="9" t="str">
        <f>IFERROR(__xludf.DUMMYFUNCTION("""COMPUTED_VALUE"""),"muzea")</f>
        <v>muzea</v>
      </c>
      <c r="H100" s="9" t="str">
        <f>IFERROR(__xludf.DUMMYFUNCTION("""COMPUTED_VALUE"""),"Podniková a tovární muzea")</f>
        <v>Podniková a tovární muzea</v>
      </c>
      <c r="I100" s="9" t="str">
        <f>IFERROR(__xludf.DUMMYFUNCTION("""COMPUTED_VALUE"""),"Ano")</f>
        <v>Ano</v>
      </c>
      <c r="J100" s="9">
        <f>IFERROR(__xludf.DUMMYFUNCTION("""COMPUTED_VALUE"""),1959.0)</f>
        <v>1959</v>
      </c>
      <c r="K100" s="9"/>
      <c r="L100" s="12" t="str">
        <f>IFERROR(__xludf.DUMMYFUNCTION("""COMPUTED_VALUE"""),"Václav Pubal: podniková - závodní muzea a síně revolučních tradic, Praha: Ústřední škola ROH A. Zápotockého 1985, str. 19; Baťův institut, 24. 11. 2021, 14-15.cz (dostupné na https://www.14-15.cz/24746-o-nas)")</f>
        <v>Václav Pubal: podniková - závodní muzea a síně revolučních tradic, Praha: Ústřední škola ROH A. Zápotockého 1985, str. 19; Baťův institut, 24. 11. 2021, 14-15.cz (dostupné na https://www.14-15.cz/24746-o-nas)</v>
      </c>
      <c r="M100" s="9"/>
      <c r="N100" s="9"/>
      <c r="O100" s="6"/>
      <c r="P100" s="6"/>
      <c r="Q100" s="6"/>
      <c r="R100" s="6"/>
      <c r="S100" s="6"/>
      <c r="T100" s="6"/>
      <c r="U100" s="6"/>
      <c r="V100" s="6"/>
      <c r="W100" s="6"/>
      <c r="X100" s="6"/>
      <c r="Y100" s="6"/>
      <c r="Z100" s="6"/>
      <c r="AA100" s="6"/>
    </row>
    <row r="101" ht="15.75" customHeight="1">
      <c r="A101" s="7">
        <f t="shared" si="1"/>
        <v>100</v>
      </c>
      <c r="B101" s="9" t="str">
        <f>IFERROR(__xludf.DUMMYFUNCTION("""COMPUTED_VALUE"""),"15.4189248")</f>
        <v>15.4189248</v>
      </c>
      <c r="C101" s="9" t="str">
        <f>IFERROR(__xludf.DUMMYFUNCTION("""COMPUTED_VALUE"""),"50.7819353")</f>
        <v>50.7819353</v>
      </c>
      <c r="D101" s="9" t="str">
        <f>IFERROR(__xludf.DUMMYFUNCTION("""COMPUTED_VALUE"""),"Muzeum skla v Harrachově; podnikové muzeum závodu Crystalex")</f>
        <v>Muzeum skla v Harrachově; podnikové muzeum závodu Crystalex</v>
      </c>
      <c r="E101" s="10" t="str">
        <f>IFERROR(__xludf.DUMMYFUNCTION("""COMPUTED_VALUE"""),"tovární muzeum")</f>
        <v>tovární muzeum</v>
      </c>
      <c r="F101" s="9" t="str">
        <f>IFERROR(__xludf.DUMMYFUNCTION("""COMPUTED_VALUE"""),"Expozici, otevřenou v roce 1972, připravovalo Muzeum skla a bižuterie Jablonec nad Nisou spolu se zaměstnanci podniku. Hlavními vystavovanými tématy byli dějiny závodu a technologie výroby.")</f>
        <v>Expozici, otevřenou v roce 1972, připravovalo Muzeum skla a bižuterie Jablonec nad Nisou spolu se zaměstnanci podniku. Hlavními vystavovanými tématy byli dějiny závodu a technologie výroby.</v>
      </c>
      <c r="G101" s="9" t="str">
        <f>IFERROR(__xludf.DUMMYFUNCTION("""COMPUTED_VALUE"""),"muzea")</f>
        <v>muzea</v>
      </c>
      <c r="H101" s="9" t="str">
        <f>IFERROR(__xludf.DUMMYFUNCTION("""COMPUTED_VALUE"""),"Podniková a tovární muzea")</f>
        <v>Podniková a tovární muzea</v>
      </c>
      <c r="I101" s="9" t="str">
        <f>IFERROR(__xludf.DUMMYFUNCTION("""COMPUTED_VALUE"""),"Ano")</f>
        <v>Ano</v>
      </c>
      <c r="J101" s="9">
        <f>IFERROR(__xludf.DUMMYFUNCTION("""COMPUTED_VALUE"""),1972.0)</f>
        <v>1972</v>
      </c>
      <c r="K101" s="9"/>
      <c r="L101" s="12" t="str">
        <f>IFERROR(__xludf.DUMMYFUNCTION("""COMPUTED_VALUE"""),"Václav Pubal: podniková - závodní muzea a síně revolučních tradic, Praha: Ústřední škola ROH A. Zápotockého 1985, str. 20-21")</f>
        <v>Václav Pubal: podniková - závodní muzea a síně revolučních tradic, Praha: Ústřední škola ROH A. Zápotockého 1985, str. 20-21</v>
      </c>
      <c r="M101" s="9"/>
      <c r="N101" s="9"/>
      <c r="O101" s="6"/>
      <c r="P101" s="6"/>
      <c r="Q101" s="6"/>
      <c r="R101" s="6"/>
      <c r="S101" s="6"/>
      <c r="T101" s="6"/>
      <c r="U101" s="6"/>
      <c r="V101" s="6"/>
      <c r="W101" s="6"/>
      <c r="X101" s="6"/>
      <c r="Y101" s="6"/>
      <c r="Z101" s="6"/>
      <c r="AA101" s="6"/>
    </row>
    <row r="102" ht="15.75" customHeight="1">
      <c r="A102" s="7">
        <f t="shared" si="1"/>
        <v>101</v>
      </c>
      <c r="B102" s="9" t="str">
        <f>IFERROR(__xludf.DUMMYFUNCTION("""COMPUTED_VALUE"""),"13.378355")</f>
        <v>13.378355</v>
      </c>
      <c r="C102" s="9" t="str">
        <f>IFERROR(__xludf.DUMMYFUNCTION("""COMPUTED_VALUE"""),"49.8499878")</f>
        <v>49.8499878</v>
      </c>
      <c r="D102" s="9" t="str">
        <f>IFERROR(__xludf.DUMMYFUNCTION("""COMPUTED_VALUE"""),"Muzeum Západočeských keramických závodů")</f>
        <v>Muzeum Západočeských keramických závodů</v>
      </c>
      <c r="E102" s="10" t="str">
        <f>IFERROR(__xludf.DUMMYFUNCTION("""COMPUTED_VALUE"""),"tovární muzeum")</f>
        <v>tovární muzeum</v>
      </c>
      <c r="F102" s="9" t="str">
        <f>IFERROR(__xludf.DUMMYFUNCTION("""COMPUTED_VALUE"""),"Muzeum, založené v roce 1982, tematizovalo hnutí továrních dělníků, protifašistický odboj, rozvoj národního podniku.")</f>
        <v>Muzeum, založené v roce 1982, tematizovalo hnutí továrních dělníků, protifašistický odboj, rozvoj národního podniku.</v>
      </c>
      <c r="G102" s="9" t="str">
        <f>IFERROR(__xludf.DUMMYFUNCTION("""COMPUTED_VALUE"""),"muzea")</f>
        <v>muzea</v>
      </c>
      <c r="H102" s="9" t="str">
        <f>IFERROR(__xludf.DUMMYFUNCTION("""COMPUTED_VALUE"""),"Podniková a tovární muzea")</f>
        <v>Podniková a tovární muzea</v>
      </c>
      <c r="I102" s="9" t="str">
        <f>IFERROR(__xludf.DUMMYFUNCTION("""COMPUTED_VALUE"""),"Ano")</f>
        <v>Ano</v>
      </c>
      <c r="J102" s="9">
        <f>IFERROR(__xludf.DUMMYFUNCTION("""COMPUTED_VALUE"""),1982.0)</f>
        <v>1982</v>
      </c>
      <c r="K102" s="9"/>
      <c r="L102" s="12" t="str">
        <f>IFERROR(__xludf.DUMMYFUNCTION("""COMPUTED_VALUE"""),"Václav Pubal: podniková - závodní muzea a síně revolučních tradic, Praha: Ústřední škola ROH A. Zápotockého 1985, str. 22")</f>
        <v>Václav Pubal: podniková - závodní muzea a síně revolučních tradic, Praha: Ústřední škola ROH A. Zápotockého 1985, str. 22</v>
      </c>
      <c r="M102" s="9"/>
      <c r="N102" s="9"/>
      <c r="O102" s="6"/>
      <c r="P102" s="6"/>
      <c r="Q102" s="6"/>
      <c r="R102" s="6"/>
      <c r="S102" s="6"/>
      <c r="T102" s="6"/>
      <c r="U102" s="6"/>
      <c r="V102" s="6"/>
      <c r="W102" s="6"/>
      <c r="X102" s="6"/>
      <c r="Y102" s="6"/>
      <c r="Z102" s="6"/>
      <c r="AA102" s="6"/>
    </row>
    <row r="103" ht="15.75" customHeight="1">
      <c r="A103" s="7">
        <f t="shared" si="1"/>
        <v>102</v>
      </c>
      <c r="B103" s="9" t="str">
        <f>IFERROR(__xludf.DUMMYFUNCTION("""COMPUTED_VALUE"""),"13.647972")</f>
        <v>13.647972</v>
      </c>
      <c r="C103" s="9" t="str">
        <f>IFERROR(__xludf.DUMMYFUNCTION("""COMPUTED_VALUE"""),"49.718625")</f>
        <v>49.718625</v>
      </c>
      <c r="D103" s="9" t="str">
        <f>IFERROR(__xludf.DUMMYFUNCTION("""COMPUTED_VALUE"""),"Síň tradic n.p. Bílá Cerekev, Hrádek u Rokycan")</f>
        <v>Síň tradic n.p. Bílá Cerekev, Hrádek u Rokycan</v>
      </c>
      <c r="E103" s="10" t="str">
        <f>IFERROR(__xludf.DUMMYFUNCTION("""COMPUTED_VALUE"""),"síň tradic")</f>
        <v>síň tradic</v>
      </c>
      <c r="F103" s="9" t="str">
        <f>IFERROR(__xludf.DUMMYFUNCTION("""COMPUTED_VALUE"""),"Síň tradic byla otevřena v roce 1985 s cílem dokumentovat a přiblížit dějiny hutnictví a dělnického hnutí.")</f>
        <v>Síň tradic byla otevřena v roce 1985 s cílem dokumentovat a přiblížit dějiny hutnictví a dělnického hnutí.</v>
      </c>
      <c r="G103" s="9" t="str">
        <f>IFERROR(__xludf.DUMMYFUNCTION("""COMPUTED_VALUE"""),"muzea")</f>
        <v>muzea</v>
      </c>
      <c r="H103" s="9" t="str">
        <f>IFERROR(__xludf.DUMMYFUNCTION("""COMPUTED_VALUE"""),"Podniková a tovární muzea")</f>
        <v>Podniková a tovární muzea</v>
      </c>
      <c r="I103" s="9" t="str">
        <f>IFERROR(__xludf.DUMMYFUNCTION("""COMPUTED_VALUE"""),"Ne")</f>
        <v>Ne</v>
      </c>
      <c r="J103" s="9">
        <f>IFERROR(__xludf.DUMMYFUNCTION("""COMPUTED_VALUE"""),1985.0)</f>
        <v>1985</v>
      </c>
      <c r="K103" s="9">
        <f>IFERROR(__xludf.DUMMYFUNCTION("""COMPUTED_VALUE"""),1989.0)</f>
        <v>1989</v>
      </c>
      <c r="L103" s="12" t="str">
        <f>IFERROR(__xludf.DUMMYFUNCTION("""COMPUTED_VALUE"""),"Václav Pubal: podniková - závodní muzea a síně revolučních tradic, Praha: Ústřední škola ROH A. Zápotockého 1985, str. 23-24")</f>
        <v>Václav Pubal: podniková - závodní muzea a síně revolučních tradic, Praha: Ústřední škola ROH A. Zápotockého 1985, str. 23-24</v>
      </c>
      <c r="M103" s="9"/>
      <c r="N103" s="9"/>
      <c r="O103" s="6"/>
      <c r="P103" s="6"/>
      <c r="Q103" s="6"/>
      <c r="R103" s="6"/>
      <c r="S103" s="6"/>
      <c r="T103" s="6"/>
      <c r="U103" s="6"/>
      <c r="V103" s="6"/>
      <c r="W103" s="6"/>
      <c r="X103" s="6"/>
      <c r="Y103" s="6"/>
      <c r="Z103" s="6"/>
      <c r="AA103" s="6"/>
    </row>
    <row r="104" ht="15.75" customHeight="1">
      <c r="A104" s="7">
        <f t="shared" si="1"/>
        <v>103</v>
      </c>
      <c r="B104" s="9" t="str">
        <f>IFERROR(__xludf.DUMMYFUNCTION("""COMPUTED_VALUE"""),"12.7595297")</f>
        <v>12.7595297</v>
      </c>
      <c r="C104" s="9" t="str">
        <f>IFERROR(__xludf.DUMMYFUNCTION("""COMPUTED_VALUE"""),"50.2478916")</f>
        <v>50.2478916</v>
      </c>
      <c r="D104" s="9" t="str">
        <f>IFERROR(__xludf.DUMMYFUNCTION("""COMPUTED_VALUE"""),"Síň tradic a pracovní slávy n.p. Chodos, Chodov u Karlových Varů")</f>
        <v>Síň tradic a pracovní slávy n.p. Chodos, Chodov u Karlových Varů</v>
      </c>
      <c r="E104" s="10" t="str">
        <f>IFERROR(__xludf.DUMMYFUNCTION("""COMPUTED_VALUE"""),"síň tradic")</f>
        <v>síň tradic</v>
      </c>
      <c r="F104" s="9" t="str">
        <f>IFERROR(__xludf.DUMMYFUNCTION("""COMPUTED_VALUE"""),"Expozice, věnující se dějinám závodu, se nacházela v chodbě a místnosti přilehlé k jídelně. Jejím hlavním tématem byla technologie zpracování pryže a plastických hmot.")</f>
        <v>Expozice, věnující se dějinám závodu, se nacházela v chodbě a místnosti přilehlé k jídelně. Jejím hlavním tématem byla technologie zpracování pryže a plastických hmot.</v>
      </c>
      <c r="G104" s="9" t="str">
        <f>IFERROR(__xludf.DUMMYFUNCTION("""COMPUTED_VALUE"""),"muzea")</f>
        <v>muzea</v>
      </c>
      <c r="H104" s="9" t="str">
        <f>IFERROR(__xludf.DUMMYFUNCTION("""COMPUTED_VALUE"""),"Podniková a tovární muzea")</f>
        <v>Podniková a tovární muzea</v>
      </c>
      <c r="I104" s="9" t="str">
        <f>IFERROR(__xludf.DUMMYFUNCTION("""COMPUTED_VALUE"""),"Ne")</f>
        <v>Ne</v>
      </c>
      <c r="J104" s="9"/>
      <c r="K104" s="9"/>
      <c r="L104" s="12" t="str">
        <f>IFERROR(__xludf.DUMMYFUNCTION("""COMPUTED_VALUE"""),"Václav Pubal: podniková - závodní muzea a síně revolučních tradic, Praha: Ústřední škola ROH A. Zápotockého 1985, str. 25")</f>
        <v>Václav Pubal: podniková - závodní muzea a síně revolučních tradic, Praha: Ústřední škola ROH A. Zápotockého 1985, str. 25</v>
      </c>
      <c r="M104" s="9"/>
      <c r="N104" s="9"/>
      <c r="O104" s="6"/>
      <c r="P104" s="6"/>
      <c r="Q104" s="6"/>
      <c r="R104" s="6"/>
      <c r="S104" s="6"/>
      <c r="T104" s="6"/>
      <c r="U104" s="6"/>
      <c r="V104" s="6"/>
      <c r="W104" s="6"/>
      <c r="X104" s="6"/>
      <c r="Y104" s="6"/>
      <c r="Z104" s="6"/>
      <c r="AA104" s="6"/>
    </row>
    <row r="105" ht="15.75" customHeight="1">
      <c r="A105" s="7">
        <f t="shared" si="1"/>
        <v>104</v>
      </c>
      <c r="B105" s="9" t="str">
        <f>IFERROR(__xludf.DUMMYFUNCTION("""COMPUTED_VALUE"""),"16.0567569")</f>
        <v>16.0567569</v>
      </c>
      <c r="C105" s="9" t="str">
        <f>IFERROR(__xludf.DUMMYFUNCTION("""COMPUTED_VALUE"""),"48.8500519")</f>
        <v>48.8500519</v>
      </c>
      <c r="D105" s="9" t="str">
        <f>IFERROR(__xludf.DUMMYFUNCTION("""COMPUTED_VALUE"""),"Síň revolučních tradic Keramických závodů n.p. Znojmo")</f>
        <v>Síň revolučních tradic Keramických závodů n.p. Znojmo</v>
      </c>
      <c r="E105" s="10" t="str">
        <f>IFERROR(__xludf.DUMMYFUNCTION("""COMPUTED_VALUE"""),"síň tradic")</f>
        <v>síň tradic</v>
      </c>
      <c r="F105" s="9" t="str">
        <f>IFERROR(__xludf.DUMMYFUNCTION("""COMPUTED_VALUE"""),"Expozice, zpřístupněná v roce 1973, se věnovala historii podniku, zaměstnanecké organizaci a dějinám keramiky.")</f>
        <v>Expozice, zpřístupněná v roce 1973, se věnovala historii podniku, zaměstnanecké organizaci a dějinám keramiky.</v>
      </c>
      <c r="G105" s="9" t="str">
        <f>IFERROR(__xludf.DUMMYFUNCTION("""COMPUTED_VALUE"""),"muzea")</f>
        <v>muzea</v>
      </c>
      <c r="H105" s="9" t="str">
        <f>IFERROR(__xludf.DUMMYFUNCTION("""COMPUTED_VALUE"""),"Podniková a tovární muzea")</f>
        <v>Podniková a tovární muzea</v>
      </c>
      <c r="I105" s="9" t="str">
        <f>IFERROR(__xludf.DUMMYFUNCTION("""COMPUTED_VALUE"""),"Ne")</f>
        <v>Ne</v>
      </c>
      <c r="J105" s="9">
        <f>IFERROR(__xludf.DUMMYFUNCTION("""COMPUTED_VALUE"""),1973.0)</f>
        <v>1973</v>
      </c>
      <c r="K105" s="9">
        <f>IFERROR(__xludf.DUMMYFUNCTION("""COMPUTED_VALUE"""),1989.0)</f>
        <v>1989</v>
      </c>
      <c r="L105" s="12" t="str">
        <f>IFERROR(__xludf.DUMMYFUNCTION("""COMPUTED_VALUE"""),"Václav Pubal: podniková - závodní muzea a síně revolučních tradic, Praha: Ústřední škola ROH A. Zápotockého 1985, str. 59")</f>
        <v>Václav Pubal: podniková - závodní muzea a síně revolučních tradic, Praha: Ústřední škola ROH A. Zápotockého 1985, str. 59</v>
      </c>
      <c r="M105" s="9"/>
      <c r="N105" s="9"/>
      <c r="O105" s="6"/>
      <c r="P105" s="6"/>
      <c r="Q105" s="6"/>
      <c r="R105" s="6"/>
      <c r="S105" s="6"/>
      <c r="T105" s="6"/>
      <c r="U105" s="6"/>
      <c r="V105" s="6"/>
      <c r="W105" s="6"/>
      <c r="X105" s="6"/>
      <c r="Y105" s="6"/>
      <c r="Z105" s="6"/>
      <c r="AA105" s="6"/>
    </row>
    <row r="106" ht="15.75" customHeight="1">
      <c r="A106" s="7">
        <f t="shared" si="1"/>
        <v>105</v>
      </c>
      <c r="B106" s="9" t="str">
        <f>IFERROR(__xludf.DUMMYFUNCTION("""COMPUTED_VALUE"""),"15.9302086")</f>
        <v>15.9302086</v>
      </c>
      <c r="C106" s="9" t="str">
        <f>IFERROR(__xludf.DUMMYFUNCTION("""COMPUTED_VALUE"""),"50.6672808")</f>
        <v>50.6672808</v>
      </c>
      <c r="D106" s="9" t="str">
        <f>IFERROR(__xludf.DUMMYFUNCTION("""COMPUTED_VALUE"""),"Síň tradic Dolu Jana Švermy")</f>
        <v>Síň tradic Dolu Jana Švermy</v>
      </c>
      <c r="E106" s="10" t="str">
        <f>IFERROR(__xludf.DUMMYFUNCTION("""COMPUTED_VALUE"""),"síň tradic")</f>
        <v>síň tradic</v>
      </c>
      <c r="F106" s="9" t="str">
        <f>IFERROR(__xludf.DUMMYFUNCTION("""COMPUTED_VALUE"""),"Síň tradic byla otevřena v roce 1985. Jejím tematickým jádrem byla těžba, hornická samospráva, dělnické hnutí a galerie nejlepších pracovníků. Dnes  je objekt adaptován na hornický skanzen.")</f>
        <v>Síň tradic byla otevřena v roce 1985. Jejím tematickým jádrem byla těžba, hornická samospráva, dělnické hnutí a galerie nejlepších pracovníků. Dnes  je objekt adaptován na hornický skanzen.</v>
      </c>
      <c r="G106" s="9" t="str">
        <f>IFERROR(__xludf.DUMMYFUNCTION("""COMPUTED_VALUE"""),"muzea")</f>
        <v>muzea</v>
      </c>
      <c r="H106" s="9" t="str">
        <f>IFERROR(__xludf.DUMMYFUNCTION("""COMPUTED_VALUE"""),"Podniková a tovární muzea")</f>
        <v>Podniková a tovární muzea</v>
      </c>
      <c r="I106" s="9" t="str">
        <f>IFERROR(__xludf.DUMMYFUNCTION("""COMPUTED_VALUE"""),"Ano")</f>
        <v>Ano</v>
      </c>
      <c r="J106" s="9">
        <f>IFERROR(__xludf.DUMMYFUNCTION("""COMPUTED_VALUE"""),1985.0)</f>
        <v>1985</v>
      </c>
      <c r="K106" s="9"/>
      <c r="L106" s="12" t="str">
        <f>IFERROR(__xludf.DUMMYFUNCTION("""COMPUTED_VALUE"""),"Důl Jan Šverma, 24. 11. 2021, djs-ops.cz (dostupné na https://www.djs-ops.cz/); Václav Pubal: podniková - závodní muzea a síně revolučních tradic, Praha: Ústřední škola ROH A. Zápotockého 1985, str. 59-60")</f>
        <v>Důl Jan Šverma, 24. 11. 2021, djs-ops.cz (dostupné na https://www.djs-ops.cz/); Václav Pubal: podniková - závodní muzea a síně revolučních tradic, Praha: Ústřední škola ROH A. Zápotockého 1985, str. 59-60</v>
      </c>
      <c r="M106" s="9"/>
      <c r="N106" s="9"/>
      <c r="O106" s="6"/>
      <c r="P106" s="6"/>
      <c r="Q106" s="6"/>
      <c r="R106" s="6"/>
      <c r="S106" s="6"/>
      <c r="T106" s="6"/>
      <c r="U106" s="6"/>
      <c r="V106" s="6"/>
      <c r="W106" s="6"/>
      <c r="X106" s="6"/>
      <c r="Y106" s="6"/>
      <c r="Z106" s="6"/>
      <c r="AA106" s="6"/>
    </row>
    <row r="107" ht="15.75" customHeight="1">
      <c r="A107" s="7">
        <f t="shared" si="1"/>
        <v>106</v>
      </c>
      <c r="B107" s="9" t="str">
        <f>IFERROR(__xludf.DUMMYFUNCTION("""COMPUTED_VALUE"""),"13.4238994")</f>
        <v>13.4238994</v>
      </c>
      <c r="C107" s="9" t="str">
        <f>IFERROR(__xludf.DUMMYFUNCTION("""COMPUTED_VALUE"""),"50.4588375")</f>
        <v>50.4588375</v>
      </c>
      <c r="D107" s="9" t="str">
        <f>IFERROR(__xludf.DUMMYFUNCTION("""COMPUTED_VALUE"""),"Síň revolučních tradic Válcoven trub Chomutov")</f>
        <v>Síň revolučních tradic Válcoven trub Chomutov</v>
      </c>
      <c r="E107" s="10" t="str">
        <f>IFERROR(__xludf.DUMMYFUNCTION("""COMPUTED_VALUE"""),"síň tradic")</f>
        <v>síň tradic</v>
      </c>
      <c r="F107" s="9" t="str">
        <f>IFERROR(__xludf.DUMMYFUNCTION("""COMPUTED_VALUE"""),"Síň tradic zahájila činnost v roce 1977. Stěžejními tématy expozice byly historie závodu, spolupráce zdejšího kolektivu se sovětskými odborníky, zapojení podniku do struktur RVHP a vývoj společenského a kulturního života. Nedílnou součástí síně revolučníc"&amp;"h tradic se stala i galerie nejlepších pracovníků.")</f>
        <v>Síň tradic zahájila činnost v roce 1977. Stěžejními tématy expozice byly historie závodu, spolupráce zdejšího kolektivu se sovětskými odborníky, zapojení podniku do struktur RVHP a vývoj společenského a kulturního života. Nedílnou součástí síně revolučních tradic se stala i galerie nejlepších pracovníků.</v>
      </c>
      <c r="G107" s="9" t="str">
        <f>IFERROR(__xludf.DUMMYFUNCTION("""COMPUTED_VALUE"""),"muzea")</f>
        <v>muzea</v>
      </c>
      <c r="H107" s="9" t="str">
        <f>IFERROR(__xludf.DUMMYFUNCTION("""COMPUTED_VALUE"""),"Podniková a tovární muzea")</f>
        <v>Podniková a tovární muzea</v>
      </c>
      <c r="I107" s="9" t="str">
        <f>IFERROR(__xludf.DUMMYFUNCTION("""COMPUTED_VALUE"""),"Ne")</f>
        <v>Ne</v>
      </c>
      <c r="J107" s="9">
        <f>IFERROR(__xludf.DUMMYFUNCTION("""COMPUTED_VALUE"""),1977.0)</f>
        <v>1977</v>
      </c>
      <c r="K107" s="9">
        <f>IFERROR(__xludf.DUMMYFUNCTION("""COMPUTED_VALUE"""),1989.0)</f>
        <v>1989</v>
      </c>
      <c r="L107" s="12" t="str">
        <f>IFERROR(__xludf.DUMMYFUNCTION("""COMPUTED_VALUE"""),"Václav Pubal: podniková - závodní muzea a síně revolučních tradic, Praha: Ústřední škola ROH A. Zápotockého 1985, str. 25")</f>
        <v>Václav Pubal: podniková - závodní muzea a síně revolučních tradic, Praha: Ústřední škola ROH A. Zápotockého 1985, str. 25</v>
      </c>
      <c r="M107" s="9"/>
      <c r="N107" s="9"/>
      <c r="O107" s="6"/>
      <c r="P107" s="6"/>
      <c r="Q107" s="6"/>
      <c r="R107" s="6"/>
      <c r="S107" s="6"/>
      <c r="T107" s="6"/>
      <c r="U107" s="6"/>
      <c r="V107" s="6"/>
      <c r="W107" s="6"/>
      <c r="X107" s="6"/>
      <c r="Y107" s="6"/>
      <c r="Z107" s="6"/>
      <c r="AA107" s="6"/>
    </row>
    <row r="108" ht="15.75" customHeight="1">
      <c r="A108" s="7">
        <f t="shared" si="1"/>
        <v>107</v>
      </c>
      <c r="B108" s="9" t="str">
        <f>IFERROR(__xludf.DUMMYFUNCTION("""COMPUTED_VALUE"""),"18.107865")</f>
        <v>18.107865</v>
      </c>
      <c r="C108" s="9" t="str">
        <f>IFERROR(__xludf.DUMMYFUNCTION("""COMPUTED_VALUE"""),"49.9922536")</f>
        <v>49.9922536</v>
      </c>
      <c r="D108" s="9" t="str">
        <f>IFERROR(__xludf.DUMMYFUNCTION("""COMPUTED_VALUE"""),"Síň tradic revolučního odborového hnutí, Chuchelná Lisovny nových hmot")</f>
        <v>Síň tradic revolučního odborového hnutí, Chuchelná Lisovny nových hmot</v>
      </c>
      <c r="E108" s="10" t="str">
        <f>IFERROR(__xludf.DUMMYFUNCTION("""COMPUTED_VALUE"""),"síň tradic")</f>
        <v>síň tradic</v>
      </c>
      <c r="F108" s="9" t="str">
        <f>IFERROR(__xludf.DUMMYFUNCTION("""COMPUTED_VALUE"""),"Síň tradic byla otevřena v roce 1979 s cílem zpřístupnit jak dějiny závodu od jeho vzniku v roce 1949, tak technologii zpracování plastů.")</f>
        <v>Síň tradic byla otevřena v roce 1979 s cílem zpřístupnit jak dějiny závodu od jeho vzniku v roce 1949, tak technologii zpracování plastů.</v>
      </c>
      <c r="G108" s="9" t="str">
        <f>IFERROR(__xludf.DUMMYFUNCTION("""COMPUTED_VALUE"""),"muzea")</f>
        <v>muzea</v>
      </c>
      <c r="H108" s="9" t="str">
        <f>IFERROR(__xludf.DUMMYFUNCTION("""COMPUTED_VALUE"""),"Podniková a tovární muzea")</f>
        <v>Podniková a tovární muzea</v>
      </c>
      <c r="I108" s="9" t="str">
        <f>IFERROR(__xludf.DUMMYFUNCTION("""COMPUTED_VALUE"""),"Ne")</f>
        <v>Ne</v>
      </c>
      <c r="J108" s="9">
        <f>IFERROR(__xludf.DUMMYFUNCTION("""COMPUTED_VALUE"""),1979.0)</f>
        <v>1979</v>
      </c>
      <c r="K108" s="9">
        <f>IFERROR(__xludf.DUMMYFUNCTION("""COMPUTED_VALUE"""),1989.0)</f>
        <v>1989</v>
      </c>
      <c r="L108" s="12" t="str">
        <f>IFERROR(__xludf.DUMMYFUNCTION("""COMPUTED_VALUE"""),"Václav Pubal: podniková - závodní muzea a síně revolučních tradic, Praha: Ústřední škola ROH A. Zápotockého 1985, str. 25-26")</f>
        <v>Václav Pubal: podniková - závodní muzea a síně revolučních tradic, Praha: Ústřední škola ROH A. Zápotockého 1985, str. 25-26</v>
      </c>
      <c r="M108" s="9"/>
      <c r="N108" s="9"/>
      <c r="O108" s="6"/>
      <c r="P108" s="6"/>
      <c r="Q108" s="6"/>
      <c r="R108" s="6"/>
      <c r="S108" s="6"/>
      <c r="T108" s="6"/>
      <c r="U108" s="6"/>
      <c r="V108" s="6"/>
      <c r="W108" s="6"/>
      <c r="X108" s="6"/>
      <c r="Y108" s="6"/>
      <c r="Z108" s="6"/>
      <c r="AA108" s="6"/>
    </row>
    <row r="109" ht="15.75" customHeight="1">
      <c r="A109" s="7">
        <f t="shared" si="1"/>
        <v>108</v>
      </c>
      <c r="B109" s="9" t="str">
        <f>IFERROR(__xludf.DUMMYFUNCTION("""COMPUTED_VALUE"""),"12.837766")</f>
        <v>12.837766</v>
      </c>
      <c r="C109" s="9" t="str">
        <f>IFERROR(__xludf.DUMMYFUNCTION("""COMPUTED_VALUE"""),"50.228226")</f>
        <v>50.228226</v>
      </c>
      <c r="D109" s="9" t="str">
        <f>IFERROR(__xludf.DUMMYFUNCTION("""COMPUTED_VALUE"""),"Expozice podniku Karlovarské sklo n.p. Moser")</f>
        <v>Expozice podniku Karlovarské sklo n.p. Moser</v>
      </c>
      <c r="E109" s="10" t="str">
        <f>IFERROR(__xludf.DUMMYFUNCTION("""COMPUTED_VALUE"""),"tovární muzeum")</f>
        <v>tovární muzeum</v>
      </c>
      <c r="F109" s="9" t="str">
        <f>IFERROR(__xludf.DUMMYFUNCTION("""COMPUTED_VALUE"""),"Expozice se věnovala dějinám technologie výroby uměleckého křišťálového skla.")</f>
        <v>Expozice se věnovala dějinám technologie výroby uměleckého křišťálového skla.</v>
      </c>
      <c r="G109" s="9" t="str">
        <f>IFERROR(__xludf.DUMMYFUNCTION("""COMPUTED_VALUE"""),"muzea")</f>
        <v>muzea</v>
      </c>
      <c r="H109" s="9" t="str">
        <f>IFERROR(__xludf.DUMMYFUNCTION("""COMPUTED_VALUE"""),"Podniková a tovární muzea")</f>
        <v>Podniková a tovární muzea</v>
      </c>
      <c r="I109" s="9" t="str">
        <f>IFERROR(__xludf.DUMMYFUNCTION("""COMPUTED_VALUE"""),"Ano")</f>
        <v>Ano</v>
      </c>
      <c r="J109" s="9"/>
      <c r="K109" s="9"/>
      <c r="L109" s="12" t="str">
        <f>IFERROR(__xludf.DUMMYFUNCTION("""COMPUTED_VALUE"""),"Václav Pubal: podniková - závodní muzea a síně revolučních tradic, Praha: Ústřední škola ROH A. Zápotockého 1985, str. 27")</f>
        <v>Václav Pubal: podniková - závodní muzea a síně revolučních tradic, Praha: Ústřední škola ROH A. Zápotockého 1985, str. 27</v>
      </c>
      <c r="M109" s="9"/>
      <c r="N109" s="9"/>
      <c r="O109" s="6"/>
      <c r="P109" s="6"/>
      <c r="Q109" s="6"/>
      <c r="R109" s="6"/>
      <c r="S109" s="6"/>
      <c r="T109" s="6"/>
      <c r="U109" s="6"/>
      <c r="V109" s="6"/>
      <c r="W109" s="6"/>
      <c r="X109" s="6"/>
      <c r="Y109" s="6"/>
      <c r="Z109" s="6"/>
      <c r="AA109" s="6"/>
    </row>
    <row r="110" ht="15.75" customHeight="1">
      <c r="A110" s="7">
        <f t="shared" si="1"/>
        <v>109</v>
      </c>
      <c r="B110" s="9" t="str">
        <f>IFERROR(__xludf.DUMMYFUNCTION("""COMPUTED_VALUE"""),"13.3749783")</f>
        <v>13.3749783</v>
      </c>
      <c r="C110" s="9" t="str">
        <f>IFERROR(__xludf.DUMMYFUNCTION("""COMPUTED_VALUE"""),"49.8868553")</f>
        <v>49.8868553</v>
      </c>
      <c r="D110" s="9" t="str">
        <f>IFERROR(__xludf.DUMMYFUNCTION("""COMPUTED_VALUE"""),"Síň tradic závodu Lachema Kaznějov")</f>
        <v>Síň tradic závodu Lachema Kaznějov</v>
      </c>
      <c r="E110" s="10" t="str">
        <f>IFERROR(__xludf.DUMMYFUNCTION("""COMPUTED_VALUE"""),"síň tradic")</f>
        <v>síň tradic</v>
      </c>
      <c r="F110" s="9" t="str">
        <f>IFERROR(__xludf.DUMMYFUNCTION("""COMPUTED_VALUE"""),"Hlavními tématy expozice byly vývoj závodu, dějiny chemického průmyslu a proměny postavení a životních podmínek dělníků.")</f>
        <v>Hlavními tématy expozice byly vývoj závodu, dějiny chemického průmyslu a proměny postavení a životních podmínek dělníků.</v>
      </c>
      <c r="G110" s="9" t="str">
        <f>IFERROR(__xludf.DUMMYFUNCTION("""COMPUTED_VALUE"""),"muzea")</f>
        <v>muzea</v>
      </c>
      <c r="H110" s="9" t="str">
        <f>IFERROR(__xludf.DUMMYFUNCTION("""COMPUTED_VALUE"""),"Podniková a tovární muzea")</f>
        <v>Podniková a tovární muzea</v>
      </c>
      <c r="I110" s="9" t="str">
        <f>IFERROR(__xludf.DUMMYFUNCTION("""COMPUTED_VALUE"""),"Ne")</f>
        <v>Ne</v>
      </c>
      <c r="J110" s="9"/>
      <c r="K110" s="9">
        <f>IFERROR(__xludf.DUMMYFUNCTION("""COMPUTED_VALUE"""),1989.0)</f>
        <v>1989</v>
      </c>
      <c r="L110" s="12" t="str">
        <f>IFERROR(__xludf.DUMMYFUNCTION("""COMPUTED_VALUE"""),"Václav Pubal: podniková - závodní muzea a síně revolučních tradic, Praha: Ústřední škola ROH A. Zápotockého 1985, str. 27-28")</f>
        <v>Václav Pubal: podniková - závodní muzea a síně revolučních tradic, Praha: Ústřední škola ROH A. Zápotockého 1985, str. 27-28</v>
      </c>
      <c r="M110" s="9"/>
      <c r="N110" s="9"/>
      <c r="O110" s="6"/>
      <c r="P110" s="6"/>
      <c r="Q110" s="6"/>
      <c r="R110" s="6"/>
      <c r="S110" s="6"/>
      <c r="T110" s="6"/>
      <c r="U110" s="6"/>
      <c r="V110" s="6"/>
      <c r="W110" s="6"/>
      <c r="X110" s="6"/>
      <c r="Y110" s="6"/>
      <c r="Z110" s="6"/>
      <c r="AA110" s="6"/>
    </row>
    <row r="111" ht="15.75" customHeight="1">
      <c r="A111" s="7">
        <f t="shared" si="1"/>
        <v>110</v>
      </c>
      <c r="B111" s="9" t="str">
        <f>IFERROR(__xludf.DUMMYFUNCTION("""COMPUTED_VALUE"""),"14.0922337")</f>
        <v>14.0922337</v>
      </c>
      <c r="C111" s="9" t="str">
        <f>IFERROR(__xludf.DUMMYFUNCTION("""COMPUTED_VALUE"""),"49.4032488")</f>
        <v>49.4032488</v>
      </c>
      <c r="D111" s="9" t="str">
        <f>IFERROR(__xludf.DUMMYFUNCTION("""COMPUTED_VALUE"""),"Síň tradic n.p. Kozak – kožedělné závody Klatovy")</f>
        <v>Síň tradic n.p. Kozak – kožedělné závody Klatovy</v>
      </c>
      <c r="E111" s="10" t="str">
        <f>IFERROR(__xludf.DUMMYFUNCTION("""COMPUTED_VALUE"""),"síň tradic")</f>
        <v>síň tradic</v>
      </c>
      <c r="F111" s="9" t="str">
        <f>IFERROR(__xludf.DUMMYFUNCTION("""COMPUTED_VALUE"""),"Expozice z roku 1982 se zaměřovala zejména na politicko-sociální a technicko-ekonomickou historii kožedělného průmyslu na Klatovsku od 19. století.")</f>
        <v>Expozice z roku 1982 se zaměřovala zejména na politicko-sociální a technicko-ekonomickou historii kožedělného průmyslu na Klatovsku od 19. století.</v>
      </c>
      <c r="G111" s="9" t="str">
        <f>IFERROR(__xludf.DUMMYFUNCTION("""COMPUTED_VALUE"""),"muzea")</f>
        <v>muzea</v>
      </c>
      <c r="H111" s="9" t="str">
        <f>IFERROR(__xludf.DUMMYFUNCTION("""COMPUTED_VALUE"""),"Podniková a tovární muzea")</f>
        <v>Podniková a tovární muzea</v>
      </c>
      <c r="I111" s="9" t="str">
        <f>IFERROR(__xludf.DUMMYFUNCTION("""COMPUTED_VALUE"""),"Ne")</f>
        <v>Ne</v>
      </c>
      <c r="J111" s="9">
        <f>IFERROR(__xludf.DUMMYFUNCTION("""COMPUTED_VALUE"""),1982.0)</f>
        <v>1982</v>
      </c>
      <c r="K111" s="9">
        <f>IFERROR(__xludf.DUMMYFUNCTION("""COMPUTED_VALUE"""),1989.0)</f>
        <v>1989</v>
      </c>
      <c r="L111" s="12" t="str">
        <f>IFERROR(__xludf.DUMMYFUNCTION("""COMPUTED_VALUE"""),"Václav Pubal: podniková - závodní muzea a síně revolučních tradic, Praha: Ústřední škola ROH A. Zápotockého 1985, str. 29")</f>
        <v>Václav Pubal: podniková - závodní muzea a síně revolučních tradic, Praha: Ústřední škola ROH A. Zápotockého 1985, str. 29</v>
      </c>
      <c r="M111" s="9"/>
      <c r="N111" s="9"/>
      <c r="O111" s="6"/>
      <c r="P111" s="6"/>
      <c r="Q111" s="6"/>
      <c r="R111" s="6"/>
      <c r="S111" s="6"/>
      <c r="T111" s="6"/>
      <c r="U111" s="6"/>
      <c r="V111" s="6"/>
      <c r="W111" s="6"/>
      <c r="X111" s="6"/>
      <c r="Y111" s="6"/>
      <c r="Z111" s="6"/>
      <c r="AA111" s="6"/>
    </row>
    <row r="112" ht="15.75" customHeight="1">
      <c r="A112" s="7">
        <f t="shared" si="1"/>
        <v>111</v>
      </c>
      <c r="B112" s="9" t="str">
        <f>IFERROR(__xludf.DUMMYFUNCTION("""COMPUTED_VALUE"""),"15.2108377")</f>
        <v>15.2108377</v>
      </c>
      <c r="C112" s="9" t="str">
        <f>IFERROR(__xludf.DUMMYFUNCTION("""COMPUTED_VALUE"""),"50.0257407")</f>
        <v>50.0257407</v>
      </c>
      <c r="D112" s="9" t="str">
        <f>IFERROR(__xludf.DUMMYFUNCTION("""COMPUTED_VALUE"""),"Síň tradic n.p. Obchodní tiskárny Kolín")</f>
        <v>Síň tradic n.p. Obchodní tiskárny Kolín</v>
      </c>
      <c r="E112" s="10" t="str">
        <f>IFERROR(__xludf.DUMMYFUNCTION("""COMPUTED_VALUE"""),"síň tradic")</f>
        <v>síň tradic</v>
      </c>
      <c r="F112" s="9" t="str">
        <f>IFERROR(__xludf.DUMMYFUNCTION("""COMPUTED_VALUE"""),"Síň tradic, zpřístupněná v roce 1985, představovala dějiny tiskáren a revolučních tradic města Kolín.")</f>
        <v>Síň tradic, zpřístupněná v roce 1985, představovala dějiny tiskáren a revolučních tradic města Kolín.</v>
      </c>
      <c r="G112" s="9" t="str">
        <f>IFERROR(__xludf.DUMMYFUNCTION("""COMPUTED_VALUE"""),"muzea")</f>
        <v>muzea</v>
      </c>
      <c r="H112" s="9" t="str">
        <f>IFERROR(__xludf.DUMMYFUNCTION("""COMPUTED_VALUE"""),"Podniková a tovární muzea")</f>
        <v>Podniková a tovární muzea</v>
      </c>
      <c r="I112" s="9" t="str">
        <f>IFERROR(__xludf.DUMMYFUNCTION("""COMPUTED_VALUE"""),"Ne")</f>
        <v>Ne</v>
      </c>
      <c r="J112" s="9">
        <f>IFERROR(__xludf.DUMMYFUNCTION("""COMPUTED_VALUE"""),1985.0)</f>
        <v>1985</v>
      </c>
      <c r="K112" s="9">
        <f>IFERROR(__xludf.DUMMYFUNCTION("""COMPUTED_VALUE"""),1989.0)</f>
        <v>1989</v>
      </c>
      <c r="L112" s="12" t="str">
        <f>IFERROR(__xludf.DUMMYFUNCTION("""COMPUTED_VALUE"""),"Václav Pubal: podniková - závodní muzea a síně revolučních tradic, Praha: Ústřední škola ROH A. Zápotockého 1985, str. 30")</f>
        <v>Václav Pubal: podniková - závodní muzea a síně revolučních tradic, Praha: Ústřední škola ROH A. Zápotockého 1985, str. 30</v>
      </c>
      <c r="M112" s="9"/>
      <c r="N112" s="9"/>
      <c r="O112" s="6"/>
      <c r="P112" s="6"/>
      <c r="Q112" s="6"/>
      <c r="R112" s="6"/>
      <c r="S112" s="6"/>
      <c r="T112" s="6"/>
      <c r="U112" s="6"/>
      <c r="V112" s="6"/>
      <c r="W112" s="6"/>
      <c r="X112" s="6"/>
      <c r="Y112" s="6"/>
      <c r="Z112" s="6"/>
      <c r="AA112" s="6"/>
    </row>
    <row r="113" ht="15.75" customHeight="1">
      <c r="A113" s="7">
        <f t="shared" si="1"/>
        <v>112</v>
      </c>
      <c r="B113" s="9" t="str">
        <f>IFERROR(__xludf.DUMMYFUNCTION("""COMPUTED_VALUE"""),"18.1435086")</f>
        <v>18.1435086</v>
      </c>
      <c r="C113" s="9" t="str">
        <f>IFERROR(__xludf.DUMMYFUNCTION("""COMPUTED_VALUE"""),"49.5995811")</f>
        <v>49.5995811</v>
      </c>
      <c r="D113" s="9" t="str">
        <f>IFERROR(__xludf.DUMMYFUNCTION("""COMPUTED_VALUE"""),"Technické muzeum n.p. Tatra v Kopřivnici")</f>
        <v>Technické muzeum n.p. Tatra v Kopřivnici</v>
      </c>
      <c r="E113" s="10" t="str">
        <f>IFERROR(__xludf.DUMMYFUNCTION("""COMPUTED_VALUE"""),"tovární muzeum")</f>
        <v>tovární muzeum</v>
      </c>
      <c r="F113" s="9" t="str">
        <f>IFERROR(__xludf.DUMMYFUNCTION("""COMPUTED_VALUE"""),"Muzejní expozice, otevřená v roce 1947, tematizovala dělnické hnutí, technické dějiny automobilek a výrobu kopřivnické keramiky. V roce 1968 sbírky převzal do správy n.p. Tatra Kopřivnice.")</f>
        <v>Muzejní expozice, otevřená v roce 1947, tematizovala dělnické hnutí, technické dějiny automobilek a výrobu kopřivnické keramiky. V roce 1968 sbírky převzal do správy n.p. Tatra Kopřivnice.</v>
      </c>
      <c r="G113" s="9" t="str">
        <f>IFERROR(__xludf.DUMMYFUNCTION("""COMPUTED_VALUE"""),"muzea")</f>
        <v>muzea</v>
      </c>
      <c r="H113" s="9" t="str">
        <f>IFERROR(__xludf.DUMMYFUNCTION("""COMPUTED_VALUE"""),"Podniková a tovární muzea")</f>
        <v>Podniková a tovární muzea</v>
      </c>
      <c r="I113" s="9" t="str">
        <f>IFERROR(__xludf.DUMMYFUNCTION("""COMPUTED_VALUE"""),"Ano")</f>
        <v>Ano</v>
      </c>
      <c r="J113" s="9">
        <f>IFERROR(__xludf.DUMMYFUNCTION("""COMPUTED_VALUE"""),1947.0)</f>
        <v>1947</v>
      </c>
      <c r="K113" s="9"/>
      <c r="L113" s="12" t="str">
        <f>IFERROR(__xludf.DUMMYFUNCTION("""COMPUTED_VALUE"""),"Václav Pubal: podniková - závodní muzea a síně revolučních tradic, Praha: Ústřední škola ROH A. Zápotockého 1985, str. 31-32; Muzeum Kopřivnice, 24. 11. 2021, tatramuseum.cz (dostupné na https://www.tatramuseum.cz/)")</f>
        <v>Václav Pubal: podniková - závodní muzea a síně revolučních tradic, Praha: Ústřední škola ROH A. Zápotockého 1985, str. 31-32; Muzeum Kopřivnice, 24. 11. 2021, tatramuseum.cz (dostupné na https://www.tatramuseum.cz/)</v>
      </c>
      <c r="M113" s="9"/>
      <c r="N113" s="9"/>
      <c r="O113" s="6"/>
      <c r="P113" s="6"/>
      <c r="Q113" s="6"/>
      <c r="R113" s="6"/>
      <c r="S113" s="6"/>
      <c r="T113" s="6"/>
      <c r="U113" s="6"/>
      <c r="V113" s="6"/>
      <c r="W113" s="6"/>
      <c r="X113" s="6"/>
      <c r="Y113" s="6"/>
      <c r="Z113" s="6"/>
      <c r="AA113" s="6"/>
    </row>
    <row r="114" ht="15.75" customHeight="1">
      <c r="A114" s="7">
        <f t="shared" si="1"/>
        <v>113</v>
      </c>
      <c r="B114" s="9" t="str">
        <f>IFERROR(__xludf.DUMMYFUNCTION("""COMPUTED_VALUE"""),"12.502017")</f>
        <v>12.502017</v>
      </c>
      <c r="C114" s="9" t="str">
        <f>IFERROR(__xludf.DUMMYFUNCTION("""COMPUTED_VALUE"""),"50.336654")</f>
        <v>50.336654</v>
      </c>
      <c r="D114" s="9" t="str">
        <f>IFERROR(__xludf.DUMMYFUNCTION("""COMPUTED_VALUE"""),"Síň tradic n.p. Krajka Kraslice")</f>
        <v>Síň tradic n.p. Krajka Kraslice</v>
      </c>
      <c r="E114" s="10" t="str">
        <f>IFERROR(__xludf.DUMMYFUNCTION("""COMPUTED_VALUE"""),"síň tradic")</f>
        <v>síň tradic</v>
      </c>
      <c r="F114" s="9" t="str">
        <f>IFERROR(__xludf.DUMMYFUNCTION("""COMPUTED_VALUE"""),"Expozice, zpřístupněná v roce 1985, měla za cíl představit dějiny závodu od roku 1886 a dějiny revolučního dělnického hnutí, odborového hnutí a socialistického budování.")</f>
        <v>Expozice, zpřístupněná v roce 1985, měla za cíl představit dějiny závodu od roku 1886 a dějiny revolučního dělnického hnutí, odborového hnutí a socialistického budování.</v>
      </c>
      <c r="G114" s="9" t="str">
        <f>IFERROR(__xludf.DUMMYFUNCTION("""COMPUTED_VALUE"""),"muzea")</f>
        <v>muzea</v>
      </c>
      <c r="H114" s="9" t="str">
        <f>IFERROR(__xludf.DUMMYFUNCTION("""COMPUTED_VALUE"""),"Podniková a tovární muzea")</f>
        <v>Podniková a tovární muzea</v>
      </c>
      <c r="I114" s="9" t="str">
        <f>IFERROR(__xludf.DUMMYFUNCTION("""COMPUTED_VALUE"""),"Ne")</f>
        <v>Ne</v>
      </c>
      <c r="J114" s="9">
        <f>IFERROR(__xludf.DUMMYFUNCTION("""COMPUTED_VALUE"""),1985.0)</f>
        <v>1985</v>
      </c>
      <c r="K114" s="9">
        <f>IFERROR(__xludf.DUMMYFUNCTION("""COMPUTED_VALUE"""),1989.0)</f>
        <v>1989</v>
      </c>
      <c r="L114" s="12" t="str">
        <f>IFERROR(__xludf.DUMMYFUNCTION("""COMPUTED_VALUE"""),"Václav Pubal: podniková - závodní muzea a síně revolučních tradic, Praha: Ústřední škola ROH A. Zápotockého 1985, str. 33")</f>
        <v>Václav Pubal: podniková - závodní muzea a síně revolučních tradic, Praha: Ústřední škola ROH A. Zápotockého 1985, str. 33</v>
      </c>
      <c r="M114" s="9"/>
      <c r="N114" s="9"/>
      <c r="O114" s="6"/>
      <c r="P114" s="6"/>
      <c r="Q114" s="6"/>
      <c r="R114" s="6"/>
      <c r="S114" s="6"/>
      <c r="T114" s="6"/>
      <c r="U114" s="6"/>
      <c r="V114" s="6"/>
      <c r="W114" s="6"/>
      <c r="X114" s="6"/>
      <c r="Y114" s="6"/>
      <c r="Z114" s="6"/>
      <c r="AA114" s="6"/>
    </row>
    <row r="115" ht="15.75" customHeight="1">
      <c r="A115" s="7">
        <f t="shared" si="1"/>
        <v>114</v>
      </c>
      <c r="B115" s="9" t="str">
        <f>IFERROR(__xludf.DUMMYFUNCTION("""COMPUTED_VALUE"""),"13.7987914")</f>
        <v>13.7987914</v>
      </c>
      <c r="C115" s="9" t="str">
        <f>IFERROR(__xludf.DUMMYFUNCTION("""COMPUTED_VALUE"""),"48.9227114")</f>
        <v>48.9227114</v>
      </c>
      <c r="D115" s="9" t="str">
        <f>IFERROR(__xludf.DUMMYFUNCTION("""COMPUTED_VALUE"""),"Sklářské muzeum Lenora")</f>
        <v>Sklářské muzeum Lenora</v>
      </c>
      <c r="E115" s="10" t="str">
        <f>IFERROR(__xludf.DUMMYFUNCTION("""COMPUTED_VALUE"""),"tovární muzeum")</f>
        <v>tovární muzeum</v>
      </c>
      <c r="F115" s="9" t="str">
        <f>IFERROR(__xludf.DUMMYFUNCTION("""COMPUTED_VALUE"""),"Muzeum zaměřené na popularizaci historie místní sklárny a technologie výroby skla.")</f>
        <v>Muzeum zaměřené na popularizaci historie místní sklárny a technologie výroby skla.</v>
      </c>
      <c r="G115" s="9" t="str">
        <f>IFERROR(__xludf.DUMMYFUNCTION("""COMPUTED_VALUE"""),"muzea")</f>
        <v>muzea</v>
      </c>
      <c r="H115" s="9" t="str">
        <f>IFERROR(__xludf.DUMMYFUNCTION("""COMPUTED_VALUE"""),"Podniková a tovární muzea")</f>
        <v>Podniková a tovární muzea</v>
      </c>
      <c r="I115" s="9" t="str">
        <f>IFERROR(__xludf.DUMMYFUNCTION("""COMPUTED_VALUE"""),"Ano")</f>
        <v>Ano</v>
      </c>
      <c r="J115" s="9">
        <f>IFERROR(__xludf.DUMMYFUNCTION("""COMPUTED_VALUE"""),1966.0)</f>
        <v>1966</v>
      </c>
      <c r="K115" s="9"/>
      <c r="L115" s="12" t="str">
        <f>IFERROR(__xludf.DUMMYFUNCTION("""COMPUTED_VALUE"""),"Václav Pubal: podniková - závodní muzea a síně revolučních tradic, Praha: Ústřední škola ROH A. Zápotockého 1985, str. 34-35")</f>
        <v>Václav Pubal: podniková - závodní muzea a síně revolučních tradic, Praha: Ústřední škola ROH A. Zápotockého 1985, str. 34-35</v>
      </c>
      <c r="M115" s="9"/>
      <c r="N115" s="9"/>
      <c r="O115" s="6"/>
      <c r="P115" s="6"/>
      <c r="Q115" s="6"/>
      <c r="R115" s="6"/>
      <c r="S115" s="6"/>
      <c r="T115" s="6"/>
      <c r="U115" s="6"/>
      <c r="V115" s="6"/>
      <c r="W115" s="6"/>
      <c r="X115" s="6"/>
      <c r="Y115" s="6"/>
      <c r="Z115" s="6"/>
      <c r="AA115" s="6"/>
    </row>
    <row r="116" ht="15.75" customHeight="1">
      <c r="A116" s="7">
        <f t="shared" si="1"/>
        <v>115</v>
      </c>
      <c r="B116" s="9" t="str">
        <f>IFERROR(__xludf.DUMMYFUNCTION("""COMPUTED_VALUE"""),"16.6679053")</f>
        <v>16.6679053</v>
      </c>
      <c r="C116" s="9" t="str">
        <f>IFERROR(__xludf.DUMMYFUNCTION("""COMPUTED_VALUE"""),"49.7638729")</f>
        <v>49.7638729</v>
      </c>
      <c r="D116" s="9" t="str">
        <f>IFERROR(__xludf.DUMMYFUNCTION("""COMPUTED_VALUE"""),"Síň tradic n.p. Hedva Moravská Třebová")</f>
        <v>Síň tradic n.p. Hedva Moravská Třebová</v>
      </c>
      <c r="E116" s="10" t="str">
        <f>IFERROR(__xludf.DUMMYFUNCTION("""COMPUTED_VALUE"""),"síň tradic")</f>
        <v>síň tradic</v>
      </c>
      <c r="F116" s="9" t="str">
        <f>IFERROR(__xludf.DUMMYFUNCTION("""COMPUTED_VALUE"""),"Expozice byly zaměřeny na dějiny textilní výroby a politické organizace, na vývoj životních podmínek dělnictva a socialistické budování národního podníku.")</f>
        <v>Expozice byly zaměřeny na dějiny textilní výroby a politické organizace, na vývoj životních podmínek dělnictva a socialistické budování národního podníku.</v>
      </c>
      <c r="G116" s="9" t="str">
        <f>IFERROR(__xludf.DUMMYFUNCTION("""COMPUTED_VALUE"""),"muzea")</f>
        <v>muzea</v>
      </c>
      <c r="H116" s="9" t="str">
        <f>IFERROR(__xludf.DUMMYFUNCTION("""COMPUTED_VALUE"""),"Podniková a tovární muzea")</f>
        <v>Podniková a tovární muzea</v>
      </c>
      <c r="I116" s="9" t="str">
        <f>IFERROR(__xludf.DUMMYFUNCTION("""COMPUTED_VALUE"""),"Ne")</f>
        <v>Ne</v>
      </c>
      <c r="J116" s="9">
        <f>IFERROR(__xludf.DUMMYFUNCTION("""COMPUTED_VALUE"""),1982.0)</f>
        <v>1982</v>
      </c>
      <c r="K116" s="9">
        <f>IFERROR(__xludf.DUMMYFUNCTION("""COMPUTED_VALUE"""),1989.0)</f>
        <v>1989</v>
      </c>
      <c r="L116" s="12" t="str">
        <f>IFERROR(__xludf.DUMMYFUNCTION("""COMPUTED_VALUE"""),"Václav Pubal: podniková - závodní muzea a síně revolučních tradic, Praha: Ústřední škola ROH A. Zápotockého 1985, str. 37-38")</f>
        <v>Václav Pubal: podniková - závodní muzea a síně revolučních tradic, Praha: Ústřední škola ROH A. Zápotockého 1985, str. 37-38</v>
      </c>
      <c r="M116" s="9"/>
      <c r="N116" s="9"/>
      <c r="O116" s="6"/>
      <c r="P116" s="6"/>
      <c r="Q116" s="6"/>
      <c r="R116" s="6"/>
      <c r="S116" s="6"/>
      <c r="T116" s="6"/>
      <c r="U116" s="6"/>
      <c r="V116" s="6"/>
      <c r="W116" s="6"/>
      <c r="X116" s="6"/>
      <c r="Y116" s="6"/>
      <c r="Z116" s="6"/>
      <c r="AA116" s="6"/>
    </row>
    <row r="117" ht="15.75" customHeight="1">
      <c r="A117" s="7">
        <f t="shared" si="1"/>
        <v>116</v>
      </c>
      <c r="B117" s="9" t="str">
        <f>IFERROR(__xludf.DUMMYFUNCTION("""COMPUTED_VALUE"""),"12.7432747")</f>
        <v>12.7432747</v>
      </c>
      <c r="C117" s="9" t="str">
        <f>IFERROR(__xludf.DUMMYFUNCTION("""COMPUTED_VALUE"""),"50.2103933")</f>
        <v>50.2103933</v>
      </c>
      <c r="D117" s="9" t="str">
        <f>IFERROR(__xludf.DUMMYFUNCTION("""COMPUTED_VALUE"""),"Síň tradic Sklo Union, Nové Sedlo")</f>
        <v>Síň tradic Sklo Union, Nové Sedlo</v>
      </c>
      <c r="E117" s="10" t="str">
        <f>IFERROR(__xludf.DUMMYFUNCTION("""COMPUTED_VALUE"""),"síň tradic")</f>
        <v>síň tradic</v>
      </c>
      <c r="F117" s="9" t="str">
        <f>IFERROR(__xludf.DUMMYFUNCTION("""COMPUTED_VALUE"""),"Síň tradic, otevřená v roce 1986, představovala vývoj závodu, historii boje sklářských dělníků a technologii místní výroby.")</f>
        <v>Síň tradic, otevřená v roce 1986, představovala vývoj závodu, historii boje sklářských dělníků a technologii místní výroby.</v>
      </c>
      <c r="G117" s="9" t="str">
        <f>IFERROR(__xludf.DUMMYFUNCTION("""COMPUTED_VALUE"""),"muzea")</f>
        <v>muzea</v>
      </c>
      <c r="H117" s="9" t="str">
        <f>IFERROR(__xludf.DUMMYFUNCTION("""COMPUTED_VALUE"""),"Podniková a tovární muzea")</f>
        <v>Podniková a tovární muzea</v>
      </c>
      <c r="I117" s="9" t="str">
        <f>IFERROR(__xludf.DUMMYFUNCTION("""COMPUTED_VALUE"""),"Ne")</f>
        <v>Ne</v>
      </c>
      <c r="J117" s="9">
        <f>IFERROR(__xludf.DUMMYFUNCTION("""COMPUTED_VALUE"""),1986.0)</f>
        <v>1986</v>
      </c>
      <c r="K117" s="9">
        <f>IFERROR(__xludf.DUMMYFUNCTION("""COMPUTED_VALUE"""),1989.0)</f>
        <v>1989</v>
      </c>
      <c r="L117" s="12" t="str">
        <f>IFERROR(__xludf.DUMMYFUNCTION("""COMPUTED_VALUE"""),"Václav Pubal: podniková - závodní muzea a síně revolučních tradic, Praha: Ústřední škola ROH A. Zápotockého 1985, str. 38")</f>
        <v>Václav Pubal: podniková - závodní muzea a síně revolučních tradic, Praha: Ústřední škola ROH A. Zápotockého 1985, str. 38</v>
      </c>
      <c r="M117" s="9"/>
      <c r="N117" s="9"/>
      <c r="O117" s="6"/>
      <c r="P117" s="6"/>
      <c r="Q117" s="6"/>
      <c r="R117" s="6"/>
      <c r="S117" s="6"/>
      <c r="T117" s="6"/>
      <c r="U117" s="6"/>
      <c r="V117" s="6"/>
      <c r="W117" s="6"/>
      <c r="X117" s="6"/>
      <c r="Y117" s="6"/>
      <c r="Z117" s="6"/>
      <c r="AA117" s="6"/>
    </row>
    <row r="118" ht="15.75" customHeight="1">
      <c r="A118" s="7">
        <f t="shared" si="1"/>
        <v>117</v>
      </c>
      <c r="B118" s="9" t="str">
        <f>IFERROR(__xludf.DUMMYFUNCTION("""COMPUTED_VALUE"""),"18.4575839")</f>
        <v>18.4575839</v>
      </c>
      <c r="C118" s="9" t="str">
        <f>IFERROR(__xludf.DUMMYFUNCTION("""COMPUTED_VALUE"""),"49.8478086")</f>
        <v>49.8478086</v>
      </c>
      <c r="D118" s="9" t="str">
        <f>IFERROR(__xludf.DUMMYFUNCTION("""COMPUTED_VALUE"""),"Síň cti a tradic pracujících Dolu Doubrava")</f>
        <v>Síň cti a tradic pracujících Dolu Doubrava</v>
      </c>
      <c r="E118" s="10" t="str">
        <f>IFERROR(__xludf.DUMMYFUNCTION("""COMPUTED_VALUE"""),"síň tradic")</f>
        <v>síň tradic</v>
      </c>
      <c r="F118" s="9" t="str">
        <f>IFERROR(__xludf.DUMMYFUNCTION("""COMPUTED_VALUE"""),"Síň tradic byla založena roku 1977 ve správní budově dolu. Zaměřovala se na dějiny dolování a dělnického hnutí.")</f>
        <v>Síň tradic byla založena roku 1977 ve správní budově dolu. Zaměřovala se na dějiny dolování a dělnického hnutí.</v>
      </c>
      <c r="G118" s="9" t="str">
        <f>IFERROR(__xludf.DUMMYFUNCTION("""COMPUTED_VALUE"""),"muzea")</f>
        <v>muzea</v>
      </c>
      <c r="H118" s="9" t="str">
        <f>IFERROR(__xludf.DUMMYFUNCTION("""COMPUTED_VALUE"""),"Podniková a tovární muzea")</f>
        <v>Podniková a tovární muzea</v>
      </c>
      <c r="I118" s="9" t="str">
        <f>IFERROR(__xludf.DUMMYFUNCTION("""COMPUTED_VALUE"""),"Ne")</f>
        <v>Ne</v>
      </c>
      <c r="J118" s="9">
        <f>IFERROR(__xludf.DUMMYFUNCTION("""COMPUTED_VALUE"""),1977.0)</f>
        <v>1977</v>
      </c>
      <c r="K118" s="9">
        <f>IFERROR(__xludf.DUMMYFUNCTION("""COMPUTED_VALUE"""),1989.0)</f>
        <v>1989</v>
      </c>
      <c r="L118" s="12" t="str">
        <f>IFERROR(__xludf.DUMMYFUNCTION("""COMPUTED_VALUE"""),"Václav Pubal: podniková - závodní muzea a síně revolučních tradic, Praha: Ústřední škola ROH A. Zápotockého 1985, str. 39")</f>
        <v>Václav Pubal: podniková - závodní muzea a síně revolučních tradic, Praha: Ústřední škola ROH A. Zápotockého 1985, str. 39</v>
      </c>
      <c r="M118" s="9"/>
      <c r="N118" s="9"/>
      <c r="O118" s="6"/>
      <c r="P118" s="6"/>
      <c r="Q118" s="6"/>
      <c r="R118" s="6"/>
      <c r="S118" s="6"/>
      <c r="T118" s="6"/>
      <c r="U118" s="6"/>
      <c r="V118" s="6"/>
      <c r="W118" s="6"/>
      <c r="X118" s="6"/>
      <c r="Y118" s="6"/>
      <c r="Z118" s="6"/>
      <c r="AA118" s="6"/>
    </row>
    <row r="119" ht="15.75" customHeight="1">
      <c r="A119" s="7">
        <f t="shared" si="1"/>
        <v>118</v>
      </c>
      <c r="B119" s="9" t="str">
        <f>IFERROR(__xludf.DUMMYFUNCTION("""COMPUTED_VALUE"""),"18.4446")</f>
        <v>18.4446</v>
      </c>
      <c r="C119" s="9" t="str">
        <f>IFERROR(__xludf.DUMMYFUNCTION("""COMPUTED_VALUE"""),"49.8296")</f>
        <v>49.8296</v>
      </c>
      <c r="D119" s="9" t="str">
        <f>IFERROR(__xludf.DUMMYFUNCTION("""COMPUTED_VALUE"""),"Podniková síň tradic dolu Antonín Zápotocký")</f>
        <v>Podniková síň tradic dolu Antonín Zápotocký</v>
      </c>
      <c r="E119" s="10" t="str">
        <f>IFERROR(__xludf.DUMMYFUNCTION("""COMPUTED_VALUE"""),"síň tradic")</f>
        <v>síň tradic</v>
      </c>
      <c r="F119" s="9" t="str">
        <f>IFERROR(__xludf.DUMMYFUNCTION("""COMPUTED_VALUE"""),"Síň tradic byla otevřena v roce 1973 s cílem popularizovat dějiny hornictví v regionu.")</f>
        <v>Síň tradic byla otevřena v roce 1973 s cílem popularizovat dějiny hornictví v regionu.</v>
      </c>
      <c r="G119" s="9" t="str">
        <f>IFERROR(__xludf.DUMMYFUNCTION("""COMPUTED_VALUE"""),"muzea")</f>
        <v>muzea</v>
      </c>
      <c r="H119" s="9" t="str">
        <f>IFERROR(__xludf.DUMMYFUNCTION("""COMPUTED_VALUE"""),"Podniková a tovární muzea")</f>
        <v>Podniková a tovární muzea</v>
      </c>
      <c r="I119" s="9" t="str">
        <f>IFERROR(__xludf.DUMMYFUNCTION("""COMPUTED_VALUE"""),"Ne")</f>
        <v>Ne</v>
      </c>
      <c r="J119" s="9">
        <f>IFERROR(__xludf.DUMMYFUNCTION("""COMPUTED_VALUE"""),1973.0)</f>
        <v>1973</v>
      </c>
      <c r="K119" s="9">
        <f>IFERROR(__xludf.DUMMYFUNCTION("""COMPUTED_VALUE"""),1989.0)</f>
        <v>1989</v>
      </c>
      <c r="L119" s="12" t="str">
        <f>IFERROR(__xludf.DUMMYFUNCTION("""COMPUTED_VALUE"""),"Václav Pubal: podniková - závodní muzea a síně revolučních tradic, Praha: Ústřední škola ROH A. Zápotockého 1985, str. 40")</f>
        <v>Václav Pubal: podniková - závodní muzea a síně revolučních tradic, Praha: Ústřední škola ROH A. Zápotockého 1985, str. 40</v>
      </c>
      <c r="M119" s="9"/>
      <c r="N119" s="9"/>
      <c r="O119" s="6"/>
      <c r="P119" s="6"/>
      <c r="Q119" s="6"/>
      <c r="R119" s="6"/>
      <c r="S119" s="6"/>
      <c r="T119" s="6"/>
      <c r="U119" s="6"/>
      <c r="V119" s="6"/>
      <c r="W119" s="6"/>
      <c r="X119" s="6"/>
      <c r="Y119" s="6"/>
      <c r="Z119" s="6"/>
      <c r="AA119" s="6"/>
    </row>
    <row r="120" ht="15.75" customHeight="1">
      <c r="A120" s="7">
        <f t="shared" si="1"/>
        <v>119</v>
      </c>
      <c r="B120" s="9" t="str">
        <f>IFERROR(__xludf.DUMMYFUNCTION("""COMPUTED_VALUE"""),"18.2744931")</f>
        <v>18.2744931</v>
      </c>
      <c r="C120" s="9" t="str">
        <f>IFERROR(__xludf.DUMMYFUNCTION("""COMPUTED_VALUE"""),"49.8567108")</f>
        <v>49.8567108</v>
      </c>
      <c r="D120" s="9" t="str">
        <f>IFERROR(__xludf.DUMMYFUNCTION("""COMPUTED_VALUE"""),"Síň tradic Dolu Vítězný únor")</f>
        <v>Síň tradic Dolu Vítězný únor</v>
      </c>
      <c r="E120" s="10" t="str">
        <f>IFERROR(__xludf.DUMMYFUNCTION("""COMPUTED_VALUE"""),"síň tradic")</f>
        <v>síň tradic</v>
      </c>
      <c r="F120" s="9" t="str">
        <f>IFERROR(__xludf.DUMMYFUNCTION("""COMPUTED_VALUE"""),"Síň tradic, otevřená v roce 1977, měla za cíl představit hornickou tradici v dole od 19. století.")</f>
        <v>Síň tradic, otevřená v roce 1977, měla za cíl představit hornickou tradici v dole od 19. století.</v>
      </c>
      <c r="G120" s="9" t="str">
        <f>IFERROR(__xludf.DUMMYFUNCTION("""COMPUTED_VALUE"""),"muzea")</f>
        <v>muzea</v>
      </c>
      <c r="H120" s="9" t="str">
        <f>IFERROR(__xludf.DUMMYFUNCTION("""COMPUTED_VALUE"""),"Podniková a tovární muzea")</f>
        <v>Podniková a tovární muzea</v>
      </c>
      <c r="I120" s="9" t="str">
        <f>IFERROR(__xludf.DUMMYFUNCTION("""COMPUTED_VALUE"""),"Ne")</f>
        <v>Ne</v>
      </c>
      <c r="J120" s="9">
        <f>IFERROR(__xludf.DUMMYFUNCTION("""COMPUTED_VALUE"""),1977.0)</f>
        <v>1977</v>
      </c>
      <c r="K120" s="9">
        <f>IFERROR(__xludf.DUMMYFUNCTION("""COMPUTED_VALUE"""),1989.0)</f>
        <v>1989</v>
      </c>
      <c r="L120" s="12" t="str">
        <f>IFERROR(__xludf.DUMMYFUNCTION("""COMPUTED_VALUE"""),"Václav Pubal: podniková - závodní muzea a síně revolučních tradic, Praha: Ústřední škola ROH A. Zápotockého 1985, str. 42")</f>
        <v>Václav Pubal: podniková - závodní muzea a síně revolučních tradic, Praha: Ústřední škola ROH A. Zápotockého 1985, str. 42</v>
      </c>
      <c r="M120" s="9"/>
      <c r="N120" s="9"/>
      <c r="O120" s="6"/>
      <c r="P120" s="6"/>
      <c r="Q120" s="6"/>
      <c r="R120" s="6"/>
      <c r="S120" s="6"/>
      <c r="T120" s="6"/>
      <c r="U120" s="6"/>
      <c r="V120" s="6"/>
      <c r="W120" s="6"/>
      <c r="X120" s="6"/>
      <c r="Y120" s="6"/>
      <c r="Z120" s="6"/>
      <c r="AA120" s="6"/>
    </row>
    <row r="121" ht="15.75" customHeight="1">
      <c r="A121" s="7">
        <f t="shared" si="1"/>
        <v>120</v>
      </c>
      <c r="B121" s="9" t="str">
        <f>IFERROR(__xludf.DUMMYFUNCTION("""COMPUTED_VALUE"""),"18.3781981")</f>
        <v>18.3781981</v>
      </c>
      <c r="C121" s="9" t="str">
        <f>IFERROR(__xludf.DUMMYFUNCTION("""COMPUTED_VALUE"""),"49.817575")</f>
        <v>49.817575</v>
      </c>
      <c r="D121" s="9" t="str">
        <f>IFERROR(__xludf.DUMMYFUNCTION("""COMPUTED_VALUE"""),"Expozice hornické tradice Důl Julius Fučík, Petřvald")</f>
        <v>Expozice hornické tradice Důl Julius Fučík, Petřvald</v>
      </c>
      <c r="E121" s="10" t="str">
        <f>IFERROR(__xludf.DUMMYFUNCTION("""COMPUTED_VALUE"""),"síň tradic")</f>
        <v>síň tradic</v>
      </c>
      <c r="F121" s="9" t="str">
        <f>IFERROR(__xludf.DUMMYFUNCTION("""COMPUTED_VALUE"""),"Expozice, otevřená v roce 1983, se zaměřovala na vývoj dolování a sociálně politického dění na dolech Petřvald.")</f>
        <v>Expozice, otevřená v roce 1983, se zaměřovala na vývoj dolování a sociálně politického dění na dolech Petřvald.</v>
      </c>
      <c r="G121" s="9" t="str">
        <f>IFERROR(__xludf.DUMMYFUNCTION("""COMPUTED_VALUE"""),"muzea")</f>
        <v>muzea</v>
      </c>
      <c r="H121" s="9" t="str">
        <f>IFERROR(__xludf.DUMMYFUNCTION("""COMPUTED_VALUE"""),"Podniková a tovární muzea")</f>
        <v>Podniková a tovární muzea</v>
      </c>
      <c r="I121" s="9" t="str">
        <f>IFERROR(__xludf.DUMMYFUNCTION("""COMPUTED_VALUE"""),"Ne")</f>
        <v>Ne</v>
      </c>
      <c r="J121" s="9">
        <f>IFERROR(__xludf.DUMMYFUNCTION("""COMPUTED_VALUE"""),1983.0)</f>
        <v>1983</v>
      </c>
      <c r="K121" s="9">
        <f>IFERROR(__xludf.DUMMYFUNCTION("""COMPUTED_VALUE"""),1989.0)</f>
        <v>1989</v>
      </c>
      <c r="L121" s="12" t="str">
        <f>IFERROR(__xludf.DUMMYFUNCTION("""COMPUTED_VALUE"""),"Václav Pubal: podniková - závodní muzea a síně revolučních tradic, Praha: Ústřední škola ROH A. Zápotockého 1985, str. 43")</f>
        <v>Václav Pubal: podniková - závodní muzea a síně revolučních tradic, Praha: Ústřední škola ROH A. Zápotockého 1985, str. 43</v>
      </c>
      <c r="M121" s="9"/>
      <c r="N121" s="9"/>
      <c r="O121" s="6"/>
      <c r="P121" s="6"/>
      <c r="Q121" s="6"/>
      <c r="R121" s="6"/>
      <c r="S121" s="6"/>
      <c r="T121" s="6"/>
      <c r="U121" s="6"/>
      <c r="V121" s="6"/>
      <c r="W121" s="6"/>
      <c r="X121" s="6"/>
      <c r="Y121" s="6"/>
      <c r="Z121" s="6"/>
      <c r="AA121" s="6"/>
    </row>
    <row r="122" ht="15.75" customHeight="1">
      <c r="A122" s="7">
        <f t="shared" si="1"/>
        <v>121</v>
      </c>
      <c r="B122" s="9" t="str">
        <f>IFERROR(__xludf.DUMMYFUNCTION("""COMPUTED_VALUE"""),"13.3649816")</f>
        <v>13.3649816</v>
      </c>
      <c r="C122" s="9" t="str">
        <f>IFERROR(__xludf.DUMMYFUNCTION("""COMPUTED_VALUE"""),"49.7447232")</f>
        <v>49.7447232</v>
      </c>
      <c r="D122" s="9" t="str">
        <f>IFERROR(__xludf.DUMMYFUNCTION("""COMPUTED_VALUE"""),"Muzeum k.p. Škoda")</f>
        <v>Muzeum k.p. Škoda</v>
      </c>
      <c r="E122" s="10" t="str">
        <f>IFERROR(__xludf.DUMMYFUNCTION("""COMPUTED_VALUE"""),"tovární muzeum")</f>
        <v>tovární muzeum</v>
      </c>
      <c r="F122" s="9" t="str">
        <f>IFERROR(__xludf.DUMMYFUNCTION("""COMPUTED_VALUE"""),"Muzejní expozice byla otevřena v roce 1974 s cílem popularizovat technologii výroby a dějiny dělnického hnutí. Dobově byla považována za důležitou část, která se věnovala družbě škodováků s dělníky Uralmaše.")</f>
        <v>Muzejní expozice byla otevřena v roce 1974 s cílem popularizovat technologii výroby a dějiny dělnického hnutí. Dobově byla považována za důležitou část, která se věnovala družbě škodováků s dělníky Uralmaše.</v>
      </c>
      <c r="G122" s="9" t="str">
        <f>IFERROR(__xludf.DUMMYFUNCTION("""COMPUTED_VALUE"""),"muzea")</f>
        <v>muzea</v>
      </c>
      <c r="H122" s="9" t="str">
        <f>IFERROR(__xludf.DUMMYFUNCTION("""COMPUTED_VALUE"""),"Podniková a tovární muzea")</f>
        <v>Podniková a tovární muzea</v>
      </c>
      <c r="I122" s="9" t="str">
        <f>IFERROR(__xludf.DUMMYFUNCTION("""COMPUTED_VALUE"""),"Ano")</f>
        <v>Ano</v>
      </c>
      <c r="J122" s="9">
        <f>IFERROR(__xludf.DUMMYFUNCTION("""COMPUTED_VALUE"""),1974.0)</f>
        <v>1974</v>
      </c>
      <c r="K122" s="9"/>
      <c r="L122" s="12" t="str">
        <f>IFERROR(__xludf.DUMMYFUNCTION("""COMPUTED_VALUE"""),"Václav Pubal: podniková - závodní muzea a síně revolučních tradic, Praha: Ústřední škola ROH A. Zápotockého 1985, str. 44; Škoda muzeum, 24. 11. 2021, museum.skoda-auto.cz (dostupné na https://museum.skoda-auto.cz/)")</f>
        <v>Václav Pubal: podniková - závodní muzea a síně revolučních tradic, Praha: Ústřední škola ROH A. Zápotockého 1985, str. 44; Škoda muzeum, 24. 11. 2021, museum.skoda-auto.cz (dostupné na https://museum.skoda-auto.cz/)</v>
      </c>
      <c r="M122" s="9"/>
      <c r="N122" s="9"/>
      <c r="O122" s="6"/>
      <c r="P122" s="6"/>
      <c r="Q122" s="6"/>
      <c r="R122" s="6"/>
      <c r="S122" s="6"/>
      <c r="T122" s="6"/>
      <c r="U122" s="6"/>
      <c r="V122" s="6"/>
      <c r="W122" s="6"/>
      <c r="X122" s="6"/>
      <c r="Y122" s="6"/>
      <c r="Z122" s="6"/>
      <c r="AA122" s="6"/>
    </row>
    <row r="123" ht="15.75" customHeight="1">
      <c r="A123" s="7">
        <f t="shared" si="1"/>
        <v>122</v>
      </c>
      <c r="B123" s="9" t="str">
        <f>IFERROR(__xludf.DUMMYFUNCTION("""COMPUTED_VALUE"""),"14.4319861")</f>
        <v>14.4319861</v>
      </c>
      <c r="C123" s="9" t="str">
        <f>IFERROR(__xludf.DUMMYFUNCTION("""COMPUTED_VALUE"""),"50.0868505")</f>
        <v>50.0868505</v>
      </c>
      <c r="D123" s="9" t="str">
        <f>IFERROR(__xludf.DUMMYFUNCTION("""COMPUTED_VALUE"""),"Síň tradic ČSD Severozápadní dráhy Praha")</f>
        <v>Síň tradic ČSD Severozápadní dráhy Praha</v>
      </c>
      <c r="E123" s="10" t="str">
        <f>IFERROR(__xludf.DUMMYFUNCTION("""COMPUTED_VALUE"""),"síň tradic")</f>
        <v>síň tradic</v>
      </c>
      <c r="F123" s="9" t="str">
        <f>IFERROR(__xludf.DUMMYFUNCTION("""COMPUTED_VALUE"""),"Síň tradic byla otevřena roku 1951 v areálu podnikového archivu s cílem představit vývoj železniční dopravy.")</f>
        <v>Síň tradic byla otevřena roku 1951 v areálu podnikového archivu s cílem představit vývoj železniční dopravy.</v>
      </c>
      <c r="G123" s="9" t="str">
        <f>IFERROR(__xludf.DUMMYFUNCTION("""COMPUTED_VALUE"""),"muzea")</f>
        <v>muzea</v>
      </c>
      <c r="H123" s="9" t="str">
        <f>IFERROR(__xludf.DUMMYFUNCTION("""COMPUTED_VALUE"""),"Podniková a tovární muzea")</f>
        <v>Podniková a tovární muzea</v>
      </c>
      <c r="I123" s="9" t="str">
        <f>IFERROR(__xludf.DUMMYFUNCTION("""COMPUTED_VALUE"""),"Ne")</f>
        <v>Ne</v>
      </c>
      <c r="J123" s="9">
        <f>IFERROR(__xludf.DUMMYFUNCTION("""COMPUTED_VALUE"""),1951.0)</f>
        <v>1951</v>
      </c>
      <c r="K123" s="9">
        <f>IFERROR(__xludf.DUMMYFUNCTION("""COMPUTED_VALUE"""),1989.0)</f>
        <v>1989</v>
      </c>
      <c r="L123" s="12" t="str">
        <f>IFERROR(__xludf.DUMMYFUNCTION("""COMPUTED_VALUE"""),"Václav Pubal: podniková - závodní muzea a síně revolučních tradic, Praha: Ústřední škola ROH A. Zápotockého 1985, str. 48")</f>
        <v>Václav Pubal: podniková - závodní muzea a síně revolučních tradic, Praha: Ústřední škola ROH A. Zápotockého 1985, str. 48</v>
      </c>
      <c r="M123" s="9"/>
      <c r="N123" s="9"/>
      <c r="O123" s="6"/>
      <c r="P123" s="6"/>
      <c r="Q123" s="6"/>
      <c r="R123" s="6"/>
      <c r="S123" s="6"/>
      <c r="T123" s="6"/>
      <c r="U123" s="6"/>
      <c r="V123" s="6"/>
      <c r="W123" s="6"/>
      <c r="X123" s="6"/>
      <c r="Y123" s="6"/>
      <c r="Z123" s="6"/>
      <c r="AA123" s="6"/>
    </row>
    <row r="124" ht="15.75" customHeight="1">
      <c r="A124" s="7">
        <f t="shared" si="1"/>
        <v>123</v>
      </c>
      <c r="B124" s="9" t="str">
        <f>IFERROR(__xludf.DUMMYFUNCTION("""COMPUTED_VALUE"""),"13.9816739")</f>
        <v>13.9816739</v>
      </c>
      <c r="C124" s="9" t="str">
        <f>IFERROR(__xludf.DUMMYFUNCTION("""COMPUTED_VALUE"""),"49.7080764")</f>
        <v>49.7080764</v>
      </c>
      <c r="D124" s="9" t="str">
        <f>IFERROR(__xludf.DUMMYFUNCTION("""COMPUTED_VALUE"""),"Síň tradic n.p. Kovohutě Příbram")</f>
        <v>Síň tradic n.p. Kovohutě Příbram</v>
      </c>
      <c r="E124" s="10" t="str">
        <f>IFERROR(__xludf.DUMMYFUNCTION("""COMPUTED_VALUE"""),"síň tradic")</f>
        <v>síň tradic</v>
      </c>
      <c r="F124" s="9" t="str">
        <f>IFERROR(__xludf.DUMMYFUNCTION("""COMPUTED_VALUE"""),"Síň tradic byla otevřena roku 1976 s cílem popularizovat historii vývoje hutnictví, výroby olova a stříbra na Příbramsku a také vývoj podniku.")</f>
        <v>Síň tradic byla otevřena roku 1976 s cílem popularizovat historii vývoje hutnictví, výroby olova a stříbra na Příbramsku a také vývoj podniku.</v>
      </c>
      <c r="G124" s="9" t="str">
        <f>IFERROR(__xludf.DUMMYFUNCTION("""COMPUTED_VALUE"""),"muzea")</f>
        <v>muzea</v>
      </c>
      <c r="H124" s="9" t="str">
        <f>IFERROR(__xludf.DUMMYFUNCTION("""COMPUTED_VALUE"""),"Podniková a tovární muzea")</f>
        <v>Podniková a tovární muzea</v>
      </c>
      <c r="I124" s="9" t="str">
        <f>IFERROR(__xludf.DUMMYFUNCTION("""COMPUTED_VALUE"""),"?")</f>
        <v>?</v>
      </c>
      <c r="J124" s="9">
        <f>IFERROR(__xludf.DUMMYFUNCTION("""COMPUTED_VALUE"""),1976.0)</f>
        <v>1976</v>
      </c>
      <c r="K124" s="9"/>
      <c r="L124" s="12" t="str">
        <f>IFERROR(__xludf.DUMMYFUNCTION("""COMPUTED_VALUE"""),"Václav Pubal: podniková - závodní muzea a síně revolučních tradic, Praha: Ústřední škola ROH A. Zápotockého 1985, str. 49")</f>
        <v>Václav Pubal: podniková - závodní muzea a síně revolučních tradic, Praha: Ústřední škola ROH A. Zápotockého 1985, str. 49</v>
      </c>
      <c r="M124" s="9"/>
      <c r="N124" s="9"/>
      <c r="O124" s="6"/>
      <c r="P124" s="6"/>
      <c r="Q124" s="6"/>
      <c r="R124" s="6"/>
      <c r="S124" s="6"/>
      <c r="T124" s="6"/>
      <c r="U124" s="6"/>
      <c r="V124" s="6"/>
      <c r="W124" s="6"/>
      <c r="X124" s="6"/>
      <c r="Y124" s="6"/>
      <c r="Z124" s="6"/>
      <c r="AA124" s="6"/>
    </row>
    <row r="125" ht="15.75" customHeight="1">
      <c r="A125" s="7">
        <f t="shared" si="1"/>
        <v>124</v>
      </c>
      <c r="B125" s="9" t="str">
        <f>IFERROR(__xludf.DUMMYFUNCTION("""COMPUTED_VALUE"""),"13.9072032")</f>
        <v>13.9072032</v>
      </c>
      <c r="C125" s="9" t="str">
        <f>IFERROR(__xludf.DUMMYFUNCTION("""COMPUTED_VALUE"""),"49.2526332")</f>
        <v>49.2526332</v>
      </c>
      <c r="D125" s="9" t="str">
        <f>IFERROR(__xludf.DUMMYFUNCTION("""COMPUTED_VALUE"""),"Síň tradic Českých závodů motocyklových n.p. Strakonice")</f>
        <v>Síň tradic Českých závodů motocyklových n.p. Strakonice</v>
      </c>
      <c r="E125" s="10" t="str">
        <f>IFERROR(__xludf.DUMMYFUNCTION("""COMPUTED_VALUE"""),"síň tradic")</f>
        <v>síň tradic</v>
      </c>
      <c r="F125" s="9" t="str">
        <f>IFERROR(__xludf.DUMMYFUNCTION("""COMPUTED_VALUE"""),"Síň tradic, umístěná v areálu závodu, tematizovala dějiny výroby motocyklů a dějiny dělnické samosprávy.")</f>
        <v>Síň tradic, umístěná v areálu závodu, tematizovala dějiny výroby motocyklů a dějiny dělnické samosprávy.</v>
      </c>
      <c r="G125" s="9" t="str">
        <f>IFERROR(__xludf.DUMMYFUNCTION("""COMPUTED_VALUE"""),"muzea")</f>
        <v>muzea</v>
      </c>
      <c r="H125" s="9" t="str">
        <f>IFERROR(__xludf.DUMMYFUNCTION("""COMPUTED_VALUE"""),"Podniková a tovární muzea")</f>
        <v>Podniková a tovární muzea</v>
      </c>
      <c r="I125" s="9" t="str">
        <f>IFERROR(__xludf.DUMMYFUNCTION("""COMPUTED_VALUE"""),"Ano")</f>
        <v>Ano</v>
      </c>
      <c r="J125" s="9">
        <f>IFERROR(__xludf.DUMMYFUNCTION("""COMPUTED_VALUE"""),1982.0)</f>
        <v>1982</v>
      </c>
      <c r="K125" s="9"/>
      <c r="L125" s="12" t="str">
        <f>IFERROR(__xludf.DUMMYFUNCTION("""COMPUTED_VALUE"""),"Václav Pubal: podniková - závodní muzea a síně revolučních tradic, Praha: Ústřední škola ROH A. Zápotockého 1985, str. 51-52")</f>
        <v>Václav Pubal: podniková - závodní muzea a síně revolučních tradic, Praha: Ústřední škola ROH A. Zápotockého 1985, str. 51-52</v>
      </c>
      <c r="M125" s="9"/>
      <c r="N125" s="9"/>
      <c r="O125" s="6"/>
      <c r="P125" s="6"/>
      <c r="Q125" s="6"/>
      <c r="R125" s="6"/>
      <c r="S125" s="6"/>
      <c r="T125" s="6"/>
      <c r="U125" s="6"/>
      <c r="V125" s="6"/>
      <c r="W125" s="6"/>
      <c r="X125" s="6"/>
      <c r="Y125" s="6"/>
      <c r="Z125" s="6"/>
      <c r="AA125" s="6"/>
    </row>
    <row r="126" ht="15.75" customHeight="1">
      <c r="A126" s="7">
        <f t="shared" si="1"/>
        <v>125</v>
      </c>
      <c r="B126" s="9" t="str">
        <f>IFERROR(__xludf.DUMMYFUNCTION("""COMPUTED_VALUE"""),"18.0751331")</f>
        <v>18.0751331</v>
      </c>
      <c r="C126" s="9" t="str">
        <f>IFERROR(__xludf.DUMMYFUNCTION("""COMPUTED_VALUE"""),"49.7254679")</f>
        <v>49.7254679</v>
      </c>
      <c r="D126" s="9" t="str">
        <f>IFERROR(__xludf.DUMMYFUNCTION("""COMPUTED_VALUE"""),"Vagonářské muzeum, Studénka")</f>
        <v>Vagonářské muzeum, Studénka</v>
      </c>
      <c r="E126" s="10" t="str">
        <f>IFERROR(__xludf.DUMMYFUNCTION("""COMPUTED_VALUE"""),"tovární muzeum")</f>
        <v>tovární muzeum</v>
      </c>
      <c r="F126" s="9" t="str">
        <f>IFERROR(__xludf.DUMMYFUNCTION("""COMPUTED_VALUE"""),"Podoba muzea i jeho sbírkový fondy, založeného roku 1961, vycházely z výstavy uskutečněné o pět let dříve. Instituce se věnovala dějinám výroby vagonů a dělnického hnutí.")</f>
        <v>Podoba muzea i jeho sbírkový fondy, založeného roku 1961, vycházely z výstavy uskutečněné o pět let dříve. Instituce se věnovala dějinám výroby vagonů a dělnického hnutí.</v>
      </c>
      <c r="G126" s="9" t="str">
        <f>IFERROR(__xludf.DUMMYFUNCTION("""COMPUTED_VALUE"""),"muzea")</f>
        <v>muzea</v>
      </c>
      <c r="H126" s="9" t="str">
        <f>IFERROR(__xludf.DUMMYFUNCTION("""COMPUTED_VALUE"""),"Podniková a tovární muzea")</f>
        <v>Podniková a tovární muzea</v>
      </c>
      <c r="I126" s="9" t="str">
        <f>IFERROR(__xludf.DUMMYFUNCTION("""COMPUTED_VALUE"""),"Ano")</f>
        <v>Ano</v>
      </c>
      <c r="J126" s="9">
        <f>IFERROR(__xludf.DUMMYFUNCTION("""COMPUTED_VALUE"""),1961.0)</f>
        <v>1961</v>
      </c>
      <c r="K126" s="9"/>
      <c r="L126" s="12" t="str">
        <f>IFERROR(__xludf.DUMMYFUNCTION("""COMPUTED_VALUE"""),"Václav Pubal: podniková - závodní muzea a síně revolučních tradic, Praha: Ústřední škola ROH A. Zápotockého 1985, str. 52.54; Muzeum dodnes v provozu: https://www.vagonarske-muzeum.cz/")</f>
        <v>Václav Pubal: podniková - závodní muzea a síně revolučních tradic, Praha: Ústřední škola ROH A. Zápotockého 1985, str. 52.54; Muzeum dodnes v provozu: https://www.vagonarske-muzeum.cz/</v>
      </c>
      <c r="M126" s="9"/>
      <c r="N126" s="9"/>
      <c r="O126" s="6"/>
      <c r="P126" s="6"/>
      <c r="Q126" s="6"/>
      <c r="R126" s="6"/>
      <c r="S126" s="6"/>
      <c r="T126" s="6"/>
      <c r="U126" s="6"/>
      <c r="V126" s="6"/>
      <c r="W126" s="6"/>
      <c r="X126" s="6"/>
      <c r="Y126" s="6"/>
      <c r="Z126" s="6"/>
      <c r="AA126" s="6"/>
    </row>
    <row r="127" ht="15.75" customHeight="1">
      <c r="A127" s="7">
        <f t="shared" si="1"/>
        <v>126</v>
      </c>
      <c r="B127" s="9" t="str">
        <f>IFERROR(__xludf.DUMMYFUNCTION("""COMPUTED_VALUE"""),"14.5878925")</f>
        <v>14.5878925</v>
      </c>
      <c r="C127" s="9" t="str">
        <f>IFERROR(__xludf.DUMMYFUNCTION("""COMPUTED_VALUE"""),"49.8327178")</f>
        <v>49.8327178</v>
      </c>
      <c r="D127" s="9" t="str">
        <f>IFERROR(__xludf.DUMMYFUNCTION("""COMPUTED_VALUE"""),"Síň tradic Metalurgických závodů n.p. Týnec nad Sázavou")</f>
        <v>Síň tradic Metalurgických závodů n.p. Týnec nad Sázavou</v>
      </c>
      <c r="E127" s="10" t="str">
        <f>IFERROR(__xludf.DUMMYFUNCTION("""COMPUTED_VALUE"""),"síň tradic")</f>
        <v>síň tradic</v>
      </c>
      <c r="F127" s="9" t="str">
        <f>IFERROR(__xludf.DUMMYFUNCTION("""COMPUTED_VALUE"""),"Síň tradic byla otevřena v roce 1985. Zaměřovala se na dějiny výroby, dělnického hnutí a protifašistického odboje. Součástí byla také expozice péče o pracující ROH.")</f>
        <v>Síň tradic byla otevřena v roce 1985. Zaměřovala se na dějiny výroby, dělnického hnutí a protifašistického odboje. Součástí byla také expozice péče o pracující ROH.</v>
      </c>
      <c r="G127" s="9" t="str">
        <f>IFERROR(__xludf.DUMMYFUNCTION("""COMPUTED_VALUE"""),"muzea")</f>
        <v>muzea</v>
      </c>
      <c r="H127" s="9" t="str">
        <f>IFERROR(__xludf.DUMMYFUNCTION("""COMPUTED_VALUE"""),"Podniková a tovární muzea")</f>
        <v>Podniková a tovární muzea</v>
      </c>
      <c r="I127" s="9" t="str">
        <f>IFERROR(__xludf.DUMMYFUNCTION("""COMPUTED_VALUE"""),"Ne")</f>
        <v>Ne</v>
      </c>
      <c r="J127" s="9">
        <f>IFERROR(__xludf.DUMMYFUNCTION("""COMPUTED_VALUE"""),1985.0)</f>
        <v>1985</v>
      </c>
      <c r="K127" s="9">
        <f>IFERROR(__xludf.DUMMYFUNCTION("""COMPUTED_VALUE"""),1989.0)</f>
        <v>1989</v>
      </c>
      <c r="L127" s="12" t="str">
        <f>IFERROR(__xludf.DUMMYFUNCTION("""COMPUTED_VALUE"""),"Václav Pubal: podniková - závodní muzea a síně revolučních tradic, Praha: Ústřední škola ROH A. Zápotockého 1985, str. 56")</f>
        <v>Václav Pubal: podniková - závodní muzea a síně revolučních tradic, Praha: Ústřední škola ROH A. Zápotockého 1985, str. 56</v>
      </c>
      <c r="M127" s="9"/>
      <c r="N127" s="9"/>
      <c r="O127" s="6"/>
      <c r="P127" s="6"/>
      <c r="Q127" s="6"/>
      <c r="R127" s="6"/>
      <c r="S127" s="6"/>
      <c r="T127" s="6"/>
      <c r="U127" s="6"/>
      <c r="V127" s="6"/>
      <c r="W127" s="6"/>
      <c r="X127" s="6"/>
      <c r="Y127" s="6"/>
      <c r="Z127" s="6"/>
      <c r="AA127" s="6"/>
    </row>
    <row r="128" ht="15.75" customHeight="1">
      <c r="A128" s="7">
        <f t="shared" si="1"/>
        <v>127</v>
      </c>
      <c r="B128" s="9" t="str">
        <f>IFERROR(__xludf.DUMMYFUNCTION("""COMPUTED_VALUE"""),"17.0382236")</f>
        <v>17.0382236</v>
      </c>
      <c r="C128" s="9" t="str">
        <f>IFERROR(__xludf.DUMMYFUNCTION("""COMPUTED_VALUE"""),"50.0297569")</f>
        <v>50.0297569</v>
      </c>
      <c r="D128" s="9" t="str">
        <f>IFERROR(__xludf.DUMMYFUNCTION("""COMPUTED_VALUE"""),"Papírenské muzeum Olšanské papírny n.p. provozovna Velké Losiny")</f>
        <v>Papírenské muzeum Olšanské papírny n.p. provozovna Velké Losiny</v>
      </c>
      <c r="E128" s="10" t="str">
        <f>IFERROR(__xludf.DUMMYFUNCTION("""COMPUTED_VALUE"""),"tovární muzeum")</f>
        <v>tovární muzeum</v>
      </c>
      <c r="F128" s="9" t="str">
        <f>IFERROR(__xludf.DUMMYFUNCTION("""COMPUTED_VALUE"""),"Muzeum zahájilo činnost v roce 1979. Zaměřovalo se na techniku výroby papíru a dějiny hnutí papírenských dělníků. Na expozici navazuje muzeum v objektu papírny ze 16. století.")</f>
        <v>Muzeum zahájilo činnost v roce 1979. Zaměřovalo se na techniku výroby papíru a dějiny hnutí papírenských dělníků. Na expozici navazuje muzeum v objektu papírny ze 16. století.</v>
      </c>
      <c r="G128" s="9" t="str">
        <f>IFERROR(__xludf.DUMMYFUNCTION("""COMPUTED_VALUE"""),"muzea")</f>
        <v>muzea</v>
      </c>
      <c r="H128" s="9" t="str">
        <f>IFERROR(__xludf.DUMMYFUNCTION("""COMPUTED_VALUE"""),"Podniková a tovární muzea")</f>
        <v>Podniková a tovární muzea</v>
      </c>
      <c r="I128" s="9" t="str">
        <f>IFERROR(__xludf.DUMMYFUNCTION("""COMPUTED_VALUE"""),"Ano")</f>
        <v>Ano</v>
      </c>
      <c r="J128" s="9">
        <f>IFERROR(__xludf.DUMMYFUNCTION("""COMPUTED_VALUE"""),1979.0)</f>
        <v>1979</v>
      </c>
      <c r="K128" s="9"/>
      <c r="L128" s="12" t="str">
        <f>IFERROR(__xludf.DUMMYFUNCTION("""COMPUTED_VALUE"""),"Václav Pubal: podniková - závodní muzea a síně revolučních tradic, Praha: Ústřední škola ROH A. Zápotockého 1985, str. 56-57; Muzeum papíru, 24. 11. 2021, rpvl.cz (dostupné na https://www.rpvl.cz/cz/muzeum-papiru)")</f>
        <v>Václav Pubal: podniková - závodní muzea a síně revolučních tradic, Praha: Ústřední škola ROH A. Zápotockého 1985, str. 56-57; Muzeum papíru, 24. 11. 2021, rpvl.cz (dostupné na https://www.rpvl.cz/cz/muzeum-papiru)</v>
      </c>
      <c r="M128" s="9"/>
      <c r="N128" s="9"/>
      <c r="O128" s="6"/>
      <c r="P128" s="6"/>
      <c r="Q128" s="6"/>
      <c r="R128" s="6"/>
      <c r="S128" s="6"/>
      <c r="T128" s="6"/>
      <c r="U128" s="6"/>
      <c r="V128" s="6"/>
      <c r="W128" s="6"/>
      <c r="X128" s="6"/>
      <c r="Y128" s="6"/>
      <c r="Z128" s="6"/>
      <c r="AA128" s="6"/>
    </row>
    <row r="129" ht="15.75" customHeight="1">
      <c r="A129" s="7">
        <f t="shared" si="1"/>
        <v>128</v>
      </c>
      <c r="B129" s="9" t="str">
        <f>IFERROR(__xludf.DUMMYFUNCTION("""COMPUTED_VALUE"""),"17.1245133")</f>
        <v>17.1245133</v>
      </c>
      <c r="C129" s="9" t="str">
        <f>IFERROR(__xludf.DUMMYFUNCTION("""COMPUTED_VALUE"""),"48.1458446")</f>
        <v>48.1458446</v>
      </c>
      <c r="D129" s="9" t="str">
        <f>IFERROR(__xludf.DUMMYFUNCTION("""COMPUTED_VALUE"""),"Sieň revolučných tradicií n. p. Kablo")</f>
        <v>Sieň revolučných tradicií n. p. Kablo</v>
      </c>
      <c r="E129" s="10" t="str">
        <f>IFERROR(__xludf.DUMMYFUNCTION("""COMPUTED_VALUE"""),"síň tradic")</f>
        <v>síň tradic</v>
      </c>
      <c r="F129" s="9" t="str">
        <f>IFERROR(__xludf.DUMMYFUNCTION("""COMPUTED_VALUE"""),"Síň revolučních tradic byla zřízena roku 1959 s cílem představit dějiny výroby. V roce 1975 byla expozice přestavěna.")</f>
        <v>Síň revolučních tradic byla zřízena roku 1959 s cílem představit dějiny výroby. V roce 1975 byla expozice přestavěna.</v>
      </c>
      <c r="G129" s="9" t="str">
        <f>IFERROR(__xludf.DUMMYFUNCTION("""COMPUTED_VALUE"""),"muzea")</f>
        <v>muzea</v>
      </c>
      <c r="H129" s="9" t="str">
        <f>IFERROR(__xludf.DUMMYFUNCTION("""COMPUTED_VALUE"""),"Podniková a tovární muzea")</f>
        <v>Podniková a tovární muzea</v>
      </c>
      <c r="I129" s="9" t="str">
        <f>IFERROR(__xludf.DUMMYFUNCTION("""COMPUTED_VALUE"""),"Ne")</f>
        <v>Ne</v>
      </c>
      <c r="J129" s="9">
        <f>IFERROR(__xludf.DUMMYFUNCTION("""COMPUTED_VALUE"""),1959.0)</f>
        <v>1959</v>
      </c>
      <c r="K129" s="9">
        <f>IFERROR(__xludf.DUMMYFUNCTION("""COMPUTED_VALUE"""),1989.0)</f>
        <v>1989</v>
      </c>
      <c r="L129" s="12" t="str">
        <f>IFERROR(__xludf.DUMMYFUNCTION("""COMPUTED_VALUE"""),"Melánia Babicová a kol.: Sprievodca po podnikových a závodných múzeách a sieňach revolučných tradicií v Slovenskej socialistickej republike, Bratislava: Práca 1988, str. 27-28")</f>
        <v>Melánia Babicová a kol.: Sprievodca po podnikových a závodných múzeách a sieňach revolučných tradicií v Slovenskej socialistickej republike, Bratislava: Práca 1988, str. 27-28</v>
      </c>
      <c r="M129" s="9"/>
      <c r="N129" s="9" t="str">
        <f>IFERROR(__xludf.DUMMYFUNCTION("""COMPUTED_VALUE"""),"o1.JPG")</f>
        <v>o1.JPG</v>
      </c>
      <c r="O129" s="6" t="str">
        <f>IFERROR(__xludf.DUMMYFUNCTION("""COMPUTED_VALUE"""),"Z expozice.")</f>
        <v>Z expozice.</v>
      </c>
      <c r="P129" s="6" t="str">
        <f>IFERROR(__xludf.DUMMYFUNCTION("""COMPUTED_VALUE"""),"Melánia Babicová a kol.: Sprievodca po podnikových a závodných múzeách a sieňach revolučných tradicií v Slovenskej socialistickej republike, Bratislava: Práca 1988, str. 27")</f>
        <v>Melánia Babicová a kol.: Sprievodca po podnikových a závodných múzeách a sieňach revolučných tradicií v Slovenskej socialistickej republike, Bratislava: Práca 1988, str. 27</v>
      </c>
      <c r="Q129" s="6"/>
      <c r="R129" s="6"/>
      <c r="S129" s="6"/>
      <c r="T129" s="6"/>
      <c r="U129" s="6"/>
      <c r="V129" s="6"/>
      <c r="W129" s="6"/>
      <c r="X129" s="6"/>
      <c r="Y129" s="6"/>
      <c r="Z129" s="6"/>
      <c r="AA129" s="6"/>
    </row>
    <row r="130" ht="15.75" customHeight="1">
      <c r="A130" s="7">
        <f t="shared" si="1"/>
        <v>129</v>
      </c>
      <c r="B130" s="9" t="str">
        <f>IFERROR(__xludf.DUMMYFUNCTION("""COMPUTED_VALUE"""),"17.1217789")</f>
        <v>17.1217789</v>
      </c>
      <c r="C130" s="9" t="str">
        <f>IFERROR(__xludf.DUMMYFUNCTION("""COMPUTED_VALUE"""),"48.1398769")</f>
        <v>48.1398769</v>
      </c>
      <c r="D130" s="9" t="str">
        <f>IFERROR(__xludf.DUMMYFUNCTION("""COMPUTED_VALUE"""),"Sieň revolučných tradicií n.p. Československá plavba dunajská")</f>
        <v>Sieň revolučných tradicií n.p. Československá plavba dunajská</v>
      </c>
      <c r="E130" s="10" t="str">
        <f>IFERROR(__xludf.DUMMYFUNCTION("""COMPUTED_VALUE"""),"síň tradic")</f>
        <v>síň tradic</v>
      </c>
      <c r="F130" s="9" t="str">
        <f>IFERROR(__xludf.DUMMYFUNCTION("""COMPUTED_VALUE"""),"Expozice byla otevřená v roce 1959 v prostorách klubu lodníků ROH a v roce 1986 byla reinstalována. Věnovala se především proměně technické stránky říční plavby v kontextu dějin dělnictva a třídního boje.")</f>
        <v>Expozice byla otevřená v roce 1959 v prostorách klubu lodníků ROH a v roce 1986 byla reinstalována. Věnovala se především proměně technické stránky říční plavby v kontextu dějin dělnictva a třídního boje.</v>
      </c>
      <c r="G130" s="9" t="str">
        <f>IFERROR(__xludf.DUMMYFUNCTION("""COMPUTED_VALUE"""),"muzea")</f>
        <v>muzea</v>
      </c>
      <c r="H130" s="9" t="str">
        <f>IFERROR(__xludf.DUMMYFUNCTION("""COMPUTED_VALUE"""),"Podniková a tovární muzea")</f>
        <v>Podniková a tovární muzea</v>
      </c>
      <c r="I130" s="9" t="str">
        <f>IFERROR(__xludf.DUMMYFUNCTION("""COMPUTED_VALUE"""),"Ne")</f>
        <v>Ne</v>
      </c>
      <c r="J130" s="9">
        <f>IFERROR(__xludf.DUMMYFUNCTION("""COMPUTED_VALUE"""),1959.0)</f>
        <v>1959</v>
      </c>
      <c r="K130" s="9">
        <f>IFERROR(__xludf.DUMMYFUNCTION("""COMPUTED_VALUE"""),1989.0)</f>
        <v>1989</v>
      </c>
      <c r="L130" s="12" t="str">
        <f>IFERROR(__xludf.DUMMYFUNCTION("""COMPUTED_VALUE"""),"Melánia Babicová a kol.: Sprievodca po podnikových a závodných múzeách a sieňach revolučných tradicií v Slovenskej socialistickej republike, Bratislava: Práca 1988, str. 29-30")</f>
        <v>Melánia Babicová a kol.: Sprievodca po podnikových a závodných múzeách a sieňach revolučných tradicií v Slovenskej socialistickej republike, Bratislava: Práca 1988, str. 29-30</v>
      </c>
      <c r="M130" s="9"/>
      <c r="N130" s="9"/>
      <c r="O130" s="6"/>
      <c r="P130" s="6"/>
      <c r="Q130" s="6"/>
      <c r="R130" s="6"/>
      <c r="S130" s="6"/>
      <c r="T130" s="6"/>
      <c r="U130" s="6"/>
      <c r="V130" s="6"/>
      <c r="W130" s="6"/>
      <c r="X130" s="6"/>
      <c r="Y130" s="6"/>
      <c r="Z130" s="6"/>
      <c r="AA130" s="6"/>
    </row>
    <row r="131" ht="15.75" customHeight="1">
      <c r="A131" s="7">
        <f t="shared" si="1"/>
        <v>130</v>
      </c>
      <c r="B131" s="9" t="str">
        <f>IFERROR(__xludf.DUMMYFUNCTION("""COMPUTED_VALUE"""),"17.1325308")</f>
        <v>17.1325308</v>
      </c>
      <c r="C131" s="9" t="str">
        <f>IFERROR(__xludf.DUMMYFUNCTION("""COMPUTED_VALUE"""),"48.1467595")</f>
        <v>48.1467595</v>
      </c>
      <c r="D131" s="9" t="str">
        <f>IFERROR(__xludf.DUMMYFUNCTION("""COMPUTED_VALUE"""),"Sieň revolučných tradicií n. p. Závody MDŽ")</f>
        <v>Sieň revolučných tradicií n. p. Závody MDŽ</v>
      </c>
      <c r="E131" s="10" t="str">
        <f>IFERROR(__xludf.DUMMYFUNCTION("""COMPUTED_VALUE"""),"síň tradic")</f>
        <v>síň tradic</v>
      </c>
      <c r="F131" s="9" t="str">
        <f>IFERROR(__xludf.DUMMYFUNCTION("""COMPUTED_VALUE"""),"Expozice, založená v roce 1978, popularizovala vývoj textilní výroby v Bratislavě. Roku 1987 byla revitalizována.")</f>
        <v>Expozice, založená v roce 1978, popularizovala vývoj textilní výroby v Bratislavě. Roku 1987 byla revitalizována.</v>
      </c>
      <c r="G131" s="9" t="str">
        <f>IFERROR(__xludf.DUMMYFUNCTION("""COMPUTED_VALUE"""),"muzea")</f>
        <v>muzea</v>
      </c>
      <c r="H131" s="9" t="str">
        <f>IFERROR(__xludf.DUMMYFUNCTION("""COMPUTED_VALUE"""),"Podniková a tovární muzea")</f>
        <v>Podniková a tovární muzea</v>
      </c>
      <c r="I131" s="9" t="str">
        <f>IFERROR(__xludf.DUMMYFUNCTION("""COMPUTED_VALUE"""),"Ne")</f>
        <v>Ne</v>
      </c>
      <c r="J131" s="9">
        <f>IFERROR(__xludf.DUMMYFUNCTION("""COMPUTED_VALUE"""),1978.0)</f>
        <v>1978</v>
      </c>
      <c r="K131" s="9">
        <f>IFERROR(__xludf.DUMMYFUNCTION("""COMPUTED_VALUE"""),1989.0)</f>
        <v>1989</v>
      </c>
      <c r="L131" s="12" t="str">
        <f>IFERROR(__xludf.DUMMYFUNCTION("""COMPUTED_VALUE"""),"Melánia Babicová a kol.: Sprievodca po podnikových a závodných múzeách a sieňach revolučných tradicií v Slovenskej socialistickej republike, Bratislava: Práca 1988, str. 31-32")</f>
        <v>Melánia Babicová a kol.: Sprievodca po podnikových a závodných múzeách a sieňach revolučných tradicií v Slovenskej socialistickej republike, Bratislava: Práca 1988, str. 31-32</v>
      </c>
      <c r="M131" s="9"/>
      <c r="N131" s="9"/>
      <c r="O131" s="6"/>
      <c r="P131" s="6"/>
      <c r="Q131" s="6"/>
      <c r="R131" s="6"/>
      <c r="S131" s="6"/>
      <c r="T131" s="6"/>
      <c r="U131" s="6"/>
      <c r="V131" s="6"/>
      <c r="W131" s="6"/>
      <c r="X131" s="6"/>
      <c r="Y131" s="6"/>
      <c r="Z131" s="6"/>
      <c r="AA131" s="6"/>
    </row>
    <row r="132" ht="15.75" customHeight="1">
      <c r="A132" s="7">
        <f t="shared" si="1"/>
        <v>131</v>
      </c>
      <c r="B132" s="9" t="str">
        <f>IFERROR(__xludf.DUMMYFUNCTION("""COMPUTED_VALUE"""),"17.176601")</f>
        <v>17.176601</v>
      </c>
      <c r="C132" s="9" t="str">
        <f>IFERROR(__xludf.DUMMYFUNCTION("""COMPUTED_VALUE"""),"48.128198")</f>
        <v>48.128198</v>
      </c>
      <c r="D132" s="9" t="str">
        <f>IFERROR(__xludf.DUMMYFUNCTION("""COMPUTED_VALUE"""),"Sieň revolučných tradicií odborového podniku Slovnaft")</f>
        <v>Sieň revolučných tradicií odborového podniku Slovnaft</v>
      </c>
      <c r="E132" s="10" t="str">
        <f>IFERROR(__xludf.DUMMYFUNCTION("""COMPUTED_VALUE"""),"síň tradic")</f>
        <v>síň tradic</v>
      </c>
      <c r="F132" s="9" t="str">
        <f>IFERROR(__xludf.DUMMYFUNCTION("""COMPUTED_VALUE"""),"Expozice, otevřená v roce 1980, se nacházela přímo u vstupu do továrního areálu. Zaměřovala se na dějiny rafinace ropy a minerálních olejů včetně technologického vývoje. Roku 1985 došlo k její modernizaci.")</f>
        <v>Expozice, otevřená v roce 1980, se nacházela přímo u vstupu do továrního areálu. Zaměřovala se na dějiny rafinace ropy a minerálních olejů včetně technologického vývoje. Roku 1985 došlo k její modernizaci.</v>
      </c>
      <c r="G132" s="9" t="str">
        <f>IFERROR(__xludf.DUMMYFUNCTION("""COMPUTED_VALUE"""),"muzea")</f>
        <v>muzea</v>
      </c>
      <c r="H132" s="9" t="str">
        <f>IFERROR(__xludf.DUMMYFUNCTION("""COMPUTED_VALUE"""),"Podniková a tovární muzea")</f>
        <v>Podniková a tovární muzea</v>
      </c>
      <c r="I132" s="9" t="str">
        <f>IFERROR(__xludf.DUMMYFUNCTION("""COMPUTED_VALUE"""),"Ne")</f>
        <v>Ne</v>
      </c>
      <c r="J132" s="9">
        <f>IFERROR(__xludf.DUMMYFUNCTION("""COMPUTED_VALUE"""),1980.0)</f>
        <v>1980</v>
      </c>
      <c r="K132" s="9">
        <f>IFERROR(__xludf.DUMMYFUNCTION("""COMPUTED_VALUE"""),1989.0)</f>
        <v>1989</v>
      </c>
      <c r="L132" s="12" t="str">
        <f>IFERROR(__xludf.DUMMYFUNCTION("""COMPUTED_VALUE"""),"Melánia Babicová a kol.: Sprievodca po podnikových a závodných múzeách a sieňach revolučných tradicií v Slovenskej socialistickej republike, Bratislava: Práca 1988, str. 32-34")</f>
        <v>Melánia Babicová a kol.: Sprievodca po podnikových a závodných múzeách a sieňach revolučných tradicií v Slovenskej socialistickej republike, Bratislava: Práca 1988, str. 32-34</v>
      </c>
      <c r="M132" s="9"/>
      <c r="N132" s="9" t="str">
        <f>IFERROR(__xludf.DUMMYFUNCTION("""COMPUTED_VALUE"""),"slovnaft.JPG")</f>
        <v>slovnaft.JPG</v>
      </c>
      <c r="O132" s="6" t="str">
        <f>IFERROR(__xludf.DUMMYFUNCTION("""COMPUTED_VALUE"""),"Z expozic.")</f>
        <v>Z expozic.</v>
      </c>
      <c r="P132" s="6" t="str">
        <f>IFERROR(__xludf.DUMMYFUNCTION("""COMPUTED_VALUE"""),"Melánia Babicová a kol.: Sprievodca po podnikových a závodných múzeách a sieňach revolučných tradicií v Slovenskej socialistickej republike, Bratislava: Práca 1988, str. 32")</f>
        <v>Melánia Babicová a kol.: Sprievodca po podnikových a závodných múzeách a sieňach revolučných tradicií v Slovenskej socialistickej republike, Bratislava: Práca 1988, str. 32</v>
      </c>
      <c r="Q132" s="6"/>
      <c r="R132" s="6"/>
      <c r="S132" s="6"/>
      <c r="T132" s="6"/>
      <c r="U132" s="6"/>
      <c r="V132" s="6"/>
      <c r="W132" s="6"/>
      <c r="X132" s="6"/>
      <c r="Y132" s="6"/>
      <c r="Z132" s="6"/>
      <c r="AA132" s="6"/>
    </row>
    <row r="133" ht="15.75" customHeight="1">
      <c r="A133" s="7">
        <f t="shared" si="1"/>
        <v>132</v>
      </c>
      <c r="B133" s="9" t="str">
        <f>IFERROR(__xludf.DUMMYFUNCTION("""COMPUTED_VALUE"""),"17.1081496")</f>
        <v>17.1081496</v>
      </c>
      <c r="C133" s="9" t="str">
        <f>IFERROR(__xludf.DUMMYFUNCTION("""COMPUTED_VALUE"""),"48.1686104")</f>
        <v>48.1686104</v>
      </c>
      <c r="D133" s="9" t="str">
        <f>IFERROR(__xludf.DUMMYFUNCTION("""COMPUTED_VALUE"""),"Dom revolučných tradicií a kabinet politickej výchovy n.p. Chemické závody J. Dimitrova")</f>
        <v>Dom revolučných tradicií a kabinet politickej výchovy n.p. Chemické závody J. Dimitrova</v>
      </c>
      <c r="E133" s="10" t="str">
        <f>IFERROR(__xludf.DUMMYFUNCTION("""COMPUTED_VALUE"""),"síň tradic")</f>
        <v>síň tradic</v>
      </c>
      <c r="F133" s="9" t="str">
        <f>IFERROR(__xludf.DUMMYFUNCTION("""COMPUTED_VALUE"""),"Expozice, otevřená od roku 1959, se zabývala dějinami chemické výroby (zejména výrobou dynamitu) a dějinami organizace zaměstnanců. V roce 1983 došlo k její modernizaci.")</f>
        <v>Expozice, otevřená od roku 1959, se zabývala dějinami chemické výroby (zejména výrobou dynamitu) a dějinami organizace zaměstnanců. V roce 1983 došlo k její modernizaci.</v>
      </c>
      <c r="G133" s="9" t="str">
        <f>IFERROR(__xludf.DUMMYFUNCTION("""COMPUTED_VALUE"""),"muzea")</f>
        <v>muzea</v>
      </c>
      <c r="H133" s="9" t="str">
        <f>IFERROR(__xludf.DUMMYFUNCTION("""COMPUTED_VALUE"""),"Podniková a tovární muzea")</f>
        <v>Podniková a tovární muzea</v>
      </c>
      <c r="I133" s="9" t="str">
        <f>IFERROR(__xludf.DUMMYFUNCTION("""COMPUTED_VALUE"""),"Ne")</f>
        <v>Ne</v>
      </c>
      <c r="J133" s="9">
        <f>IFERROR(__xludf.DUMMYFUNCTION("""COMPUTED_VALUE"""),1959.0)</f>
        <v>1959</v>
      </c>
      <c r="K133" s="9">
        <f>IFERROR(__xludf.DUMMYFUNCTION("""COMPUTED_VALUE"""),1989.0)</f>
        <v>1989</v>
      </c>
      <c r="L133" s="12" t="str">
        <f>IFERROR(__xludf.DUMMYFUNCTION("""COMPUTED_VALUE"""),"Melánia Babicová a kol.: Sprievodca po podnikových a závodných múzeách a sieňach revolučných tradicií v Slovenskej socialistickej republike, Bratislava: Práca 1988, str. 40-44")</f>
        <v>Melánia Babicová a kol.: Sprievodca po podnikových a závodných múzeách a sieňach revolučných tradicií v Slovenskej socialistickej republike, Bratislava: Práca 1988, str. 40-44</v>
      </c>
      <c r="M133" s="9"/>
      <c r="N133" s="9" t="str">
        <f>IFERROR(__xludf.DUMMYFUNCTION("""COMPUTED_VALUE"""),"o1.jpg")</f>
        <v>o1.jpg</v>
      </c>
      <c r="O133" s="6" t="str">
        <f>IFERROR(__xludf.DUMMYFUNCTION("""COMPUTED_VALUE"""),"Návštěvníci u vitríny s vyznamenáními.")</f>
        <v>Návštěvníci u vitríny s vyznamenáními.</v>
      </c>
      <c r="P133" s="6" t="str">
        <f>IFERROR(__xludf.DUMMYFUNCTION("""COMPUTED_VALUE"""),"Melánia Babicová a kol.: Sprievodca po podnikových a závodných múzeách a sieňach revolučných tradicií v Slovenskej socialistickej republike, Bratislava: Práca 1988, str. 41")</f>
        <v>Melánia Babicová a kol.: Sprievodca po podnikových a závodných múzeách a sieňach revolučných tradicií v Slovenskej socialistickej republike, Bratislava: Práca 1988, str. 41</v>
      </c>
      <c r="Q133" s="6"/>
      <c r="R133" s="6"/>
      <c r="S133" s="6"/>
      <c r="T133" s="6"/>
      <c r="U133" s="6"/>
      <c r="V133" s="6"/>
      <c r="W133" s="6"/>
      <c r="X133" s="6"/>
      <c r="Y133" s="6"/>
      <c r="Z133" s="6"/>
      <c r="AA133" s="6"/>
    </row>
    <row r="134" ht="15.75" customHeight="1">
      <c r="A134" s="7">
        <f t="shared" si="1"/>
        <v>133</v>
      </c>
      <c r="B134" s="9" t="str">
        <f>IFERROR(__xludf.DUMMYFUNCTION("""COMPUTED_VALUE"""),"17.2812907")</f>
        <v>17.2812907</v>
      </c>
      <c r="C134" s="9" t="str">
        <f>IFERROR(__xludf.DUMMYFUNCTION("""COMPUTED_VALUE"""),"48.2847831")</f>
        <v>48.2847831</v>
      </c>
      <c r="D134" s="9" t="str">
        <f>IFERROR(__xludf.DUMMYFUNCTION("""COMPUTED_VALUE"""),"Izba revolučných tradicií Západoslovenských tehelní, závod Pezinok")</f>
        <v>Izba revolučných tradicií Západoslovenských tehelní, závod Pezinok</v>
      </c>
      <c r="E134" s="10" t="str">
        <f>IFERROR(__xludf.DUMMYFUNCTION("""COMPUTED_VALUE"""),"síň tradic")</f>
        <v>síň tradic</v>
      </c>
      <c r="F134" s="9" t="str">
        <f>IFERROR(__xludf.DUMMYFUNCTION("""COMPUTED_VALUE"""),"Expozice, zřízená v roce 1982, zpřístupňovala základní informace o revolučních tradicích města. Jejím těžištěm byly fotografické dokumenty o vedoucí úloze KSČ v odborové organizaci závodu.")</f>
        <v>Expozice, zřízená v roce 1982, zpřístupňovala základní informace o revolučních tradicích města. Jejím těžištěm byly fotografické dokumenty o vedoucí úloze KSČ v odborové organizaci závodu.</v>
      </c>
      <c r="G134" s="9" t="str">
        <f>IFERROR(__xludf.DUMMYFUNCTION("""COMPUTED_VALUE"""),"muzea")</f>
        <v>muzea</v>
      </c>
      <c r="H134" s="9" t="str">
        <f>IFERROR(__xludf.DUMMYFUNCTION("""COMPUTED_VALUE"""),"Podniková a tovární muzea")</f>
        <v>Podniková a tovární muzea</v>
      </c>
      <c r="I134" s="9" t="str">
        <f>IFERROR(__xludf.DUMMYFUNCTION("""COMPUTED_VALUE"""),"Ne")</f>
        <v>Ne</v>
      </c>
      <c r="J134" s="9">
        <f>IFERROR(__xludf.DUMMYFUNCTION("""COMPUTED_VALUE"""),1982.0)</f>
        <v>1982</v>
      </c>
      <c r="K134" s="9">
        <f>IFERROR(__xludf.DUMMYFUNCTION("""COMPUTED_VALUE"""),1989.0)</f>
        <v>1989</v>
      </c>
      <c r="L134" s="12" t="str">
        <f>IFERROR(__xludf.DUMMYFUNCTION("""COMPUTED_VALUE"""),"Melánia Babicová a kol.: Sprievodca po podnikových a závodných múzeách a sieňach revolučných tradicií v Slovenskej socialistickej republike, Bratislava: Práca 1988, str. 51-53")</f>
        <v>Melánia Babicová a kol.: Sprievodca po podnikových a závodných múzeách a sieňach revolučných tradicií v Slovenskej socialistickej republike, Bratislava: Práca 1988, str. 51-53</v>
      </c>
      <c r="M134" s="9"/>
      <c r="N134" s="9" t="str">
        <f>IFERROR(__xludf.DUMMYFUNCTION("""COMPUTED_VALUE"""),"pezinok.JPG")</f>
        <v>pezinok.JPG</v>
      </c>
      <c r="O134" s="6" t="str">
        <f>IFERROR(__xludf.DUMMYFUNCTION("""COMPUTED_VALUE"""),"Pohled do expozice.")</f>
        <v>Pohled do expozice.</v>
      </c>
      <c r="P134" s="6" t="str">
        <f>IFERROR(__xludf.DUMMYFUNCTION("""COMPUTED_VALUE"""),"Melánia Babicová a kol.: Sprievodca po podnikových a závodných múzeách a sieňach revolučných tradicií v Slovenskej socialistickej republike, Bratislava: Práca 1988, str. 51-")</f>
        <v>Melánia Babicová a kol.: Sprievodca po podnikových a závodných múzeách a sieňach revolučných tradicií v Slovenskej socialistickej republike, Bratislava: Práca 1988, str. 51-</v>
      </c>
      <c r="Q134" s="6"/>
      <c r="R134" s="6"/>
      <c r="S134" s="6"/>
      <c r="T134" s="6"/>
      <c r="U134" s="6"/>
      <c r="V134" s="6"/>
      <c r="W134" s="6"/>
      <c r="X134" s="6"/>
      <c r="Y134" s="6"/>
      <c r="Z134" s="6"/>
      <c r="AA134" s="6"/>
    </row>
    <row r="135" ht="15.75" customHeight="1">
      <c r="A135" s="7">
        <f t="shared" si="1"/>
        <v>134</v>
      </c>
      <c r="B135" s="9" t="str">
        <f>IFERROR(__xludf.DUMMYFUNCTION("""COMPUTED_VALUE"""),"17.7638")</f>
        <v>17.7638</v>
      </c>
      <c r="C135" s="9" t="str">
        <f>IFERROR(__xludf.DUMMYFUNCTION("""COMPUTED_VALUE"""),"47.8657")</f>
        <v>47.8657</v>
      </c>
      <c r="D135" s="9" t="str">
        <f>IFERROR(__xludf.DUMMYFUNCTION("""COMPUTED_VALUE"""),"Pamätna izba Agrokomplex Čalovo")</f>
        <v>Pamätna izba Agrokomplex Čalovo</v>
      </c>
      <c r="E135" s="10" t="str">
        <f>IFERROR(__xludf.DUMMYFUNCTION("""COMPUTED_VALUE"""),"síň tradic")</f>
        <v>síň tradic</v>
      </c>
      <c r="F135" s="9" t="str">
        <f>IFERROR(__xludf.DUMMYFUNCTION("""COMPUTED_VALUE"""),"V roce 1978 Agrokomplex otevřel expozici zaměřenou na téma kolektivizace. Pozitivní dopad tohoto procesu mělo dokladovat srovnání starého způsobu hospodaření a nového mechanizovaného kolektivního hospodářství.")</f>
        <v>V roce 1978 Agrokomplex otevřel expozici zaměřenou na téma kolektivizace. Pozitivní dopad tohoto procesu mělo dokladovat srovnání starého způsobu hospodaření a nového mechanizovaného kolektivního hospodářství.</v>
      </c>
      <c r="G135" s="9" t="str">
        <f>IFERROR(__xludf.DUMMYFUNCTION("""COMPUTED_VALUE"""),"muzea")</f>
        <v>muzea</v>
      </c>
      <c r="H135" s="9" t="str">
        <f>IFERROR(__xludf.DUMMYFUNCTION("""COMPUTED_VALUE"""),"Podniková a tovární muzea")</f>
        <v>Podniková a tovární muzea</v>
      </c>
      <c r="I135" s="9" t="str">
        <f>IFERROR(__xludf.DUMMYFUNCTION("""COMPUTED_VALUE"""),"Ne")</f>
        <v>Ne</v>
      </c>
      <c r="J135" s="9">
        <f>IFERROR(__xludf.DUMMYFUNCTION("""COMPUTED_VALUE"""),1978.0)</f>
        <v>1978</v>
      </c>
      <c r="K135" s="9">
        <f>IFERROR(__xludf.DUMMYFUNCTION("""COMPUTED_VALUE"""),1989.0)</f>
        <v>1989</v>
      </c>
      <c r="L135" s="12" t="str">
        <f>IFERROR(__xludf.DUMMYFUNCTION("""COMPUTED_VALUE"""),"Melánia Babicová a kol.: Sprievodca po podnikových a závodných múzeách a sieňach revolučných tradicií v Slovenskej socialistickej republike, Bratislava: Práca 1988, str. 54-56")</f>
        <v>Melánia Babicová a kol.: Sprievodca po podnikových a závodných múzeách a sieňach revolučných tradicií v Slovenskej socialistickej republike, Bratislava: Práca 1988, str. 54-56</v>
      </c>
      <c r="M135" s="9"/>
      <c r="N135" s="9"/>
      <c r="O135" s="6"/>
      <c r="P135" s="6"/>
      <c r="Q135" s="6"/>
      <c r="R135" s="6"/>
      <c r="S135" s="6"/>
      <c r="T135" s="6"/>
      <c r="U135" s="6"/>
      <c r="V135" s="6"/>
      <c r="W135" s="6"/>
      <c r="X135" s="6"/>
      <c r="Y135" s="6"/>
      <c r="Z135" s="6"/>
      <c r="AA135" s="6"/>
    </row>
    <row r="136" ht="15.75" customHeight="1">
      <c r="A136" s="7">
        <f t="shared" si="1"/>
        <v>135</v>
      </c>
      <c r="B136" s="9" t="str">
        <f>IFERROR(__xludf.DUMMYFUNCTION("""COMPUTED_VALUE"""),"17.576669")</f>
        <v>17.576669</v>
      </c>
      <c r="C136" s="9" t="str">
        <f>IFERROR(__xludf.DUMMYFUNCTION("""COMPUTED_VALUE"""),"47.8924248")</f>
        <v>47.8924248</v>
      </c>
      <c r="D136" s="9" t="str">
        <f>IFERROR(__xludf.DUMMYFUNCTION("""COMPUTED_VALUE"""),"Pamätna izba n.p. Štátny majetok Gabčíkovo")</f>
        <v>Pamätna izba n.p. Štátny majetok Gabčíkovo</v>
      </c>
      <c r="E136" s="10" t="str">
        <f>IFERROR(__xludf.DUMMYFUNCTION("""COMPUTED_VALUE"""),"síň tradic")</f>
        <v>síň tradic</v>
      </c>
      <c r="F136" s="9" t="str">
        <f>IFERROR(__xludf.DUMMYFUNCTION("""COMPUTED_VALUE"""),"V roce 1973 byla zřízena expozice pracovních úspěchů a vývoje techniky v zemědělství. Roku 1983 došlo k její modernizaci.")</f>
        <v>V roce 1973 byla zřízena expozice pracovních úspěchů a vývoje techniky v zemědělství. Roku 1983 došlo k její modernizaci.</v>
      </c>
      <c r="G136" s="9" t="str">
        <f>IFERROR(__xludf.DUMMYFUNCTION("""COMPUTED_VALUE"""),"muzea")</f>
        <v>muzea</v>
      </c>
      <c r="H136" s="9" t="str">
        <f>IFERROR(__xludf.DUMMYFUNCTION("""COMPUTED_VALUE"""),"Podniková a tovární muzea")</f>
        <v>Podniková a tovární muzea</v>
      </c>
      <c r="I136" s="9" t="str">
        <f>IFERROR(__xludf.DUMMYFUNCTION("""COMPUTED_VALUE"""),"Ne")</f>
        <v>Ne</v>
      </c>
      <c r="J136" s="9">
        <f>IFERROR(__xludf.DUMMYFUNCTION("""COMPUTED_VALUE"""),1973.0)</f>
        <v>1973</v>
      </c>
      <c r="K136" s="9">
        <f>IFERROR(__xludf.DUMMYFUNCTION("""COMPUTED_VALUE"""),1989.0)</f>
        <v>1989</v>
      </c>
      <c r="L136" s="12" t="str">
        <f>IFERROR(__xludf.DUMMYFUNCTION("""COMPUTED_VALUE"""),"Melánia Babicová a kol.: Sprievodca po podnikových a závodných múzeách a sieňach revolučných tradicií v Slovenskej socialistickej republike, Bratislava: Práca 1988, str. 57-59")</f>
        <v>Melánia Babicová a kol.: Sprievodca po podnikových a závodných múzeách a sieňach revolučných tradicií v Slovenskej socialistickej republike, Bratislava: Práca 1988, str. 57-59</v>
      </c>
      <c r="M136" s="9"/>
      <c r="N136" s="9" t="str">
        <f>IFERROR(__xludf.DUMMYFUNCTION("""COMPUTED_VALUE"""),"gabčíkovo.JPG")</f>
        <v>gabčíkovo.JPG</v>
      </c>
      <c r="O136" s="6" t="str">
        <f>IFERROR(__xludf.DUMMYFUNCTION("""COMPUTED_VALUE"""),"Z expozice.")</f>
        <v>Z expozice.</v>
      </c>
      <c r="P136" s="6" t="str">
        <f>IFERROR(__xludf.DUMMYFUNCTION("""COMPUTED_VALUE"""),"Melánia Babicová a kol.: Sprievodca po podnikových a závodných múzeách a sieňach revolučných tradicií v Slovenskej socialistickej republike, Bratislava: Práca 1988, str. 57")</f>
        <v>Melánia Babicová a kol.: Sprievodca po podnikových a závodných múzeách a sieňach revolučných tradicií v Slovenskej socialistickej republike, Bratislava: Práca 1988, str. 57</v>
      </c>
      <c r="Q136" s="6"/>
      <c r="R136" s="6"/>
      <c r="S136" s="6"/>
      <c r="T136" s="6"/>
      <c r="U136" s="6"/>
      <c r="V136" s="6"/>
      <c r="W136" s="6"/>
      <c r="X136" s="6"/>
      <c r="Y136" s="6"/>
      <c r="Z136" s="6"/>
      <c r="AA136" s="6"/>
    </row>
    <row r="137" ht="15.75" customHeight="1">
      <c r="A137" s="7">
        <f t="shared" si="1"/>
        <v>136</v>
      </c>
      <c r="B137" s="9" t="str">
        <f>IFERROR(__xludf.DUMMYFUNCTION("""COMPUTED_VALUE"""),"17.7362178")</f>
        <v>17.7362178</v>
      </c>
      <c r="C137" s="9" t="str">
        <f>IFERROR(__xludf.DUMMYFUNCTION("""COMPUTED_VALUE"""),"48.2737737")</f>
        <v>48.2737737</v>
      </c>
      <c r="D137" s="9" t="str">
        <f>IFERROR(__xludf.DUMMYFUNCTION("""COMPUTED_VALUE"""),"Izba revolučných tradícií n.p. Niková huta Sereď")</f>
        <v>Izba revolučných tradícií n.p. Niková huta Sereď</v>
      </c>
      <c r="E137" s="10" t="str">
        <f>IFERROR(__xludf.DUMMYFUNCTION("""COMPUTED_VALUE"""),"síň tradic")</f>
        <v>síň tradic</v>
      </c>
      <c r="F137" s="9" t="str">
        <f>IFERROR(__xludf.DUMMYFUNCTION("""COMPUTED_VALUE"""),"Síň revolučních tradic byla zřízena v roce 1977 s cílem představit dějiny výroby niklu a místní organizace dělnictva.")</f>
        <v>Síň revolučních tradic byla zřízena v roce 1977 s cílem představit dějiny výroby niklu a místní organizace dělnictva.</v>
      </c>
      <c r="G137" s="9" t="str">
        <f>IFERROR(__xludf.DUMMYFUNCTION("""COMPUTED_VALUE"""),"muzea")</f>
        <v>muzea</v>
      </c>
      <c r="H137" s="9" t="str">
        <f>IFERROR(__xludf.DUMMYFUNCTION("""COMPUTED_VALUE"""),"Podniková a tovární muzea")</f>
        <v>Podniková a tovární muzea</v>
      </c>
      <c r="I137" s="9" t="str">
        <f>IFERROR(__xludf.DUMMYFUNCTION("""COMPUTED_VALUE"""),"Ne")</f>
        <v>Ne</v>
      </c>
      <c r="J137" s="9">
        <f>IFERROR(__xludf.DUMMYFUNCTION("""COMPUTED_VALUE"""),1977.0)</f>
        <v>1977</v>
      </c>
      <c r="K137" s="9">
        <f>IFERROR(__xludf.DUMMYFUNCTION("""COMPUTED_VALUE"""),1989.0)</f>
        <v>1989</v>
      </c>
      <c r="L137" s="12" t="str">
        <f>IFERROR(__xludf.DUMMYFUNCTION("""COMPUTED_VALUE"""),"Melánia Babicová a kol.: Sprievodca po podnikových a závodných múzeách a sieňach revolučných tradicií v Slovenskej socialistickej republike, Bratislava: Práca 1988, str. 59-62")</f>
        <v>Melánia Babicová a kol.: Sprievodca po podnikových a závodných múzeách a sieňach revolučných tradicií v Slovenskej socialistickej republike, Bratislava: Práca 1988, str. 59-62</v>
      </c>
      <c r="M137" s="9"/>
      <c r="N137" s="9" t="str">
        <f>IFERROR(__xludf.DUMMYFUNCTION("""COMPUTED_VALUE"""),"sereď.JPG")</f>
        <v>sereď.JPG</v>
      </c>
      <c r="O137" s="6" t="str">
        <f>IFERROR(__xludf.DUMMYFUNCTION("""COMPUTED_VALUE"""),"Pohled do expozice.")</f>
        <v>Pohled do expozice.</v>
      </c>
      <c r="P137" s="6" t="str">
        <f>IFERROR(__xludf.DUMMYFUNCTION("""COMPUTED_VALUE"""),"Melánia Babicová a kol.: Sprievodca po podnikových a závodných múzeách a sieňach revolučných tradicií v Slovenskej socialistickej republike, Bratislava: Práca 1988, str. 59")</f>
        <v>Melánia Babicová a kol.: Sprievodca po podnikových a závodných múzeách a sieňach revolučných tradicií v Slovenskej socialistickej republike, Bratislava: Práca 1988, str. 59</v>
      </c>
      <c r="Q137" s="6"/>
      <c r="R137" s="6"/>
      <c r="S137" s="6"/>
      <c r="T137" s="6"/>
      <c r="U137" s="6"/>
      <c r="V137" s="6"/>
      <c r="W137" s="6"/>
      <c r="X137" s="6"/>
      <c r="Y137" s="6"/>
      <c r="Z137" s="6"/>
      <c r="AA137" s="6"/>
    </row>
    <row r="138" ht="15.75" customHeight="1">
      <c r="A138" s="7">
        <f t="shared" si="1"/>
        <v>137</v>
      </c>
      <c r="B138" s="9" t="str">
        <f>IFERROR(__xludf.DUMMYFUNCTION("""COMPUTED_VALUE"""),"17.930052")</f>
        <v>17.930052</v>
      </c>
      <c r="C138" s="9" t="str">
        <f>IFERROR(__xludf.DUMMYFUNCTION("""COMPUTED_VALUE"""),"48.186761")</f>
        <v>48.186761</v>
      </c>
      <c r="D138" s="9" t="str">
        <f>IFERROR(__xludf.DUMMYFUNCTION("""COMPUTED_VALUE"""),"Siene revolučných tradicií n.p. Duslo Šaľa")</f>
        <v>Siene revolučných tradicií n.p. Duslo Šaľa</v>
      </c>
      <c r="E138" s="10" t="str">
        <f>IFERROR(__xludf.DUMMYFUNCTION("""COMPUTED_VALUE"""),"síň tradic")</f>
        <v>síň tradic</v>
      </c>
      <c r="F138" s="9" t="str">
        <f>IFERROR(__xludf.DUMMYFUNCTION("""COMPUTED_VALUE"""),"Expozice, vybudovaná v roce 1978, pojednávala o historii podniku v kontextu dějin organizovaného dělnického hnutí.")</f>
        <v>Expozice, vybudovaná v roce 1978, pojednávala o historii podniku v kontextu dějin organizovaného dělnického hnutí.</v>
      </c>
      <c r="G138" s="9" t="str">
        <f>IFERROR(__xludf.DUMMYFUNCTION("""COMPUTED_VALUE"""),"muzea")</f>
        <v>muzea</v>
      </c>
      <c r="H138" s="9" t="str">
        <f>IFERROR(__xludf.DUMMYFUNCTION("""COMPUTED_VALUE"""),"Podniková a tovární muzea")</f>
        <v>Podniková a tovární muzea</v>
      </c>
      <c r="I138" s="9" t="str">
        <f>IFERROR(__xludf.DUMMYFUNCTION("""COMPUTED_VALUE"""),"Ne")</f>
        <v>Ne</v>
      </c>
      <c r="J138" s="9">
        <f>IFERROR(__xludf.DUMMYFUNCTION("""COMPUTED_VALUE"""),1978.0)</f>
        <v>1978</v>
      </c>
      <c r="K138" s="9">
        <f>IFERROR(__xludf.DUMMYFUNCTION("""COMPUTED_VALUE"""),1989.0)</f>
        <v>1989</v>
      </c>
      <c r="L138" s="12" t="str">
        <f>IFERROR(__xludf.DUMMYFUNCTION("""COMPUTED_VALUE"""),"Melánia Babicová a kol.: Sprievodca po podnikových a závodných múzeách a sieňach revolučných tradicií v Slovenskej socialistickej republike, Bratislava: Práca 1988, str. 62-63")</f>
        <v>Melánia Babicová a kol.: Sprievodca po podnikových a závodných múzeách a sieňach revolučných tradicií v Slovenskej socialistickej republike, Bratislava: Práca 1988, str. 62-63</v>
      </c>
      <c r="M138" s="9"/>
      <c r="N138" s="9"/>
      <c r="O138" s="6"/>
      <c r="P138" s="6"/>
      <c r="Q138" s="6"/>
      <c r="R138" s="6"/>
      <c r="S138" s="6"/>
      <c r="T138" s="6"/>
      <c r="U138" s="6"/>
      <c r="V138" s="6"/>
      <c r="W138" s="6"/>
      <c r="X138" s="6"/>
      <c r="Y138" s="6"/>
      <c r="Z138" s="6"/>
      <c r="AA138" s="6"/>
    </row>
    <row r="139" ht="15.75" customHeight="1">
      <c r="A139" s="7">
        <f t="shared" si="1"/>
        <v>138</v>
      </c>
      <c r="B139" s="9" t="str">
        <f>IFERROR(__xludf.DUMMYFUNCTION("""COMPUTED_VALUE"""),"18.1025102")</f>
        <v>18.1025102</v>
      </c>
      <c r="C139" s="9" t="str">
        <f>IFERROR(__xludf.DUMMYFUNCTION("""COMPUTED_VALUE"""),"47.7615709")</f>
        <v>47.7615709</v>
      </c>
      <c r="D139" s="9" t="str">
        <f>IFERROR(__xludf.DUMMYFUNCTION("""COMPUTED_VALUE"""),"Izba revolučných tradicií ČSPD n.p. závod Přístav")</f>
        <v>Izba revolučných tradicií ČSPD n.p. závod Přístav</v>
      </c>
      <c r="E139" s="10" t="str">
        <f>IFERROR(__xludf.DUMMYFUNCTION("""COMPUTED_VALUE"""),"síň tradic")</f>
        <v>síň tradic</v>
      </c>
      <c r="F139" s="9" t="str">
        <f>IFERROR(__xludf.DUMMYFUNCTION("""COMPUTED_VALUE"""),"Expozice, otevřená v roce 1974, dokumentovala dějiny závodu a organizace zaměstnanců. Zvláštní část byla věnovaná interbrigadistům a rudoarmějcům z řad bývalých pracovníků. ")</f>
        <v>Expozice, otevřená v roce 1974, dokumentovala dějiny závodu a organizace zaměstnanců. Zvláštní část byla věnovaná interbrigadistům a rudoarmějcům z řad bývalých pracovníků. </v>
      </c>
      <c r="G139" s="9" t="str">
        <f>IFERROR(__xludf.DUMMYFUNCTION("""COMPUTED_VALUE"""),"muzea")</f>
        <v>muzea</v>
      </c>
      <c r="H139" s="9" t="str">
        <f>IFERROR(__xludf.DUMMYFUNCTION("""COMPUTED_VALUE"""),"Podniková a tovární muzea")</f>
        <v>Podniková a tovární muzea</v>
      </c>
      <c r="I139" s="9" t="str">
        <f>IFERROR(__xludf.DUMMYFUNCTION("""COMPUTED_VALUE"""),"Ne")</f>
        <v>Ne</v>
      </c>
      <c r="J139" s="9">
        <f>IFERROR(__xludf.DUMMYFUNCTION("""COMPUTED_VALUE"""),1974.0)</f>
        <v>1974</v>
      </c>
      <c r="K139" s="9">
        <f>IFERROR(__xludf.DUMMYFUNCTION("""COMPUTED_VALUE"""),1989.0)</f>
        <v>1989</v>
      </c>
      <c r="L139" s="12" t="str">
        <f>IFERROR(__xludf.DUMMYFUNCTION("""COMPUTED_VALUE"""),"Melánia Babicová a kol.: Sprievodca po podnikových a závodných múzeách a sieňach revolučných tradicií v Slovenskej socialistickej republike, Bratislava: Práca 1988, str. 63-64")</f>
        <v>Melánia Babicová a kol.: Sprievodca po podnikových a závodných múzeách a sieňach revolučných tradicií v Slovenskej socialistickej republike, Bratislava: Práca 1988, str. 63-64</v>
      </c>
      <c r="M139" s="9"/>
      <c r="N139" s="9" t="str">
        <f>IFERROR(__xludf.DUMMYFUNCTION("""COMPUTED_VALUE"""),"komárno.JPG")</f>
        <v>komárno.JPG</v>
      </c>
      <c r="O139" s="6" t="str">
        <f>IFERROR(__xludf.DUMMYFUNCTION("""COMPUTED_VALUE"""),"Panely s galerií ""hrdinů národně osvobozovacího boje"" z řad zaměstnanců.")</f>
        <v>Panely s galerií "hrdinů národně osvobozovacího boje" z řad zaměstnanců.</v>
      </c>
      <c r="P139" s="6" t="str">
        <f>IFERROR(__xludf.DUMMYFUNCTION("""COMPUTED_VALUE"""),"Melánia Babicová a kol.: Sprievodca po podnikových a závodných múzeách a sieňach revolučných tradicií v Slovenskej socialistickej republike, Bratislava: Práca 1988, str. 63")</f>
        <v>Melánia Babicová a kol.: Sprievodca po podnikových a závodných múzeách a sieňach revolučných tradicií v Slovenskej socialistickej republike, Bratislava: Práca 1988, str. 63</v>
      </c>
      <c r="Q139" s="6"/>
      <c r="R139" s="6"/>
      <c r="S139" s="6"/>
      <c r="T139" s="6"/>
      <c r="U139" s="6"/>
      <c r="V139" s="6"/>
      <c r="W139" s="6"/>
      <c r="X139" s="6"/>
      <c r="Y139" s="6"/>
      <c r="Z139" s="6"/>
      <c r="AA139" s="6"/>
    </row>
    <row r="140" ht="15.75" customHeight="1">
      <c r="A140" s="7">
        <f t="shared" si="1"/>
        <v>139</v>
      </c>
      <c r="B140" s="9" t="str">
        <f>IFERROR(__xludf.DUMMYFUNCTION("""COMPUTED_VALUE"""),"18.5606628")</f>
        <v>18.5606628</v>
      </c>
      <c r="C140" s="9" t="str">
        <f>IFERROR(__xludf.DUMMYFUNCTION("""COMPUTED_VALUE"""),"48.292998")</f>
        <v>48.292998</v>
      </c>
      <c r="D140" s="9" t="str">
        <f>IFERROR(__xludf.DUMMYFUNCTION("""COMPUTED_VALUE"""),"Sieň pracovnej slávy k.p. Slovenské energetické strojárno S. M. Kirova Tlmače")</f>
        <v>Sieň pracovnej slávy k.p. Slovenské energetické strojárno S. M. Kirova Tlmače</v>
      </c>
      <c r="E140" s="10" t="str">
        <f>IFERROR(__xludf.DUMMYFUNCTION("""COMPUTED_VALUE"""),"síň tradic")</f>
        <v>síň tradic</v>
      </c>
      <c r="F140" s="9" t="str">
        <f>IFERROR(__xludf.DUMMYFUNCTION("""COMPUTED_VALUE"""),"V roce 1985 byla zřízena expozice zaměřená na dějiny místní výroby.")</f>
        <v>V roce 1985 byla zřízena expozice zaměřená na dějiny místní výroby.</v>
      </c>
      <c r="G140" s="9" t="str">
        <f>IFERROR(__xludf.DUMMYFUNCTION("""COMPUTED_VALUE"""),"muzea")</f>
        <v>muzea</v>
      </c>
      <c r="H140" s="9" t="str">
        <f>IFERROR(__xludf.DUMMYFUNCTION("""COMPUTED_VALUE"""),"Podniková a tovární muzea")</f>
        <v>Podniková a tovární muzea</v>
      </c>
      <c r="I140" s="9" t="str">
        <f>IFERROR(__xludf.DUMMYFUNCTION("""COMPUTED_VALUE"""),"Ne")</f>
        <v>Ne</v>
      </c>
      <c r="J140" s="9">
        <f>IFERROR(__xludf.DUMMYFUNCTION("""COMPUTED_VALUE"""),1985.0)</f>
        <v>1985</v>
      </c>
      <c r="K140" s="9">
        <f>IFERROR(__xludf.DUMMYFUNCTION("""COMPUTED_VALUE"""),1989.0)</f>
        <v>1989</v>
      </c>
      <c r="L140" s="12" t="str">
        <f>IFERROR(__xludf.DUMMYFUNCTION("""COMPUTED_VALUE"""),"Melánia Babicová a kol.: Sprievodca po podnikových a závodných múzeách a sieňach revolučných tradicií v Slovenskej socialistickej republike, Bratislava: Práca 1988, str. 66-68")</f>
        <v>Melánia Babicová a kol.: Sprievodca po podnikových a závodných múzeách a sieňach revolučných tradicií v Slovenskej socialistickej republike, Bratislava: Práca 1988, str. 66-68</v>
      </c>
      <c r="M140" s="9"/>
      <c r="N140" s="9"/>
      <c r="O140" s="6"/>
      <c r="P140" s="6"/>
      <c r="Q140" s="6"/>
      <c r="R140" s="6"/>
      <c r="S140" s="6"/>
      <c r="T140" s="6"/>
      <c r="U140" s="6"/>
      <c r="V140" s="6"/>
      <c r="W140" s="6"/>
      <c r="X140" s="6"/>
      <c r="Y140" s="6"/>
      <c r="Z140" s="6"/>
      <c r="AA140" s="6"/>
    </row>
    <row r="141" ht="15.75" customHeight="1">
      <c r="A141" s="7">
        <f t="shared" si="1"/>
        <v>140</v>
      </c>
      <c r="B141" s="9" t="str">
        <f>IFERROR(__xludf.DUMMYFUNCTION("""COMPUTED_VALUE"""),"18.0852883")</f>
        <v>18.0852883</v>
      </c>
      <c r="C141" s="9" t="str">
        <f>IFERROR(__xludf.DUMMYFUNCTION("""COMPUTED_VALUE"""),"48.3065712")</f>
        <v>48.3065712</v>
      </c>
      <c r="D141" s="9" t="str">
        <f>IFERROR(__xludf.DUMMYFUNCTION("""COMPUTED_VALUE"""),"Izba tradicií Štátnej banky československej pobočka Nitra")</f>
        <v>Izba tradicií Štátnej banky československej pobočka Nitra</v>
      </c>
      <c r="E141" s="10" t="str">
        <f>IFERROR(__xludf.DUMMYFUNCTION("""COMPUTED_VALUE"""),"síň tradic")</f>
        <v>síň tradic</v>
      </c>
      <c r="F141" s="9" t="str">
        <f>IFERROR(__xludf.DUMMYFUNCTION("""COMPUTED_VALUE"""),"Od roku 1974 byla veřejnosti přístupná expozice zaměřená na dějiny peněžnictví a numismatiky.")</f>
        <v>Od roku 1974 byla veřejnosti přístupná expozice zaměřená na dějiny peněžnictví a numismatiky.</v>
      </c>
      <c r="G141" s="9" t="str">
        <f>IFERROR(__xludf.DUMMYFUNCTION("""COMPUTED_VALUE"""),"muzea")</f>
        <v>muzea</v>
      </c>
      <c r="H141" s="9" t="str">
        <f>IFERROR(__xludf.DUMMYFUNCTION("""COMPUTED_VALUE"""),"Podniková a tovární muzea")</f>
        <v>Podniková a tovární muzea</v>
      </c>
      <c r="I141" s="9" t="str">
        <f>IFERROR(__xludf.DUMMYFUNCTION("""COMPUTED_VALUE"""),"Ne")</f>
        <v>Ne</v>
      </c>
      <c r="J141" s="9">
        <f>IFERROR(__xludf.DUMMYFUNCTION("""COMPUTED_VALUE"""),1974.0)</f>
        <v>1974</v>
      </c>
      <c r="K141" s="9">
        <f>IFERROR(__xludf.DUMMYFUNCTION("""COMPUTED_VALUE"""),1989.0)</f>
        <v>1989</v>
      </c>
      <c r="L141" s="12" t="str">
        <f>IFERROR(__xludf.DUMMYFUNCTION("""COMPUTED_VALUE"""),"Melánia Babicová a kol.: Sprievodca po podnikových a závodných múzeách a sieňach revolučných tradicií v Slovenskej socialistickej republike, Bratislava: Práca 1988, str. 69-70")</f>
        <v>Melánia Babicová a kol.: Sprievodca po podnikových a závodných múzeách a sieňach revolučných tradicií v Slovenskej socialistickej republike, Bratislava: Práca 1988, str. 69-70</v>
      </c>
      <c r="M141" s="9"/>
      <c r="N141" s="9" t="str">
        <f>IFERROR(__xludf.DUMMYFUNCTION("""COMPUTED_VALUE"""),"Nitra.JPG")</f>
        <v>Nitra.JPG</v>
      </c>
      <c r="O141" s="6" t="str">
        <f>IFERROR(__xludf.DUMMYFUNCTION("""COMPUTED_VALUE"""),"Pohled do expozice.")</f>
        <v>Pohled do expozice.</v>
      </c>
      <c r="P141" s="6" t="str">
        <f>IFERROR(__xludf.DUMMYFUNCTION("""COMPUTED_VALUE"""),"Melánia Babicová a kol.: Sprievodca po podnikových a závodných múzeách a sieňach revolučných tradicií v Slovenskej socialistickej republike, Bratislava: Práca 1988, str. 69")</f>
        <v>Melánia Babicová a kol.: Sprievodca po podnikových a závodných múzeách a sieňach revolučných tradicií v Slovenskej socialistickej republike, Bratislava: Práca 1988, str. 69</v>
      </c>
      <c r="Q141" s="6"/>
      <c r="R141" s="6"/>
      <c r="S141" s="6"/>
      <c r="T141" s="6"/>
      <c r="U141" s="6"/>
      <c r="V141" s="6"/>
      <c r="W141" s="6"/>
      <c r="X141" s="6"/>
      <c r="Y141" s="6"/>
      <c r="Z141" s="6"/>
      <c r="AA141" s="6"/>
    </row>
    <row r="142" ht="15.75" customHeight="1">
      <c r="A142" s="7">
        <f t="shared" si="1"/>
        <v>141</v>
      </c>
      <c r="B142" s="9" t="str">
        <f>IFERROR(__xludf.DUMMYFUNCTION("""COMPUTED_VALUE"""),"18.1771243")</f>
        <v>18.1771243</v>
      </c>
      <c r="C142" s="9" t="str">
        <f>IFERROR(__xludf.DUMMYFUNCTION("""COMPUTED_VALUE"""),"47.9804907")</f>
        <v>47.9804907</v>
      </c>
      <c r="D142" s="9" t="str">
        <f>IFERROR(__xludf.DUMMYFUNCTION("""COMPUTED_VALUE"""),"Izba revolučných tradicií n.p. Elektrosvit Nové zámky")</f>
        <v>Izba revolučných tradicií n.p. Elektrosvit Nové zámky</v>
      </c>
      <c r="E142" s="10" t="str">
        <f>IFERROR(__xludf.DUMMYFUNCTION("""COMPUTED_VALUE"""),"síň tradic")</f>
        <v>síň tradic</v>
      </c>
      <c r="F142" s="9" t="str">
        <f>IFERROR(__xludf.DUMMYFUNCTION("""COMPUTED_VALUE"""),"Expozice, otevřená roku 1975, popisovala dějiny výroby a revolučního hnutí ve městě se zvláštním zřetelem na dějiny závodu založeného roku 1950.")</f>
        <v>Expozice, otevřená roku 1975, popisovala dějiny výroby a revolučního hnutí ve městě se zvláštním zřetelem na dějiny závodu založeného roku 1950.</v>
      </c>
      <c r="G142" s="9" t="str">
        <f>IFERROR(__xludf.DUMMYFUNCTION("""COMPUTED_VALUE"""),"muzea")</f>
        <v>muzea</v>
      </c>
      <c r="H142" s="9" t="str">
        <f>IFERROR(__xludf.DUMMYFUNCTION("""COMPUTED_VALUE"""),"Podniková a tovární muzea")</f>
        <v>Podniková a tovární muzea</v>
      </c>
      <c r="I142" s="9" t="str">
        <f>IFERROR(__xludf.DUMMYFUNCTION("""COMPUTED_VALUE"""),"Ne")</f>
        <v>Ne</v>
      </c>
      <c r="J142" s="9">
        <f>IFERROR(__xludf.DUMMYFUNCTION("""COMPUTED_VALUE"""),1975.0)</f>
        <v>1975</v>
      </c>
      <c r="K142" s="9">
        <f>IFERROR(__xludf.DUMMYFUNCTION("""COMPUTED_VALUE"""),1989.0)</f>
        <v>1989</v>
      </c>
      <c r="L142" s="12" t="str">
        <f>IFERROR(__xludf.DUMMYFUNCTION("""COMPUTED_VALUE"""),"Melánia Babicová a kol.: Sprievodca po podnikových a závodných múzeách a sieňach revolučných tradicií v Slovenskej socialistickej republike, Bratislava: Práca 1988, str. 70-71")</f>
        <v>Melánia Babicová a kol.: Sprievodca po podnikových a závodných múzeách a sieňach revolučných tradicií v Slovenskej socialistickej republike, Bratislava: Práca 1988, str. 70-71</v>
      </c>
      <c r="M142" s="9"/>
      <c r="N142" s="9" t="str">
        <f>IFERROR(__xludf.DUMMYFUNCTION("""COMPUTED_VALUE"""),"nové zámky.JPG")</f>
        <v>nové zámky.JPG</v>
      </c>
      <c r="O142" s="6" t="str">
        <f>IFERROR(__xludf.DUMMYFUNCTION("""COMPUTED_VALUE"""),"Pohled do expozice.")</f>
        <v>Pohled do expozice.</v>
      </c>
      <c r="P142" s="6" t="str">
        <f>IFERROR(__xludf.DUMMYFUNCTION("""COMPUTED_VALUE"""),"Melánia Babicová a kol.: Sprievodca po podnikových a závodných múzeách a sieňach revolučných tradicií v Slovenskej socialistickej republike, Bratislava: Práca 1988, str. 70")</f>
        <v>Melánia Babicová a kol.: Sprievodca po podnikových a závodných múzeách a sieňach revolučných tradicií v Slovenskej socialistickej republike, Bratislava: Práca 1988, str. 70</v>
      </c>
      <c r="Q142" s="6"/>
      <c r="R142" s="6"/>
      <c r="S142" s="6"/>
      <c r="T142" s="6"/>
      <c r="U142" s="6"/>
      <c r="V142" s="6"/>
      <c r="W142" s="6"/>
      <c r="X142" s="6"/>
      <c r="Y142" s="6"/>
      <c r="Z142" s="6"/>
      <c r="AA142" s="6"/>
    </row>
    <row r="143" ht="15.75" customHeight="1">
      <c r="A143" s="7">
        <f t="shared" si="1"/>
        <v>142</v>
      </c>
      <c r="B143" s="9" t="str">
        <f>IFERROR(__xludf.DUMMYFUNCTION("""COMPUTED_VALUE"""),"17.3623964")</f>
        <v>17.3623964</v>
      </c>
      <c r="C143" s="9" t="str">
        <f>IFERROR(__xludf.DUMMYFUNCTION("""COMPUTED_VALUE"""),"48.6818299")</f>
        <v>48.6818299</v>
      </c>
      <c r="D143" s="9" t="str">
        <f>IFERROR(__xludf.DUMMYFUNCTION("""COMPUTED_VALUE"""),"Sieň revolučných tradicií n.p. Slovenský hodváb Senica")</f>
        <v>Sieň revolučných tradicií n.p. Slovenský hodváb Senica</v>
      </c>
      <c r="E143" s="10" t="str">
        <f>IFERROR(__xludf.DUMMYFUNCTION("""COMPUTED_VALUE"""),"síň tradic")</f>
        <v>síň tradic</v>
      </c>
      <c r="F143" s="9" t="str">
        <f>IFERROR(__xludf.DUMMYFUNCTION("""COMPUTED_VALUE"""),"Expozice, otevřená roku 1982, se zaměřovala na popularizaci dějin textilní výroby v regionu a zapojení místních dělníků do třídního boje. Důležitou součástí byla prezentace pracovních a sportovních úspěchů zaměstnanců.")</f>
        <v>Expozice, otevřená roku 1982, se zaměřovala na popularizaci dějin textilní výroby v regionu a zapojení místních dělníků do třídního boje. Důležitou součástí byla prezentace pracovních a sportovních úspěchů zaměstnanců.</v>
      </c>
      <c r="G143" s="9" t="str">
        <f>IFERROR(__xludf.DUMMYFUNCTION("""COMPUTED_VALUE"""),"muzea")</f>
        <v>muzea</v>
      </c>
      <c r="H143" s="9" t="str">
        <f>IFERROR(__xludf.DUMMYFUNCTION("""COMPUTED_VALUE"""),"Podniková a tovární muzea")</f>
        <v>Podniková a tovární muzea</v>
      </c>
      <c r="I143" s="9" t="str">
        <f>IFERROR(__xludf.DUMMYFUNCTION("""COMPUTED_VALUE"""),"Ne")</f>
        <v>Ne</v>
      </c>
      <c r="J143" s="9">
        <f>IFERROR(__xludf.DUMMYFUNCTION("""COMPUTED_VALUE"""),1982.0)</f>
        <v>1982</v>
      </c>
      <c r="K143" s="9">
        <f>IFERROR(__xludf.DUMMYFUNCTION("""COMPUTED_VALUE"""),1989.0)</f>
        <v>1989</v>
      </c>
      <c r="L143" s="12" t="str">
        <f>IFERROR(__xludf.DUMMYFUNCTION("""COMPUTED_VALUE"""),"Melánia Babicová a kol.: Sprievodca po podnikových a závodných múzeách a sieňach revolučných tradicií v Slovenskej socialistickej republike, Bratislava: Práca 1988, str. 74-75")</f>
        <v>Melánia Babicová a kol.: Sprievodca po podnikových a závodných múzeách a sieňach revolučných tradicií v Slovenskej socialistickej republike, Bratislava: Práca 1988, str. 74-75</v>
      </c>
      <c r="M143" s="9"/>
      <c r="N143" s="9" t="str">
        <f>IFERROR(__xludf.DUMMYFUNCTION("""COMPUTED_VALUE"""),"senica.JPG")</f>
        <v>senica.JPG</v>
      </c>
      <c r="O143" s="6" t="str">
        <f>IFERROR(__xludf.DUMMYFUNCTION("""COMPUTED_VALUE"""),"Z expozic.")</f>
        <v>Z expozic.</v>
      </c>
      <c r="P143" s="6" t="str">
        <f>IFERROR(__xludf.DUMMYFUNCTION("""COMPUTED_VALUE"""),"Melánia Babicová a kol.: Sprievodca po podnikových a závodných múzeách a sieňach revolučných tradicií v Slovenskej socialistickej republike, Bratislava: Práca 1988, str. 74")</f>
        <v>Melánia Babicová a kol.: Sprievodca po podnikových a závodných múzeách a sieňach revolučných tradicií v Slovenskej socialistickej republike, Bratislava: Práca 1988, str. 74</v>
      </c>
      <c r="Q143" s="6"/>
      <c r="R143" s="6"/>
      <c r="S143" s="6"/>
      <c r="T143" s="6"/>
      <c r="U143" s="6"/>
      <c r="V143" s="6"/>
      <c r="W143" s="6"/>
      <c r="X143" s="6"/>
      <c r="Y143" s="6"/>
      <c r="Z143" s="6"/>
      <c r="AA143" s="6"/>
    </row>
    <row r="144" ht="15.75" customHeight="1">
      <c r="A144" s="7">
        <f t="shared" si="1"/>
        <v>143</v>
      </c>
      <c r="B144" s="9" t="str">
        <f>IFERROR(__xludf.DUMMYFUNCTION("""COMPUTED_VALUE"""),"17.5686429")</f>
        <v>17.5686429</v>
      </c>
      <c r="C144" s="9" t="str">
        <f>IFERROR(__xludf.DUMMYFUNCTION("""COMPUTED_VALUE"""),"48.7616937")</f>
        <v>48.7616937</v>
      </c>
      <c r="D144" s="9" t="str">
        <f>IFERROR(__xludf.DUMMYFUNCTION("""COMPUTED_VALUE"""),"Podnikové múzeum pri n.p. Slovenská armatúrka Myjava")</f>
        <v>Podnikové múzeum pri n.p. Slovenská armatúrka Myjava</v>
      </c>
      <c r="E144" s="10" t="str">
        <f>IFERROR(__xludf.DUMMYFUNCTION("""COMPUTED_VALUE"""),"tovární muzeum")</f>
        <v>tovární muzeum</v>
      </c>
      <c r="F144" s="9" t="str">
        <f>IFERROR(__xludf.DUMMYFUNCTION("""COMPUTED_VALUE"""),"Expozice, zřízená v roce 1986, se zabývala dějinami socialistického a komunistického hnutí v regionu. Byla napojena na reprezentační místnost podniku.")</f>
        <v>Expozice, zřízená v roce 1986, se zabývala dějinami socialistického a komunistického hnutí v regionu. Byla napojena na reprezentační místnost podniku.</v>
      </c>
      <c r="G144" s="9" t="str">
        <f>IFERROR(__xludf.DUMMYFUNCTION("""COMPUTED_VALUE"""),"muzea")</f>
        <v>muzea</v>
      </c>
      <c r="H144" s="9" t="str">
        <f>IFERROR(__xludf.DUMMYFUNCTION("""COMPUTED_VALUE"""),"Podniková a tovární muzea")</f>
        <v>Podniková a tovární muzea</v>
      </c>
      <c r="I144" s="9" t="str">
        <f>IFERROR(__xludf.DUMMYFUNCTION("""COMPUTED_VALUE"""),"Ne")</f>
        <v>Ne</v>
      </c>
      <c r="J144" s="9">
        <f>IFERROR(__xludf.DUMMYFUNCTION("""COMPUTED_VALUE"""),1986.0)</f>
        <v>1986</v>
      </c>
      <c r="K144" s="9">
        <f>IFERROR(__xludf.DUMMYFUNCTION("""COMPUTED_VALUE"""),1989.0)</f>
        <v>1989</v>
      </c>
      <c r="L144" s="12" t="str">
        <f>IFERROR(__xludf.DUMMYFUNCTION("""COMPUTED_VALUE"""),"Melánia Babicová a kol.: Sprievodca po podnikových a závodných múzeách a sieňach revolučných tradicií v Slovenskej socialistickej republike, Bratislava: Práca 1988, str. 77-78")</f>
        <v>Melánia Babicová a kol.: Sprievodca po podnikových a závodných múzeách a sieňach revolučných tradicií v Slovenskej socialistickej republike, Bratislava: Práca 1988, str. 77-78</v>
      </c>
      <c r="M144" s="9"/>
      <c r="N144" s="9" t="str">
        <f>IFERROR(__xludf.DUMMYFUNCTION("""COMPUTED_VALUE"""),"Myjava.JPG")</f>
        <v>Myjava.JPG</v>
      </c>
      <c r="O144" s="6" t="str">
        <f>IFERROR(__xludf.DUMMYFUNCTION("""COMPUTED_VALUE"""),"Z expozic.")</f>
        <v>Z expozic.</v>
      </c>
      <c r="P144" s="6" t="str">
        <f>IFERROR(__xludf.DUMMYFUNCTION("""COMPUTED_VALUE"""),"Melánia Babicová a kol.: Sprievodca po podnikových a závodných múzeách a sieňach revolučných tradicií v Slovenskej socialistickej republike, Bratislava: Práca 1988, str. 77")</f>
        <v>Melánia Babicová a kol.: Sprievodca po podnikových a závodných múzeách a sieňach revolučných tradicií v Slovenskej socialistickej republike, Bratislava: Práca 1988, str. 77</v>
      </c>
      <c r="Q144" s="6"/>
      <c r="R144" s="6"/>
      <c r="S144" s="6"/>
      <c r="T144" s="6"/>
      <c r="U144" s="6"/>
      <c r="V144" s="6"/>
      <c r="W144" s="6"/>
      <c r="X144" s="6"/>
      <c r="Y144" s="6"/>
      <c r="Z144" s="6"/>
      <c r="AA144" s="6"/>
    </row>
    <row r="145" ht="15.75" customHeight="1">
      <c r="A145" s="7">
        <f t="shared" si="1"/>
        <v>144</v>
      </c>
      <c r="B145" s="9" t="str">
        <f>IFERROR(__xludf.DUMMYFUNCTION("""COMPUTED_VALUE"""),"17.2256225")</f>
        <v>17.2256225</v>
      </c>
      <c r="C145" s="9" t="str">
        <f>IFERROR(__xludf.DUMMYFUNCTION("""COMPUTED_VALUE"""),"48.8428811")</f>
        <v>48.8428811</v>
      </c>
      <c r="D145" s="9" t="str">
        <f>IFERROR(__xludf.DUMMYFUNCTION("""COMPUTED_VALUE"""),"Izba revolučných tradícií a pracovnej slávy n.p. Grafobal Skalica")</f>
        <v>Izba revolučných tradícií a pracovnej slávy n.p. Grafobal Skalica</v>
      </c>
      <c r="E145" s="10" t="str">
        <f>IFERROR(__xludf.DUMMYFUNCTION("""COMPUTED_VALUE"""),"síň tradic")</f>
        <v>síň tradic</v>
      </c>
      <c r="F145" s="9" t="str">
        <f>IFERROR(__xludf.DUMMYFUNCTION("""COMPUTED_VALUE"""),"Expozice byla otevřená v roce 1986 s cílem popularizovat dějiny závodu.")</f>
        <v>Expozice byla otevřená v roce 1986 s cílem popularizovat dějiny závodu.</v>
      </c>
      <c r="G145" s="9" t="str">
        <f>IFERROR(__xludf.DUMMYFUNCTION("""COMPUTED_VALUE"""),"muzea")</f>
        <v>muzea</v>
      </c>
      <c r="H145" s="9" t="str">
        <f>IFERROR(__xludf.DUMMYFUNCTION("""COMPUTED_VALUE"""),"Podniková a tovární muzea")</f>
        <v>Podniková a tovární muzea</v>
      </c>
      <c r="I145" s="9" t="str">
        <f>IFERROR(__xludf.DUMMYFUNCTION("""COMPUTED_VALUE"""),"Ne")</f>
        <v>Ne</v>
      </c>
      <c r="J145" s="9">
        <f>IFERROR(__xludf.DUMMYFUNCTION("""COMPUTED_VALUE"""),1986.0)</f>
        <v>1986</v>
      </c>
      <c r="K145" s="9">
        <f>IFERROR(__xludf.DUMMYFUNCTION("""COMPUTED_VALUE"""),1989.0)</f>
        <v>1989</v>
      </c>
      <c r="L145" s="12" t="str">
        <f>IFERROR(__xludf.DUMMYFUNCTION("""COMPUTED_VALUE"""),"Melánia Babicová a kol.: Sprievodca po podnikových a závodných múzeách a sieňach revolučných tradicií v Slovenskej socialistickej republike, Bratislava: Práca 1988, str. 77-78")</f>
        <v>Melánia Babicová a kol.: Sprievodca po podnikových a závodných múzeách a sieňach revolučných tradicií v Slovenskej socialistickej republike, Bratislava: Práca 1988, str. 77-78</v>
      </c>
      <c r="M145" s="9"/>
      <c r="N145" s="9"/>
      <c r="O145" s="6"/>
      <c r="P145" s="6"/>
      <c r="Q145" s="6"/>
      <c r="R145" s="6"/>
      <c r="S145" s="6"/>
      <c r="T145" s="6"/>
      <c r="U145" s="6"/>
      <c r="V145" s="6"/>
      <c r="W145" s="6"/>
      <c r="X145" s="6"/>
      <c r="Y145" s="6"/>
      <c r="Z145" s="6"/>
      <c r="AA145" s="6"/>
    </row>
    <row r="146" ht="15.75" customHeight="1">
      <c r="A146" s="7">
        <f t="shared" si="1"/>
        <v>145</v>
      </c>
      <c r="B146" s="9" t="str">
        <f>IFERROR(__xludf.DUMMYFUNCTION("""COMPUTED_VALUE"""),"18.3685726")</f>
        <v>18.3685726</v>
      </c>
      <c r="C146" s="9" t="str">
        <f>IFERROR(__xludf.DUMMYFUNCTION("""COMPUTED_VALUE"""),"48.6241663")</f>
        <v>48.6241663</v>
      </c>
      <c r="D146" s="9" t="str">
        <f>IFERROR(__xludf.DUMMYFUNCTION("""COMPUTED_VALUE"""),"Dom revolučných tradícií n.p. Závody 29. augusta, Partizánské")</f>
        <v>Dom revolučných tradícií n.p. Závody 29. augusta, Partizánské</v>
      </c>
      <c r="E146" s="10" t="str">
        <f>IFERROR(__xludf.DUMMYFUNCTION("""COMPUTED_VALUE"""),"tovární muzeum")</f>
        <v>tovární muzeum</v>
      </c>
      <c r="F146" s="9" t="str">
        <f>IFERROR(__xludf.DUMMYFUNCTION("""COMPUTED_VALUE"""),"Muzeum bylo vybudovano v roce 1961. Hlavním tématem se stala historie města v kontextu dějin dělnické třídy. Roku 1983 prošla expozice rozsáhlou modernizací.")</f>
        <v>Muzeum bylo vybudovano v roce 1961. Hlavním tématem se stala historie města v kontextu dějin dělnické třídy. Roku 1983 prošla expozice rozsáhlou modernizací.</v>
      </c>
      <c r="G146" s="9" t="str">
        <f>IFERROR(__xludf.DUMMYFUNCTION("""COMPUTED_VALUE"""),"muzea")</f>
        <v>muzea</v>
      </c>
      <c r="H146" s="9" t="str">
        <f>IFERROR(__xludf.DUMMYFUNCTION("""COMPUTED_VALUE"""),"Podniková a tovární muzea")</f>
        <v>Podniková a tovární muzea</v>
      </c>
      <c r="I146" s="9" t="str">
        <f>IFERROR(__xludf.DUMMYFUNCTION("""COMPUTED_VALUE"""),"Ne")</f>
        <v>Ne</v>
      </c>
      <c r="J146" s="9">
        <f>IFERROR(__xludf.DUMMYFUNCTION("""COMPUTED_VALUE"""),1961.0)</f>
        <v>1961</v>
      </c>
      <c r="K146" s="9">
        <f>IFERROR(__xludf.DUMMYFUNCTION("""COMPUTED_VALUE"""),1989.0)</f>
        <v>1989</v>
      </c>
      <c r="L146" s="12" t="str">
        <f>IFERROR(__xludf.DUMMYFUNCTION("""COMPUTED_VALUE"""),"Melánia Babicová a kol.: Sprievodca po podnikových a závodných múzeách a sieňach revolučných tradicií v Slovenskej socialistickej republike, Bratislava: Práca 1988, str. 78-80.")</f>
        <v>Melánia Babicová a kol.: Sprievodca po podnikových a závodných múzeách a sieňach revolučných tradicií v Slovenskej socialistickej republike, Bratislava: Práca 1988, str. 78-80.</v>
      </c>
      <c r="M146" s="9"/>
      <c r="N146" s="9"/>
      <c r="O146" s="6"/>
      <c r="P146" s="6"/>
      <c r="Q146" s="6"/>
      <c r="R146" s="6"/>
      <c r="S146" s="6"/>
      <c r="T146" s="6"/>
      <c r="U146" s="6"/>
      <c r="V146" s="6"/>
      <c r="W146" s="6"/>
      <c r="X146" s="6"/>
      <c r="Y146" s="6"/>
      <c r="Z146" s="6"/>
      <c r="AA146" s="6"/>
    </row>
    <row r="147" ht="15.75" customHeight="1">
      <c r="A147" s="7">
        <f t="shared" si="1"/>
        <v>146</v>
      </c>
      <c r="B147" s="9" t="str">
        <f>IFERROR(__xludf.DUMMYFUNCTION("""COMPUTED_VALUE"""),"18.0568853")</f>
        <v>18.0568853</v>
      </c>
      <c r="C147" s="9" t="str">
        <f>IFERROR(__xludf.DUMMYFUNCTION("""COMPUTED_VALUE"""),"48.8937093")</f>
        <v>48.8937093</v>
      </c>
      <c r="D147" s="9" t="str">
        <f>IFERROR(__xludf.DUMMYFUNCTION("""COMPUTED_VALUE"""),"Sieň revolučných tradicií n.p. Merina Trenčín")</f>
        <v>Sieň revolučných tradicií n.p. Merina Trenčín</v>
      </c>
      <c r="E147" s="10" t="str">
        <f>IFERROR(__xludf.DUMMYFUNCTION("""COMPUTED_VALUE"""),"síň tradic")</f>
        <v>síň tradic</v>
      </c>
      <c r="F147" s="9" t="str">
        <f>IFERROR(__xludf.DUMMYFUNCTION("""COMPUTED_VALUE"""),"Expozice otevřená v roce 1974 s cílem popularizovat dějiny textilní výroby a zasadit je do kontextu lokálních dějin KSČ. Tématem byli i příslušníci družstva Interhelpo nebo vojenská služba Julia Fučíka ve města a role města v Slovenském národním povstání.")</f>
        <v>Expozice otevřená v roce 1974 s cílem popularizovat dějiny textilní výroby a zasadit je do kontextu lokálních dějin KSČ. Tématem byli i příslušníci družstva Interhelpo nebo vojenská služba Julia Fučíka ve města a role města v Slovenském národním povstání.</v>
      </c>
      <c r="G147" s="9" t="str">
        <f>IFERROR(__xludf.DUMMYFUNCTION("""COMPUTED_VALUE"""),"muzea")</f>
        <v>muzea</v>
      </c>
      <c r="H147" s="9" t="str">
        <f>IFERROR(__xludf.DUMMYFUNCTION("""COMPUTED_VALUE"""),"Podniková a tovární muzea")</f>
        <v>Podniková a tovární muzea</v>
      </c>
      <c r="I147" s="9" t="str">
        <f>IFERROR(__xludf.DUMMYFUNCTION("""COMPUTED_VALUE"""),"Ne")</f>
        <v>Ne</v>
      </c>
      <c r="J147" s="9">
        <f>IFERROR(__xludf.DUMMYFUNCTION("""COMPUTED_VALUE"""),1974.0)</f>
        <v>1974</v>
      </c>
      <c r="K147" s="9">
        <f>IFERROR(__xludf.DUMMYFUNCTION("""COMPUTED_VALUE"""),1989.0)</f>
        <v>1989</v>
      </c>
      <c r="L147" s="12" t="str">
        <f>IFERROR(__xludf.DUMMYFUNCTION("""COMPUTED_VALUE"""),"Melánia Babicová a kol.: Sprievodca po podnikových a závodných múzeách a sieňach revolučných tradicií v Slovenskej socialistickej republike, Bratislava: Práca 1988, str. 81-83")</f>
        <v>Melánia Babicová a kol.: Sprievodca po podnikových a závodných múzeách a sieňach revolučných tradicií v Slovenskej socialistickej republike, Bratislava: Práca 1988, str. 81-83</v>
      </c>
      <c r="M147" s="9"/>
      <c r="N147" s="9"/>
      <c r="O147" s="6"/>
      <c r="P147" s="6"/>
      <c r="Q147" s="6"/>
      <c r="R147" s="6"/>
      <c r="S147" s="6"/>
      <c r="T147" s="6"/>
      <c r="U147" s="6"/>
      <c r="V147" s="6"/>
      <c r="W147" s="6"/>
      <c r="X147" s="6"/>
      <c r="Y147" s="6"/>
      <c r="Z147" s="6"/>
      <c r="AA147" s="6"/>
    </row>
    <row r="148" ht="15.75" customHeight="1">
      <c r="A148" s="7">
        <f t="shared" si="1"/>
        <v>147</v>
      </c>
      <c r="B148" s="9" t="str">
        <f>IFERROR(__xludf.DUMMYFUNCTION("""COMPUTED_VALUE"""),"18.0645383")</f>
        <v>18.0645383</v>
      </c>
      <c r="C148" s="9" t="str">
        <f>IFERROR(__xludf.DUMMYFUNCTION("""COMPUTED_VALUE"""),"48.8924345")</f>
        <v>48.8924345</v>
      </c>
      <c r="D148" s="9" t="str">
        <f>IFERROR(__xludf.DUMMYFUNCTION("""COMPUTED_VALUE"""),"Izba revolučných tradicií ZJ Ľudových milicií k.p. TOS Trenčín")</f>
        <v>Izba revolučných tradicií ZJ Ľudových milicií k.p. TOS Trenčín</v>
      </c>
      <c r="E148" s="10" t="str">
        <f>IFERROR(__xludf.DUMMYFUNCTION("""COMPUTED_VALUE"""),"síň tradic")</f>
        <v>síň tradic</v>
      </c>
      <c r="F148" s="9" t="str">
        <f>IFERROR(__xludf.DUMMYFUNCTION("""COMPUTED_VALUE"""),"Expozice z roku 1982 byla zaměřena na roli místních lidových milic v únoru 1948. Centrem expozice byla puška použitá při akcích lidové milice během únorových událostí.")</f>
        <v>Expozice z roku 1982 byla zaměřena na roli místních lidových milic v únoru 1948. Centrem expozice byla puška použitá při akcích lidové milice během únorových událostí.</v>
      </c>
      <c r="G148" s="9" t="str">
        <f>IFERROR(__xludf.DUMMYFUNCTION("""COMPUTED_VALUE"""),"muzea")</f>
        <v>muzea</v>
      </c>
      <c r="H148" s="9" t="str">
        <f>IFERROR(__xludf.DUMMYFUNCTION("""COMPUTED_VALUE"""),"Podniková a tovární muzea")</f>
        <v>Podniková a tovární muzea</v>
      </c>
      <c r="I148" s="9" t="str">
        <f>IFERROR(__xludf.DUMMYFUNCTION("""COMPUTED_VALUE"""),"Ne")</f>
        <v>Ne</v>
      </c>
      <c r="J148" s="9">
        <f>IFERROR(__xludf.DUMMYFUNCTION("""COMPUTED_VALUE"""),1982.0)</f>
        <v>1982</v>
      </c>
      <c r="K148" s="9">
        <f>IFERROR(__xludf.DUMMYFUNCTION("""COMPUTED_VALUE"""),1989.0)</f>
        <v>1989</v>
      </c>
      <c r="L148" s="12" t="str">
        <f>IFERROR(__xludf.DUMMYFUNCTION("""COMPUTED_VALUE"""),"Melánia Babicová a kol.: Sprievodca po podnikových a závodných múzeách a sieňach revolučných tradicií v Slovenskej socialistickej republike, Bratislava: Práca 1988, str. 84")</f>
        <v>Melánia Babicová a kol.: Sprievodca po podnikových a závodných múzeách a sieňach revolučných tradicií v Slovenskej socialistickej republike, Bratislava: Práca 1988, str. 84</v>
      </c>
      <c r="M148" s="9"/>
      <c r="N148" s="9" t="str">
        <f>IFERROR(__xludf.DUMMYFUNCTION("""COMPUTED_VALUE"""),"trenčín.JPG")</f>
        <v>trenčín.JPG</v>
      </c>
      <c r="O148" s="6" t="str">
        <f>IFERROR(__xludf.DUMMYFUNCTION("""COMPUTED_VALUE"""),"Dominanta expozice-památná puška závodu.")</f>
        <v>Dominanta expozice-památná puška závodu.</v>
      </c>
      <c r="P148" s="6" t="str">
        <f>IFERROR(__xludf.DUMMYFUNCTION("""COMPUTED_VALUE"""),"Melánia Babicová a kol.: Sprievodca po podnikových a závodných múzeách a sieňach revolučných tradicií v Slovenskej socialistickej republike, Bratislava: Práca 1988, str. 84")</f>
        <v>Melánia Babicová a kol.: Sprievodca po podnikových a závodných múzeách a sieňach revolučných tradicií v Slovenskej socialistickej republike, Bratislava: Práca 1988, str. 84</v>
      </c>
      <c r="Q148" s="6"/>
      <c r="R148" s="6"/>
      <c r="S148" s="6"/>
      <c r="T148" s="6"/>
      <c r="U148" s="6"/>
      <c r="V148" s="6"/>
      <c r="W148" s="6"/>
      <c r="X148" s="6"/>
      <c r="Y148" s="6"/>
      <c r="Z148" s="6"/>
      <c r="AA148" s="6"/>
    </row>
    <row r="149" ht="15.75" customHeight="1">
      <c r="A149" s="7">
        <f t="shared" si="1"/>
        <v>148</v>
      </c>
      <c r="B149" s="9" t="str">
        <f>IFERROR(__xludf.DUMMYFUNCTION("""COMPUTED_VALUE"""),"17.8287027")</f>
        <v>17.8287027</v>
      </c>
      <c r="C149" s="9" t="str">
        <f>IFERROR(__xludf.DUMMYFUNCTION("""COMPUTED_VALUE"""),"48.7675161")</f>
        <v>48.7675161</v>
      </c>
      <c r="D149" s="9" t="str">
        <f>IFERROR(__xludf.DUMMYFUNCTION("""COMPUTED_VALUE"""),"Izba revolučných tradicií n.p. Strojová a traktorová stanica, Nové mesto nad Váhom")</f>
        <v>Izba revolučných tradicií n.p. Strojová a traktorová stanica, Nové mesto nad Váhom</v>
      </c>
      <c r="E149" s="10" t="str">
        <f>IFERROR(__xludf.DUMMYFUNCTION("""COMPUTED_VALUE"""),"síň tradic")</f>
        <v>síň tradic</v>
      </c>
      <c r="F149" s="9" t="str">
        <f>IFERROR(__xludf.DUMMYFUNCTION("""COMPUTED_VALUE"""),"Expozice byla zřízená v roce 1973 u příležitosti 25. výročí vzniku STS. Její základní ideou bylo porovnání způsobu hospodaření před a po kolektivizaci.")</f>
        <v>Expozice byla zřízená v roce 1973 u příležitosti 25. výročí vzniku STS. Její základní ideou bylo porovnání způsobu hospodaření před a po kolektivizaci.</v>
      </c>
      <c r="G149" s="9" t="str">
        <f>IFERROR(__xludf.DUMMYFUNCTION("""COMPUTED_VALUE"""),"muzea")</f>
        <v>muzea</v>
      </c>
      <c r="H149" s="9" t="str">
        <f>IFERROR(__xludf.DUMMYFUNCTION("""COMPUTED_VALUE"""),"Podniková a tovární muzea")</f>
        <v>Podniková a tovární muzea</v>
      </c>
      <c r="I149" s="9" t="str">
        <f>IFERROR(__xludf.DUMMYFUNCTION("""COMPUTED_VALUE"""),"Ne")</f>
        <v>Ne</v>
      </c>
      <c r="J149" s="9">
        <f>IFERROR(__xludf.DUMMYFUNCTION("""COMPUTED_VALUE"""),1973.0)</f>
        <v>1973</v>
      </c>
      <c r="K149" s="9">
        <f>IFERROR(__xludf.DUMMYFUNCTION("""COMPUTED_VALUE"""),1989.0)</f>
        <v>1989</v>
      </c>
      <c r="L149" s="12" t="str">
        <f>IFERROR(__xludf.DUMMYFUNCTION("""COMPUTED_VALUE"""),"Melánia Babicová a kol.: Sprievodca po podnikových a závodných múzeách a sieňach revolučných tradicií v Slovenskej socialistickej republike, Bratislava: Práca 1988, str. 84-85")</f>
        <v>Melánia Babicová a kol.: Sprievodca po podnikových a závodných múzeách a sieňach revolučných tradicií v Slovenskej socialistickej republike, Bratislava: Práca 1988, str. 84-85</v>
      </c>
      <c r="M149" s="9"/>
      <c r="N149" s="9"/>
      <c r="O149" s="6"/>
      <c r="P149" s="6"/>
      <c r="Q149" s="6"/>
      <c r="R149" s="6"/>
      <c r="S149" s="6"/>
      <c r="T149" s="6"/>
      <c r="U149" s="6"/>
      <c r="V149" s="6"/>
      <c r="W149" s="6"/>
      <c r="X149" s="6"/>
      <c r="Y149" s="6"/>
      <c r="Z149" s="6"/>
      <c r="AA149" s="6"/>
    </row>
    <row r="150" ht="15.75" customHeight="1">
      <c r="A150" s="7">
        <f t="shared" si="1"/>
        <v>149</v>
      </c>
      <c r="B150" s="9" t="str">
        <f>IFERROR(__xludf.DUMMYFUNCTION("""COMPUTED_VALUE"""),"17.5951291")</f>
        <v>17.5951291</v>
      </c>
      <c r="C150" s="9" t="str">
        <f>IFERROR(__xludf.DUMMYFUNCTION("""COMPUTED_VALUE"""),"48.3719824")</f>
        <v>48.3719824</v>
      </c>
      <c r="D150" s="9" t="str">
        <f>IFERROR(__xludf.DUMMYFUNCTION("""COMPUTED_VALUE"""),"Sieň revolučných tradicií pivovarsko-sladovnickeho oboru, Trnava")</f>
        <v>Sieň revolučných tradicií pivovarsko-sladovnickeho oboru, Trnava</v>
      </c>
      <c r="E150" s="10" t="str">
        <f>IFERROR(__xludf.DUMMYFUNCTION("""COMPUTED_VALUE"""),"síň tradic")</f>
        <v>síň tradic</v>
      </c>
      <c r="F150" s="9" t="str">
        <f>IFERROR(__xludf.DUMMYFUNCTION("""COMPUTED_VALUE"""),"Expozice, zřízená v roce 1973, se věnovala zejména dějinám pivovarnictví a techniky vaření piva. Roku 1985 prošla síň tradic rozsáhlou modernizací.")</f>
        <v>Expozice, zřízená v roce 1973, se věnovala zejména dějinám pivovarnictví a techniky vaření piva. Roku 1985 prošla síň tradic rozsáhlou modernizací.</v>
      </c>
      <c r="G150" s="9" t="str">
        <f>IFERROR(__xludf.DUMMYFUNCTION("""COMPUTED_VALUE"""),"muzea")</f>
        <v>muzea</v>
      </c>
      <c r="H150" s="9" t="str">
        <f>IFERROR(__xludf.DUMMYFUNCTION("""COMPUTED_VALUE"""),"Podniková a tovární muzea")</f>
        <v>Podniková a tovární muzea</v>
      </c>
      <c r="I150" s="9" t="str">
        <f>IFERROR(__xludf.DUMMYFUNCTION("""COMPUTED_VALUE"""),"Ne")</f>
        <v>Ne</v>
      </c>
      <c r="J150" s="9">
        <f>IFERROR(__xludf.DUMMYFUNCTION("""COMPUTED_VALUE"""),1973.0)</f>
        <v>1973</v>
      </c>
      <c r="K150" s="9">
        <f>IFERROR(__xludf.DUMMYFUNCTION("""COMPUTED_VALUE"""),1989.0)</f>
        <v>1989</v>
      </c>
      <c r="L150" s="12" t="str">
        <f>IFERROR(__xludf.DUMMYFUNCTION("""COMPUTED_VALUE"""),"Melánia Babicová a kol.: Sprievodca po podnikových a závodných múzeách a sieňach revolučných tradicií v Slovenskej socialistickej republike, Bratislava: Práca 1988, str. 87-88")</f>
        <v>Melánia Babicová a kol.: Sprievodca po podnikových a závodných múzeách a sieňach revolučných tradicií v Slovenskej socialistickej republike, Bratislava: Práca 1988, str. 87-88</v>
      </c>
      <c r="M150" s="9"/>
      <c r="N150" s="9" t="str">
        <f>IFERROR(__xludf.DUMMYFUNCTION("""COMPUTED_VALUE"""),"trnava.JPG")</f>
        <v>trnava.JPG</v>
      </c>
      <c r="O150" s="6" t="str">
        <f>IFERROR(__xludf.DUMMYFUNCTION("""COMPUTED_VALUE"""),"Z expozic.")</f>
        <v>Z expozic.</v>
      </c>
      <c r="P150" s="6" t="str">
        <f>IFERROR(__xludf.DUMMYFUNCTION("""COMPUTED_VALUE"""),"Melánia Babicová a kol.: Sprievodca po podnikových a závodných múzeách a sieňach revolučných tradicií v Slovenskej socialistickej republike, Bratislava: Práca 1988, str. 87")</f>
        <v>Melánia Babicová a kol.: Sprievodca po podnikových a závodných múzeách a sieňach revolučných tradicií v Slovenskej socialistickej republike, Bratislava: Práca 1988, str. 87</v>
      </c>
      <c r="Q150" s="6"/>
      <c r="R150" s="6"/>
      <c r="S150" s="6"/>
      <c r="T150" s="6"/>
      <c r="U150" s="6"/>
      <c r="V150" s="6"/>
      <c r="W150" s="6"/>
      <c r="X150" s="6"/>
      <c r="Y150" s="6"/>
      <c r="Z150" s="6"/>
      <c r="AA150" s="6"/>
    </row>
    <row r="151" ht="15.75" customHeight="1">
      <c r="A151" s="7">
        <f t="shared" si="1"/>
        <v>150</v>
      </c>
      <c r="B151" s="9" t="str">
        <f>IFERROR(__xludf.DUMMYFUNCTION("""COMPUTED_VALUE"""),"17.5766569")</f>
        <v>17.5766569</v>
      </c>
      <c r="C151" s="9" t="str">
        <f>IFERROR(__xludf.DUMMYFUNCTION("""COMPUTED_VALUE"""),"48.3629829")</f>
        <v>48.3629829</v>
      </c>
      <c r="D151" s="9" t="str">
        <f>IFERROR(__xludf.DUMMYFUNCTION("""COMPUTED_VALUE"""),"Sieň revolučných tradícií n.p. Trnavské automobilové závody a Sieň mládežnickych tradícií n.p. TAZ")</f>
        <v>Sieň revolučných tradícií n.p. Trnavské automobilové závody a Sieň mládežnickych tradícií n.p. TAZ</v>
      </c>
      <c r="E151" s="10" t="str">
        <f>IFERROR(__xludf.DUMMYFUNCTION("""COMPUTED_VALUE"""),"síň tradic")</f>
        <v>síň tradic</v>
      </c>
      <c r="F151" s="9" t="str">
        <f>IFERROR(__xludf.DUMMYFUNCTION("""COMPUTED_VALUE"""),"První expozice byla otevřená v roce 1961. V roce 1984 došlo k reinstalaci a zřízení vlastní síně tradic svazu mládeže. Hlavní zájem byl věnován dějinám místní výroby, rudých odborů a KSČ. V síni mládežnických tradic byla ústředním tématem stavba Trati mlá"&amp;"deže.")</f>
        <v>První expozice byla otevřená v roce 1961. V roce 1984 došlo k reinstalaci a zřízení vlastní síně tradic svazu mládeže. Hlavní zájem byl věnován dějinám místní výroby, rudých odborů a KSČ. V síni mládežnických tradic byla ústředním tématem stavba Trati mládeže.</v>
      </c>
      <c r="G151" s="9" t="str">
        <f>IFERROR(__xludf.DUMMYFUNCTION("""COMPUTED_VALUE"""),"muzea")</f>
        <v>muzea</v>
      </c>
      <c r="H151" s="9" t="str">
        <f>IFERROR(__xludf.DUMMYFUNCTION("""COMPUTED_VALUE"""),"Podniková a tovární muzea")</f>
        <v>Podniková a tovární muzea</v>
      </c>
      <c r="I151" s="9" t="str">
        <f>IFERROR(__xludf.DUMMYFUNCTION("""COMPUTED_VALUE"""),"Ne")</f>
        <v>Ne</v>
      </c>
      <c r="J151" s="9">
        <f>IFERROR(__xludf.DUMMYFUNCTION("""COMPUTED_VALUE"""),1961.0)</f>
        <v>1961</v>
      </c>
      <c r="K151" s="9">
        <f>IFERROR(__xludf.DUMMYFUNCTION("""COMPUTED_VALUE"""),1989.0)</f>
        <v>1989</v>
      </c>
      <c r="L151" s="12" t="str">
        <f>IFERROR(__xludf.DUMMYFUNCTION("""COMPUTED_VALUE"""),"Melánia Babicová a kol.: Sprievodca po podnikových a závodných múzeách a sieňach revolučných tradicií v Slovenskej socialistickej republike, Bratislava: Práca 1988, str. 88-92")</f>
        <v>Melánia Babicová a kol.: Sprievodca po podnikových a závodných múzeách a sieňach revolučných tradicií v Slovenskej socialistickej republike, Bratislava: Práca 1988, str. 88-92</v>
      </c>
      <c r="M151" s="9"/>
      <c r="N151" s="9" t="str">
        <f>IFERROR(__xludf.DUMMYFUNCTION("""COMPUTED_VALUE"""),"Trnava mládež.JPG")</f>
        <v>Trnava mládež.JPG</v>
      </c>
      <c r="O151" s="6" t="str">
        <f>IFERROR(__xludf.DUMMYFUNCTION("""COMPUTED_VALUE"""),"Z expozic: vitrína věnující se stavbám mládeže.")</f>
        <v>Z expozic: vitrína věnující se stavbám mládeže.</v>
      </c>
      <c r="P151" s="6" t="str">
        <f>IFERROR(__xludf.DUMMYFUNCTION("""COMPUTED_VALUE"""),"Melánia Babicová a kol.: Sprievodca po podnikových a závodných múzeách a sieňach revolučných tradicií v Slovenskej socialistickej republike, Bratislava: Práca 1988, str. 88")</f>
        <v>Melánia Babicová a kol.: Sprievodca po podnikových a závodných múzeách a sieňach revolučných tradicií v Slovenskej socialistickej republike, Bratislava: Práca 1988, str. 88</v>
      </c>
      <c r="Q151" s="6"/>
      <c r="R151" s="6"/>
      <c r="S151" s="6"/>
      <c r="T151" s="6"/>
      <c r="U151" s="6"/>
      <c r="V151" s="6"/>
      <c r="W151" s="6"/>
      <c r="X151" s="6"/>
      <c r="Y151" s="6"/>
      <c r="Z151" s="6"/>
      <c r="AA151" s="6"/>
    </row>
    <row r="152" ht="15.75" customHeight="1">
      <c r="A152" s="7">
        <f t="shared" si="1"/>
        <v>151</v>
      </c>
      <c r="B152" s="9" t="str">
        <f>IFERROR(__xludf.DUMMYFUNCTION("""COMPUTED_VALUE"""),"17.6135668")</f>
        <v>17.6135668</v>
      </c>
      <c r="C152" s="9" t="str">
        <f>IFERROR(__xludf.DUMMYFUNCTION("""COMPUTED_VALUE"""),"48.3726344")</f>
        <v>48.3726344</v>
      </c>
      <c r="D152" s="9" t="str">
        <f>IFERROR(__xludf.DUMMYFUNCTION("""COMPUTED_VALUE"""),"Izba revolučných tradicií Železničných opravovní a strojární Trnava")</f>
        <v>Izba revolučných tradicií Železničných opravovní a strojární Trnava</v>
      </c>
      <c r="E152" s="10" t="str">
        <f>IFERROR(__xludf.DUMMYFUNCTION("""COMPUTED_VALUE"""),"síň tradic")</f>
        <v>síň tradic</v>
      </c>
      <c r="F152" s="9" t="str">
        <f>IFERROR(__xludf.DUMMYFUNCTION("""COMPUTED_VALUE"""),"Expozice z roku 1978 přibližovala dějiny provozu, aktivity místních komunistů před rokem 1948 a roli mládežnického kolektivu při budování socialismu a kolektivizaci přilehlého venkova.")</f>
        <v>Expozice z roku 1978 přibližovala dějiny provozu, aktivity místních komunistů před rokem 1948 a roli mládežnického kolektivu při budování socialismu a kolektivizaci přilehlého venkova.</v>
      </c>
      <c r="G152" s="9" t="str">
        <f>IFERROR(__xludf.DUMMYFUNCTION("""COMPUTED_VALUE"""),"muzea")</f>
        <v>muzea</v>
      </c>
      <c r="H152" s="9" t="str">
        <f>IFERROR(__xludf.DUMMYFUNCTION("""COMPUTED_VALUE"""),"Podniková a tovární muzea")</f>
        <v>Podniková a tovární muzea</v>
      </c>
      <c r="I152" s="9" t="str">
        <f>IFERROR(__xludf.DUMMYFUNCTION("""COMPUTED_VALUE"""),"Ne")</f>
        <v>Ne</v>
      </c>
      <c r="J152" s="9">
        <f>IFERROR(__xludf.DUMMYFUNCTION("""COMPUTED_VALUE"""),1978.0)</f>
        <v>1978</v>
      </c>
      <c r="K152" s="9">
        <f>IFERROR(__xludf.DUMMYFUNCTION("""COMPUTED_VALUE"""),1989.0)</f>
        <v>1989</v>
      </c>
      <c r="L152" s="12" t="str">
        <f>IFERROR(__xludf.DUMMYFUNCTION("""COMPUTED_VALUE"""),"Melánia Babicová a kol.: Sprievodca po podnikových a závodných múzeách a sieňach revolučných tradicií v Slovenskej socialistickej republike, Bratislava: Práca 1988, str. 92-94")</f>
        <v>Melánia Babicová a kol.: Sprievodca po podnikových a závodných múzeách a sieňach revolučných tradicií v Slovenskej socialistickej republike, Bratislava: Práca 1988, str. 92-94</v>
      </c>
      <c r="M152" s="9"/>
      <c r="N152" s="9"/>
      <c r="O152" s="6"/>
      <c r="P152" s="6"/>
      <c r="Q152" s="6"/>
      <c r="R152" s="6"/>
      <c r="S152" s="6"/>
      <c r="T152" s="6"/>
      <c r="U152" s="6"/>
      <c r="V152" s="6"/>
      <c r="W152" s="6"/>
      <c r="X152" s="6"/>
      <c r="Y152" s="6"/>
      <c r="Z152" s="6"/>
      <c r="AA152" s="6"/>
    </row>
    <row r="153" ht="15.75" customHeight="1">
      <c r="A153" s="7">
        <f t="shared" si="1"/>
        <v>152</v>
      </c>
      <c r="B153" s="9" t="str">
        <f>IFERROR(__xludf.DUMMYFUNCTION("""COMPUTED_VALUE"""),"17.8111721")</f>
        <v>17.8111721</v>
      </c>
      <c r="C153" s="9" t="str">
        <f>IFERROR(__xludf.DUMMYFUNCTION("""COMPUTED_VALUE"""),"48.434103")</f>
        <v>48.434103</v>
      </c>
      <c r="D153" s="9" t="str">
        <f>IFERROR(__xludf.DUMMYFUNCTION("""COMPUTED_VALUE"""),"Sieň pracovnej slávy n.p. Droťovna Hlohovec")</f>
        <v>Sieň pracovnej slávy n.p. Droťovna Hlohovec</v>
      </c>
      <c r="E153" s="10" t="str">
        <f>IFERROR(__xludf.DUMMYFUNCTION("""COMPUTED_VALUE"""),"síň tradic")</f>
        <v>síň tradic</v>
      </c>
      <c r="F153" s="9" t="str">
        <f>IFERROR(__xludf.DUMMYFUNCTION("""COMPUTED_VALUE"""),"Expozice z roku 1984 se věnovala produkci závodu, založeného v roce 1960, jeho stavbě a úspěchům.")</f>
        <v>Expozice z roku 1984 se věnovala produkci závodu, založeného v roce 1960, jeho stavbě a úspěchům.</v>
      </c>
      <c r="G153" s="9" t="str">
        <f>IFERROR(__xludf.DUMMYFUNCTION("""COMPUTED_VALUE"""),"muzea")</f>
        <v>muzea</v>
      </c>
      <c r="H153" s="9" t="str">
        <f>IFERROR(__xludf.DUMMYFUNCTION("""COMPUTED_VALUE"""),"Podniková a tovární muzea")</f>
        <v>Podniková a tovární muzea</v>
      </c>
      <c r="I153" s="9" t="str">
        <f>IFERROR(__xludf.DUMMYFUNCTION("""COMPUTED_VALUE"""),"Ne")</f>
        <v>Ne</v>
      </c>
      <c r="J153" s="9">
        <f>IFERROR(__xludf.DUMMYFUNCTION("""COMPUTED_VALUE"""),1984.0)</f>
        <v>1984</v>
      </c>
      <c r="K153" s="9">
        <f>IFERROR(__xludf.DUMMYFUNCTION("""COMPUTED_VALUE"""),1989.0)</f>
        <v>1989</v>
      </c>
      <c r="L153" s="12" t="str">
        <f>IFERROR(__xludf.DUMMYFUNCTION("""COMPUTED_VALUE"""),"Melánia Babicová a kol.: Sprievodca po podnikových a závodných múzeách a sieňach revolučných tradicií v Slovenskej socialistickej republike, Bratislava: Práca 1988, str. 94")</f>
        <v>Melánia Babicová a kol.: Sprievodca po podnikových a závodných múzeách a sieňach revolučných tradicií v Slovenskej socialistickej republike, Bratislava: Práca 1988, str. 94</v>
      </c>
      <c r="M153" s="9"/>
      <c r="N153" s="9"/>
      <c r="O153" s="6"/>
      <c r="P153" s="6"/>
      <c r="Q153" s="6"/>
      <c r="R153" s="6"/>
      <c r="S153" s="6"/>
      <c r="T153" s="6"/>
      <c r="U153" s="6"/>
      <c r="V153" s="6"/>
      <c r="W153" s="6"/>
      <c r="X153" s="6"/>
      <c r="Y153" s="6"/>
      <c r="Z153" s="6"/>
      <c r="AA153" s="6"/>
    </row>
    <row r="154" ht="15.75" customHeight="1">
      <c r="A154" s="7">
        <f t="shared" si="1"/>
        <v>153</v>
      </c>
      <c r="B154" s="9" t="str">
        <f>IFERROR(__xludf.DUMMYFUNCTION("""COMPUTED_VALUE"""),"17.677351")</f>
        <v>17.677351</v>
      </c>
      <c r="C154" s="9" t="str">
        <f>IFERROR(__xludf.DUMMYFUNCTION("""COMPUTED_VALUE"""),"48.4914128")</f>
        <v>48.4914128</v>
      </c>
      <c r="D154" s="9" t="str">
        <f>IFERROR(__xludf.DUMMYFUNCTION("""COMPUTED_VALUE"""),"Siene revolučných tradicií k.p. Atomové elektrárne Jaslovské Bohunice")</f>
        <v>Siene revolučných tradicií k.p. Atomové elektrárne Jaslovské Bohunice</v>
      </c>
      <c r="E154" s="10" t="str">
        <f>IFERROR(__xludf.DUMMYFUNCTION("""COMPUTED_VALUE"""),"síň tradic")</f>
        <v>síň tradic</v>
      </c>
      <c r="F154" s="9" t="str">
        <f>IFERROR(__xludf.DUMMYFUNCTION("""COMPUTED_VALUE"""),"Expozice z roku 1987 byla založena na popularizaci dějin elektrifikace se zvláštním zaměřením na sovětský projekt GOELRO, dějiny místního dělnického hnutí a osvětlení procesu výstavby a mechanismu provozu elektrárny.")</f>
        <v>Expozice z roku 1987 byla založena na popularizaci dějin elektrifikace se zvláštním zaměřením na sovětský projekt GOELRO, dějiny místního dělnického hnutí a osvětlení procesu výstavby a mechanismu provozu elektrárny.</v>
      </c>
      <c r="G154" s="9" t="str">
        <f>IFERROR(__xludf.DUMMYFUNCTION("""COMPUTED_VALUE"""),"muzea")</f>
        <v>muzea</v>
      </c>
      <c r="H154" s="9" t="str">
        <f>IFERROR(__xludf.DUMMYFUNCTION("""COMPUTED_VALUE"""),"Podniková a tovární muzea")</f>
        <v>Podniková a tovární muzea</v>
      </c>
      <c r="I154" s="9" t="str">
        <f>IFERROR(__xludf.DUMMYFUNCTION("""COMPUTED_VALUE"""),"Ne")</f>
        <v>Ne</v>
      </c>
      <c r="J154" s="9">
        <f>IFERROR(__xludf.DUMMYFUNCTION("""COMPUTED_VALUE"""),1987.0)</f>
        <v>1987</v>
      </c>
      <c r="K154" s="9">
        <f>IFERROR(__xludf.DUMMYFUNCTION("""COMPUTED_VALUE"""),1989.0)</f>
        <v>1989</v>
      </c>
      <c r="L154" s="12" t="str">
        <f>IFERROR(__xludf.DUMMYFUNCTION("""COMPUTED_VALUE"""),"Melánia Babicová a kol.: Sprievodca po podnikových a závodných múzeách a sieňach revolučných tradicií v Slovenskej socialistickej republike, Bratislava: Práca 1988. str. 94-96")</f>
        <v>Melánia Babicová a kol.: Sprievodca po podnikových a závodných múzeách a sieňach revolučných tradicií v Slovenskej socialistickej republike, Bratislava: Práca 1988. str. 94-96</v>
      </c>
      <c r="M154" s="9"/>
      <c r="N154" s="9"/>
      <c r="O154" s="6"/>
      <c r="P154" s="6"/>
      <c r="Q154" s="6"/>
      <c r="R154" s="6"/>
      <c r="S154" s="6"/>
      <c r="T154" s="6"/>
      <c r="U154" s="6"/>
      <c r="V154" s="6"/>
      <c r="W154" s="6"/>
      <c r="X154" s="6"/>
      <c r="Y154" s="6"/>
      <c r="Z154" s="6"/>
      <c r="AA154" s="6"/>
    </row>
    <row r="155" ht="15.75" customHeight="1">
      <c r="A155" s="7">
        <f t="shared" si="1"/>
        <v>154</v>
      </c>
      <c r="B155" s="9" t="str">
        <f>IFERROR(__xludf.DUMMYFUNCTION("""COMPUTED_VALUE"""),"17.7541911")</f>
        <v>17.7541911</v>
      </c>
      <c r="C155" s="9" t="str">
        <f>IFERROR(__xludf.DUMMYFUNCTION("""COMPUTED_VALUE"""),"48.440982")</f>
        <v>48.440982</v>
      </c>
      <c r="D155" s="9" t="str">
        <f>IFERROR(__xludf.DUMMYFUNCTION("""COMPUTED_VALUE"""),"Siene revolučných tradicií závodu Slovlik Leopoldov")</f>
        <v>Siene revolučných tradicií závodu Slovlik Leopoldov</v>
      </c>
      <c r="E155" s="10" t="str">
        <f>IFERROR(__xludf.DUMMYFUNCTION("""COMPUTED_VALUE"""),"síň tradic")</f>
        <v>síň tradic</v>
      </c>
      <c r="F155" s="9" t="str">
        <f>IFERROR(__xludf.DUMMYFUNCTION("""COMPUTED_VALUE"""),"Expozice z roku 1974 popisovala dějiny závodu a organizovaného hnutí jeho zaměstnanců. Zvláštní zřetel byl věnován ROH a Lidovým milicím.")</f>
        <v>Expozice z roku 1974 popisovala dějiny závodu a organizovaného hnutí jeho zaměstnanců. Zvláštní zřetel byl věnován ROH a Lidovým milicím.</v>
      </c>
      <c r="G155" s="9" t="str">
        <f>IFERROR(__xludf.DUMMYFUNCTION("""COMPUTED_VALUE"""),"muzea")</f>
        <v>muzea</v>
      </c>
      <c r="H155" s="9" t="str">
        <f>IFERROR(__xludf.DUMMYFUNCTION("""COMPUTED_VALUE"""),"Podniková a tovární muzea")</f>
        <v>Podniková a tovární muzea</v>
      </c>
      <c r="I155" s="9" t="str">
        <f>IFERROR(__xludf.DUMMYFUNCTION("""COMPUTED_VALUE"""),"Ne")</f>
        <v>Ne</v>
      </c>
      <c r="J155" s="9">
        <f>IFERROR(__xludf.DUMMYFUNCTION("""COMPUTED_VALUE"""),1974.0)</f>
        <v>1974</v>
      </c>
      <c r="K155" s="9">
        <f>IFERROR(__xludf.DUMMYFUNCTION("""COMPUTED_VALUE"""),1989.0)</f>
        <v>1989</v>
      </c>
      <c r="L155" s="12" t="str">
        <f>IFERROR(__xludf.DUMMYFUNCTION("""COMPUTED_VALUE"""),"Melánia Babicová a kol.: Sprievodca po podnikových a závodných múzeách a sieňach revolučných tradicií v Slovenskej socialistickej republike, Bratislava: Práca 1988, str. 96")</f>
        <v>Melánia Babicová a kol.: Sprievodca po podnikových a závodných múzeách a sieňach revolučných tradicií v Slovenskej socialistickej republike, Bratislava: Práca 1988, str. 96</v>
      </c>
      <c r="M155" s="9"/>
      <c r="N155" s="9"/>
      <c r="O155" s="6"/>
      <c r="P155" s="6"/>
      <c r="Q155" s="6"/>
      <c r="R155" s="6"/>
      <c r="S155" s="6"/>
      <c r="T155" s="6"/>
      <c r="U155" s="6"/>
      <c r="V155" s="6"/>
      <c r="W155" s="6"/>
      <c r="X155" s="6"/>
      <c r="Y155" s="6"/>
      <c r="Z155" s="6"/>
      <c r="AA155" s="6"/>
    </row>
    <row r="156" ht="15.75" customHeight="1">
      <c r="A156" s="7">
        <f t="shared" si="1"/>
        <v>155</v>
      </c>
      <c r="B156" s="9" t="str">
        <f>IFERROR(__xludf.DUMMYFUNCTION("""COMPUTED_VALUE"""),"19.142155")</f>
        <v>19.142155</v>
      </c>
      <c r="C156" s="9" t="str">
        <f>IFERROR(__xludf.DUMMYFUNCTION("""COMPUTED_VALUE"""),"48.7436229")</f>
        <v>48.7436229</v>
      </c>
      <c r="D156" s="9" t="str">
        <f>IFERROR(__xludf.DUMMYFUNCTION("""COMPUTED_VALUE"""),"Izba revolučných tradicií n.p. Slovenka")</f>
        <v>Izba revolučných tradicií n.p. Slovenka</v>
      </c>
      <c r="E156" s="10" t="str">
        <f>IFERROR(__xludf.DUMMYFUNCTION("""COMPUTED_VALUE"""),"síň tradic")</f>
        <v>síň tradic</v>
      </c>
      <c r="F156" s="9" t="str">
        <f>IFERROR(__xludf.DUMMYFUNCTION("""COMPUTED_VALUE"""),"Expozice z roku 1974 se zaměřovala na popularizaci dějin textilní výroby v oblasti a hnutí textilních dělníků.")</f>
        <v>Expozice z roku 1974 se zaměřovala na popularizaci dějin textilní výroby v oblasti a hnutí textilních dělníků.</v>
      </c>
      <c r="G156" s="9" t="str">
        <f>IFERROR(__xludf.DUMMYFUNCTION("""COMPUTED_VALUE"""),"muzea")</f>
        <v>muzea</v>
      </c>
      <c r="H156" s="9" t="str">
        <f>IFERROR(__xludf.DUMMYFUNCTION("""COMPUTED_VALUE"""),"Podniková a tovární muzea")</f>
        <v>Podniková a tovární muzea</v>
      </c>
      <c r="I156" s="9" t="str">
        <f>IFERROR(__xludf.DUMMYFUNCTION("""COMPUTED_VALUE"""),"Ne")</f>
        <v>Ne</v>
      </c>
      <c r="J156" s="9">
        <f>IFERROR(__xludf.DUMMYFUNCTION("""COMPUTED_VALUE"""),1974.0)</f>
        <v>1974</v>
      </c>
      <c r="K156" s="9">
        <f>IFERROR(__xludf.DUMMYFUNCTION("""COMPUTED_VALUE"""),1989.0)</f>
        <v>1989</v>
      </c>
      <c r="L156" s="12" t="str">
        <f>IFERROR(__xludf.DUMMYFUNCTION("""COMPUTED_VALUE"""),"Melánia Babicová a kol.: Sprievodca po podnikových a závodných múzeách a sieňach revolučných tradicií v Slovenskej socialistickej republike, Bratislava: Práca 1988, str. 99-100")</f>
        <v>Melánia Babicová a kol.: Sprievodca po podnikových a závodných múzeách a sieňach revolučných tradicií v Slovenskej socialistickej republike, Bratislava: Práca 1988, str. 99-100</v>
      </c>
      <c r="M156" s="9"/>
      <c r="N156" s="9"/>
      <c r="O156" s="6"/>
      <c r="P156" s="6"/>
      <c r="Q156" s="6"/>
      <c r="R156" s="6"/>
      <c r="S156" s="6"/>
      <c r="T156" s="6"/>
      <c r="U156" s="6"/>
      <c r="V156" s="6"/>
      <c r="W156" s="6"/>
      <c r="X156" s="6"/>
      <c r="Y156" s="6"/>
      <c r="Z156" s="6"/>
      <c r="AA156" s="6"/>
    </row>
    <row r="157" ht="15.75" customHeight="1">
      <c r="A157" s="7">
        <f t="shared" si="1"/>
        <v>156</v>
      </c>
      <c r="B157" s="9" t="str">
        <f>IFERROR(__xludf.DUMMYFUNCTION("""COMPUTED_VALUE"""),"19.1368228")</f>
        <v>19.1368228</v>
      </c>
      <c r="C157" s="9" t="str">
        <f>IFERROR(__xludf.DUMMYFUNCTION("""COMPUTED_VALUE"""),"48.7139838")</f>
        <v>48.7139838</v>
      </c>
      <c r="D157" s="9" t="str">
        <f>IFERROR(__xludf.DUMMYFUNCTION("""COMPUTED_VALUE"""),"Izba revolučných tradicií závodu Stavindustria Banská Bystrica")</f>
        <v>Izba revolučných tradicií závodu Stavindustria Banská Bystrica</v>
      </c>
      <c r="E157" s="10" t="str">
        <f>IFERROR(__xludf.DUMMYFUNCTION("""COMPUTED_VALUE"""),"síň tradic")</f>
        <v>síň tradic</v>
      </c>
      <c r="F157" s="9" t="str">
        <f>IFERROR(__xludf.DUMMYFUNCTION("""COMPUTED_VALUE"""),"Expozice z roku 1976 se zaměřovala na propagaci pracovních úspěchů kolektivu zaměstnanců a realizovaných staveb závodu.")</f>
        <v>Expozice z roku 1976 se zaměřovala na propagaci pracovních úspěchů kolektivu zaměstnanců a realizovaných staveb závodu.</v>
      </c>
      <c r="G157" s="9" t="str">
        <f>IFERROR(__xludf.DUMMYFUNCTION("""COMPUTED_VALUE"""),"muzea")</f>
        <v>muzea</v>
      </c>
      <c r="H157" s="9" t="str">
        <f>IFERROR(__xludf.DUMMYFUNCTION("""COMPUTED_VALUE"""),"Podniková a tovární muzea")</f>
        <v>Podniková a tovární muzea</v>
      </c>
      <c r="I157" s="9" t="str">
        <f>IFERROR(__xludf.DUMMYFUNCTION("""COMPUTED_VALUE"""),"Ne")</f>
        <v>Ne</v>
      </c>
      <c r="J157" s="9">
        <f>IFERROR(__xludf.DUMMYFUNCTION("""COMPUTED_VALUE"""),1976.0)</f>
        <v>1976</v>
      </c>
      <c r="K157" s="9">
        <f>IFERROR(__xludf.DUMMYFUNCTION("""COMPUTED_VALUE"""),1989.0)</f>
        <v>1989</v>
      </c>
      <c r="L157" s="12" t="str">
        <f>IFERROR(__xludf.DUMMYFUNCTION("""COMPUTED_VALUE"""),"Melánia Babicová a kol.: Sprievodca po podnikových a závodných múzeách a sieňach revolučných tradicií v Slovenskej socialistickej republike, Bratislava: Práca 1988, str. 101")</f>
        <v>Melánia Babicová a kol.: Sprievodca po podnikových a závodných múzeách a sieňach revolučných tradicií v Slovenskej socialistickej republike, Bratislava: Práca 1988, str. 101</v>
      </c>
      <c r="M157" s="9"/>
      <c r="N157" s="9"/>
      <c r="O157" s="6"/>
      <c r="P157" s="6"/>
      <c r="Q157" s="6"/>
      <c r="R157" s="6"/>
      <c r="S157" s="6"/>
      <c r="T157" s="6"/>
      <c r="U157" s="6"/>
      <c r="V157" s="6"/>
      <c r="W157" s="6"/>
      <c r="X157" s="6"/>
      <c r="Y157" s="6"/>
      <c r="Z157" s="6"/>
      <c r="AA157" s="6"/>
    </row>
    <row r="158" ht="15.75" customHeight="1">
      <c r="A158" s="7">
        <f t="shared" si="1"/>
        <v>157</v>
      </c>
      <c r="B158" s="9" t="str">
        <f>IFERROR(__xludf.DUMMYFUNCTION("""COMPUTED_VALUE"""),"19.1348274")</f>
        <v>19.1348274</v>
      </c>
      <c r="C158" s="9" t="str">
        <f>IFERROR(__xludf.DUMMYFUNCTION("""COMPUTED_VALUE"""),"48.7081988")</f>
        <v>48.7081988</v>
      </c>
      <c r="D158" s="9" t="str">
        <f>IFERROR(__xludf.DUMMYFUNCTION("""COMPUTED_VALUE"""),"Politicko-historická izba Borisa Polevého pri k.p. Závody výpočtovej techniky Banská Bystrica")</f>
        <v>Politicko-historická izba Borisa Polevého pri k.p. Závody výpočtovej techniky Banská Bystrica</v>
      </c>
      <c r="E158" s="10" t="str">
        <f>IFERROR(__xludf.DUMMYFUNCTION("""COMPUTED_VALUE"""),"síň tradic")</f>
        <v>síň tradic</v>
      </c>
      <c r="F158" s="9" t="str">
        <f>IFERROR(__xludf.DUMMYFUNCTION("""COMPUTED_VALUE"""),"Expozice z roku 1978 přibližovala činnost podniku a pracovní úspěchy.")</f>
        <v>Expozice z roku 1978 přibližovala činnost podniku a pracovní úspěchy.</v>
      </c>
      <c r="G158" s="9" t="str">
        <f>IFERROR(__xludf.DUMMYFUNCTION("""COMPUTED_VALUE"""),"muzea")</f>
        <v>muzea</v>
      </c>
      <c r="H158" s="9" t="str">
        <f>IFERROR(__xludf.DUMMYFUNCTION("""COMPUTED_VALUE"""),"Podniková a tovární muzea")</f>
        <v>Podniková a tovární muzea</v>
      </c>
      <c r="I158" s="9" t="str">
        <f>IFERROR(__xludf.DUMMYFUNCTION("""COMPUTED_VALUE"""),"Ne")</f>
        <v>Ne</v>
      </c>
      <c r="J158" s="9">
        <f>IFERROR(__xludf.DUMMYFUNCTION("""COMPUTED_VALUE"""),1978.0)</f>
        <v>1978</v>
      </c>
      <c r="K158" s="9">
        <f>IFERROR(__xludf.DUMMYFUNCTION("""COMPUTED_VALUE"""),1989.0)</f>
        <v>1989</v>
      </c>
      <c r="L158" s="12" t="str">
        <f>IFERROR(__xludf.DUMMYFUNCTION("""COMPUTED_VALUE"""),"Melánia Babicová a kol.: Sprievodca po podnikových a závodných múzeách a sieňach revolučných tradicií v Slovenskej socialistickej republike, Bratislava: Práca 1988, str. 101")</f>
        <v>Melánia Babicová a kol.: Sprievodca po podnikových a závodných múzeách a sieňach revolučných tradicií v Slovenskej socialistickej republike, Bratislava: Práca 1988, str. 101</v>
      </c>
      <c r="M158" s="9"/>
      <c r="N158" s="9" t="str">
        <f>IFERROR(__xludf.DUMMYFUNCTION("""COMPUTED_VALUE"""),"ZVT Banská bystrica.JPG")</f>
        <v>ZVT Banská bystrica.JPG</v>
      </c>
      <c r="O158" s="6" t="str">
        <f>IFERROR(__xludf.DUMMYFUNCTION("""COMPUTED_VALUE"""),"Z expozic.")</f>
        <v>Z expozic.</v>
      </c>
      <c r="P158" s="6" t="str">
        <f>IFERROR(__xludf.DUMMYFUNCTION("""COMPUTED_VALUE"""),"Melánia Babicová a kol.: Sprievodca po podnikových a závodných múzeách a sieňach revolučných tradicií v Slovenskej socialistickej republike, Bratislava: Práca 1988, str. 101")</f>
        <v>Melánia Babicová a kol.: Sprievodca po podnikových a závodných múzeách a sieňach revolučných tradicií v Slovenskej socialistickej republike, Bratislava: Práca 1988, str. 101</v>
      </c>
      <c r="Q158" s="6"/>
      <c r="R158" s="6"/>
      <c r="S158" s="6"/>
      <c r="T158" s="6"/>
      <c r="U158" s="6"/>
      <c r="V158" s="6"/>
      <c r="W158" s="6"/>
      <c r="X158" s="6"/>
      <c r="Y158" s="6"/>
      <c r="Z158" s="6"/>
      <c r="AA158" s="6"/>
    </row>
    <row r="159" ht="15.75" customHeight="1">
      <c r="A159" s="7">
        <f t="shared" si="1"/>
        <v>158</v>
      </c>
      <c r="B159" s="9" t="str">
        <f>IFERROR(__xludf.DUMMYFUNCTION("""COMPUTED_VALUE"""),"19.4374409")</f>
        <v>19.4374409</v>
      </c>
      <c r="C159" s="9" t="str">
        <f>IFERROR(__xludf.DUMMYFUNCTION("""COMPUTED_VALUE"""),"48.8117887")</f>
        <v>48.8117887</v>
      </c>
      <c r="D159" s="9" t="str">
        <f>IFERROR(__xludf.DUMMYFUNCTION("""COMPUTED_VALUE"""),"Sieň revolučných tradicií n.p. Petrochema Dubová")</f>
        <v>Sieň revolučných tradicií n.p. Petrochema Dubová</v>
      </c>
      <c r="E159" s="10" t="str">
        <f>IFERROR(__xludf.DUMMYFUNCTION("""COMPUTED_VALUE"""),"síň tradic")</f>
        <v>síň tradic</v>
      </c>
      <c r="F159" s="9" t="str">
        <f>IFERROR(__xludf.DUMMYFUNCTION("""COMPUTED_VALUE"""),"Expozice z roku 1987 se věnovala dějinám místního chemického provozu se zvláštním zřetelem k technologii výroby a odbojovým aktivitám komunistické buňky během povstání v roce 1944.")</f>
        <v>Expozice z roku 1987 se věnovala dějinám místního chemického provozu se zvláštním zřetelem k technologii výroby a odbojovým aktivitám komunistické buňky během povstání v roce 1944.</v>
      </c>
      <c r="G159" s="9" t="str">
        <f>IFERROR(__xludf.DUMMYFUNCTION("""COMPUTED_VALUE"""),"muzea")</f>
        <v>muzea</v>
      </c>
      <c r="H159" s="9" t="str">
        <f>IFERROR(__xludf.DUMMYFUNCTION("""COMPUTED_VALUE"""),"Podniková a tovární muzea")</f>
        <v>Podniková a tovární muzea</v>
      </c>
      <c r="I159" s="9"/>
      <c r="J159" s="9">
        <f>IFERROR(__xludf.DUMMYFUNCTION("""COMPUTED_VALUE"""),1987.0)</f>
        <v>1987</v>
      </c>
      <c r="K159" s="9">
        <f>IFERROR(__xludf.DUMMYFUNCTION("""COMPUTED_VALUE"""),1989.0)</f>
        <v>1989</v>
      </c>
      <c r="L159" s="12" t="str">
        <f>IFERROR(__xludf.DUMMYFUNCTION("""COMPUTED_VALUE"""),"Melánia Babicová a kol.: Sprievodca po podnikových a závodných múzeách a sieňach revolučných tradicií v Slovenskej socialistickej republike, Bratislava: Práca 1988, str. 103")</f>
        <v>Melánia Babicová a kol.: Sprievodca po podnikových a závodných múzeách a sieňach revolučných tradicií v Slovenskej socialistickej republike, Bratislava: Práca 1988, str. 103</v>
      </c>
      <c r="M159" s="9"/>
      <c r="N159" s="9"/>
      <c r="O159" s="6"/>
      <c r="P159" s="6"/>
      <c r="Q159" s="6"/>
      <c r="R159" s="6"/>
      <c r="S159" s="6"/>
      <c r="T159" s="6"/>
      <c r="U159" s="6"/>
      <c r="V159" s="6"/>
      <c r="W159" s="6"/>
      <c r="X159" s="6"/>
      <c r="Y159" s="6"/>
      <c r="Z159" s="6"/>
      <c r="AA159" s="6"/>
    </row>
    <row r="160" ht="15.75" customHeight="1">
      <c r="A160" s="7">
        <f t="shared" si="1"/>
        <v>159</v>
      </c>
      <c r="B160" s="9" t="str">
        <f>IFERROR(__xludf.DUMMYFUNCTION("""COMPUTED_VALUE"""),"19.0780388")</f>
        <v>19.0780388</v>
      </c>
      <c r="C160" s="9" t="str">
        <f>IFERROR(__xludf.DUMMYFUNCTION("""COMPUTED_VALUE"""),"48.794853")</f>
        <v>48.794853</v>
      </c>
      <c r="D160" s="9" t="str">
        <f>IFERROR(__xludf.DUMMYFUNCTION("""COMPUTED_VALUE"""),"Izba revolučných tradicií harmaneckých pracujúcích, Harmanec")</f>
        <v>Izba revolučných tradicií harmaneckých pracujúcích, Harmanec</v>
      </c>
      <c r="E160" s="10" t="str">
        <f>IFERROR(__xludf.DUMMYFUNCTION("""COMPUTED_VALUE"""),"síň tradic")</f>
        <v>síň tradic</v>
      </c>
      <c r="F160" s="9" t="str">
        <f>IFERROR(__xludf.DUMMYFUNCTION("""COMPUTED_VALUE"""),"V roce 1985 byla zřízena expozice věnující se politické organizaci a práci dělníků ve výrobě harmaneckých papíren.")</f>
        <v>V roce 1985 byla zřízena expozice věnující se politické organizaci a práci dělníků ve výrobě harmaneckých papíren.</v>
      </c>
      <c r="G160" s="9" t="str">
        <f>IFERROR(__xludf.DUMMYFUNCTION("""COMPUTED_VALUE"""),"muzea")</f>
        <v>muzea</v>
      </c>
      <c r="H160" s="9" t="str">
        <f>IFERROR(__xludf.DUMMYFUNCTION("""COMPUTED_VALUE"""),"Podniková a tovární muzea")</f>
        <v>Podniková a tovární muzea</v>
      </c>
      <c r="I160" s="9" t="str">
        <f>IFERROR(__xludf.DUMMYFUNCTION("""COMPUTED_VALUE"""),"Ne")</f>
        <v>Ne</v>
      </c>
      <c r="J160" s="9">
        <f>IFERROR(__xludf.DUMMYFUNCTION("""COMPUTED_VALUE"""),1985.0)</f>
        <v>1985</v>
      </c>
      <c r="K160" s="9">
        <f>IFERROR(__xludf.DUMMYFUNCTION("""COMPUTED_VALUE"""),1989.0)</f>
        <v>1989</v>
      </c>
      <c r="L160" s="12" t="str">
        <f>IFERROR(__xludf.DUMMYFUNCTION("""COMPUTED_VALUE"""),"Melánia Babicová a kol.: Sprievodca po podnikových a závodných múzeách a sieňach revolučných tradicií v Slovenskej socialistickej republike, Bratislava: Práca 1988, str. 104-105")</f>
        <v>Melánia Babicová a kol.: Sprievodca po podnikových a závodných múzeách a sieňach revolučných tradicií v Slovenskej socialistickej republike, Bratislava: Práca 1988, str. 104-105</v>
      </c>
      <c r="M160" s="9"/>
      <c r="N160" s="9"/>
      <c r="O160" s="6"/>
      <c r="P160" s="6"/>
      <c r="Q160" s="6"/>
      <c r="R160" s="6"/>
      <c r="S160" s="6"/>
      <c r="T160" s="6"/>
      <c r="U160" s="6"/>
      <c r="V160" s="6"/>
      <c r="W160" s="6"/>
      <c r="X160" s="6"/>
      <c r="Y160" s="6"/>
      <c r="Z160" s="6"/>
      <c r="AA160" s="6"/>
    </row>
    <row r="161" ht="15.75" customHeight="1">
      <c r="A161" s="7">
        <f t="shared" si="1"/>
        <v>160</v>
      </c>
      <c r="B161" s="9" t="str">
        <f>IFERROR(__xludf.DUMMYFUNCTION("""COMPUTED_VALUE"""),"19.5313917")</f>
        <v>19.5313917</v>
      </c>
      <c r="C161" s="9" t="str">
        <f>IFERROR(__xludf.DUMMYFUNCTION("""COMPUTED_VALUE"""),"48.8109459")</f>
        <v>48.8109459</v>
      </c>
      <c r="D161" s="9" t="str">
        <f>IFERROR(__xludf.DUMMYFUNCTION("""COMPUTED_VALUE"""),"Izba revolučných tradicií n.p. Švemove železiarne, Podbrezová")</f>
        <v>Izba revolučných tradicií n.p. Švemove železiarne, Podbrezová</v>
      </c>
      <c r="E161" s="10" t="str">
        <f>IFERROR(__xludf.DUMMYFUNCTION("""COMPUTED_VALUE"""),"síň tradic")</f>
        <v>síň tradic</v>
      </c>
      <c r="F161" s="9" t="str">
        <f>IFERROR(__xludf.DUMMYFUNCTION("""COMPUTED_VALUE"""),"V roce 1984 zřízena expozice dějin místní výroby v těžkém průmyslu a dělnických organizací. V objektu dnes sídlí podnikové Hutnické múzeum.")</f>
        <v>V roce 1984 zřízena expozice dějin místní výroby v těžkém průmyslu a dělnických organizací. V objektu dnes sídlí podnikové Hutnické múzeum.</v>
      </c>
      <c r="G161" s="9" t="str">
        <f>IFERROR(__xludf.DUMMYFUNCTION("""COMPUTED_VALUE"""),"muzea")</f>
        <v>muzea</v>
      </c>
      <c r="H161" s="9" t="str">
        <f>IFERROR(__xludf.DUMMYFUNCTION("""COMPUTED_VALUE"""),"Podniková a tovární muzea")</f>
        <v>Podniková a tovární muzea</v>
      </c>
      <c r="I161" s="9" t="str">
        <f>IFERROR(__xludf.DUMMYFUNCTION("""COMPUTED_VALUE"""),"Ano")</f>
        <v>Ano</v>
      </c>
      <c r="J161" s="9">
        <f>IFERROR(__xludf.DUMMYFUNCTION("""COMPUTED_VALUE"""),1984.0)</f>
        <v>1984</v>
      </c>
      <c r="K161" s="9"/>
      <c r="L161" s="12" t="str">
        <f>IFERROR(__xludf.DUMMYFUNCTION("""COMPUTED_VALUE"""),"Melánia Babicová a kol.: Sprievodca po podnikových a závodných múzeách a sieňach revolučných tradicií v Slovenskej socialistickej republike, Bratislava: Práca 1988, str. 107-109; Hutnické muzeum, 24. 11. 2021, zelpo.sk (dostupné na https://www.zelpo.sk/ze"&amp;"lpo/homezp.nsf/ad9eaf98a51922fac12574a400256c2d/15a9c96f80acbaf7c1257bfe0025fda6?OpenDocument)")</f>
        <v>Melánia Babicová a kol.: Sprievodca po podnikových a závodných múzeách a sieňach revolučných tradicií v Slovenskej socialistickej republike, Bratislava: Práca 1988, str. 107-109; Hutnické muzeum, 24. 11. 2021, zelpo.sk (dostupné na https://www.zelpo.sk/zelpo/homezp.nsf/ad9eaf98a51922fac12574a400256c2d/15a9c96f80acbaf7c1257bfe0025fda6?OpenDocument)</v>
      </c>
      <c r="M161" s="9"/>
      <c r="N161" s="9"/>
      <c r="O161" s="6"/>
      <c r="P161" s="6"/>
      <c r="Q161" s="6"/>
      <c r="R161" s="6"/>
      <c r="S161" s="6"/>
      <c r="T161" s="6"/>
      <c r="U161" s="6"/>
      <c r="V161" s="6"/>
      <c r="W161" s="6"/>
      <c r="X161" s="6"/>
      <c r="Y161" s="6"/>
      <c r="Z161" s="6"/>
      <c r="AA161" s="6"/>
    </row>
    <row r="162" ht="15.75" customHeight="1">
      <c r="A162" s="7">
        <f t="shared" si="1"/>
        <v>161</v>
      </c>
      <c r="B162" s="9" t="str">
        <f>IFERROR(__xludf.DUMMYFUNCTION("""COMPUTED_VALUE"""),"18.7827707")</f>
        <v>18.7827707</v>
      </c>
      <c r="C162" s="9" t="str">
        <f>IFERROR(__xludf.DUMMYFUNCTION("""COMPUTED_VALUE"""),"49.4480237")</f>
        <v>49.4480237</v>
      </c>
      <c r="D162" s="9" t="str">
        <f>IFERROR(__xludf.DUMMYFUNCTION("""COMPUTED_VALUE"""),"Izba revolučných tradicií n.p. Tatra, Čadca")</f>
        <v>Izba revolučných tradicií n.p. Tatra, Čadca</v>
      </c>
      <c r="E162" s="10" t="str">
        <f>IFERROR(__xludf.DUMMYFUNCTION("""COMPUTED_VALUE"""),"síň tradic")</f>
        <v>síň tradic</v>
      </c>
      <c r="F162" s="9" t="str">
        <f>IFERROR(__xludf.DUMMYFUNCTION("""COMPUTED_VALUE"""),"Expozice zřízena v roce 1983. Dějiny závodu byly prezentovány pomocí historie výroby vozů Tatra.")</f>
        <v>Expozice zřízena v roce 1983. Dějiny závodu byly prezentovány pomocí historie výroby vozů Tatra.</v>
      </c>
      <c r="G162" s="9" t="str">
        <f>IFERROR(__xludf.DUMMYFUNCTION("""COMPUTED_VALUE"""),"muzea")</f>
        <v>muzea</v>
      </c>
      <c r="H162" s="9" t="str">
        <f>IFERROR(__xludf.DUMMYFUNCTION("""COMPUTED_VALUE"""),"Podniková a tovární muzea")</f>
        <v>Podniková a tovární muzea</v>
      </c>
      <c r="I162" s="9" t="str">
        <f>IFERROR(__xludf.DUMMYFUNCTION("""COMPUTED_VALUE"""),"Ne")</f>
        <v>Ne</v>
      </c>
      <c r="J162" s="9">
        <f>IFERROR(__xludf.DUMMYFUNCTION("""COMPUTED_VALUE"""),1983.0)</f>
        <v>1983</v>
      </c>
      <c r="K162" s="9">
        <f>IFERROR(__xludf.DUMMYFUNCTION("""COMPUTED_VALUE"""),1989.0)</f>
        <v>1989</v>
      </c>
      <c r="L162" s="12" t="str">
        <f>IFERROR(__xludf.DUMMYFUNCTION("""COMPUTED_VALUE"""),"Melánia Babicová a kol.: Sprievodca po podnikových a závodných múzeách a sieňach revolučných tradicií v Slovenskej socialistickej republike, Bratislava: Práca 1988, str. 108-109")</f>
        <v>Melánia Babicová a kol.: Sprievodca po podnikových a závodných múzeách a sieňach revolučných tradicií v Slovenskej socialistickej republike, Bratislava: Práca 1988, str. 108-109</v>
      </c>
      <c r="M162" s="9"/>
      <c r="N162" s="9"/>
      <c r="O162" s="6"/>
      <c r="P162" s="6"/>
      <c r="Q162" s="6"/>
      <c r="R162" s="6"/>
      <c r="S162" s="6"/>
      <c r="T162" s="6"/>
      <c r="U162" s="6"/>
      <c r="V162" s="6"/>
      <c r="W162" s="6"/>
      <c r="X162" s="6"/>
      <c r="Y162" s="6"/>
      <c r="Z162" s="6"/>
      <c r="AA162" s="6"/>
    </row>
    <row r="163" ht="15.75" customHeight="1">
      <c r="A163" s="7">
        <f t="shared" si="1"/>
        <v>162</v>
      </c>
      <c r="B163" s="9" t="str">
        <f>IFERROR(__xludf.DUMMYFUNCTION("""COMPUTED_VALUE"""),"18.8403328")</f>
        <v>18.8403328</v>
      </c>
      <c r="C163" s="9" t="str">
        <f>IFERROR(__xludf.DUMMYFUNCTION("""COMPUTED_VALUE"""),"49.4017854")</f>
        <v>49.4017854</v>
      </c>
      <c r="D163" s="9" t="str">
        <f>IFERROR(__xludf.DUMMYFUNCTION("""COMPUTED_VALUE"""),"Izba revolučných tradicií n.p. Kysucké drevarske závody, Krásno nad Kysucou")</f>
        <v>Izba revolučných tradicií n.p. Kysucké drevarske závody, Krásno nad Kysucou</v>
      </c>
      <c r="E163" s="10" t="str">
        <f>IFERROR(__xludf.DUMMYFUNCTION("""COMPUTED_VALUE"""),"síň tradic")</f>
        <v>síň tradic</v>
      </c>
      <c r="F163" s="9" t="str">
        <f>IFERROR(__xludf.DUMMYFUNCTION("""COMPUTED_VALUE"""),"Expozice, zřízená v roce 1985, se nacházela v hlavní zasedací místnosti podniku. Hlavními exponáty byly archivní materiály přibližující dějiny závodu.")</f>
        <v>Expozice, zřízená v roce 1985, se nacházela v hlavní zasedací místnosti podniku. Hlavními exponáty byly archivní materiály přibližující dějiny závodu.</v>
      </c>
      <c r="G163" s="9" t="str">
        <f>IFERROR(__xludf.DUMMYFUNCTION("""COMPUTED_VALUE"""),"muzea")</f>
        <v>muzea</v>
      </c>
      <c r="H163" s="9" t="str">
        <f>IFERROR(__xludf.DUMMYFUNCTION("""COMPUTED_VALUE"""),"Podniková a tovární muzea")</f>
        <v>Podniková a tovární muzea</v>
      </c>
      <c r="I163" s="9" t="str">
        <f>IFERROR(__xludf.DUMMYFUNCTION("""COMPUTED_VALUE"""),"Ne")</f>
        <v>Ne</v>
      </c>
      <c r="J163" s="9">
        <f>IFERROR(__xludf.DUMMYFUNCTION("""COMPUTED_VALUE"""),1985.0)</f>
        <v>1985</v>
      </c>
      <c r="K163" s="9">
        <f>IFERROR(__xludf.DUMMYFUNCTION("""COMPUTED_VALUE"""),1989.0)</f>
        <v>1989</v>
      </c>
      <c r="L163" s="12" t="str">
        <f>IFERROR(__xludf.DUMMYFUNCTION("""COMPUTED_VALUE"""),"Melánia Babicová a kol.: Sprievodca po podnikových a závodných múzeách a sieňach revolučných tradicií v Slovenskej socialistickej republike, Bratislava: Práca 1988, str. 109-110")</f>
        <v>Melánia Babicová a kol.: Sprievodca po podnikových a závodných múzeách a sieňach revolučných tradicií v Slovenskej socialistickej republike, Bratislava: Práca 1988, str. 109-110</v>
      </c>
      <c r="M163" s="9"/>
      <c r="N163" s="9"/>
      <c r="O163" s="6"/>
      <c r="P163" s="6"/>
      <c r="Q163" s="6"/>
      <c r="R163" s="6"/>
      <c r="S163" s="6"/>
      <c r="T163" s="6"/>
      <c r="U163" s="6"/>
      <c r="V163" s="6"/>
      <c r="W163" s="6"/>
      <c r="X163" s="6"/>
      <c r="Y163" s="6"/>
      <c r="Z163" s="6"/>
      <c r="AA163" s="6"/>
    </row>
    <row r="164" ht="15.75" customHeight="1">
      <c r="A164" s="7">
        <f t="shared" si="1"/>
        <v>163</v>
      </c>
      <c r="B164" s="9" t="str">
        <f>IFERROR(__xludf.DUMMYFUNCTION("""COMPUTED_VALUE"""),"18.7673628")</f>
        <v>18.7673628</v>
      </c>
      <c r="C164" s="9" t="str">
        <f>IFERROR(__xludf.DUMMYFUNCTION("""COMPUTED_VALUE"""),"49.296596")</f>
        <v>49.296596</v>
      </c>
      <c r="D164" s="9" t="str">
        <f>IFERROR(__xludf.DUMMYFUNCTION("""COMPUTED_VALUE"""),"Izba revolučných tradicií k.p. Závody na výrobu ložisk, Kysucké Nové Mesto")</f>
        <v>Izba revolučných tradicií k.p. Závody na výrobu ložisk, Kysucké Nové Mesto</v>
      </c>
      <c r="E164" s="10" t="str">
        <f>IFERROR(__xludf.DUMMYFUNCTION("""COMPUTED_VALUE"""),"síň tradic")</f>
        <v>síň tradic</v>
      </c>
      <c r="F164" s="9" t="str">
        <f>IFERROR(__xludf.DUMMYFUNCTION("""COMPUTED_VALUE"""),"Hlavním tématem expozice, otevřené v roce 1984, byla výroba a socialistické budování podniku založeného v roce 1950.")</f>
        <v>Hlavním tématem expozice, otevřené v roce 1984, byla výroba a socialistické budování podniku založeného v roce 1950.</v>
      </c>
      <c r="G164" s="9" t="str">
        <f>IFERROR(__xludf.DUMMYFUNCTION("""COMPUTED_VALUE"""),"muzea")</f>
        <v>muzea</v>
      </c>
      <c r="H164" s="9" t="str">
        <f>IFERROR(__xludf.DUMMYFUNCTION("""COMPUTED_VALUE"""),"Podniková a tovární muzea")</f>
        <v>Podniková a tovární muzea</v>
      </c>
      <c r="I164" s="9" t="str">
        <f>IFERROR(__xludf.DUMMYFUNCTION("""COMPUTED_VALUE"""),"Ne")</f>
        <v>Ne</v>
      </c>
      <c r="J164" s="9">
        <f>IFERROR(__xludf.DUMMYFUNCTION("""COMPUTED_VALUE"""),1984.0)</f>
        <v>1984</v>
      </c>
      <c r="K164" s="9">
        <f>IFERROR(__xludf.DUMMYFUNCTION("""COMPUTED_VALUE"""),1989.0)</f>
        <v>1989</v>
      </c>
      <c r="L164" s="12" t="str">
        <f>IFERROR(__xludf.DUMMYFUNCTION("""COMPUTED_VALUE"""),"Melánia Babicová a kol.: Sprievodca po podnikových a závodných múzeách a sieňach revolučných tradicií v Slovenskej socialistickej republike, Bratislava: Práca 1988, str. 110-111")</f>
        <v>Melánia Babicová a kol.: Sprievodca po podnikových a závodných múzeách a sieňach revolučných tradicií v Slovenskej socialistickej republike, Bratislava: Práca 1988, str. 110-111</v>
      </c>
      <c r="M164" s="9"/>
      <c r="N164" s="9" t="str">
        <f>IFERROR(__xludf.DUMMYFUNCTION("""COMPUTED_VALUE"""),"kysucké nové mesto.JPG")</f>
        <v>kysucké nové mesto.JPG</v>
      </c>
      <c r="O164" s="6" t="str">
        <f>IFERROR(__xludf.DUMMYFUNCTION("""COMPUTED_VALUE"""),"Čelní stěna vstupní místnosti expozice.")</f>
        <v>Čelní stěna vstupní místnosti expozice.</v>
      </c>
      <c r="P164" s="6" t="str">
        <f>IFERROR(__xludf.DUMMYFUNCTION("""COMPUTED_VALUE"""),"Melánia Babicová a kol.: Sprievodca po podnikových a závodných múzeách a sieňach revolučných tradicií v Slovenskej socialistickej republike, Bratislava: Práca 1988, str. 110")</f>
        <v>Melánia Babicová a kol.: Sprievodca po podnikových a závodných múzeách a sieňach revolučných tradicií v Slovenskej socialistickej republike, Bratislava: Práca 1988, str. 110</v>
      </c>
      <c r="Q164" s="6"/>
      <c r="R164" s="6"/>
      <c r="S164" s="6"/>
      <c r="T164" s="6"/>
      <c r="U164" s="6"/>
      <c r="V164" s="6"/>
      <c r="W164" s="6"/>
      <c r="X164" s="6"/>
      <c r="Y164" s="6"/>
      <c r="Z164" s="6"/>
      <c r="AA164" s="6"/>
    </row>
    <row r="165" ht="15.75" customHeight="1">
      <c r="A165" s="7">
        <f t="shared" si="1"/>
        <v>164</v>
      </c>
      <c r="B165" s="9" t="str">
        <f>IFERROR(__xludf.DUMMYFUNCTION("""COMPUTED_VALUE"""),"19.6121806")</f>
        <v>19.6121806</v>
      </c>
      <c r="C165" s="9" t="str">
        <f>IFERROR(__xludf.DUMMYFUNCTION("""COMPUTED_VALUE"""),"49.0822157")</f>
        <v>49.0822157</v>
      </c>
      <c r="D165" s="9" t="str">
        <f>IFERROR(__xludf.DUMMYFUNCTION("""COMPUTED_VALUE"""),"Podnikové dokumentačné centrum n.p. Kožiarske závody, Liptovský Mikuláš")</f>
        <v>Podnikové dokumentačné centrum n.p. Kožiarske závody, Liptovský Mikuláš</v>
      </c>
      <c r="E165" s="10" t="str">
        <f>IFERROR(__xludf.DUMMYFUNCTION("""COMPUTED_VALUE"""),"tovární muzeum")</f>
        <v>tovární muzeum</v>
      </c>
      <c r="F165" s="9" t="str">
        <f>IFERROR(__xludf.DUMMYFUNCTION("""COMPUTED_VALUE"""),"Expozice, zpřístupněná v roce 1986, byla zaměřena na místní dějiny kožedělnictví.")</f>
        <v>Expozice, zpřístupněná v roce 1986, byla zaměřena na místní dějiny kožedělnictví.</v>
      </c>
      <c r="G165" s="9" t="str">
        <f>IFERROR(__xludf.DUMMYFUNCTION("""COMPUTED_VALUE"""),"muzea")</f>
        <v>muzea</v>
      </c>
      <c r="H165" s="9" t="str">
        <f>IFERROR(__xludf.DUMMYFUNCTION("""COMPUTED_VALUE"""),"Podniková a tovární muzea")</f>
        <v>Podniková a tovární muzea</v>
      </c>
      <c r="I165" s="9" t="str">
        <f>IFERROR(__xludf.DUMMYFUNCTION("""COMPUTED_VALUE"""),"Ne")</f>
        <v>Ne</v>
      </c>
      <c r="J165" s="9">
        <f>IFERROR(__xludf.DUMMYFUNCTION("""COMPUTED_VALUE"""),1986.0)</f>
        <v>1986</v>
      </c>
      <c r="K165" s="9">
        <f>IFERROR(__xludf.DUMMYFUNCTION("""COMPUTED_VALUE"""),1989.0)</f>
        <v>1989</v>
      </c>
      <c r="L165" s="12" t="str">
        <f>IFERROR(__xludf.DUMMYFUNCTION("""COMPUTED_VALUE"""),"Melánia Babicová a kol.: Sprievodca po podnikových a závodných múzeách a sieňach revolučných tradicií v Slovenskej socialistickej republike, Bratislava: Práca 1988, str. 113-114")</f>
        <v>Melánia Babicová a kol.: Sprievodca po podnikových a závodných múzeách a sieňach revolučných tradicií v Slovenskej socialistickej republike, Bratislava: Práca 1988, str. 113-114</v>
      </c>
      <c r="M165" s="9"/>
      <c r="N165" s="9"/>
      <c r="O165" s="6"/>
      <c r="P165" s="6"/>
      <c r="Q165" s="6"/>
      <c r="R165" s="6"/>
      <c r="S165" s="6"/>
      <c r="T165" s="6"/>
      <c r="U165" s="6"/>
      <c r="V165" s="6"/>
      <c r="W165" s="6"/>
      <c r="X165" s="6"/>
      <c r="Y165" s="6"/>
      <c r="Z165" s="6"/>
      <c r="AA165" s="6"/>
    </row>
    <row r="166" ht="15.75" customHeight="1">
      <c r="A166" s="7">
        <f t="shared" si="1"/>
        <v>165</v>
      </c>
      <c r="B166" s="9" t="str">
        <f>IFERROR(__xludf.DUMMYFUNCTION("""COMPUTED_VALUE"""),"19.6766286")</f>
        <v>19.6766286</v>
      </c>
      <c r="C166" s="9" t="str">
        <f>IFERROR(__xludf.DUMMYFUNCTION("""COMPUTED_VALUE"""),"48.3368746")</f>
        <v>48.3368746</v>
      </c>
      <c r="D166" s="9" t="str">
        <f>IFERROR(__xludf.DUMMYFUNCTION("""COMPUTED_VALUE"""),"Sieň revolučných tradicií n.p. Poľana")</f>
        <v>Sieň revolučných tradicií n.p. Poľana</v>
      </c>
      <c r="E166" s="10" t="str">
        <f>IFERROR(__xludf.DUMMYFUNCTION("""COMPUTED_VALUE"""),"síň tradic")</f>
        <v>síň tradic</v>
      </c>
      <c r="F166" s="9" t="str">
        <f>IFERROR(__xludf.DUMMYFUNCTION("""COMPUTED_VALUE"""),"V roce 1978 byla zřízena expozice o dějinách podniku od jeho založení v roce 1868. Zvláštní místo měla galerie vyznamenaných pracovníků podniku.")</f>
        <v>V roce 1978 byla zřízena expozice o dějinách podniku od jeho založení v roce 1868. Zvláštní místo měla galerie vyznamenaných pracovníků podniku.</v>
      </c>
      <c r="G166" s="9" t="str">
        <f>IFERROR(__xludf.DUMMYFUNCTION("""COMPUTED_VALUE"""),"muzea")</f>
        <v>muzea</v>
      </c>
      <c r="H166" s="9" t="str">
        <f>IFERROR(__xludf.DUMMYFUNCTION("""COMPUTED_VALUE"""),"Podniková a tovární muzea")</f>
        <v>Podniková a tovární muzea</v>
      </c>
      <c r="I166" s="9" t="str">
        <f>IFERROR(__xludf.DUMMYFUNCTION("""COMPUTED_VALUE"""),"Ne")</f>
        <v>Ne</v>
      </c>
      <c r="J166" s="9">
        <f>IFERROR(__xludf.DUMMYFUNCTION("""COMPUTED_VALUE"""),1978.0)</f>
        <v>1978</v>
      </c>
      <c r="K166" s="9">
        <f>IFERROR(__xludf.DUMMYFUNCTION("""COMPUTED_VALUE"""),1989.0)</f>
        <v>1989</v>
      </c>
      <c r="L166" s="12" t="str">
        <f>IFERROR(__xludf.DUMMYFUNCTION("""COMPUTED_VALUE"""),"Melánia Babicová a kol.: Sprievodca po podnikových a závodných múzeách a sieňach revolučných tradicií v Slovenskej socialistickej republike, Bratislava: Práca 1988, str. 115")</f>
        <v>Melánia Babicová a kol.: Sprievodca po podnikových a závodných múzeách a sieňach revolučných tradicií v Slovenskej socialistickej republike, Bratislava: Práca 1988, str. 115</v>
      </c>
      <c r="M166" s="9"/>
      <c r="N166" s="9"/>
      <c r="O166" s="6"/>
      <c r="P166" s="6"/>
      <c r="Q166" s="6"/>
      <c r="R166" s="6"/>
      <c r="S166" s="6"/>
      <c r="T166" s="6"/>
      <c r="U166" s="6"/>
      <c r="V166" s="6"/>
      <c r="W166" s="6"/>
      <c r="X166" s="6"/>
      <c r="Y166" s="6"/>
      <c r="Z166" s="6"/>
      <c r="AA166" s="6"/>
    </row>
    <row r="167" ht="15.75" customHeight="1">
      <c r="A167" s="7">
        <f t="shared" si="1"/>
        <v>166</v>
      </c>
      <c r="B167" s="9" t="str">
        <f>IFERROR(__xludf.DUMMYFUNCTION("""COMPUTED_VALUE"""),"19.8222544")</f>
        <v>19.8222544</v>
      </c>
      <c r="C167" s="9" t="str">
        <f>IFERROR(__xludf.DUMMYFUNCTION("""COMPUTED_VALUE"""),"48.2706491")</f>
        <v>48.2706491</v>
      </c>
      <c r="D167" s="9" t="str">
        <f>IFERROR(__xludf.DUMMYFUNCTION("""COMPUTED_VALUE"""),"Sieň revolučných tradicií n.p. Kovosmalt, Fiľakovo")</f>
        <v>Sieň revolučných tradicií n.p. Kovosmalt, Fiľakovo</v>
      </c>
      <c r="E167" s="10" t="str">
        <f>IFERROR(__xludf.DUMMYFUNCTION("""COMPUTED_VALUE"""),"síň tradic")</f>
        <v>síň tradic</v>
      </c>
      <c r="F167" s="9" t="str">
        <f>IFERROR(__xludf.DUMMYFUNCTION("""COMPUTED_VALUE"""),"Expozice z roku 1974 byla umístěná v závodním klubu ROH v centru města. Zaměřovala se zejména na dějiny výroby smaltovaného nádobí.")</f>
        <v>Expozice z roku 1974 byla umístěná v závodním klubu ROH v centru města. Zaměřovala se zejména na dějiny výroby smaltovaného nádobí.</v>
      </c>
      <c r="G167" s="9" t="str">
        <f>IFERROR(__xludf.DUMMYFUNCTION("""COMPUTED_VALUE"""),"muzea")</f>
        <v>muzea</v>
      </c>
      <c r="H167" s="9" t="str">
        <f>IFERROR(__xludf.DUMMYFUNCTION("""COMPUTED_VALUE"""),"Podniková a tovární muzea")</f>
        <v>Podniková a tovární muzea</v>
      </c>
      <c r="I167" s="9" t="str">
        <f>IFERROR(__xludf.DUMMYFUNCTION("""COMPUTED_VALUE"""),"Ne")</f>
        <v>Ne</v>
      </c>
      <c r="J167" s="9">
        <f>IFERROR(__xludf.DUMMYFUNCTION("""COMPUTED_VALUE"""),1974.0)</f>
        <v>1974</v>
      </c>
      <c r="K167" s="9">
        <f>IFERROR(__xludf.DUMMYFUNCTION("""COMPUTED_VALUE"""),1989.0)</f>
        <v>1989</v>
      </c>
      <c r="L167" s="12" t="str">
        <f>IFERROR(__xludf.DUMMYFUNCTION("""COMPUTED_VALUE"""),"Melánia Babicová a kol.: Sprievodca po podnikových a závodných múzeách a sieňach revolučných tradicií v Slovenskej socialistickej republike, Bratislava: Práca 1988, str. 115-116")</f>
        <v>Melánia Babicová a kol.: Sprievodca po podnikových a závodných múzeách a sieňach revolučných tradicií v Slovenskej socialistickej republike, Bratislava: Práca 1988, str. 115-116</v>
      </c>
      <c r="M167" s="9"/>
      <c r="N167" s="9" t="str">
        <f>IFERROR(__xludf.DUMMYFUNCTION("""COMPUTED_VALUE"""),"Filakovo.JPG")</f>
        <v>Filakovo.JPG</v>
      </c>
      <c r="O167" s="6" t="str">
        <f>IFERROR(__xludf.DUMMYFUNCTION("""COMPUTED_VALUE"""),"Z expozic")</f>
        <v>Z expozic</v>
      </c>
      <c r="P167" s="6" t="str">
        <f>IFERROR(__xludf.DUMMYFUNCTION("""COMPUTED_VALUE"""),"Melánia Babicová a kol.: Sprievodca po podnikových a závodných múzeách a sieňach revolučných tradicií v Slovenskej socialistickej republike, Bratislava: Práca 1988, str. 115")</f>
        <v>Melánia Babicová a kol.: Sprievodca po podnikových a závodných múzeách a sieňach revolučných tradicií v Slovenskej socialistickej republike, Bratislava: Práca 1988, str. 115</v>
      </c>
      <c r="Q167" s="6"/>
      <c r="R167" s="6"/>
      <c r="S167" s="6"/>
      <c r="T167" s="6"/>
      <c r="U167" s="6"/>
      <c r="V167" s="6"/>
      <c r="W167" s="6"/>
      <c r="X167" s="6"/>
      <c r="Y167" s="6"/>
      <c r="Z167" s="6"/>
      <c r="AA167" s="6"/>
    </row>
    <row r="168" ht="15.75" customHeight="1">
      <c r="A168" s="7">
        <f t="shared" si="1"/>
        <v>167</v>
      </c>
      <c r="B168" s="9" t="str">
        <f>IFERROR(__xludf.DUMMYFUNCTION("""COMPUTED_VALUE"""),"18.9132845")</f>
        <v>18.9132845</v>
      </c>
      <c r="C168" s="9" t="str">
        <f>IFERROR(__xludf.DUMMYFUNCTION("""COMPUTED_VALUE"""),"49.0490021")</f>
        <v>49.0490021</v>
      </c>
      <c r="D168" s="9" t="str">
        <f>IFERROR(__xludf.DUMMYFUNCTION("""COMPUTED_VALUE"""),"Izba revolučných tradicií dopravného závodu ČSAD, Martin")</f>
        <v>Izba revolučných tradicií dopravného závodu ČSAD, Martin</v>
      </c>
      <c r="E168" s="10" t="str">
        <f>IFERROR(__xludf.DUMMYFUNCTION("""COMPUTED_VALUE"""),"síň tradic")</f>
        <v>síň tradic</v>
      </c>
      <c r="F168" s="9" t="str">
        <f>IFERROR(__xludf.DUMMYFUNCTION("""COMPUTED_VALUE"""),"Expozice z roku 1986 byla instalována v prostoru agitačního střediska závodu.")</f>
        <v>Expozice z roku 1986 byla instalována v prostoru agitačního střediska závodu.</v>
      </c>
      <c r="G168" s="9" t="str">
        <f>IFERROR(__xludf.DUMMYFUNCTION("""COMPUTED_VALUE"""),"muzea")</f>
        <v>muzea</v>
      </c>
      <c r="H168" s="9" t="str">
        <f>IFERROR(__xludf.DUMMYFUNCTION("""COMPUTED_VALUE"""),"Podniková a tovární muzea")</f>
        <v>Podniková a tovární muzea</v>
      </c>
      <c r="I168" s="9" t="str">
        <f>IFERROR(__xludf.DUMMYFUNCTION("""COMPUTED_VALUE"""),"Ne")</f>
        <v>Ne</v>
      </c>
      <c r="J168" s="9">
        <f>IFERROR(__xludf.DUMMYFUNCTION("""COMPUTED_VALUE"""),1986.0)</f>
        <v>1986</v>
      </c>
      <c r="K168" s="9">
        <f>IFERROR(__xludf.DUMMYFUNCTION("""COMPUTED_VALUE"""),1989.0)</f>
        <v>1989</v>
      </c>
      <c r="L168" s="12" t="str">
        <f>IFERROR(__xludf.DUMMYFUNCTION("""COMPUTED_VALUE"""),"Melánia Babicová a kol.: Sprievodca po podnikových a závodných múzeách a sieňach revolučných tradicií v Slovenskej socialistickej republike, Bratislava: Práca 1988, str. 117")</f>
        <v>Melánia Babicová a kol.: Sprievodca po podnikových a závodných múzeách a sieňach revolučných tradicií v Slovenskej socialistickej republike, Bratislava: Práca 1988, str. 117</v>
      </c>
      <c r="M168" s="9"/>
      <c r="N168" s="9"/>
      <c r="O168" s="6"/>
      <c r="P168" s="6"/>
      <c r="Q168" s="6"/>
      <c r="R168" s="6"/>
      <c r="S168" s="6"/>
      <c r="T168" s="6"/>
      <c r="U168" s="6"/>
      <c r="V168" s="6"/>
      <c r="W168" s="6"/>
      <c r="X168" s="6"/>
      <c r="Y168" s="6"/>
      <c r="Z168" s="6"/>
      <c r="AA168" s="6"/>
    </row>
    <row r="169" ht="15.75" customHeight="1">
      <c r="A169" s="7">
        <f t="shared" si="1"/>
        <v>168</v>
      </c>
      <c r="B169" s="9" t="str">
        <f>IFERROR(__xludf.DUMMYFUNCTION("""COMPUTED_VALUE"""),"18.9467073")</f>
        <v>18.9467073</v>
      </c>
      <c r="C169" s="9" t="str">
        <f>IFERROR(__xludf.DUMMYFUNCTION("""COMPUTED_VALUE"""),"49.1094152")</f>
        <v>49.1094152</v>
      </c>
      <c r="D169" s="9" t="str">
        <f>IFERROR(__xludf.DUMMYFUNCTION("""COMPUTED_VALUE"""),"Izba revolučných tradicií Železničných opravovní a strojární a Izba revolučných tradicií Rušňovského depa Martin-Vrůtky")</f>
        <v>Izba revolučných tradicií Železničných opravovní a strojární a Izba revolučných tradicií Rušňovského depa Martin-Vrůtky</v>
      </c>
      <c r="E169" s="10" t="str">
        <f>IFERROR(__xludf.DUMMYFUNCTION("""COMPUTED_VALUE"""),"síň tradic")</f>
        <v>síň tradic</v>
      </c>
      <c r="F169" s="9" t="str">
        <f>IFERROR(__xludf.DUMMYFUNCTION("""COMPUTED_VALUE"""),"Expozice, zřízené v roce 1974, se věnovaly dějinám železniční dopravy a organizace zaměstnanců dráhy. V 80. letech prošly výraznou modernizací.")</f>
        <v>Expozice, zřízené v roce 1974, se věnovaly dějinám železniční dopravy a organizace zaměstnanců dráhy. V 80. letech prošly výraznou modernizací.</v>
      </c>
      <c r="G169" s="9" t="str">
        <f>IFERROR(__xludf.DUMMYFUNCTION("""COMPUTED_VALUE"""),"muzea")</f>
        <v>muzea</v>
      </c>
      <c r="H169" s="9" t="str">
        <f>IFERROR(__xludf.DUMMYFUNCTION("""COMPUTED_VALUE"""),"Podniková a tovární muzea")</f>
        <v>Podniková a tovární muzea</v>
      </c>
      <c r="I169" s="9" t="str">
        <f>IFERROR(__xludf.DUMMYFUNCTION("""COMPUTED_VALUE"""),"Ne")</f>
        <v>Ne</v>
      </c>
      <c r="J169" s="9">
        <f>IFERROR(__xludf.DUMMYFUNCTION("""COMPUTED_VALUE"""),1974.0)</f>
        <v>1974</v>
      </c>
      <c r="K169" s="9">
        <f>IFERROR(__xludf.DUMMYFUNCTION("""COMPUTED_VALUE"""),1989.0)</f>
        <v>1989</v>
      </c>
      <c r="L169" s="12" t="str">
        <f>IFERROR(__xludf.DUMMYFUNCTION("""COMPUTED_VALUE"""),"Melánia Babicová a kol.: Sprievodca po podnikových a závodných múzeách a sieňach revolučných tradicií v Slovenskej socialistickej republike, Bratislava: Práca 1988, str. 118; Tamtéž, str.121-122")</f>
        <v>Melánia Babicová a kol.: Sprievodca po podnikových a závodných múzeách a sieňach revolučných tradicií v Slovenskej socialistickej republike, Bratislava: Práca 1988, str. 118; Tamtéž, str.121-122</v>
      </c>
      <c r="M169" s="9"/>
      <c r="N169" s="9" t="str">
        <f>IFERROR(__xludf.DUMMYFUNCTION("""COMPUTED_VALUE"""),"MARTIN~1.JPG")</f>
        <v>MARTIN~1.JPG</v>
      </c>
      <c r="O169" s="6" t="str">
        <f>IFERROR(__xludf.DUMMYFUNCTION("""COMPUTED_VALUE"""),"Pohled do expozice.")</f>
        <v>Pohled do expozice.</v>
      </c>
      <c r="P169" s="6" t="str">
        <f>IFERROR(__xludf.DUMMYFUNCTION("""COMPUTED_VALUE"""),"Melánia Babicová a kol.: Sprievodca po podnikových a závodných múzeách a sieňach revolučných tradicií v Slovenskej socialistickej republike, Bratislava: Práca 1988, str. 118")</f>
        <v>Melánia Babicová a kol.: Sprievodca po podnikových a závodných múzeách a sieňach revolučných tradicií v Slovenskej socialistickej republike, Bratislava: Práca 1988, str. 118</v>
      </c>
      <c r="Q169" s="6"/>
      <c r="R169" s="6"/>
      <c r="S169" s="6"/>
      <c r="T169" s="6"/>
      <c r="U169" s="6"/>
      <c r="V169" s="6"/>
      <c r="W169" s="6"/>
      <c r="X169" s="6"/>
      <c r="Y169" s="6"/>
      <c r="Z169" s="6"/>
      <c r="AA169" s="6"/>
    </row>
    <row r="170" ht="15.75" customHeight="1">
      <c r="A170" s="7">
        <f t="shared" si="1"/>
        <v>169</v>
      </c>
      <c r="B170" s="9" t="str">
        <f>IFERROR(__xludf.DUMMYFUNCTION("""COMPUTED_VALUE"""),"19.0363413")</f>
        <v>19.0363413</v>
      </c>
      <c r="C170" s="9" t="str">
        <f>IFERROR(__xludf.DUMMYFUNCTION("""COMPUTED_VALUE"""),"49.1037959")</f>
        <v>49.1037959</v>
      </c>
      <c r="D170" s="9" t="str">
        <f>IFERROR(__xludf.DUMMYFUNCTION("""COMPUTED_VALUE"""),"Izba revolučných tradicií n.p. Drevina Turany")</f>
        <v>Izba revolučných tradicií n.p. Drevina Turany</v>
      </c>
      <c r="E170" s="10" t="str">
        <f>IFERROR(__xludf.DUMMYFUNCTION("""COMPUTED_VALUE"""),"síň tradic")</f>
        <v>síň tradic</v>
      </c>
      <c r="F170" s="9" t="str">
        <f>IFERROR(__xludf.DUMMYFUNCTION("""COMPUTED_VALUE"""),"Expozice z roku 1974 byla zaměřená na dějiny dřevozpracujícího průmyslu v regionu.")</f>
        <v>Expozice z roku 1974 byla zaměřená na dějiny dřevozpracujícího průmyslu v regionu.</v>
      </c>
      <c r="G170" s="9" t="str">
        <f>IFERROR(__xludf.DUMMYFUNCTION("""COMPUTED_VALUE"""),"muzea")</f>
        <v>muzea</v>
      </c>
      <c r="H170" s="9" t="str">
        <f>IFERROR(__xludf.DUMMYFUNCTION("""COMPUTED_VALUE"""),"Podniková a tovární muzea")</f>
        <v>Podniková a tovární muzea</v>
      </c>
      <c r="I170" s="9" t="str">
        <f>IFERROR(__xludf.DUMMYFUNCTION("""COMPUTED_VALUE"""),"Ne")</f>
        <v>Ne</v>
      </c>
      <c r="J170" s="9">
        <f>IFERROR(__xludf.DUMMYFUNCTION("""COMPUTED_VALUE"""),1974.0)</f>
        <v>1974</v>
      </c>
      <c r="K170" s="9">
        <f>IFERROR(__xludf.DUMMYFUNCTION("""COMPUTED_VALUE"""),1989.0)</f>
        <v>1989</v>
      </c>
      <c r="L170" s="12" t="str">
        <f>IFERROR(__xludf.DUMMYFUNCTION("""COMPUTED_VALUE"""),"Melánia Babicová a kol.: Sprievodca po podnikových a závodných múzeách a sieňach revolučných tradicií v Slovenskej socialistickej republike, Bratislava: Práca 1988, str. 123-124")</f>
        <v>Melánia Babicová a kol.: Sprievodca po podnikových a závodných múzeách a sieňach revolučných tradicií v Slovenskej socialistickej republike, Bratislava: Práca 1988, str. 123-124</v>
      </c>
      <c r="M170" s="9"/>
      <c r="N170" s="9"/>
      <c r="O170" s="6"/>
      <c r="P170" s="6"/>
      <c r="Q170" s="6"/>
      <c r="R170" s="6"/>
      <c r="S170" s="6"/>
      <c r="T170" s="6"/>
      <c r="U170" s="6"/>
      <c r="V170" s="6"/>
      <c r="W170" s="6"/>
      <c r="X170" s="6"/>
      <c r="Y170" s="6"/>
      <c r="Z170" s="6"/>
      <c r="AA170" s="6"/>
    </row>
    <row r="171" ht="15.75" customHeight="1">
      <c r="A171" s="7">
        <f t="shared" si="1"/>
        <v>170</v>
      </c>
      <c r="B171" s="9" t="str">
        <f>IFERROR(__xludf.DUMMYFUNCTION("""COMPUTED_VALUE"""),"18.4243882")</f>
        <v>18.4243882</v>
      </c>
      <c r="C171" s="9" t="str">
        <f>IFERROR(__xludf.DUMMYFUNCTION("""COMPUTED_VALUE"""),"49.1308103")</f>
        <v>49.1308103</v>
      </c>
      <c r="D171" s="9" t="str">
        <f>IFERROR(__xludf.DUMMYFUNCTION("""COMPUTED_VALUE"""),"Podnikové múzeum a Sieň revolučných tradícií ZVL Povážských strojární, Povážská Bystrica")</f>
        <v>Podnikové múzeum a Sieň revolučných tradícií ZVL Povážských strojární, Povážská Bystrica</v>
      </c>
      <c r="E171" s="10" t="str">
        <f>IFERROR(__xludf.DUMMYFUNCTION("""COMPUTED_VALUE"""),"tovární muzeum")</f>
        <v>tovární muzeum</v>
      </c>
      <c r="F171" s="9" t="str">
        <f>IFERROR(__xludf.DUMMYFUNCTION("""COMPUTED_VALUE"""),"Expozice byla zřízená v barokním zámku roku 1973.Zaměřovala se na dějiny lokální strojírenské výroby. O prostory se dělila s Vlastivedným múzeem Povážská Bystrica. Roku 1983 prošla výraznou modernizací.")</f>
        <v>Expozice byla zřízená v barokním zámku roku 1973.Zaměřovala se na dějiny lokální strojírenské výroby. O prostory se dělila s Vlastivedným múzeem Povážská Bystrica. Roku 1983 prošla výraznou modernizací.</v>
      </c>
      <c r="G171" s="9" t="str">
        <f>IFERROR(__xludf.DUMMYFUNCTION("""COMPUTED_VALUE"""),"muzea")</f>
        <v>muzea</v>
      </c>
      <c r="H171" s="9" t="str">
        <f>IFERROR(__xludf.DUMMYFUNCTION("""COMPUTED_VALUE"""),"Podniková a tovární muzea")</f>
        <v>Podniková a tovární muzea</v>
      </c>
      <c r="I171" s="9" t="str">
        <f>IFERROR(__xludf.DUMMYFUNCTION("""COMPUTED_VALUE"""),"Ne")</f>
        <v>Ne</v>
      </c>
      <c r="J171" s="9">
        <f>IFERROR(__xludf.DUMMYFUNCTION("""COMPUTED_VALUE"""),1973.0)</f>
        <v>1973</v>
      </c>
      <c r="K171" s="9">
        <f>IFERROR(__xludf.DUMMYFUNCTION("""COMPUTED_VALUE"""),1989.0)</f>
        <v>1989</v>
      </c>
      <c r="L171" s="12" t="str">
        <f>IFERROR(__xludf.DUMMYFUNCTION("""COMPUTED_VALUE"""),"Melánia Babicová a kol.: Sprievodca po podnikových a závodných múzeách a sieňach revolučných tradicií v Slovenskej socialistickej republike, Bratislava: Práca 1988, str. 124-125")</f>
        <v>Melánia Babicová a kol.: Sprievodca po podnikových a závodných múzeách a sieňach revolučných tradicií v Slovenskej socialistickej republike, Bratislava: Práca 1988, str. 124-125</v>
      </c>
      <c r="M171" s="9"/>
      <c r="N171" s="9" t="str">
        <f>IFERROR(__xludf.DUMMYFUNCTION("""COMPUTED_VALUE"""),"povážská bystrica.JPG")</f>
        <v>povážská bystrica.JPG</v>
      </c>
      <c r="O171" s="6" t="str">
        <f>IFERROR(__xludf.DUMMYFUNCTION("""COMPUTED_VALUE"""),"Z expozice.")</f>
        <v>Z expozice.</v>
      </c>
      <c r="P171" s="6" t="str">
        <f>IFERROR(__xludf.DUMMYFUNCTION("""COMPUTED_VALUE"""),"Melánia Babicová a kol.: Sprievodca po podnikových a závodných múzeách a sieňach revolučných tradicií v Slovenskej socialistickej republike, Bratislava: Práca 1988, str. 124")</f>
        <v>Melánia Babicová a kol.: Sprievodca po podnikových a závodných múzeách a sieňach revolučných tradicií v Slovenskej socialistickej republike, Bratislava: Práca 1988, str. 124</v>
      </c>
      <c r="Q171" s="6"/>
      <c r="R171" s="6"/>
      <c r="S171" s="6"/>
      <c r="T171" s="6"/>
      <c r="U171" s="6"/>
      <c r="V171" s="6"/>
      <c r="W171" s="6"/>
      <c r="X171" s="6"/>
      <c r="Y171" s="6"/>
      <c r="Z171" s="6"/>
      <c r="AA171" s="6"/>
    </row>
    <row r="172" ht="15.75" customHeight="1">
      <c r="A172" s="7">
        <f t="shared" si="1"/>
        <v>171</v>
      </c>
      <c r="B172" s="9" t="str">
        <f>IFERROR(__xludf.DUMMYFUNCTION("""COMPUTED_VALUE"""),"18.1884222")</f>
        <v>18.1884222</v>
      </c>
      <c r="C172" s="9" t="str">
        <f>IFERROR(__xludf.DUMMYFUNCTION("""COMPUTED_VALUE"""),"48.9666222")</f>
        <v>48.9666222</v>
      </c>
      <c r="D172" s="9" t="str">
        <f>IFERROR(__xludf.DUMMYFUNCTION("""COMPUTED_VALUE"""),"Sieň revolučných tradicií  n.p. Závody ťažkého strojárstva Dubnica nad Váhom")</f>
        <v>Sieň revolučných tradicií  n.p. Závody ťažkého strojárstva Dubnica nad Váhom</v>
      </c>
      <c r="E172" s="10" t="str">
        <f>IFERROR(__xludf.DUMMYFUNCTION("""COMPUTED_VALUE"""),"síň tradic")</f>
        <v>síň tradic</v>
      </c>
      <c r="F172" s="9" t="str">
        <f>IFERROR(__xludf.DUMMYFUNCTION("""COMPUTED_VALUE"""),"Expozice, zpřístupněná v roce 1984, byla zaměřená na dějiny výroby a organizace dělnictva.")</f>
        <v>Expozice, zpřístupněná v roce 1984, byla zaměřená na dějiny výroby a organizace dělnictva.</v>
      </c>
      <c r="G172" s="9" t="str">
        <f>IFERROR(__xludf.DUMMYFUNCTION("""COMPUTED_VALUE"""),"muzea")</f>
        <v>muzea</v>
      </c>
      <c r="H172" s="9" t="str">
        <f>IFERROR(__xludf.DUMMYFUNCTION("""COMPUTED_VALUE"""),"Podniková a tovární muzea")</f>
        <v>Podniková a tovární muzea</v>
      </c>
      <c r="I172" s="9" t="str">
        <f>IFERROR(__xludf.DUMMYFUNCTION("""COMPUTED_VALUE"""),"Ne")</f>
        <v>Ne</v>
      </c>
      <c r="J172" s="9">
        <f>IFERROR(__xludf.DUMMYFUNCTION("""COMPUTED_VALUE"""),1984.0)</f>
        <v>1984</v>
      </c>
      <c r="K172" s="9">
        <f>IFERROR(__xludf.DUMMYFUNCTION("""COMPUTED_VALUE"""),1989.0)</f>
        <v>1989</v>
      </c>
      <c r="L172" s="12" t="str">
        <f>IFERROR(__xludf.DUMMYFUNCTION("""COMPUTED_VALUE"""),"Melánia Babicová a kol.: Sprievodca po podnikových a závodných múzeách a sieňach revolučných tradicií v Slovenskej socialistickej republike, Bratislava: Práca 1988, str. 126-127")</f>
        <v>Melánia Babicová a kol.: Sprievodca po podnikových a závodných múzeách a sieňach revolučných tradicií v Slovenskej socialistickej republike, Bratislava: Práca 1988, str. 126-127</v>
      </c>
      <c r="M172" s="9"/>
      <c r="N172" s="9" t="str">
        <f>IFERROR(__xludf.DUMMYFUNCTION("""COMPUTED_VALUE"""),"dubnica nad váhom.JPG")</f>
        <v>dubnica nad váhom.JPG</v>
      </c>
      <c r="O172" s="6" t="str">
        <f>IFERROR(__xludf.DUMMYFUNCTION("""COMPUTED_VALUE"""),"Z expozice.")</f>
        <v>Z expozice.</v>
      </c>
      <c r="P172" s="6" t="str">
        <f>IFERROR(__xludf.DUMMYFUNCTION("""COMPUTED_VALUE"""),"Melánia Babicová a kol.: Sprievodca po podnikových a závodných múzeách a sieňach revolučných tradicií v Slovenskej socialistickej republike, Bratislava: Práca 1988, str. 126")</f>
        <v>Melánia Babicová a kol.: Sprievodca po podnikových a závodných múzeách a sieňach revolučných tradicií v Slovenskej socialistickej republike, Bratislava: Práca 1988, str. 126</v>
      </c>
      <c r="Q172" s="6"/>
      <c r="R172" s="6"/>
      <c r="S172" s="6"/>
      <c r="T172" s="6"/>
      <c r="U172" s="6"/>
      <c r="V172" s="6"/>
      <c r="W172" s="6"/>
      <c r="X172" s="6"/>
      <c r="Y172" s="6"/>
      <c r="Z172" s="6"/>
      <c r="AA172" s="6"/>
    </row>
    <row r="173" ht="15.75" customHeight="1">
      <c r="A173" s="7">
        <f t="shared" si="1"/>
        <v>172</v>
      </c>
      <c r="B173" s="9" t="str">
        <f>IFERROR(__xludf.DUMMYFUNCTION("""COMPUTED_VALUE"""),"18.3169076")</f>
        <v>18.3169076</v>
      </c>
      <c r="C173" s="9" t="str">
        <f>IFERROR(__xludf.DUMMYFUNCTION("""COMPUTED_VALUE"""),"49.1074172")</f>
        <v>49.1074172</v>
      </c>
      <c r="D173" s="9" t="str">
        <f>IFERROR(__xludf.DUMMYFUNCTION("""COMPUTED_VALUE"""),"Izba revolučných tradícií n.p. Gumárne 1. mája, Púchov")</f>
        <v>Izba revolučných tradícií n.p. Gumárne 1. mája, Púchov</v>
      </c>
      <c r="E173" s="10" t="str">
        <f>IFERROR(__xludf.DUMMYFUNCTION("""COMPUTED_VALUE"""),"síň tradic")</f>
        <v>síň tradic</v>
      </c>
      <c r="F173" s="9" t="str">
        <f>IFERROR(__xludf.DUMMYFUNCTION("""COMPUTED_VALUE"""),"Síň tradic vznikla v roce 1969. Závod byl založen v roce 1947, takže hlavním tématem expozice bylo zejména budování a výroba v rámci socialistické výstavby. Roku 1983 prošla rozsáhlou modernizací.")</f>
        <v>Síň tradic vznikla v roce 1969. Závod byl založen v roce 1947, takže hlavním tématem expozice bylo zejména budování a výroba v rámci socialistické výstavby. Roku 1983 prošla rozsáhlou modernizací.</v>
      </c>
      <c r="G173" s="9" t="str">
        <f>IFERROR(__xludf.DUMMYFUNCTION("""COMPUTED_VALUE"""),"muzea")</f>
        <v>muzea</v>
      </c>
      <c r="H173" s="9" t="str">
        <f>IFERROR(__xludf.DUMMYFUNCTION("""COMPUTED_VALUE"""),"Podniková a tovární muzea")</f>
        <v>Podniková a tovární muzea</v>
      </c>
      <c r="I173" s="9" t="str">
        <f>IFERROR(__xludf.DUMMYFUNCTION("""COMPUTED_VALUE"""),"Ne")</f>
        <v>Ne</v>
      </c>
      <c r="J173" s="9">
        <f>IFERROR(__xludf.DUMMYFUNCTION("""COMPUTED_VALUE"""),1969.0)</f>
        <v>1969</v>
      </c>
      <c r="K173" s="9">
        <f>IFERROR(__xludf.DUMMYFUNCTION("""COMPUTED_VALUE"""),1989.0)</f>
        <v>1989</v>
      </c>
      <c r="L173" s="12" t="str">
        <f>IFERROR(__xludf.DUMMYFUNCTION("""COMPUTED_VALUE"""),"Melánia Babicová a kol.: Sprievodca po podnikových a závodných múzeách a sieňach revolučných tradicií v Slovenskej socialistickej republike, Bratislava: Práca 1988, str. 127-128")</f>
        <v>Melánia Babicová a kol.: Sprievodca po podnikových a závodných múzeách a sieňach revolučných tradicií v Slovenskej socialistickej republike, Bratislava: Práca 1988, str. 127-128</v>
      </c>
      <c r="M173" s="9"/>
      <c r="N173" s="9" t="str">
        <f>IFERROR(__xludf.DUMMYFUNCTION("""COMPUTED_VALUE"""),"púchov gumárny.JPG")</f>
        <v>púchov gumárny.JPG</v>
      </c>
      <c r="O173" s="6" t="str">
        <f>IFERROR(__xludf.DUMMYFUNCTION("""COMPUTED_VALUE"""),"Z expozice: výrobky závodu.")</f>
        <v>Z expozice: výrobky závodu.</v>
      </c>
      <c r="P173" s="6" t="str">
        <f>IFERROR(__xludf.DUMMYFUNCTION("""COMPUTED_VALUE"""),"Melánia Babicová a kol.: Sprievodca po podnikových a závodných múzeách a sieňach revolučných tradicií v Slovenskej socialistickej republike, Bratislava: Práca 1988, str. 127")</f>
        <v>Melánia Babicová a kol.: Sprievodca po podnikových a závodných múzeách a sieňach revolučných tradicií v Slovenskej socialistickej republike, Bratislava: Práca 1988, str. 127</v>
      </c>
      <c r="Q173" s="6"/>
      <c r="R173" s="6"/>
      <c r="S173" s="6"/>
      <c r="T173" s="6"/>
      <c r="U173" s="6"/>
      <c r="V173" s="6"/>
      <c r="W173" s="6"/>
      <c r="X173" s="6"/>
      <c r="Y173" s="6"/>
      <c r="Z173" s="6"/>
      <c r="AA173" s="6"/>
    </row>
    <row r="174" ht="15.75" customHeight="1">
      <c r="A174" s="7">
        <f t="shared" si="1"/>
        <v>173</v>
      </c>
      <c r="B174" s="9" t="str">
        <f>IFERROR(__xludf.DUMMYFUNCTION("""COMPUTED_VALUE"""),"18.4031817")</f>
        <v>18.4031817</v>
      </c>
      <c r="C174" s="9" t="str">
        <f>IFERROR(__xludf.DUMMYFUNCTION("""COMPUTED_VALUE"""),"48.6994573")</f>
        <v>48.6994573</v>
      </c>
      <c r="D174" s="9" t="str">
        <f>IFERROR(__xludf.DUMMYFUNCTION("""COMPUTED_VALUE"""),"Izba revolučných tradicií n.p. Gumárne SNP, Dolné Vestenice")</f>
        <v>Izba revolučných tradicií n.p. Gumárne SNP, Dolné Vestenice</v>
      </c>
      <c r="E174" s="10" t="str">
        <f>IFERROR(__xludf.DUMMYFUNCTION("""COMPUTED_VALUE"""),"síň tradic")</f>
        <v>síň tradic</v>
      </c>
      <c r="F174" s="9" t="str">
        <f>IFERROR(__xludf.DUMMYFUNCTION("""COMPUTED_VALUE"""),"Expozice z roku 1974 se věnovala hlavně dějinám gumárenské výroby a místního komunistického hnutí. V roce 1983 prošla rekonstrukcí.")</f>
        <v>Expozice z roku 1974 se věnovala hlavně dějinám gumárenské výroby a místního komunistického hnutí. V roce 1983 prošla rekonstrukcí.</v>
      </c>
      <c r="G174" s="9" t="str">
        <f>IFERROR(__xludf.DUMMYFUNCTION("""COMPUTED_VALUE"""),"muzea")</f>
        <v>muzea</v>
      </c>
      <c r="H174" s="9" t="str">
        <f>IFERROR(__xludf.DUMMYFUNCTION("""COMPUTED_VALUE"""),"Podniková a tovární muzea")</f>
        <v>Podniková a tovární muzea</v>
      </c>
      <c r="I174" s="9" t="str">
        <f>IFERROR(__xludf.DUMMYFUNCTION("""COMPUTED_VALUE"""),"Ne")</f>
        <v>Ne</v>
      </c>
      <c r="J174" s="9">
        <f>IFERROR(__xludf.DUMMYFUNCTION("""COMPUTED_VALUE"""),1974.0)</f>
        <v>1974</v>
      </c>
      <c r="K174" s="9">
        <f>IFERROR(__xludf.DUMMYFUNCTION("""COMPUTED_VALUE"""),1989.0)</f>
        <v>1989</v>
      </c>
      <c r="L174" s="12" t="str">
        <f>IFERROR(__xludf.DUMMYFUNCTION("""COMPUTED_VALUE"""),"Melánia Babicová a kol.: Sprievodca po podnikových a závodných múzeách a sieňach revolučných tradicií v Slovenskej socialistickej republike, Bratislava: Práca 1988, str. 130-131")</f>
        <v>Melánia Babicová a kol.: Sprievodca po podnikových a závodných múzeách a sieňach revolučných tradicií v Slovenskej socialistickej republike, Bratislava: Práca 1988, str. 130-131</v>
      </c>
      <c r="M174" s="9"/>
      <c r="N174" s="9"/>
      <c r="O174" s="6"/>
      <c r="P174" s="6"/>
      <c r="Q174" s="6"/>
      <c r="R174" s="6"/>
      <c r="S174" s="6"/>
      <c r="T174" s="6"/>
      <c r="U174" s="6"/>
      <c r="V174" s="6"/>
      <c r="W174" s="6"/>
      <c r="X174" s="6"/>
      <c r="Y174" s="6"/>
      <c r="Z174" s="6"/>
      <c r="AA174" s="6"/>
    </row>
    <row r="175" ht="15.75" customHeight="1">
      <c r="A175" s="7">
        <f t="shared" si="1"/>
        <v>174</v>
      </c>
      <c r="B175" s="9" t="str">
        <f>IFERROR(__xludf.DUMMYFUNCTION("""COMPUTED_VALUE"""),"18.7507008")</f>
        <v>18.7507008</v>
      </c>
      <c r="C175" s="9" t="str">
        <f>IFERROR(__xludf.DUMMYFUNCTION("""COMPUTED_VALUE"""),"48.726765")</f>
        <v>48.726765</v>
      </c>
      <c r="D175" s="9" t="str">
        <f>IFERROR(__xludf.DUMMYFUNCTION("""COMPUTED_VALUE"""),"Pamätná izba vývoja podniku Baňa Handlová")</f>
        <v>Pamätná izba vývoja podniku Baňa Handlová</v>
      </c>
      <c r="E175" s="10" t="str">
        <f>IFERROR(__xludf.DUMMYFUNCTION("""COMPUTED_VALUE"""),"síň tradic")</f>
        <v>síň tradic</v>
      </c>
      <c r="F175" s="9" t="str">
        <f>IFERROR(__xludf.DUMMYFUNCTION("""COMPUTED_VALUE"""),"Expozice byla otevřená roku 1964 a reinstalovaná v roce 1980. Zaměřovala se na dějiny těžby uhlí a lignitu a stávkovou činnost místních horníků.")</f>
        <v>Expozice byla otevřená roku 1964 a reinstalovaná v roce 1980. Zaměřovala se na dějiny těžby uhlí a lignitu a stávkovou činnost místních horníků.</v>
      </c>
      <c r="G175" s="9" t="str">
        <f>IFERROR(__xludf.DUMMYFUNCTION("""COMPUTED_VALUE"""),"muzea")</f>
        <v>muzea</v>
      </c>
      <c r="H175" s="9" t="str">
        <f>IFERROR(__xludf.DUMMYFUNCTION("""COMPUTED_VALUE"""),"Podniková a tovární muzea")</f>
        <v>Podniková a tovární muzea</v>
      </c>
      <c r="I175" s="9" t="str">
        <f>IFERROR(__xludf.DUMMYFUNCTION("""COMPUTED_VALUE"""),"Ne")</f>
        <v>Ne</v>
      </c>
      <c r="J175" s="9">
        <f>IFERROR(__xludf.DUMMYFUNCTION("""COMPUTED_VALUE"""),1980.0)</f>
        <v>1980</v>
      </c>
      <c r="K175" s="9">
        <f>IFERROR(__xludf.DUMMYFUNCTION("""COMPUTED_VALUE"""),1989.0)</f>
        <v>1989</v>
      </c>
      <c r="L175" s="12" t="str">
        <f>IFERROR(__xludf.DUMMYFUNCTION("""COMPUTED_VALUE"""),"Melánia Babicová a kol.: Sprievodca po podnikových a závodných múzeách a sieňach revolučných tradicií v Slovenskej socialistickej republike, Bratislava: Práca 1988, str. 131-132")</f>
        <v>Melánia Babicová a kol.: Sprievodca po podnikových a závodných múzeách a sieňach revolučných tradicií v Slovenskej socialistickej republike, Bratislava: Práca 1988, str. 131-132</v>
      </c>
      <c r="M175" s="9"/>
      <c r="N175" s="9"/>
      <c r="O175" s="6"/>
      <c r="P175" s="6"/>
      <c r="Q175" s="6"/>
      <c r="R175" s="6"/>
      <c r="S175" s="6"/>
      <c r="T175" s="6"/>
      <c r="U175" s="6"/>
      <c r="V175" s="6"/>
      <c r="W175" s="6"/>
      <c r="X175" s="6"/>
      <c r="Y175" s="6"/>
      <c r="Z175" s="6"/>
      <c r="AA175" s="6"/>
    </row>
    <row r="176" ht="15.75" customHeight="1">
      <c r="A176" s="7">
        <f t="shared" si="1"/>
        <v>175</v>
      </c>
      <c r="B176" s="9" t="str">
        <f>IFERROR(__xludf.DUMMYFUNCTION("""COMPUTED_VALUE"""),"18.5555904")</f>
        <v>18.5555904</v>
      </c>
      <c r="C176" s="9" t="str">
        <f>IFERROR(__xludf.DUMMYFUNCTION("""COMPUTED_VALUE"""),"48.7177767")</f>
        <v>48.7177767</v>
      </c>
      <c r="D176" s="9" t="str">
        <f>IFERROR(__xludf.DUMMYFUNCTION("""COMPUTED_VALUE"""),"Izba revolučných tradicií podniku Baňa Nováky")</f>
        <v>Izba revolučných tradicií podniku Baňa Nováky</v>
      </c>
      <c r="E176" s="10" t="str">
        <f>IFERROR(__xludf.DUMMYFUNCTION("""COMPUTED_VALUE"""),"síň tradic")</f>
        <v>síň tradic</v>
      </c>
      <c r="F176" s="9" t="str">
        <f>IFERROR(__xludf.DUMMYFUNCTION("""COMPUTED_VALUE"""),"V roce 1973 zřídila závodní jednotka lidových milicí expozici věnovanou dějinám těžby a úspěchům při budování socialismu.")</f>
        <v>V roce 1973 zřídila závodní jednotka lidových milicí expozici věnovanou dějinám těžby a úspěchům při budování socialismu.</v>
      </c>
      <c r="G176" s="9" t="str">
        <f>IFERROR(__xludf.DUMMYFUNCTION("""COMPUTED_VALUE"""),"muzea")</f>
        <v>muzea</v>
      </c>
      <c r="H176" s="9" t="str">
        <f>IFERROR(__xludf.DUMMYFUNCTION("""COMPUTED_VALUE"""),"Podniková a tovární muzea")</f>
        <v>Podniková a tovární muzea</v>
      </c>
      <c r="I176" s="9" t="str">
        <f>IFERROR(__xludf.DUMMYFUNCTION("""COMPUTED_VALUE"""),"Ne")</f>
        <v>Ne</v>
      </c>
      <c r="J176" s="9">
        <f>IFERROR(__xludf.DUMMYFUNCTION("""COMPUTED_VALUE"""),1973.0)</f>
        <v>1973</v>
      </c>
      <c r="K176" s="9">
        <f>IFERROR(__xludf.DUMMYFUNCTION("""COMPUTED_VALUE"""),1989.0)</f>
        <v>1989</v>
      </c>
      <c r="L176" s="12" t="str">
        <f>IFERROR(__xludf.DUMMYFUNCTION("""COMPUTED_VALUE"""),"Melánia Babicová a kol.: Sprievodca po podnikových a závodných múzeách a sieňach revolučných tradicií v Slovenskej socialistickej republike, Bratislava: Práca 1988, str. 132")</f>
        <v>Melánia Babicová a kol.: Sprievodca po podnikových a závodných múzeách a sieňach revolučných tradicií v Slovenskej socialistickej republike, Bratislava: Práca 1988, str. 132</v>
      </c>
      <c r="M176" s="9"/>
      <c r="N176" s="9"/>
      <c r="O176" s="6"/>
      <c r="P176" s="6"/>
      <c r="Q176" s="6"/>
      <c r="R176" s="6"/>
      <c r="S176" s="6"/>
      <c r="T176" s="6"/>
      <c r="U176" s="6"/>
      <c r="V176" s="6"/>
      <c r="W176" s="6"/>
      <c r="X176" s="6"/>
      <c r="Y176" s="6"/>
      <c r="Z176" s="6"/>
      <c r="AA176" s="6"/>
    </row>
    <row r="177" ht="15.75" customHeight="1">
      <c r="A177" s="7">
        <f t="shared" si="1"/>
        <v>176</v>
      </c>
      <c r="B177" s="9" t="str">
        <f>IFERROR(__xludf.DUMMYFUNCTION("""COMPUTED_VALUE"""),"19.955485")</f>
        <v>19.955485</v>
      </c>
      <c r="C177" s="9" t="str">
        <f>IFERROR(__xludf.DUMMYFUNCTION("""COMPUTED_VALUE"""),"48.5696666")</f>
        <v>48.5696666</v>
      </c>
      <c r="D177" s="9" t="str">
        <f>IFERROR(__xludf.DUMMYFUNCTION("""COMPUTED_VALUE"""),"Izba revolučných tradicií n.p. Slovenské lučobné závody Hnúšťa")</f>
        <v>Izba revolučných tradicií n.p. Slovenské lučobné závody Hnúšťa</v>
      </c>
      <c r="E177" s="10" t="str">
        <f>IFERROR(__xludf.DUMMYFUNCTION("""COMPUTED_VALUE"""),"síň tradic")</f>
        <v>síň tradic</v>
      </c>
      <c r="F177" s="9" t="str">
        <f>IFERROR(__xludf.DUMMYFUNCTION("""COMPUTED_VALUE"""),"Expozice zřízena v roce 1974. Jejím hlavním tématem byly dějiny výroby.")</f>
        <v>Expozice zřízena v roce 1974. Jejím hlavním tématem byly dějiny výroby.</v>
      </c>
      <c r="G177" s="9" t="str">
        <f>IFERROR(__xludf.DUMMYFUNCTION("""COMPUTED_VALUE"""),"muzea")</f>
        <v>muzea</v>
      </c>
      <c r="H177" s="9" t="str">
        <f>IFERROR(__xludf.DUMMYFUNCTION("""COMPUTED_VALUE"""),"Podniková a tovární muzea")</f>
        <v>Podniková a tovární muzea</v>
      </c>
      <c r="I177" s="9" t="str">
        <f>IFERROR(__xludf.DUMMYFUNCTION("""COMPUTED_VALUE"""),"Ne")</f>
        <v>Ne</v>
      </c>
      <c r="J177" s="9">
        <f>IFERROR(__xludf.DUMMYFUNCTION("""COMPUTED_VALUE"""),1974.0)</f>
        <v>1974</v>
      </c>
      <c r="K177" s="9">
        <f>IFERROR(__xludf.DUMMYFUNCTION("""COMPUTED_VALUE"""),1989.0)</f>
        <v>1989</v>
      </c>
      <c r="L177" s="12" t="str">
        <f>IFERROR(__xludf.DUMMYFUNCTION("""COMPUTED_VALUE"""),"Melánia Babicová a kol.: Sprievodca po podnikových a závodných múzeách a sieňach revolučných tradicií v Slovenskej socialistickej republike, Bratislava: Práca 1988, str. 133")</f>
        <v>Melánia Babicová a kol.: Sprievodca po podnikových a závodných múzeách a sieňach revolučných tradicií v Slovenskej socialistickej republike, Bratislava: Práca 1988, str. 133</v>
      </c>
      <c r="M177" s="9"/>
      <c r="N177" s="9"/>
      <c r="O177" s="6"/>
      <c r="P177" s="6"/>
      <c r="Q177" s="6"/>
      <c r="R177" s="6"/>
      <c r="S177" s="6"/>
      <c r="T177" s="6"/>
      <c r="U177" s="6"/>
      <c r="V177" s="6"/>
      <c r="W177" s="6"/>
      <c r="X177" s="6"/>
      <c r="Y177" s="6"/>
      <c r="Z177" s="6"/>
      <c r="AA177" s="6"/>
    </row>
    <row r="178" ht="15.75" customHeight="1">
      <c r="A178" s="7">
        <f t="shared" si="1"/>
        <v>177</v>
      </c>
      <c r="B178" s="9" t="str">
        <f>IFERROR(__xludf.DUMMYFUNCTION("""COMPUTED_VALUE"""),"19.1576539")</f>
        <v>19.1576539</v>
      </c>
      <c r="C178" s="9" t="str">
        <f>IFERROR(__xludf.DUMMYFUNCTION("""COMPUTED_VALUE"""),"48.5665858")</f>
        <v>48.5665858</v>
      </c>
      <c r="D178" s="9" t="str">
        <f>IFERROR(__xludf.DUMMYFUNCTION("""COMPUTED_VALUE"""),"Izba revolučných tradicií n.p. Bučina, Zvolen")</f>
        <v>Izba revolučných tradicií n.p. Bučina, Zvolen</v>
      </c>
      <c r="E178" s="10" t="str">
        <f>IFERROR(__xludf.DUMMYFUNCTION("""COMPUTED_VALUE"""),"síň tradic")</f>
        <v>síň tradic</v>
      </c>
      <c r="F178" s="9" t="str">
        <f>IFERROR(__xludf.DUMMYFUNCTION("""COMPUTED_VALUE"""),"Expozice vznikla v roce 1978 a reinstalována byla roku 1986. Hlavním tématem bylo socialistické budování, jelikož závod byl založen až v roce 1947.")</f>
        <v>Expozice vznikla v roce 1978 a reinstalována byla roku 1986. Hlavním tématem bylo socialistické budování, jelikož závod byl založen až v roce 1947.</v>
      </c>
      <c r="G178" s="9" t="str">
        <f>IFERROR(__xludf.DUMMYFUNCTION("""COMPUTED_VALUE"""),"muzea")</f>
        <v>muzea</v>
      </c>
      <c r="H178" s="9" t="str">
        <f>IFERROR(__xludf.DUMMYFUNCTION("""COMPUTED_VALUE"""),"Podniková a tovární muzea")</f>
        <v>Podniková a tovární muzea</v>
      </c>
      <c r="I178" s="9" t="str">
        <f>IFERROR(__xludf.DUMMYFUNCTION("""COMPUTED_VALUE"""),"Ne")</f>
        <v>Ne</v>
      </c>
      <c r="J178" s="9">
        <f>IFERROR(__xludf.DUMMYFUNCTION("""COMPUTED_VALUE"""),1978.0)</f>
        <v>1978</v>
      </c>
      <c r="K178" s="9">
        <f>IFERROR(__xludf.DUMMYFUNCTION("""COMPUTED_VALUE"""),1989.0)</f>
        <v>1989</v>
      </c>
      <c r="L178" s="12" t="str">
        <f>IFERROR(__xludf.DUMMYFUNCTION("""COMPUTED_VALUE"""),"Melánia Babicová a kol.: Sprievodca po podnikových a závodných múzeách a sieňach revolučných tradicií v Slovenskej socialistickej republike, Bratislava: Práca 1988, str. 134-135")</f>
        <v>Melánia Babicová a kol.: Sprievodca po podnikových a závodných múzeách a sieňach revolučných tradicií v Slovenskej socialistickej republike, Bratislava: Práca 1988, str. 134-135</v>
      </c>
      <c r="M178" s="9"/>
      <c r="N178" s="9"/>
      <c r="O178" s="6"/>
      <c r="P178" s="6"/>
      <c r="Q178" s="6"/>
      <c r="R178" s="6"/>
      <c r="S178" s="6"/>
      <c r="T178" s="6"/>
      <c r="U178" s="6"/>
      <c r="V178" s="6"/>
      <c r="W178" s="6"/>
      <c r="X178" s="6"/>
      <c r="Y178" s="6"/>
      <c r="Z178" s="6"/>
      <c r="AA178" s="6"/>
    </row>
    <row r="179" ht="15.75" customHeight="1">
      <c r="A179" s="7">
        <f t="shared" si="1"/>
        <v>178</v>
      </c>
      <c r="B179" s="9" t="str">
        <f>IFERROR(__xludf.DUMMYFUNCTION("""COMPUTED_VALUE"""),"18.8554106")</f>
        <v>18.8554106</v>
      </c>
      <c r="C179" s="9" t="str">
        <f>IFERROR(__xludf.DUMMYFUNCTION("""COMPUTED_VALUE"""),"48.5657608")</f>
        <v>48.5657608</v>
      </c>
      <c r="D179" s="9" t="str">
        <f>IFERROR(__xludf.DUMMYFUNCTION("""COMPUTED_VALUE"""),"Sieň bojovej a pracovnej slávy Závodu SNP, Žiar nad Hronom")</f>
        <v>Sieň bojovej a pracovnej slávy Závodu SNP, Žiar nad Hronom</v>
      </c>
      <c r="E179" s="10" t="str">
        <f>IFERROR(__xludf.DUMMYFUNCTION("""COMPUTED_VALUE"""),"síň tradic")</f>
        <v>síň tradic</v>
      </c>
      <c r="F179" s="9" t="str">
        <f>IFERROR(__xludf.DUMMYFUNCTION("""COMPUTED_VALUE"""),"Expozice byla zřízena v roce 1954 a reinstalována v roce 1979. Hlavním tématem bylo Slovenské národní povstání a pracovní úspěchy zaměstnanců.")</f>
        <v>Expozice byla zřízena v roce 1954 a reinstalována v roce 1979. Hlavním tématem bylo Slovenské národní povstání a pracovní úspěchy zaměstnanců.</v>
      </c>
      <c r="G179" s="9" t="str">
        <f>IFERROR(__xludf.DUMMYFUNCTION("""COMPUTED_VALUE"""),"muzea")</f>
        <v>muzea</v>
      </c>
      <c r="H179" s="9" t="str">
        <f>IFERROR(__xludf.DUMMYFUNCTION("""COMPUTED_VALUE"""),"Podniková a tovární muzea")</f>
        <v>Podniková a tovární muzea</v>
      </c>
      <c r="I179" s="9" t="str">
        <f>IFERROR(__xludf.DUMMYFUNCTION("""COMPUTED_VALUE"""),"Ne")</f>
        <v>Ne</v>
      </c>
      <c r="J179" s="9">
        <f>IFERROR(__xludf.DUMMYFUNCTION("""COMPUTED_VALUE"""),1979.0)</f>
        <v>1979</v>
      </c>
      <c r="K179" s="9">
        <f>IFERROR(__xludf.DUMMYFUNCTION("""COMPUTED_VALUE"""),1989.0)</f>
        <v>1989</v>
      </c>
      <c r="L179" s="12" t="str">
        <f>IFERROR(__xludf.DUMMYFUNCTION("""COMPUTED_VALUE"""),"Melánia Babicová a kol.: Sprievodca po podnikových a závodných múzeách a sieňach revolučných tradicií v Slovenskej socialistickej republike, Bratislava: Práca 1988, str. 135-136")</f>
        <v>Melánia Babicová a kol.: Sprievodca po podnikových a závodných múzeách a sieňach revolučných tradicií v Slovenskej socialistickej republike, Bratislava: Práca 1988, str. 135-136</v>
      </c>
      <c r="M179" s="9"/>
      <c r="N179" s="9" t="str">
        <f>IFERROR(__xludf.DUMMYFUNCTION("""COMPUTED_VALUE"""),"žiar nad hronom.JPG")</f>
        <v>žiar nad hronom.JPG</v>
      </c>
      <c r="O179" s="6" t="str">
        <f>IFERROR(__xludf.DUMMYFUNCTION("""COMPUTED_VALUE"""),"z expozice")</f>
        <v>z expozice</v>
      </c>
      <c r="P179" s="6" t="str">
        <f>IFERROR(__xludf.DUMMYFUNCTION("""COMPUTED_VALUE"""),"Melánia Babicová a kol.: Sprievodca po podnikových a závodných múzeách a sieňach revolučných tradicií v Slovenskej socialistickej republike, Bratislava: Práca 1988, str. 135")</f>
        <v>Melánia Babicová a kol.: Sprievodca po podnikových a závodných múzeách a sieňach revolučných tradicií v Slovenskej socialistickej republike, Bratislava: Práca 1988, str. 135</v>
      </c>
      <c r="Q179" s="6"/>
      <c r="R179" s="6"/>
      <c r="S179" s="6"/>
      <c r="T179" s="6"/>
      <c r="U179" s="6"/>
      <c r="V179" s="6"/>
      <c r="W179" s="6"/>
      <c r="X179" s="6"/>
      <c r="Y179" s="6"/>
      <c r="Z179" s="6"/>
      <c r="AA179" s="6"/>
    </row>
    <row r="180" ht="15.75" customHeight="1">
      <c r="A180" s="7">
        <f t="shared" si="1"/>
        <v>179</v>
      </c>
      <c r="B180" s="9" t="str">
        <f>IFERROR(__xludf.DUMMYFUNCTION("""COMPUTED_VALUE"""),"18.749722")</f>
        <v>18.749722</v>
      </c>
      <c r="C180" s="9" t="str">
        <f>IFERROR(__xludf.DUMMYFUNCTION("""COMPUTED_VALUE"""),"48.460278")</f>
        <v>48.460278</v>
      </c>
      <c r="D180" s="9" t="str">
        <f>IFERROR(__xludf.DUMMYFUNCTION("""COMPUTED_VALUE"""),"Izba revolučných tradícií n.p. Sandrik, Hodruša-Hámre")</f>
        <v>Izba revolučných tradícií n.p. Sandrik, Hodruša-Hámre</v>
      </c>
      <c r="E180" s="10" t="str">
        <f>IFERROR(__xludf.DUMMYFUNCTION("""COMPUTED_VALUE"""),"síň tradic")</f>
        <v>síň tradic</v>
      </c>
      <c r="F180" s="9" t="str">
        <f>IFERROR(__xludf.DUMMYFUNCTION("""COMPUTED_VALUE"""),"Expozice byla otevřena v roce 1980. Jejím hlavním tématem byly dějiny výroby i města.")</f>
        <v>Expozice byla otevřena v roce 1980. Jejím hlavním tématem byly dějiny výroby i města.</v>
      </c>
      <c r="G180" s="9" t="str">
        <f>IFERROR(__xludf.DUMMYFUNCTION("""COMPUTED_VALUE"""),"muzea")</f>
        <v>muzea</v>
      </c>
      <c r="H180" s="9" t="str">
        <f>IFERROR(__xludf.DUMMYFUNCTION("""COMPUTED_VALUE"""),"Podniková a tovární muzea")</f>
        <v>Podniková a tovární muzea</v>
      </c>
      <c r="I180" s="9" t="str">
        <f>IFERROR(__xludf.DUMMYFUNCTION("""COMPUTED_VALUE"""),"Ne")</f>
        <v>Ne</v>
      </c>
      <c r="J180" s="9">
        <f>IFERROR(__xludf.DUMMYFUNCTION("""COMPUTED_VALUE"""),1980.0)</f>
        <v>1980</v>
      </c>
      <c r="K180" s="9">
        <f>IFERROR(__xludf.DUMMYFUNCTION("""COMPUTED_VALUE"""),1989.0)</f>
        <v>1989</v>
      </c>
      <c r="L180" s="12" t="str">
        <f>IFERROR(__xludf.DUMMYFUNCTION("""COMPUTED_VALUE"""),"Melánia Babicová a kol.: Sprievodca po podnikových a závodných múzeách a sieňach revolučných tradicií v Slovenskej socialistickej republike, Bratislava: Práca 1988, str. 137-138")</f>
        <v>Melánia Babicová a kol.: Sprievodca po podnikových a závodných múzeách a sieňach revolučných tradicií v Slovenskej socialistickej republike, Bratislava: Práca 1988, str. 137-138</v>
      </c>
      <c r="M180" s="9"/>
      <c r="N180" s="9"/>
      <c r="O180" s="6"/>
      <c r="P180" s="6"/>
      <c r="Q180" s="6"/>
      <c r="R180" s="6"/>
      <c r="S180" s="6"/>
      <c r="T180" s="6"/>
      <c r="U180" s="6"/>
      <c r="V180" s="6"/>
      <c r="W180" s="6"/>
      <c r="X180" s="6"/>
      <c r="Y180" s="6"/>
      <c r="Z180" s="6"/>
      <c r="AA180" s="6"/>
    </row>
    <row r="181" ht="15.75" customHeight="1">
      <c r="A181" s="7">
        <f t="shared" si="1"/>
        <v>180</v>
      </c>
      <c r="B181" s="9" t="str">
        <f>IFERROR(__xludf.DUMMYFUNCTION("""COMPUTED_VALUE"""),"18.7389867")</f>
        <v>18.7389867</v>
      </c>
      <c r="C181" s="9" t="str">
        <f>IFERROR(__xludf.DUMMYFUNCTION("""COMPUTED_VALUE"""),"49.2310432")</f>
        <v>49.2310432</v>
      </c>
      <c r="D181" s="9" t="str">
        <f>IFERROR(__xludf.DUMMYFUNCTION("""COMPUTED_VALUE"""),"Izba revolučných tradícií n. p. Slovena, Žilina")</f>
        <v>Izba revolučných tradícií n. p. Slovena, Žilina</v>
      </c>
      <c r="E181" s="10" t="str">
        <f>IFERROR(__xludf.DUMMYFUNCTION("""COMPUTED_VALUE"""),"síň tradic")</f>
        <v>síň tradic</v>
      </c>
      <c r="F181" s="9" t="str">
        <f>IFERROR(__xludf.DUMMYFUNCTION("""COMPUTED_VALUE"""),"Expozice byla otevřena v roce 1964 a reinstalována roku 1983. Zabývala se dějinami textilní výroby a organizací dělnictva.")</f>
        <v>Expozice byla otevřena v roce 1964 a reinstalována roku 1983. Zabývala se dějinami textilní výroby a organizací dělnictva.</v>
      </c>
      <c r="G181" s="9" t="str">
        <f>IFERROR(__xludf.DUMMYFUNCTION("""COMPUTED_VALUE"""),"muzea")</f>
        <v>muzea</v>
      </c>
      <c r="H181" s="9" t="str">
        <f>IFERROR(__xludf.DUMMYFUNCTION("""COMPUTED_VALUE"""),"Podniková a tovární muzea")</f>
        <v>Podniková a tovární muzea</v>
      </c>
      <c r="I181" s="9" t="str">
        <f>IFERROR(__xludf.DUMMYFUNCTION("""COMPUTED_VALUE"""),"Ne")</f>
        <v>Ne</v>
      </c>
      <c r="J181" s="9">
        <f>IFERROR(__xludf.DUMMYFUNCTION("""COMPUTED_VALUE"""),1964.0)</f>
        <v>1964</v>
      </c>
      <c r="K181" s="9">
        <f>IFERROR(__xludf.DUMMYFUNCTION("""COMPUTED_VALUE"""),1989.0)</f>
        <v>1989</v>
      </c>
      <c r="L181" s="12" t="str">
        <f>IFERROR(__xludf.DUMMYFUNCTION("""COMPUTED_VALUE"""),"Melánia Babicová a kol.: Sprievodca po podnikových a závodných múzeách a sieňach revolučných tradicií v Slovenskej socialistickej republike, Bratislava: Práca 1988, str. 138-139")</f>
        <v>Melánia Babicová a kol.: Sprievodca po podnikových a závodných múzeách a sieňach revolučných tradicií v Slovenskej socialistickej republike, Bratislava: Práca 1988, str. 138-139</v>
      </c>
      <c r="M181" s="9"/>
      <c r="N181" s="9"/>
      <c r="O181" s="6"/>
      <c r="P181" s="6"/>
      <c r="Q181" s="6"/>
      <c r="R181" s="6"/>
      <c r="S181" s="6"/>
      <c r="T181" s="6"/>
      <c r="U181" s="6"/>
      <c r="V181" s="6"/>
      <c r="W181" s="6"/>
      <c r="X181" s="6"/>
      <c r="Y181" s="6"/>
      <c r="Z181" s="6"/>
      <c r="AA181" s="6"/>
    </row>
    <row r="182" ht="15.75" customHeight="1">
      <c r="A182" s="7">
        <f t="shared" si="1"/>
        <v>181</v>
      </c>
      <c r="B182" s="9" t="str">
        <f>IFERROR(__xludf.DUMMYFUNCTION("""COMPUTED_VALUE"""),"18.7335903")</f>
        <v>18.7335903</v>
      </c>
      <c r="C182" s="9" t="str">
        <f>IFERROR(__xludf.DUMMYFUNCTION("""COMPUTED_VALUE"""),"49.2061577")</f>
        <v>49.2061577</v>
      </c>
      <c r="D182" s="9" t="str">
        <f>IFERROR(__xludf.DUMMYFUNCTION("""COMPUTED_VALUE"""),"Izba revolučných tradicií n. p. Váhostav Žilina")</f>
        <v>Izba revolučných tradicií n. p. Váhostav Žilina</v>
      </c>
      <c r="E182" s="10" t="str">
        <f>IFERROR(__xludf.DUMMYFUNCTION("""COMPUTED_VALUE"""),"síň tradic")</f>
        <v>síň tradic</v>
      </c>
      <c r="F182" s="9" t="str">
        <f>IFERROR(__xludf.DUMMYFUNCTION("""COMPUTED_VALUE"""),"Expozice založena roku 1983. Hlavním tématem byly úspěchy podniku při budování velkých vodních děl.")</f>
        <v>Expozice založena roku 1983. Hlavním tématem byly úspěchy podniku při budování velkých vodních děl.</v>
      </c>
      <c r="G182" s="9" t="str">
        <f>IFERROR(__xludf.DUMMYFUNCTION("""COMPUTED_VALUE"""),"muzea")</f>
        <v>muzea</v>
      </c>
      <c r="H182" s="9" t="str">
        <f>IFERROR(__xludf.DUMMYFUNCTION("""COMPUTED_VALUE"""),"Podniková a tovární muzea")</f>
        <v>Podniková a tovární muzea</v>
      </c>
      <c r="I182" s="9" t="str">
        <f>IFERROR(__xludf.DUMMYFUNCTION("""COMPUTED_VALUE"""),"Ne")</f>
        <v>Ne</v>
      </c>
      <c r="J182" s="9">
        <f>IFERROR(__xludf.DUMMYFUNCTION("""COMPUTED_VALUE"""),1983.0)</f>
        <v>1983</v>
      </c>
      <c r="K182" s="9">
        <f>IFERROR(__xludf.DUMMYFUNCTION("""COMPUTED_VALUE"""),1989.0)</f>
        <v>1989</v>
      </c>
      <c r="L182" s="12" t="str">
        <f>IFERROR(__xludf.DUMMYFUNCTION("""COMPUTED_VALUE"""),"Melánia Babicová a kol.: Sprievodca po podnikových a závodných múzeách a sieňach revolučných tradicií v Slovenskej socialistickej republike, Bratislava: Práca 1988, str. 139-140")</f>
        <v>Melánia Babicová a kol.: Sprievodca po podnikových a závodných múzeách a sieňach revolučných tradicií v Slovenskej socialistickej republike, Bratislava: Práca 1988, str. 139-140</v>
      </c>
      <c r="M182" s="9"/>
      <c r="N182" s="9"/>
      <c r="O182" s="6"/>
      <c r="P182" s="6"/>
      <c r="Q182" s="6"/>
      <c r="R182" s="6"/>
      <c r="S182" s="6"/>
      <c r="T182" s="6"/>
      <c r="U182" s="6"/>
      <c r="V182" s="6"/>
      <c r="W182" s="6"/>
      <c r="X182" s="6"/>
      <c r="Y182" s="6"/>
      <c r="Z182" s="6"/>
      <c r="AA182" s="6"/>
    </row>
    <row r="183" ht="15.75" customHeight="1">
      <c r="A183" s="7">
        <f t="shared" si="1"/>
        <v>182</v>
      </c>
      <c r="B183" s="9" t="str">
        <f>IFERROR(__xludf.DUMMYFUNCTION("""COMPUTED_VALUE"""),"21.2947279")</f>
        <v>21.2947279</v>
      </c>
      <c r="C183" s="9" t="str">
        <f>IFERROR(__xludf.DUMMYFUNCTION("""COMPUTED_VALUE"""),"49.315677")</f>
        <v>49.315677</v>
      </c>
      <c r="D183" s="9" t="str">
        <f>IFERROR(__xludf.DUMMYFUNCTION("""COMPUTED_VALUE"""),"Izba revolučných tradicií n. p. Závody ťažkého strojárstva Bardejov")</f>
        <v>Izba revolučných tradicií n. p. Závody ťažkého strojárstva Bardejov</v>
      </c>
      <c r="E183" s="10" t="str">
        <f>IFERROR(__xludf.DUMMYFUNCTION("""COMPUTED_VALUE"""),"síň tradic")</f>
        <v>síň tradic</v>
      </c>
      <c r="F183" s="9" t="str">
        <f>IFERROR(__xludf.DUMMYFUNCTION("""COMPUTED_VALUE"""),"Expozice zřízena ve spolupráci se SOU strojárské Bardejov v roce 1980. Hlavním tématem byly dějiny závodu od roku 1948.")</f>
        <v>Expozice zřízena ve spolupráci se SOU strojárské Bardejov v roce 1980. Hlavním tématem byly dějiny závodu od roku 1948.</v>
      </c>
      <c r="G183" s="9" t="str">
        <f>IFERROR(__xludf.DUMMYFUNCTION("""COMPUTED_VALUE"""),"muzea")</f>
        <v>muzea</v>
      </c>
      <c r="H183" s="9" t="str">
        <f>IFERROR(__xludf.DUMMYFUNCTION("""COMPUTED_VALUE"""),"Podniková a tovární muzea")</f>
        <v>Podniková a tovární muzea</v>
      </c>
      <c r="I183" s="9" t="str">
        <f>IFERROR(__xludf.DUMMYFUNCTION("""COMPUTED_VALUE"""),"Ne")</f>
        <v>Ne</v>
      </c>
      <c r="J183" s="9">
        <f>IFERROR(__xludf.DUMMYFUNCTION("""COMPUTED_VALUE"""),1980.0)</f>
        <v>1980</v>
      </c>
      <c r="K183" s="9">
        <f>IFERROR(__xludf.DUMMYFUNCTION("""COMPUTED_VALUE"""),1989.0)</f>
        <v>1989</v>
      </c>
      <c r="L183" s="12" t="str">
        <f>IFERROR(__xludf.DUMMYFUNCTION("""COMPUTED_VALUE"""),"Melánia Babicová a kol.: Sprievodca po podnikových a závodných múzeách a sieňach revolučných tradicií v Slovenskej socialistickej republike, Bratislava: Práca 1988. str. 145")</f>
        <v>Melánia Babicová a kol.: Sprievodca po podnikových a závodných múzeách a sieňach revolučných tradicií v Slovenskej socialistickej republike, Bratislava: Práca 1988. str. 145</v>
      </c>
      <c r="M183" s="9"/>
      <c r="N183" s="9"/>
      <c r="O183" s="6"/>
      <c r="P183" s="6"/>
      <c r="Q183" s="6"/>
      <c r="R183" s="6"/>
      <c r="S183" s="6"/>
      <c r="T183" s="6"/>
      <c r="U183" s="6"/>
      <c r="V183" s="6"/>
      <c r="W183" s="6"/>
      <c r="X183" s="6"/>
      <c r="Y183" s="6"/>
      <c r="Z183" s="6"/>
      <c r="AA183" s="6"/>
    </row>
    <row r="184" ht="15.75" customHeight="1">
      <c r="A184" s="7">
        <f t="shared" si="1"/>
        <v>183</v>
      </c>
      <c r="B184" s="9" t="str">
        <f>IFERROR(__xludf.DUMMYFUNCTION("""COMPUTED_VALUE"""),"21.8952431")</f>
        <v>21.8952431</v>
      </c>
      <c r="C184" s="9" t="str">
        <f>IFERROR(__xludf.DUMMYFUNCTION("""COMPUTED_VALUE"""),"48.9258544")</f>
        <v>48.9258544</v>
      </c>
      <c r="D184" s="9" t="str">
        <f>IFERROR(__xludf.DUMMYFUNCTION("""COMPUTED_VALUE"""),"Sieň revolučných tradícií a pracovnej slávy n. p. Chemlon Humenné")</f>
        <v>Sieň revolučných tradícií a pracovnej slávy n. p. Chemlon Humenné</v>
      </c>
      <c r="E184" s="10" t="str">
        <f>IFERROR(__xludf.DUMMYFUNCTION("""COMPUTED_VALUE"""),"síň tradic")</f>
        <v>síň tradic</v>
      </c>
      <c r="F184" s="9" t="str">
        <f>IFERROR(__xludf.DUMMYFUNCTION("""COMPUTED_VALUE"""),"Expozice zřízena v roce 1977 vyprávěla dějiny závodu od jeho vzniku v roce 1953.")</f>
        <v>Expozice zřízena v roce 1977 vyprávěla dějiny závodu od jeho vzniku v roce 1953.</v>
      </c>
      <c r="G184" s="9" t="str">
        <f>IFERROR(__xludf.DUMMYFUNCTION("""COMPUTED_VALUE"""),"muzea")</f>
        <v>muzea</v>
      </c>
      <c r="H184" s="9" t="str">
        <f>IFERROR(__xludf.DUMMYFUNCTION("""COMPUTED_VALUE"""),"Podniková a tovární muzea")</f>
        <v>Podniková a tovární muzea</v>
      </c>
      <c r="I184" s="9" t="str">
        <f>IFERROR(__xludf.DUMMYFUNCTION("""COMPUTED_VALUE"""),"Ne")</f>
        <v>Ne</v>
      </c>
      <c r="J184" s="9">
        <f>IFERROR(__xludf.DUMMYFUNCTION("""COMPUTED_VALUE"""),1977.0)</f>
        <v>1977</v>
      </c>
      <c r="K184" s="9">
        <f>IFERROR(__xludf.DUMMYFUNCTION("""COMPUTED_VALUE"""),1989.0)</f>
        <v>1989</v>
      </c>
      <c r="L184" s="12" t="str">
        <f>IFERROR(__xludf.DUMMYFUNCTION("""COMPUTED_VALUE"""),"Melánia Babicová a kol.: Sprievodca po podnikových a závodných múzeách a sieňach revolučných tradicií v Slovenskej socialistickej republike, Bratislava: Práca 1988, str. 147-148")</f>
        <v>Melánia Babicová a kol.: Sprievodca po podnikových a závodných múzeách a sieňach revolučných tradicií v Slovenskej socialistickej republike, Bratislava: Práca 1988, str. 147-148</v>
      </c>
      <c r="M184" s="9"/>
      <c r="N184" s="9" t="str">
        <f>IFERROR(__xludf.DUMMYFUNCTION("""COMPUTED_VALUE"""),"Chemlon Humenné.JPG")</f>
        <v>Chemlon Humenné.JPG</v>
      </c>
      <c r="O184" s="6" t="str">
        <f>IFERROR(__xludf.DUMMYFUNCTION("""COMPUTED_VALUE"""),"Z expozice.")</f>
        <v>Z expozice.</v>
      </c>
      <c r="P184" s="6" t="str">
        <f>IFERROR(__xludf.DUMMYFUNCTION("""COMPUTED_VALUE"""),"Melánia Babicová a kol.: Sprievodca po podnikových a závodných múzeách a sieňach revolučných tradicií v Slovenskej socialistickej republike, Bratislava: Práca 1988, str. 147")</f>
        <v>Melánia Babicová a kol.: Sprievodca po podnikových a závodných múzeách a sieňach revolučných tradicií v Slovenskej socialistickej republike, Bratislava: Práca 1988, str. 147</v>
      </c>
      <c r="Q184" s="6"/>
      <c r="R184" s="6"/>
      <c r="S184" s="6"/>
      <c r="T184" s="6"/>
      <c r="U184" s="6"/>
      <c r="V184" s="6"/>
      <c r="W184" s="6"/>
      <c r="X184" s="6"/>
      <c r="Y184" s="6"/>
      <c r="Z184" s="6"/>
      <c r="AA184" s="6"/>
    </row>
    <row r="185" ht="15.75" customHeight="1">
      <c r="A185" s="7">
        <f t="shared" si="1"/>
        <v>184</v>
      </c>
      <c r="B185" s="9" t="str">
        <f>IFERROR(__xludf.DUMMYFUNCTION("""COMPUTED_VALUE"""),"21.9020125")</f>
        <v>21.9020125</v>
      </c>
      <c r="C185" s="9" t="str">
        <f>IFERROR(__xludf.DUMMYFUNCTION("""COMPUTED_VALUE"""),"49.2787161")</f>
        <v>49.2787161</v>
      </c>
      <c r="D185" s="9" t="str">
        <f>IFERROR(__xludf.DUMMYFUNCTION("""COMPUTED_VALUE"""),"Izba revolučných tradicií n. p. Vihorlat Medzilaborce")</f>
        <v>Izba revolučných tradicií n. p. Vihorlat Medzilaborce</v>
      </c>
      <c r="E185" s="10" t="str">
        <f>IFERROR(__xludf.DUMMYFUNCTION("""COMPUTED_VALUE"""),"síň tradic")</f>
        <v>síň tradic</v>
      </c>
      <c r="F185" s="9" t="str">
        <f>IFERROR(__xludf.DUMMYFUNCTION("""COMPUTED_VALUE"""),"Expozice zřízená v roce 1983 se tematicky zaměřovala na dějiny závodu založeného roku 1956.")</f>
        <v>Expozice zřízená v roce 1983 se tematicky zaměřovala na dějiny závodu založeného roku 1956.</v>
      </c>
      <c r="G185" s="9" t="str">
        <f>IFERROR(__xludf.DUMMYFUNCTION("""COMPUTED_VALUE"""),"muzea")</f>
        <v>muzea</v>
      </c>
      <c r="H185" s="9" t="str">
        <f>IFERROR(__xludf.DUMMYFUNCTION("""COMPUTED_VALUE"""),"Podniková a tovární muzea")</f>
        <v>Podniková a tovární muzea</v>
      </c>
      <c r="I185" s="9" t="str">
        <f>IFERROR(__xludf.DUMMYFUNCTION("""COMPUTED_VALUE"""),"Ne")</f>
        <v>Ne</v>
      </c>
      <c r="J185" s="9">
        <f>IFERROR(__xludf.DUMMYFUNCTION("""COMPUTED_VALUE"""),1983.0)</f>
        <v>1983</v>
      </c>
      <c r="K185" s="9">
        <f>IFERROR(__xludf.DUMMYFUNCTION("""COMPUTED_VALUE"""),1989.0)</f>
        <v>1989</v>
      </c>
      <c r="L185" s="12" t="str">
        <f>IFERROR(__xludf.DUMMYFUNCTION("""COMPUTED_VALUE"""),"Melánia Babicová a kol.: Sprievodca po podnikových a závodných múzeách a sieňach revolučných tradicií v Slovenskej socialistickej republike, Bratislava: Práca 1988, str. 149-150")</f>
        <v>Melánia Babicová a kol.: Sprievodca po podnikových a závodných múzeách a sieňach revolučných tradicií v Slovenskej socialistickej republike, Bratislava: Práca 1988, str. 149-150</v>
      </c>
      <c r="M185" s="9"/>
      <c r="N185" s="9" t="str">
        <f>IFERROR(__xludf.DUMMYFUNCTION("""COMPUTED_VALUE"""),"vihorlat medzilaborce.JPG")</f>
        <v>vihorlat medzilaborce.JPG</v>
      </c>
      <c r="O185" s="6" t="str">
        <f>IFERROR(__xludf.DUMMYFUNCTION("""COMPUTED_VALUE"""),"Pohled do expozice.")</f>
        <v>Pohled do expozice.</v>
      </c>
      <c r="P185" s="6" t="str">
        <f>IFERROR(__xludf.DUMMYFUNCTION("""COMPUTED_VALUE"""),"Melánia Babicová a kol.: Sprievodca po podnikových a závodných múzeách a sieňach revolučných tradicií v Slovenskej socialistickej republike, Bratislava: Práca 1988, str. 149")</f>
        <v>Melánia Babicová a kol.: Sprievodca po podnikových a závodných múzeách a sieňach revolučných tradicií v Slovenskej socialistickej republike, Bratislava: Práca 1988, str. 149</v>
      </c>
      <c r="Q185" s="6"/>
      <c r="R185" s="6"/>
      <c r="S185" s="6"/>
      <c r="T185" s="6"/>
      <c r="U185" s="6"/>
      <c r="V185" s="6"/>
      <c r="W185" s="6"/>
      <c r="X185" s="6"/>
      <c r="Y185" s="6"/>
      <c r="Z185" s="6"/>
      <c r="AA185" s="6"/>
    </row>
    <row r="186" ht="15.75" customHeight="1">
      <c r="A186" s="7">
        <f t="shared" si="1"/>
        <v>185</v>
      </c>
      <c r="B186" s="9" t="str">
        <f>IFERROR(__xludf.DUMMYFUNCTION("""COMPUTED_VALUE"""),"22.1635417")</f>
        <v>22.1635417</v>
      </c>
      <c r="C186" s="9" t="str">
        <f>IFERROR(__xludf.DUMMYFUNCTION("""COMPUTED_VALUE"""),"48.9873133")</f>
        <v>48.9873133</v>
      </c>
      <c r="D186" s="9" t="str">
        <f>IFERROR(__xludf.DUMMYFUNCTION("""COMPUTED_VALUE"""),"Sieň pracovnej slávy n. p. Vihorlat Snina")</f>
        <v>Sieň pracovnej slávy n. p. Vihorlat Snina</v>
      </c>
      <c r="E186" s="10" t="str">
        <f>IFERROR(__xludf.DUMMYFUNCTION("""COMPUTED_VALUE"""),"síň tradic")</f>
        <v>síň tradic</v>
      </c>
      <c r="F186" s="9" t="str">
        <f>IFERROR(__xludf.DUMMYFUNCTION("""COMPUTED_VALUE"""),"Expozice zřízená v roce 1984 se orientovala na dějiny závodu a výrobní technologie.")</f>
        <v>Expozice zřízená v roce 1984 se orientovala na dějiny závodu a výrobní technologie.</v>
      </c>
      <c r="G186" s="9" t="str">
        <f>IFERROR(__xludf.DUMMYFUNCTION("""COMPUTED_VALUE"""),"muzea")</f>
        <v>muzea</v>
      </c>
      <c r="H186" s="9" t="str">
        <f>IFERROR(__xludf.DUMMYFUNCTION("""COMPUTED_VALUE"""),"Podniková a tovární muzea")</f>
        <v>Podniková a tovární muzea</v>
      </c>
      <c r="I186" s="9" t="str">
        <f>IFERROR(__xludf.DUMMYFUNCTION("""COMPUTED_VALUE"""),"Ne")</f>
        <v>Ne</v>
      </c>
      <c r="J186" s="9">
        <f>IFERROR(__xludf.DUMMYFUNCTION("""COMPUTED_VALUE"""),1984.0)</f>
        <v>1984</v>
      </c>
      <c r="K186" s="9">
        <f>IFERROR(__xludf.DUMMYFUNCTION("""COMPUTED_VALUE"""),1989.0)</f>
        <v>1989</v>
      </c>
      <c r="L186" s="12" t="str">
        <f>IFERROR(__xludf.DUMMYFUNCTION("""COMPUTED_VALUE"""),"Melánia Babicová a kol.: Sprievodca po podnikových a závodných múzeách a sieňach revolučných tradicií v Slovenskej socialistickej republike, Bratislava: Práca 1988, str. 150-151")</f>
        <v>Melánia Babicová a kol.: Sprievodca po podnikových a závodných múzeách a sieňach revolučných tradicií v Slovenskej socialistickej republike, Bratislava: Práca 1988, str. 150-151</v>
      </c>
      <c r="M186" s="9"/>
      <c r="N186" s="9"/>
      <c r="O186" s="6"/>
      <c r="P186" s="6"/>
      <c r="Q186" s="6"/>
      <c r="R186" s="6"/>
      <c r="S186" s="6"/>
      <c r="T186" s="6"/>
      <c r="U186" s="6"/>
      <c r="V186" s="6"/>
      <c r="W186" s="6"/>
      <c r="X186" s="6"/>
      <c r="Y186" s="6"/>
      <c r="Z186" s="6"/>
      <c r="AA186" s="6"/>
    </row>
    <row r="187" ht="15.75" customHeight="1">
      <c r="A187" s="7">
        <f t="shared" si="1"/>
        <v>186</v>
      </c>
      <c r="B187" s="9" t="str">
        <f>IFERROR(__xludf.DUMMYFUNCTION("""COMPUTED_VALUE"""),"21.2365627")</f>
        <v>21.2365627</v>
      </c>
      <c r="C187" s="9" t="str">
        <f>IFERROR(__xludf.DUMMYFUNCTION("""COMPUTED_VALUE"""),"48.7037702")</f>
        <v>48.7037702</v>
      </c>
      <c r="D187" s="9" t="str">
        <f>IFERROR(__xludf.DUMMYFUNCTION("""COMPUTED_VALUE"""),"Izba revolučných tradícií Dopravného podniku mesta Košice")</f>
        <v>Izba revolučných tradícií Dopravného podniku mesta Košice</v>
      </c>
      <c r="E187" s="10" t="str">
        <f>IFERROR(__xludf.DUMMYFUNCTION("""COMPUTED_VALUE"""),"síň tradic")</f>
        <v>síň tradic</v>
      </c>
      <c r="F187" s="9" t="str">
        <f>IFERROR(__xludf.DUMMYFUNCTION("""COMPUTED_VALUE"""),"Expozice, otevřená v roce 1984, se zaměřovala na dějiny dopravy ve městě a socialistické snahy o zprůmyslnění regionu. Podstatnou roli mezi exponáty hrály artefakty spojené se Slovenskou republikou rad.")</f>
        <v>Expozice, otevřená v roce 1984, se zaměřovala na dějiny dopravy ve městě a socialistické snahy o zprůmyslnění regionu. Podstatnou roli mezi exponáty hrály artefakty spojené se Slovenskou republikou rad.</v>
      </c>
      <c r="G187" s="9" t="str">
        <f>IFERROR(__xludf.DUMMYFUNCTION("""COMPUTED_VALUE"""),"muzea")</f>
        <v>muzea</v>
      </c>
      <c r="H187" s="9" t="str">
        <f>IFERROR(__xludf.DUMMYFUNCTION("""COMPUTED_VALUE"""),"Podniková a tovární muzea")</f>
        <v>Podniková a tovární muzea</v>
      </c>
      <c r="I187" s="9" t="str">
        <f>IFERROR(__xludf.DUMMYFUNCTION("""COMPUTED_VALUE"""),"Ne")</f>
        <v>Ne</v>
      </c>
      <c r="J187" s="9">
        <f>IFERROR(__xludf.DUMMYFUNCTION("""COMPUTED_VALUE"""),1984.0)</f>
        <v>1984</v>
      </c>
      <c r="K187" s="9">
        <f>IFERROR(__xludf.DUMMYFUNCTION("""COMPUTED_VALUE"""),1989.0)</f>
        <v>1989</v>
      </c>
      <c r="L187" s="12" t="str">
        <f>IFERROR(__xludf.DUMMYFUNCTION("""COMPUTED_VALUE"""),"Melánia Babicová a kol.: Sprievodca po podnikových a závodných múzeách a sieňach revolučných tradicií v Slovenskej socialistickej republike, Bratislava: Práca 1988, str. 150-153")</f>
        <v>Melánia Babicová a kol.: Sprievodca po podnikových a závodných múzeách a sieňach revolučných tradicií v Slovenskej socialistickej republike, Bratislava: Práca 1988, str. 150-153</v>
      </c>
      <c r="M187" s="9"/>
      <c r="N187" s="9" t="str">
        <f>IFERROR(__xludf.DUMMYFUNCTION("""COMPUTED_VALUE"""),"košice mhd.JPG")</f>
        <v>košice mhd.JPG</v>
      </c>
      <c r="O187" s="6" t="str">
        <f>IFERROR(__xludf.DUMMYFUNCTION("""COMPUTED_VALUE"""),"Dominanta expozice.")</f>
        <v>Dominanta expozice.</v>
      </c>
      <c r="P187" s="6" t="str">
        <f>IFERROR(__xludf.DUMMYFUNCTION("""COMPUTED_VALUE"""),"Melánia Babicová a kol.: Sprievodca po podnikových a závodných múzeách a sieňach revolučných tradicií v Slovenskej socialistickej republike, Bratislava: Práca 1988, str. 152")</f>
        <v>Melánia Babicová a kol.: Sprievodca po podnikových a závodných múzeách a sieňach revolučných tradicií v Slovenskej socialistickej republike, Bratislava: Práca 1988, str. 152</v>
      </c>
      <c r="Q187" s="6"/>
      <c r="R187" s="6"/>
      <c r="S187" s="6"/>
      <c r="T187" s="6"/>
      <c r="U187" s="6"/>
      <c r="V187" s="6"/>
      <c r="W187" s="6"/>
      <c r="X187" s="6"/>
      <c r="Y187" s="6"/>
      <c r="Z187" s="6"/>
      <c r="AA187" s="6"/>
    </row>
    <row r="188" ht="15.75" customHeight="1">
      <c r="A188" s="7">
        <f t="shared" si="1"/>
        <v>187</v>
      </c>
      <c r="B188" s="9" t="str">
        <f>IFERROR(__xludf.DUMMYFUNCTION("""COMPUTED_VALUE"""),"21.2007472")</f>
        <v>21.2007472</v>
      </c>
      <c r="C188" s="9" t="str">
        <f>IFERROR(__xludf.DUMMYFUNCTION("""COMPUTED_VALUE"""),"48.6193111")</f>
        <v>48.6193111</v>
      </c>
      <c r="D188" s="9" t="str">
        <f>IFERROR(__xludf.DUMMYFUNCTION("""COMPUTED_VALUE"""),"Izba tradícií závodu hutnická druhovýroba a Izba revolučných tradícií závodu Údržba  n. p. Východoslovenské železiarne Košice")</f>
        <v>Izba tradícií závodu hutnická druhovýroba a Izba revolučných tradícií závodu Údržba  n. p. Východoslovenské železiarne Košice</v>
      </c>
      <c r="E188" s="10" t="str">
        <f>IFERROR(__xludf.DUMMYFUNCTION("""COMPUTED_VALUE"""),"síň tradic")</f>
        <v>síň tradic</v>
      </c>
      <c r="F188" s="9" t="str">
        <f>IFERROR(__xludf.DUMMYFUNCTION("""COMPUTED_VALUE"""),"Expozice, zřízená v roce 1987, byla zaměřená na technologii a výrobní proces.")</f>
        <v>Expozice, zřízená v roce 1987, byla zaměřená na technologii a výrobní proces.</v>
      </c>
      <c r="G188" s="9" t="str">
        <f>IFERROR(__xludf.DUMMYFUNCTION("""COMPUTED_VALUE"""),"muzea")</f>
        <v>muzea</v>
      </c>
      <c r="H188" s="9" t="str">
        <f>IFERROR(__xludf.DUMMYFUNCTION("""COMPUTED_VALUE"""),"Podniková a tovární muzea")</f>
        <v>Podniková a tovární muzea</v>
      </c>
      <c r="I188" s="9" t="str">
        <f>IFERROR(__xludf.DUMMYFUNCTION("""COMPUTED_VALUE"""),"Ne")</f>
        <v>Ne</v>
      </c>
      <c r="J188" s="9">
        <f>IFERROR(__xludf.DUMMYFUNCTION("""COMPUTED_VALUE"""),1987.0)</f>
        <v>1987</v>
      </c>
      <c r="K188" s="9">
        <f>IFERROR(__xludf.DUMMYFUNCTION("""COMPUTED_VALUE"""),1989.0)</f>
        <v>1989</v>
      </c>
      <c r="L188" s="12" t="str">
        <f>IFERROR(__xludf.DUMMYFUNCTION("""COMPUTED_VALUE"""),"Melánia Babicová a kol.: Sprievodca po podnikových a závodných múzeách a sieňach revolučných tradicií v Slovenskej socialistickej republike, Bratislava: Práca 1988, str.156-158")</f>
        <v>Melánia Babicová a kol.: Sprievodca po podnikových a závodných múzeách a sieňach revolučných tradicií v Slovenskej socialistickej republike, Bratislava: Práca 1988, str.156-158</v>
      </c>
      <c r="M188" s="9"/>
      <c r="N188" s="9"/>
      <c r="O188" s="6"/>
      <c r="P188" s="6"/>
      <c r="Q188" s="6"/>
      <c r="R188" s="6"/>
      <c r="S188" s="6"/>
      <c r="T188" s="6"/>
      <c r="U188" s="6"/>
      <c r="V188" s="6"/>
      <c r="W188" s="6"/>
      <c r="X188" s="6"/>
      <c r="Y188" s="6"/>
      <c r="Z188" s="6"/>
      <c r="AA188" s="6"/>
    </row>
    <row r="189" ht="15.75" customHeight="1">
      <c r="A189" s="7">
        <f t="shared" si="1"/>
        <v>188</v>
      </c>
      <c r="B189" s="9" t="str">
        <f>IFERROR(__xludf.DUMMYFUNCTION("""COMPUTED_VALUE"""),"20.9020302")</f>
        <v>20.9020302</v>
      </c>
      <c r="C189" s="9" t="str">
        <f>IFERROR(__xludf.DUMMYFUNCTION("""COMPUTED_VALUE"""),"48.6977621")</f>
        <v>48.6977621</v>
      </c>
      <c r="D189" s="9" t="str">
        <f>IFERROR(__xludf.DUMMYFUNCTION("""COMPUTED_VALUE"""),"Izba revolučných tradicií n. p. Strojsmalt Medzev")</f>
        <v>Izba revolučných tradicií n. p. Strojsmalt Medzev</v>
      </c>
      <c r="E189" s="10" t="str">
        <f>IFERROR(__xludf.DUMMYFUNCTION("""COMPUTED_VALUE"""),"síň tradic")</f>
        <v>síň tradic</v>
      </c>
      <c r="F189" s="9" t="str">
        <f>IFERROR(__xludf.DUMMYFUNCTION("""COMPUTED_VALUE"""),"Expozice, zřízená v roce 1984, se věnovala tradici kovářství v regionu a technologii výroby.")</f>
        <v>Expozice, zřízená v roce 1984, se věnovala tradici kovářství v regionu a technologii výroby.</v>
      </c>
      <c r="G189" s="9" t="str">
        <f>IFERROR(__xludf.DUMMYFUNCTION("""COMPUTED_VALUE"""),"muzea")</f>
        <v>muzea</v>
      </c>
      <c r="H189" s="9" t="str">
        <f>IFERROR(__xludf.DUMMYFUNCTION("""COMPUTED_VALUE"""),"Podniková a tovární muzea")</f>
        <v>Podniková a tovární muzea</v>
      </c>
      <c r="I189" s="9" t="str">
        <f>IFERROR(__xludf.DUMMYFUNCTION("""COMPUTED_VALUE"""),"Ne")</f>
        <v>Ne</v>
      </c>
      <c r="J189" s="9">
        <f>IFERROR(__xludf.DUMMYFUNCTION("""COMPUTED_VALUE"""),1984.0)</f>
        <v>1984</v>
      </c>
      <c r="K189" s="9">
        <f>IFERROR(__xludf.DUMMYFUNCTION("""COMPUTED_VALUE"""),1989.0)</f>
        <v>1989</v>
      </c>
      <c r="L189" s="12" t="str">
        <f>IFERROR(__xludf.DUMMYFUNCTION("""COMPUTED_VALUE"""),"Melánia Babicová a kol.: Sprievodca po podnikových a závodných múzeách a sieňach revolučných tradicií v Slovenskej socialistickej republike, Bratislava: Práca 1988, str. 160-161")</f>
        <v>Melánia Babicová a kol.: Sprievodca po podnikových a závodných múzeách a sieňach revolučných tradicií v Slovenskej socialistickej republike, Bratislava: Práca 1988, str. 160-161</v>
      </c>
      <c r="M189" s="9"/>
      <c r="N189" s="9"/>
      <c r="O189" s="6"/>
      <c r="P189" s="6"/>
      <c r="Q189" s="6"/>
      <c r="R189" s="6"/>
      <c r="S189" s="6"/>
      <c r="T189" s="6"/>
      <c r="U189" s="6"/>
      <c r="V189" s="6"/>
      <c r="W189" s="6"/>
      <c r="X189" s="6"/>
      <c r="Y189" s="6"/>
      <c r="Z189" s="6"/>
      <c r="AA189" s="6"/>
    </row>
    <row r="190" ht="15.75" customHeight="1">
      <c r="A190" s="7">
        <f t="shared" si="1"/>
        <v>189</v>
      </c>
      <c r="B190" s="9" t="str">
        <f>IFERROR(__xludf.DUMMYFUNCTION("""COMPUTED_VALUE"""),"20.9916313")</f>
        <v>20.9916313</v>
      </c>
      <c r="C190" s="9" t="str">
        <f>IFERROR(__xludf.DUMMYFUNCTION("""COMPUTED_VALUE"""),"48.6089577")</f>
        <v>48.6089577</v>
      </c>
      <c r="D190" s="9" t="str">
        <f>IFERROR(__xludf.DUMMYFUNCTION("""COMPUTED_VALUE"""),"Dokumentačné centrum výstavby socializmu Štátný majetok n. p. Moldava nad Bodvou")</f>
        <v>Dokumentačné centrum výstavby socializmu Štátný majetok n. p. Moldava nad Bodvou</v>
      </c>
      <c r="E190" s="10" t="str">
        <f>IFERROR(__xludf.DUMMYFUNCTION("""COMPUTED_VALUE"""),"síň tradic")</f>
        <v>síň tradic</v>
      </c>
      <c r="F190" s="9" t="str">
        <f>IFERROR(__xludf.DUMMYFUNCTION("""COMPUTED_VALUE"""),"Expozice, zřízená v roce 1983, seznamovala návštěníky s dokumenty z osvobození východního Slovenska Rudou armádou a z procesu kolektivizace a s úspěchy místního zemědělského hospodářství.")</f>
        <v>Expozice, zřízená v roce 1983, seznamovala návštěníky s dokumenty z osvobození východního Slovenska Rudou armádou a z procesu kolektivizace a s úspěchy místního zemědělského hospodářství.</v>
      </c>
      <c r="G190" s="9" t="str">
        <f>IFERROR(__xludf.DUMMYFUNCTION("""COMPUTED_VALUE"""),"muzea")</f>
        <v>muzea</v>
      </c>
      <c r="H190" s="9" t="str">
        <f>IFERROR(__xludf.DUMMYFUNCTION("""COMPUTED_VALUE"""),"Podniková a tovární muzea")</f>
        <v>Podniková a tovární muzea</v>
      </c>
      <c r="I190" s="9" t="str">
        <f>IFERROR(__xludf.DUMMYFUNCTION("""COMPUTED_VALUE"""),"Ne")</f>
        <v>Ne</v>
      </c>
      <c r="J190" s="9">
        <f>IFERROR(__xludf.DUMMYFUNCTION("""COMPUTED_VALUE"""),1983.0)</f>
        <v>1983</v>
      </c>
      <c r="K190" s="9">
        <f>IFERROR(__xludf.DUMMYFUNCTION("""COMPUTED_VALUE"""),1989.0)</f>
        <v>1989</v>
      </c>
      <c r="L190" s="12" t="str">
        <f>IFERROR(__xludf.DUMMYFUNCTION("""COMPUTED_VALUE"""),"Melánia Babicová a kol.: Sprievodca po podnikových a závodných múzeách a sieňach revolučných tradicií v Slovenskej socialistickej republike, Bratislava: Práca 1988, str. 161-162")</f>
        <v>Melánia Babicová a kol.: Sprievodca po podnikových a závodných múzeách a sieňach revolučných tradicií v Slovenskej socialistickej republike, Bratislava: Práca 1988, str. 161-162</v>
      </c>
      <c r="M190" s="9"/>
      <c r="N190" s="9"/>
      <c r="O190" s="6"/>
      <c r="P190" s="6"/>
      <c r="Q190" s="6"/>
      <c r="R190" s="6"/>
      <c r="S190" s="6"/>
      <c r="T190" s="6"/>
      <c r="U190" s="6"/>
      <c r="V190" s="6"/>
      <c r="W190" s="6"/>
      <c r="X190" s="6"/>
      <c r="Y190" s="6"/>
      <c r="Z190" s="6"/>
      <c r="AA190" s="6"/>
    </row>
    <row r="191" ht="15.75" customHeight="1">
      <c r="A191" s="7">
        <f t="shared" si="1"/>
        <v>190</v>
      </c>
      <c r="B191" s="9" t="str">
        <f>IFERROR(__xludf.DUMMYFUNCTION("""COMPUTED_VALUE"""),"21.8219466")</f>
        <v>21.8219466</v>
      </c>
      <c r="C191" s="9" t="str">
        <f>IFERROR(__xludf.DUMMYFUNCTION("""COMPUTED_VALUE"""),"48.8732227")</f>
        <v>48.8732227</v>
      </c>
      <c r="D191" s="9" t="str">
        <f>IFERROR(__xludf.DUMMYFUNCTION("""COMPUTED_VALUE"""),"Dokumentačné centrum n. p.  Chemko Strážske")</f>
        <v>Dokumentačné centrum n. p.  Chemko Strážske</v>
      </c>
      <c r="E191" s="10" t="str">
        <f>IFERROR(__xludf.DUMMYFUNCTION("""COMPUTED_VALUE"""),"síň tradic")</f>
        <v>síň tradic</v>
      </c>
      <c r="F191" s="9" t="str">
        <f>IFERROR(__xludf.DUMMYFUNCTION("""COMPUTED_VALUE"""),"Expozice, založená v roce 1987, byla zaměřená na technologii a dějiny závodu vzniklého v městě v roce 1952.")</f>
        <v>Expozice, založená v roce 1987, byla zaměřená na technologii a dějiny závodu vzniklého v městě v roce 1952.</v>
      </c>
      <c r="G191" s="9" t="str">
        <f>IFERROR(__xludf.DUMMYFUNCTION("""COMPUTED_VALUE"""),"muzea")</f>
        <v>muzea</v>
      </c>
      <c r="H191" s="9" t="str">
        <f>IFERROR(__xludf.DUMMYFUNCTION("""COMPUTED_VALUE"""),"Podniková a tovární muzea")</f>
        <v>Podniková a tovární muzea</v>
      </c>
      <c r="I191" s="9" t="str">
        <f>IFERROR(__xludf.DUMMYFUNCTION("""COMPUTED_VALUE"""),"Ne")</f>
        <v>Ne</v>
      </c>
      <c r="J191" s="9">
        <f>IFERROR(__xludf.DUMMYFUNCTION("""COMPUTED_VALUE"""),1987.0)</f>
        <v>1987</v>
      </c>
      <c r="K191" s="9">
        <f>IFERROR(__xludf.DUMMYFUNCTION("""COMPUTED_VALUE"""),1989.0)</f>
        <v>1989</v>
      </c>
      <c r="L191" s="12" t="str">
        <f>IFERROR(__xludf.DUMMYFUNCTION("""COMPUTED_VALUE"""),"Melánia Babicová a kol.: Sprievodca po podnikových a závodných múzeách a sieňach revolučných tradicií v Slovenskej socialistickej republike, Bratislava: Práca 1988, str. 163-164")</f>
        <v>Melánia Babicová a kol.: Sprievodca po podnikových a závodných múzeách a sieňach revolučných tradicií v Slovenskej socialistickej republike, Bratislava: Práca 1988, str. 163-164</v>
      </c>
      <c r="M191" s="9"/>
      <c r="N191" s="9"/>
      <c r="O191" s="6"/>
      <c r="P191" s="6"/>
      <c r="Q191" s="6"/>
      <c r="R191" s="6"/>
      <c r="S191" s="6"/>
      <c r="T191" s="6"/>
      <c r="U191" s="6"/>
      <c r="V191" s="6"/>
      <c r="W191" s="6"/>
      <c r="X191" s="6"/>
      <c r="Y191" s="6"/>
      <c r="Z191" s="6"/>
      <c r="AA191" s="6"/>
    </row>
    <row r="192" ht="15.75" customHeight="1">
      <c r="A192" s="7">
        <f t="shared" si="1"/>
        <v>191</v>
      </c>
      <c r="B192" s="9" t="str">
        <f>IFERROR(__xludf.DUMMYFUNCTION("""COMPUTED_VALUE"""),"20.3271923")</f>
        <v>20.3271923</v>
      </c>
      <c r="C192" s="9" t="str">
        <f>IFERROR(__xludf.DUMMYFUNCTION("""COMPUTED_VALUE"""),"49.0775161")</f>
        <v>49.0775161</v>
      </c>
      <c r="D192" s="9" t="str">
        <f>IFERROR(__xludf.DUMMYFUNCTION("""COMPUTED_VALUE"""),"Expozícia Tatramat v dějinách a budování, Poprad")</f>
        <v>Expozícia Tatramat v dějinách a budování, Poprad</v>
      </c>
      <c r="E192" s="10" t="str">
        <f>IFERROR(__xludf.DUMMYFUNCTION("""COMPUTED_VALUE"""),"tovární muzeum")</f>
        <v>tovární muzeum</v>
      </c>
      <c r="F192" s="9" t="str">
        <f>IFERROR(__xludf.DUMMYFUNCTION("""COMPUTED_VALUE"""),"Expozice se zaměřovala na dějiny výroby od zemědělských strojů k elektrospotřebičům. Vzorky výrobků a budovatelské úspěchy byly vystavované vedle dokladů o dělnické neposlušnosti během první poloviny 20. století.")</f>
        <v>Expozice se zaměřovala na dějiny výroby od zemědělských strojů k elektrospotřebičům. Vzorky výrobků a budovatelské úspěchy byly vystavované vedle dokladů o dělnické neposlušnosti během první poloviny 20. století.</v>
      </c>
      <c r="G192" s="9" t="str">
        <f>IFERROR(__xludf.DUMMYFUNCTION("""COMPUTED_VALUE"""),"muzea")</f>
        <v>muzea</v>
      </c>
      <c r="H192" s="9" t="str">
        <f>IFERROR(__xludf.DUMMYFUNCTION("""COMPUTED_VALUE"""),"Podniková a tovární muzea")</f>
        <v>Podniková a tovární muzea</v>
      </c>
      <c r="I192" s="9" t="str">
        <f>IFERROR(__xludf.DUMMYFUNCTION("""COMPUTED_VALUE"""),"Ne")</f>
        <v>Ne</v>
      </c>
      <c r="J192" s="9"/>
      <c r="K192" s="9"/>
      <c r="L192" s="12" t="str">
        <f>IFERROR(__xludf.DUMMYFUNCTION("""COMPUTED_VALUE"""),"Melánia Babicová a kol.: Sprievodca po podnikových a závodných múzeách a sieňach revolučných tradicií v Slovenskej socialistickej republike, Bratislava: Práca 1988, str. 165-166")</f>
        <v>Melánia Babicová a kol.: Sprievodca po podnikových a závodných múzeách a sieňach revolučných tradicií v Slovenskej socialistickej republike, Bratislava: Práca 1988, str. 165-166</v>
      </c>
      <c r="M192" s="9"/>
      <c r="N192" s="9" t="str">
        <f>IFERROR(__xludf.DUMMYFUNCTION("""COMPUTED_VALUE"""),"tatramat poprad.JPG")</f>
        <v>tatramat poprad.JPG</v>
      </c>
      <c r="O192" s="6" t="str">
        <f>IFERROR(__xludf.DUMMYFUNCTION("""COMPUTED_VALUE"""),"Výrobky podnika a galerie vyznamenaných zaměstnanců.")</f>
        <v>Výrobky podnika a galerie vyznamenaných zaměstnanců.</v>
      </c>
      <c r="P192" s="6" t="str">
        <f>IFERROR(__xludf.DUMMYFUNCTION("""COMPUTED_VALUE"""),"Melánia Babicová a kol.: Sprievodca po podnikových a závodných múzeách a sieňach revolučných tradicií v Slovenskej socialistickej republike, Bratislava: Práca 1988, str. 165")</f>
        <v>Melánia Babicová a kol.: Sprievodca po podnikových a závodných múzeách a sieňach revolučných tradicií v Slovenskej socialistickej republike, Bratislava: Práca 1988, str. 165</v>
      </c>
      <c r="Q192" s="6"/>
      <c r="R192" s="6"/>
      <c r="S192" s="6"/>
      <c r="T192" s="6"/>
      <c r="U192" s="6"/>
      <c r="V192" s="6"/>
      <c r="W192" s="6"/>
      <c r="X192" s="6"/>
      <c r="Y192" s="6"/>
      <c r="Z192" s="6"/>
      <c r="AA192" s="6"/>
    </row>
    <row r="193" ht="15.75" customHeight="1">
      <c r="A193" s="7">
        <f t="shared" si="1"/>
        <v>192</v>
      </c>
      <c r="B193" s="9" t="str">
        <f>IFERROR(__xludf.DUMMYFUNCTION("""COMPUTED_VALUE"""),"20.4345474")</f>
        <v>20.4345474</v>
      </c>
      <c r="C193" s="9" t="str">
        <f>IFERROR(__xludf.DUMMYFUNCTION("""COMPUTED_VALUE"""),"49.1503478")</f>
        <v>49.1503478</v>
      </c>
      <c r="D193" s="9" t="str">
        <f>IFERROR(__xludf.DUMMYFUNCTION("""COMPUTED_VALUE"""),"Izba revolučných tradícií ZJ Ľudových milícií n. p. Tatraľan Kežmarok")</f>
        <v>Izba revolučných tradícií ZJ Ľudových milícií n. p. Tatraľan Kežmarok</v>
      </c>
      <c r="E193" s="10" t="str">
        <f>IFERROR(__xludf.DUMMYFUNCTION("""COMPUTED_VALUE"""),"síň tradic")</f>
        <v>síň tradic</v>
      </c>
      <c r="F193" s="9" t="str">
        <f>IFERROR(__xludf.DUMMYFUNCTION("""COMPUTED_VALUE"""),"Expozice založená v roce 1978 se věnovala dějinám podniku a aktivitě lidových milic.")</f>
        <v>Expozice založená v roce 1978 se věnovala dějinám podniku a aktivitě lidových milic.</v>
      </c>
      <c r="G193" s="9" t="str">
        <f>IFERROR(__xludf.DUMMYFUNCTION("""COMPUTED_VALUE"""),"muzea")</f>
        <v>muzea</v>
      </c>
      <c r="H193" s="9" t="str">
        <f>IFERROR(__xludf.DUMMYFUNCTION("""COMPUTED_VALUE"""),"Podniková a tovární muzea")</f>
        <v>Podniková a tovární muzea</v>
      </c>
      <c r="I193" s="9" t="str">
        <f>IFERROR(__xludf.DUMMYFUNCTION("""COMPUTED_VALUE"""),"Ne")</f>
        <v>Ne</v>
      </c>
      <c r="J193" s="9">
        <f>IFERROR(__xludf.DUMMYFUNCTION("""COMPUTED_VALUE"""),1978.0)</f>
        <v>1978</v>
      </c>
      <c r="K193" s="9">
        <f>IFERROR(__xludf.DUMMYFUNCTION("""COMPUTED_VALUE"""),1989.0)</f>
        <v>1989</v>
      </c>
      <c r="L193" s="12" t="str">
        <f>IFERROR(__xludf.DUMMYFUNCTION("""COMPUTED_VALUE"""),"Melánia Babicová a kol.: Sprievodca po podnikových a závodných múzeách a sieňach revolučných tradicií v Slovenskej socialistickej republike, Bratislava: Práca 1988, str. 167")</f>
        <v>Melánia Babicová a kol.: Sprievodca po podnikových a závodných múzeách a sieňach revolučných tradicií v Slovenskej socialistickej republike, Bratislava: Práca 1988, str. 167</v>
      </c>
      <c r="M193" s="9"/>
      <c r="N193" s="9" t="str">
        <f>IFERROR(__xludf.DUMMYFUNCTION("""COMPUTED_VALUE"""),"tatralan kežmarok.JPG")</f>
        <v>tatralan kežmarok.JPG</v>
      </c>
      <c r="O193" s="6" t="str">
        <f>IFERROR(__xludf.DUMMYFUNCTION("""COMPUTED_VALUE"""),"Děti na prohlídce expozice.")</f>
        <v>Děti na prohlídce expozice.</v>
      </c>
      <c r="P193" s="6" t="str">
        <f>IFERROR(__xludf.DUMMYFUNCTION("""COMPUTED_VALUE"""),"Melánia Babicová a kol.: Sprievodca po podnikových a závodných múzeách a sieňach revolučných tradicií v Slovenskej socialistickej republike, Bratislava: Práca 1988, str. 167")</f>
        <v>Melánia Babicová a kol.: Sprievodca po podnikových a závodných múzeách a sieňach revolučných tradicií v Slovenskej socialistickej republike, Bratislava: Práca 1988, str. 167</v>
      </c>
      <c r="Q193" s="6"/>
      <c r="R193" s="6"/>
      <c r="S193" s="6"/>
      <c r="T193" s="6"/>
      <c r="U193" s="6"/>
      <c r="V193" s="6"/>
      <c r="W193" s="6"/>
      <c r="X193" s="6"/>
      <c r="Y193" s="6"/>
      <c r="Z193" s="6"/>
      <c r="AA193" s="6"/>
    </row>
    <row r="194" ht="15.75" customHeight="1">
      <c r="A194" s="7">
        <f t="shared" si="1"/>
        <v>193</v>
      </c>
      <c r="B194" s="9" t="str">
        <f>IFERROR(__xludf.DUMMYFUNCTION("""COMPUTED_VALUE"""),"20.1961954")</f>
        <v>20.1961954</v>
      </c>
      <c r="C194" s="9" t="str">
        <f>IFERROR(__xludf.DUMMYFUNCTION("""COMPUTED_VALUE"""),"49.0577433")</f>
        <v>49.0577433</v>
      </c>
      <c r="D194" s="9" t="str">
        <f>IFERROR(__xludf.DUMMYFUNCTION("""COMPUTED_VALUE"""),"Sieň revolučných tradícií n. p. Chemosvit Svit")</f>
        <v>Sieň revolučných tradícií n. p. Chemosvit Svit</v>
      </c>
      <c r="E194" s="10" t="str">
        <f>IFERROR(__xludf.DUMMYFUNCTION("""COMPUTED_VALUE"""),"síň tradic")</f>
        <v>síň tradic</v>
      </c>
      <c r="F194" s="9" t="str">
        <f>IFERROR(__xludf.DUMMYFUNCTION("""COMPUTED_VALUE"""),"Expozice, zpřístupněná v roce 1974, byla reinstalována v roce 1978. Popularizovala především dějiny závodu.")</f>
        <v>Expozice, zpřístupněná v roce 1974, byla reinstalována v roce 1978. Popularizovala především dějiny závodu.</v>
      </c>
      <c r="G194" s="9" t="str">
        <f>IFERROR(__xludf.DUMMYFUNCTION("""COMPUTED_VALUE"""),"muzea")</f>
        <v>muzea</v>
      </c>
      <c r="H194" s="9" t="str">
        <f>IFERROR(__xludf.DUMMYFUNCTION("""COMPUTED_VALUE"""),"Podniková a tovární muzea")</f>
        <v>Podniková a tovární muzea</v>
      </c>
      <c r="I194" s="9" t="str">
        <f>IFERROR(__xludf.DUMMYFUNCTION("""COMPUTED_VALUE"""),"Ne")</f>
        <v>Ne</v>
      </c>
      <c r="J194" s="9">
        <f>IFERROR(__xludf.DUMMYFUNCTION("""COMPUTED_VALUE"""),1974.0)</f>
        <v>1974</v>
      </c>
      <c r="K194" s="9">
        <f>IFERROR(__xludf.DUMMYFUNCTION("""COMPUTED_VALUE"""),1989.0)</f>
        <v>1989</v>
      </c>
      <c r="L194" s="12" t="str">
        <f>IFERROR(__xludf.DUMMYFUNCTION("""COMPUTED_VALUE"""),"Melánia Babicová a kol.: Sprievodca po podnikových a závodných múzeách a sieňach revolučných tradicií v Slovenskej socialistickej republike, Bratislava: Práca 1988, str. 167-168")</f>
        <v>Melánia Babicová a kol.: Sprievodca po podnikových a závodných múzeách a sieňach revolučných tradicií v Slovenskej socialistickej republike, Bratislava: Práca 1988, str. 167-168</v>
      </c>
      <c r="M194" s="9"/>
      <c r="N194" s="9"/>
      <c r="O194" s="6"/>
      <c r="P194" s="6"/>
      <c r="Q194" s="6"/>
      <c r="R194" s="6"/>
      <c r="S194" s="6"/>
      <c r="T194" s="6"/>
      <c r="U194" s="6"/>
      <c r="V194" s="6"/>
      <c r="W194" s="6"/>
      <c r="X194" s="6"/>
      <c r="Y194" s="6"/>
      <c r="Z194" s="6"/>
      <c r="AA194" s="6"/>
    </row>
    <row r="195" ht="15.75" customHeight="1">
      <c r="A195" s="7">
        <f t="shared" si="1"/>
        <v>194</v>
      </c>
      <c r="B195" s="9" t="str">
        <f>IFERROR(__xludf.DUMMYFUNCTION("""COMPUTED_VALUE"""),"21.2524834")</f>
        <v>21.2524834</v>
      </c>
      <c r="C195" s="9" t="str">
        <f>IFERROR(__xludf.DUMMYFUNCTION("""COMPUTED_VALUE"""),"48.9690122")</f>
        <v>48.9690122</v>
      </c>
      <c r="D195" s="9" t="str">
        <f>IFERROR(__xludf.DUMMYFUNCTION("""COMPUTED_VALUE"""),"Izba revolučných tradícií k. p. Závody na výrobu ložísk Prešov")</f>
        <v>Izba revolučných tradícií k. p. Závody na výrobu ložísk Prešov</v>
      </c>
      <c r="E195" s="10" t="str">
        <f>IFERROR(__xludf.DUMMYFUNCTION("""COMPUTED_VALUE"""),"síň tradic")</f>
        <v>síň tradic</v>
      </c>
      <c r="F195" s="9" t="str">
        <f>IFERROR(__xludf.DUMMYFUNCTION("""COMPUTED_VALUE"""),"Expozice z roku 1978 se věnovala dějinám podniku a zároveň Slovenské republice rad, antifašistickému odboji a událostem roku 1945 v regionální perspektivě.")</f>
        <v>Expozice z roku 1978 se věnovala dějinám podniku a zároveň Slovenské republice rad, antifašistickému odboji a událostem roku 1945 v regionální perspektivě.</v>
      </c>
      <c r="G195" s="9" t="str">
        <f>IFERROR(__xludf.DUMMYFUNCTION("""COMPUTED_VALUE"""),"muzea")</f>
        <v>muzea</v>
      </c>
      <c r="H195" s="9" t="str">
        <f>IFERROR(__xludf.DUMMYFUNCTION("""COMPUTED_VALUE"""),"Podniková a tovární muzea")</f>
        <v>Podniková a tovární muzea</v>
      </c>
      <c r="I195" s="9" t="str">
        <f>IFERROR(__xludf.DUMMYFUNCTION("""COMPUTED_VALUE"""),"Ne")</f>
        <v>Ne</v>
      </c>
      <c r="J195" s="9">
        <f>IFERROR(__xludf.DUMMYFUNCTION("""COMPUTED_VALUE"""),1978.0)</f>
        <v>1978</v>
      </c>
      <c r="K195" s="9">
        <f>IFERROR(__xludf.DUMMYFUNCTION("""COMPUTED_VALUE"""),1989.0)</f>
        <v>1989</v>
      </c>
      <c r="L195" s="12" t="str">
        <f>IFERROR(__xludf.DUMMYFUNCTION("""COMPUTED_VALUE"""),"Melánia Babicová a kol.: Sprievodca po podnikových a závodných múzeách a sieňach revolučných tradicií v Slovenskej socialistickej republike, Bratislava: Práca 1988, str. 173-174; Jan Bárdy: 50. výročie vzniku VHJ ZVL – Závody na výrobu ložísk, Považská By"&amp;"strica, 2015")</f>
        <v>Melánia Babicová a kol.: Sprievodca po podnikových a závodných múzeách a sieňach revolučných tradicií v Slovenskej socialistickej republike, Bratislava: Práca 1988, str. 173-174; Jan Bárdy: 50. výročie vzniku VHJ ZVL – Závody na výrobu ložísk, Považská Bystrica, 2015</v>
      </c>
      <c r="M195" s="9"/>
      <c r="N195" s="9" t="str">
        <f>IFERROR(__xludf.DUMMYFUNCTION("""COMPUTED_VALUE"""),"ZVL Prešov.JPG")</f>
        <v>ZVL Prešov.JPG</v>
      </c>
      <c r="O195" s="6" t="str">
        <f>IFERROR(__xludf.DUMMYFUNCTION("""COMPUTED_VALUE"""),"Budova továrny.")</f>
        <v>Budova továrny.</v>
      </c>
      <c r="P195" s="6" t="str">
        <f>IFERROR(__xludf.DUMMYFUNCTION("""COMPUTED_VALUE"""),"Jan Bárdy: 50. výročie vzniku VHJ ZVL – Závody na výrobu ložísk, Považská Bystrica, 2015")</f>
        <v>Jan Bárdy: 50. výročie vzniku VHJ ZVL – Závody na výrobu ložísk, Považská Bystrica, 2015</v>
      </c>
      <c r="Q195" s="6"/>
      <c r="R195" s="6"/>
      <c r="S195" s="6"/>
      <c r="T195" s="6"/>
      <c r="U195" s="6"/>
      <c r="V195" s="6"/>
      <c r="W195" s="6"/>
      <c r="X195" s="6"/>
      <c r="Y195" s="6"/>
      <c r="Z195" s="6"/>
      <c r="AA195" s="6"/>
    </row>
    <row r="196" ht="15.75" customHeight="1">
      <c r="A196" s="7">
        <f t="shared" si="1"/>
        <v>195</v>
      </c>
      <c r="B196" s="9" t="str">
        <f>IFERROR(__xludf.DUMMYFUNCTION("""COMPUTED_VALUE"""),"21.1376554")</f>
        <v>21.1376554</v>
      </c>
      <c r="C196" s="9" t="str">
        <f>IFERROR(__xludf.DUMMYFUNCTION("""COMPUTED_VALUE"""),"49.061526")</f>
        <v>49.061526</v>
      </c>
      <c r="D196" s="9" t="str">
        <f>IFERROR(__xludf.DUMMYFUNCTION("""COMPUTED_VALUE"""),"Sieň histórie n. p. Imuna Šrišské Michaľany")</f>
        <v>Sieň histórie n. p. Imuna Šrišské Michaľany</v>
      </c>
      <c r="E196" s="10" t="str">
        <f>IFERROR(__xludf.DUMMYFUNCTION("""COMPUTED_VALUE"""),"síň tradic")</f>
        <v>síň tradic</v>
      </c>
      <c r="F196" s="9" t="str">
        <f>IFERROR(__xludf.DUMMYFUNCTION("""COMPUTED_VALUE"""),"Expozice byla otevřena v roce 1978 a reinstalována v roce 1986. Zaměřovala se na technologie a dějiny farmaceutického průmyslu.")</f>
        <v>Expozice byla otevřena v roce 1978 a reinstalována v roce 1986. Zaměřovala se na technologie a dějiny farmaceutického průmyslu.</v>
      </c>
      <c r="G196" s="9" t="str">
        <f>IFERROR(__xludf.DUMMYFUNCTION("""COMPUTED_VALUE"""),"muzea")</f>
        <v>muzea</v>
      </c>
      <c r="H196" s="9" t="str">
        <f>IFERROR(__xludf.DUMMYFUNCTION("""COMPUTED_VALUE"""),"Podniková a tovární muzea")</f>
        <v>Podniková a tovární muzea</v>
      </c>
      <c r="I196" s="9" t="str">
        <f>IFERROR(__xludf.DUMMYFUNCTION("""COMPUTED_VALUE"""),"Ne")</f>
        <v>Ne</v>
      </c>
      <c r="J196" s="9">
        <f>IFERROR(__xludf.DUMMYFUNCTION("""COMPUTED_VALUE"""),1978.0)</f>
        <v>1978</v>
      </c>
      <c r="K196" s="9">
        <f>IFERROR(__xludf.DUMMYFUNCTION("""COMPUTED_VALUE"""),1989.0)</f>
        <v>1989</v>
      </c>
      <c r="L196" s="12" t="str">
        <f>IFERROR(__xludf.DUMMYFUNCTION("""COMPUTED_VALUE"""),"Melánia Babicová a kol.: Sprievodca po podnikových a závodných múzeách a sieňach revolučných tradicií v Slovenskej socialistickej republike, Bratislava: Práca 1988, str. 174-176")</f>
        <v>Melánia Babicová a kol.: Sprievodca po podnikových a závodných múzeách a sieňach revolučných tradicií v Slovenskej socialistickej republike, Bratislava: Práca 1988, str. 174-176</v>
      </c>
      <c r="M196" s="9"/>
      <c r="N196" s="9" t="str">
        <f>IFERROR(__xludf.DUMMYFUNCTION("""COMPUTED_VALUE"""),"Imuna šarišské michalany.JPG")</f>
        <v>Imuna šarišské michalany.JPG</v>
      </c>
      <c r="O196" s="6" t="str">
        <f>IFERROR(__xludf.DUMMYFUNCTION("""COMPUTED_VALUE"""),"Z expozic.")</f>
        <v>Z expozic.</v>
      </c>
      <c r="P196" s="6" t="str">
        <f>IFERROR(__xludf.DUMMYFUNCTION("""COMPUTED_VALUE"""),"Melánia Babicová a kol.: Sprievodca po podnikových a závodných múzeách a sieňach revolučných tradicií v Slovenskej socialistickej republike, Bratislava: Práca 1988, str. 174")</f>
        <v>Melánia Babicová a kol.: Sprievodca po podnikových a závodných múzeách a sieňach revolučných tradicií v Slovenskej socialistickej republike, Bratislava: Práca 1988, str. 174</v>
      </c>
      <c r="Q196" s="6"/>
      <c r="R196" s="6"/>
      <c r="S196" s="6"/>
      <c r="T196" s="6"/>
      <c r="U196" s="6"/>
      <c r="V196" s="6"/>
      <c r="W196" s="6"/>
      <c r="X196" s="6"/>
      <c r="Y196" s="6"/>
      <c r="Z196" s="6"/>
      <c r="AA196" s="6"/>
    </row>
    <row r="197" ht="15.75" customHeight="1">
      <c r="A197" s="7">
        <f t="shared" si="1"/>
        <v>196</v>
      </c>
      <c r="B197" s="9" t="str">
        <f>IFERROR(__xludf.DUMMYFUNCTION("""COMPUTED_VALUE"""),"20.2170908")</f>
        <v>20.2170908</v>
      </c>
      <c r="C197" s="9" t="str">
        <f>IFERROR(__xludf.DUMMYFUNCTION("""COMPUTED_VALUE"""),"48.6442053")</f>
        <v>48.6442053</v>
      </c>
      <c r="D197" s="9" t="str">
        <f>IFERROR(__xludf.DUMMYFUNCTION("""COMPUTED_VALUE"""),"Pamätná izba n. p. Slovenské magnezitové závody Jelšava")</f>
        <v>Pamätná izba n. p. Slovenské magnezitové závody Jelšava</v>
      </c>
      <c r="E197" s="10" t="str">
        <f>IFERROR(__xludf.DUMMYFUNCTION("""COMPUTED_VALUE"""),"síň tradic")</f>
        <v>síň tradic</v>
      </c>
      <c r="F197" s="9" t="str">
        <f>IFERROR(__xludf.DUMMYFUNCTION("""COMPUTED_VALUE"""),"Expozice vznikla v roce 1973 a byla reinstalována v roce 1987. Věnovala se technologii těžby a zpracování magnezitu, životním podmínkám a stávkovému hnutí zaměstnanců. Zvláštní pozornost tvůrci věnovali zapojení zaměstnanců do SNP a do budování poválečnéh"&amp;"o socialismu.")</f>
        <v>Expozice vznikla v roce 1973 a byla reinstalována v roce 1987. Věnovala se technologii těžby a zpracování magnezitu, životním podmínkám a stávkovému hnutí zaměstnanců. Zvláštní pozornost tvůrci věnovali zapojení zaměstnanců do SNP a do budování poválečného socialismu.</v>
      </c>
      <c r="G197" s="9" t="str">
        <f>IFERROR(__xludf.DUMMYFUNCTION("""COMPUTED_VALUE"""),"muzea")</f>
        <v>muzea</v>
      </c>
      <c r="H197" s="9" t="str">
        <f>IFERROR(__xludf.DUMMYFUNCTION("""COMPUTED_VALUE"""),"Podniková a tovární muzea")</f>
        <v>Podniková a tovární muzea</v>
      </c>
      <c r="I197" s="9" t="str">
        <f>IFERROR(__xludf.DUMMYFUNCTION("""COMPUTED_VALUE"""),"Ne")</f>
        <v>Ne</v>
      </c>
      <c r="J197" s="9">
        <f>IFERROR(__xludf.DUMMYFUNCTION("""COMPUTED_VALUE"""),1973.0)</f>
        <v>1973</v>
      </c>
      <c r="K197" s="9">
        <f>IFERROR(__xludf.DUMMYFUNCTION("""COMPUTED_VALUE"""),1989.0)</f>
        <v>1989</v>
      </c>
      <c r="L197" s="12" t="str">
        <f>IFERROR(__xludf.DUMMYFUNCTION("""COMPUTED_VALUE"""),"Melánia Babicová a kol.: Sprievodca po podnikových a závodných múzeách a sieňach revolučných tradicií v Slovenskej socialistickej republike, Bratislava: Práca 1988, str. 176-177")</f>
        <v>Melánia Babicová a kol.: Sprievodca po podnikových a závodných múzeách a sieňach revolučných tradicií v Slovenskej socialistickej republike, Bratislava: Práca 1988, str. 176-177</v>
      </c>
      <c r="M197" s="9"/>
      <c r="N197" s="9" t="str">
        <f>IFERROR(__xludf.DUMMYFUNCTION("""COMPUTED_VALUE"""),"jelšava magnezit.JPG")</f>
        <v>jelšava magnezit.JPG</v>
      </c>
      <c r="O197" s="6" t="str">
        <f>IFERROR(__xludf.DUMMYFUNCTION("""COMPUTED_VALUE"""),"Z expozice: pohled na šachtové věže z roku 1923.")</f>
        <v>Z expozice: pohled na šachtové věže z roku 1923.</v>
      </c>
      <c r="P197" s="6"/>
      <c r="Q197" s="6"/>
      <c r="R197" s="6"/>
      <c r="S197" s="6"/>
      <c r="T197" s="6"/>
      <c r="U197" s="6"/>
      <c r="V197" s="6"/>
      <c r="W197" s="6"/>
      <c r="X197" s="6"/>
      <c r="Y197" s="6"/>
      <c r="Z197" s="6"/>
      <c r="AA197" s="6"/>
    </row>
    <row r="198" ht="15.75" customHeight="1">
      <c r="A198" s="7">
        <f t="shared" si="1"/>
        <v>197</v>
      </c>
      <c r="B198" s="9" t="str">
        <f>IFERROR(__xludf.DUMMYFUNCTION("""COMPUTED_VALUE"""),"20.5912931")</f>
        <v>20.5912931</v>
      </c>
      <c r="C198" s="9" t="str">
        <f>IFERROR(__xludf.DUMMYFUNCTION("""COMPUTED_VALUE"""),"49.0273946")</f>
        <v>49.0273946</v>
      </c>
      <c r="D198" s="9" t="str">
        <f>IFERROR(__xludf.DUMMYFUNCTION("""COMPUTED_VALUE"""),"Pamätná izba n. p. Štátný majetok Levoča")</f>
        <v>Pamätná izba n. p. Štátný majetok Levoča</v>
      </c>
      <c r="E198" s="10" t="str">
        <f>IFERROR(__xludf.DUMMYFUNCTION("""COMPUTED_VALUE"""),"síň tradic")</f>
        <v>síň tradic</v>
      </c>
      <c r="F198" s="9" t="str">
        <f>IFERROR(__xludf.DUMMYFUNCTION("""COMPUTED_VALUE"""),"Expozice z roku 1985 se věnovala procesu kolektivizace místního zemědělského sektoru.")</f>
        <v>Expozice z roku 1985 se věnovala procesu kolektivizace místního zemědělského sektoru.</v>
      </c>
      <c r="G198" s="9" t="str">
        <f>IFERROR(__xludf.DUMMYFUNCTION("""COMPUTED_VALUE"""),"muzea")</f>
        <v>muzea</v>
      </c>
      <c r="H198" s="9" t="str">
        <f>IFERROR(__xludf.DUMMYFUNCTION("""COMPUTED_VALUE"""),"Podniková a tovární muzea")</f>
        <v>Podniková a tovární muzea</v>
      </c>
      <c r="I198" s="9" t="str">
        <f>IFERROR(__xludf.DUMMYFUNCTION("""COMPUTED_VALUE"""),"Ne")</f>
        <v>Ne</v>
      </c>
      <c r="J198" s="9">
        <f>IFERROR(__xludf.DUMMYFUNCTION("""COMPUTED_VALUE"""),1985.0)</f>
        <v>1985</v>
      </c>
      <c r="K198" s="9">
        <f>IFERROR(__xludf.DUMMYFUNCTION("""COMPUTED_VALUE"""),1989.0)</f>
        <v>1989</v>
      </c>
      <c r="L198" s="12" t="str">
        <f>IFERROR(__xludf.DUMMYFUNCTION("""COMPUTED_VALUE"""),"Melánia Babicová a kol.: Sprievodca po podnikových a závodných múzeách a sieňach revolučných tradicií v Slovenskej socialistickej republike, Bratislava: Práca 1988, str. 179-180")</f>
        <v>Melánia Babicová a kol.: Sprievodca po podnikových a závodných múzeách a sieňach revolučných tradicií v Slovenskej socialistickej republike, Bratislava: Práca 1988, str. 179-180</v>
      </c>
      <c r="M198" s="9"/>
      <c r="N198" s="9" t="str">
        <f>IFERROR(__xludf.DUMMYFUNCTION("""COMPUTED_VALUE"""),"levoča.JPG")</f>
        <v>levoča.JPG</v>
      </c>
      <c r="O198" s="6" t="str">
        <f>IFERROR(__xludf.DUMMYFUNCTION("""COMPUTED_VALUE"""),"Z expozice.")</f>
        <v>Z expozice.</v>
      </c>
      <c r="P198" s="6" t="str">
        <f>IFERROR(__xludf.DUMMYFUNCTION("""COMPUTED_VALUE"""),"Melánia Babicová a kol.: Sprievodca po podnikových a závodných múzeách a sieňach revolučných tradicií v Slovenskej socialistickej republike, Bratislava: Práca 1988, str. 179")</f>
        <v>Melánia Babicová a kol.: Sprievodca po podnikových a závodných múzeách a sieňach revolučných tradicií v Slovenskej socialistickej republike, Bratislava: Práca 1988, str. 179</v>
      </c>
      <c r="Q198" s="6"/>
      <c r="R198" s="6"/>
      <c r="S198" s="6"/>
      <c r="T198" s="6"/>
      <c r="U198" s="6"/>
      <c r="V198" s="6"/>
      <c r="W198" s="6"/>
      <c r="X198" s="6"/>
      <c r="Y198" s="6"/>
      <c r="Z198" s="6"/>
      <c r="AA198" s="6"/>
    </row>
    <row r="199" ht="15.75" customHeight="1">
      <c r="A199" s="7">
        <f t="shared" si="1"/>
        <v>198</v>
      </c>
      <c r="B199" s="9" t="str">
        <f>IFERROR(__xludf.DUMMYFUNCTION("""COMPUTED_VALUE"""),"20.9978125")</f>
        <v>20.9978125</v>
      </c>
      <c r="C199" s="9" t="str">
        <f>IFERROR(__xludf.DUMMYFUNCTION("""COMPUTED_VALUE"""),"48.8805625")</f>
        <v>48.8805625</v>
      </c>
      <c r="D199" s="9" t="str">
        <f>IFERROR(__xludf.DUMMYFUNCTION("""COMPUTED_VALUE"""),"Izba revolučných tradícií závodu Vápenka Margecany")</f>
        <v>Izba revolučných tradícií závodu Vápenka Margecany</v>
      </c>
      <c r="E199" s="10" t="str">
        <f>IFERROR(__xludf.DUMMYFUNCTION("""COMPUTED_VALUE"""),"síň tradic")</f>
        <v>síň tradic</v>
      </c>
      <c r="F199" s="9" t="str">
        <f>IFERROR(__xludf.DUMMYFUNCTION("""COMPUTED_VALUE"""),"Expozice, zpřístupněná v roce 1983, se zaměřovala na historii obce, dějiny závodu, antifašistické rezistence zaměstnanců a vývoj výroby a technologie.")</f>
        <v>Expozice, zpřístupněná v roce 1983, se zaměřovala na historii obce, dějiny závodu, antifašistické rezistence zaměstnanců a vývoj výroby a technologie.</v>
      </c>
      <c r="G199" s="9" t="str">
        <f>IFERROR(__xludf.DUMMYFUNCTION("""COMPUTED_VALUE"""),"muzea")</f>
        <v>muzea</v>
      </c>
      <c r="H199" s="9" t="str">
        <f>IFERROR(__xludf.DUMMYFUNCTION("""COMPUTED_VALUE"""),"Podniková a tovární muzea")</f>
        <v>Podniková a tovární muzea</v>
      </c>
      <c r="I199" s="9" t="str">
        <f>IFERROR(__xludf.DUMMYFUNCTION("""COMPUTED_VALUE"""),"Ne")</f>
        <v>Ne</v>
      </c>
      <c r="J199" s="9">
        <f>IFERROR(__xludf.DUMMYFUNCTION("""COMPUTED_VALUE"""),1983.0)</f>
        <v>1983</v>
      </c>
      <c r="K199" s="9">
        <f>IFERROR(__xludf.DUMMYFUNCTION("""COMPUTED_VALUE"""),1989.0)</f>
        <v>1989</v>
      </c>
      <c r="L199" s="12" t="str">
        <f>IFERROR(__xludf.DUMMYFUNCTION("""COMPUTED_VALUE"""),"Melánia Babicová a kol.: Sprievodca po podnikových a závodných múzeách a sieňach revolučných tradicií v Slovenskej socialistickej republike, Bratislava: Práca 1988, str. 181-182")</f>
        <v>Melánia Babicová a kol.: Sprievodca po podnikových a závodných múzeách a sieňach revolučných tradicií v Slovenskej socialistickej republike, Bratislava: Práca 1988, str. 181-182</v>
      </c>
      <c r="M199" s="9"/>
      <c r="N199" s="9" t="str">
        <f>IFERROR(__xludf.DUMMYFUNCTION("""COMPUTED_VALUE"""),"margecany vápenka.JPG")</f>
        <v>margecany vápenka.JPG</v>
      </c>
      <c r="O199" s="6" t="str">
        <f>IFERROR(__xludf.DUMMYFUNCTION("""COMPUTED_VALUE"""),"Pohled do expozice.")</f>
        <v>Pohled do expozice.</v>
      </c>
      <c r="P199" s="6" t="str">
        <f>IFERROR(__xludf.DUMMYFUNCTION("""COMPUTED_VALUE"""),"Melánia Babicová a kol.: Sprievodca po podnikových a závodných múzeách a sieňach revolučných tradicií v Slovenskej socialistickej republike, Bratislava: Práca 1988, str. 181-182")</f>
        <v>Melánia Babicová a kol.: Sprievodca po podnikových a závodných múzeách a sieňach revolučných tradicií v Slovenskej socialistickej republike, Bratislava: Práca 1988, str. 181-182</v>
      </c>
      <c r="Q199" s="6"/>
      <c r="R199" s="6"/>
      <c r="S199" s="6"/>
      <c r="T199" s="6"/>
      <c r="U199" s="6"/>
      <c r="V199" s="6"/>
      <c r="W199" s="6"/>
      <c r="X199" s="6"/>
      <c r="Y199" s="6"/>
      <c r="Z199" s="6"/>
      <c r="AA199" s="6"/>
    </row>
    <row r="200" ht="15.75" customHeight="1">
      <c r="A200" s="7">
        <f t="shared" si="1"/>
        <v>199</v>
      </c>
      <c r="B200" s="9" t="str">
        <f>IFERROR(__xludf.DUMMYFUNCTION("""COMPUTED_VALUE"""),"20.7022489")</f>
        <v>20.7022489</v>
      </c>
      <c r="C200" s="9" t="str">
        <f>IFERROR(__xludf.DUMMYFUNCTION("""COMPUTED_VALUE"""),"48.8795322")</f>
        <v>48.8795322</v>
      </c>
      <c r="D200" s="9" t="str">
        <f>IFERROR(__xludf.DUMMYFUNCTION("""COMPUTED_VALUE"""),"Izba revolučných tradícií rudnianskych baníkov Rudňany")</f>
        <v>Izba revolučných tradícií rudnianskych baníkov Rudňany</v>
      </c>
      <c r="E200" s="10" t="str">
        <f>IFERROR(__xludf.DUMMYFUNCTION("""COMPUTED_VALUE"""),"síň tradic")</f>
        <v>síň tradic</v>
      </c>
      <c r="F200" s="9" t="str">
        <f>IFERROR(__xludf.DUMMYFUNCTION("""COMPUTED_VALUE"""),"Expozice, zbudovaná v roce 1971, tematizovala zvláště stávkové hnutí místních horníků a historii těžby železné rudy v oblasti.")</f>
        <v>Expozice, zbudovaná v roce 1971, tematizovala zvláště stávkové hnutí místních horníků a historii těžby železné rudy v oblasti.</v>
      </c>
      <c r="G200" s="9" t="str">
        <f>IFERROR(__xludf.DUMMYFUNCTION("""COMPUTED_VALUE"""),"muzea")</f>
        <v>muzea</v>
      </c>
      <c r="H200" s="9" t="str">
        <f>IFERROR(__xludf.DUMMYFUNCTION("""COMPUTED_VALUE"""),"Podniková a tovární muzea")</f>
        <v>Podniková a tovární muzea</v>
      </c>
      <c r="I200" s="9" t="str">
        <f>IFERROR(__xludf.DUMMYFUNCTION("""COMPUTED_VALUE"""),"Ne")</f>
        <v>Ne</v>
      </c>
      <c r="J200" s="9">
        <f>IFERROR(__xludf.DUMMYFUNCTION("""COMPUTED_VALUE"""),1971.0)</f>
        <v>1971</v>
      </c>
      <c r="K200" s="9">
        <f>IFERROR(__xludf.DUMMYFUNCTION("""COMPUTED_VALUE"""),1989.0)</f>
        <v>1989</v>
      </c>
      <c r="L200" s="12" t="str">
        <f>IFERROR(__xludf.DUMMYFUNCTION("""COMPUTED_VALUE"""),"Melánia Babicová a kol.: Sprievodca po podnikových a závodných múzeách a sieňach revolučných tradicií v Slovenskej socialistickej republike, Bratislava: Práca 1988, str. 182-184")</f>
        <v>Melánia Babicová a kol.: Sprievodca po podnikových a závodných múzeách a sieňach revolučných tradicií v Slovenskej socialistickej republike, Bratislava: Práca 1988, str. 182-184</v>
      </c>
      <c r="M200" s="9"/>
      <c r="N200" s="9" t="str">
        <f>IFERROR(__xludf.DUMMYFUNCTION("""COMPUTED_VALUE"""),"rudňany baně")</f>
        <v>rudňany baně</v>
      </c>
      <c r="O200" s="6" t="str">
        <f>IFERROR(__xludf.DUMMYFUNCTION("""COMPUTED_VALUE"""),"Pohled do expozice s modelem těžebního zařízení.")</f>
        <v>Pohled do expozice s modelem těžebního zařízení.</v>
      </c>
      <c r="P200" s="6" t="str">
        <f>IFERROR(__xludf.DUMMYFUNCTION("""COMPUTED_VALUE"""),"Melánia Babicová a kol.: Sprievodca po podnikových a závodných múzeách a sieňach revolučných tradicií v Slovenskej socialistickej republike, Bratislava: Práca 1988, str. 182")</f>
        <v>Melánia Babicová a kol.: Sprievodca po podnikových a závodných múzeách a sieňach revolučných tradicií v Slovenskej socialistickej republike, Bratislava: Práca 1988, str. 182</v>
      </c>
      <c r="Q200" s="6"/>
      <c r="R200" s="6"/>
      <c r="S200" s="6"/>
      <c r="T200" s="6"/>
      <c r="U200" s="6"/>
      <c r="V200" s="6"/>
      <c r="W200" s="6"/>
      <c r="X200" s="6"/>
      <c r="Y200" s="6"/>
      <c r="Z200" s="6"/>
      <c r="AA200" s="6"/>
    </row>
    <row r="201" ht="15.75" customHeight="1">
      <c r="A201" s="7">
        <f t="shared" si="1"/>
        <v>200</v>
      </c>
      <c r="B201" s="9" t="str">
        <f>IFERROR(__xludf.DUMMYFUNCTION("""COMPUTED_VALUE"""),"21.7203171")</f>
        <v>21.7203171</v>
      </c>
      <c r="C201" s="9" t="str">
        <f>IFERROR(__xludf.DUMMYFUNCTION("""COMPUTED_VALUE"""),"48.6459404")</f>
        <v>48.6459404</v>
      </c>
      <c r="D201" s="9" t="str">
        <f>IFERROR(__xludf.DUMMYFUNCTION("""COMPUTED_VALUE"""),"Izba revolučných tradícií n. p. Potravinářsky kombinát Trebišov")</f>
        <v>Izba revolučných tradícií n. p. Potravinářsky kombinát Trebišov</v>
      </c>
      <c r="E201" s="10" t="str">
        <f>IFERROR(__xludf.DUMMYFUNCTION("""COMPUTED_VALUE"""),"síň tradic")</f>
        <v>síň tradic</v>
      </c>
      <c r="F201" s="9" t="str">
        <f>IFERROR(__xludf.DUMMYFUNCTION("""COMPUTED_VALUE"""),"Expozice, zřízená roku 1966, se dočkala reinstalace v roce 1985. Hlavním tématem bylo odborové hnutí, role kolektivu v únoru 1948 a úspěchy zlepšovatelského hnutí.")</f>
        <v>Expozice, zřízená roku 1966, se dočkala reinstalace v roce 1985. Hlavním tématem bylo odborové hnutí, role kolektivu v únoru 1948 a úspěchy zlepšovatelského hnutí.</v>
      </c>
      <c r="G201" s="9" t="str">
        <f>IFERROR(__xludf.DUMMYFUNCTION("""COMPUTED_VALUE"""),"muzea")</f>
        <v>muzea</v>
      </c>
      <c r="H201" s="9" t="str">
        <f>IFERROR(__xludf.DUMMYFUNCTION("""COMPUTED_VALUE"""),"Podniková a tovární muzea")</f>
        <v>Podniková a tovární muzea</v>
      </c>
      <c r="I201" s="9" t="str">
        <f>IFERROR(__xludf.DUMMYFUNCTION("""COMPUTED_VALUE"""),"Ne")</f>
        <v>Ne</v>
      </c>
      <c r="J201" s="9">
        <f>IFERROR(__xludf.DUMMYFUNCTION("""COMPUTED_VALUE"""),1966.0)</f>
        <v>1966</v>
      </c>
      <c r="K201" s="9">
        <f>IFERROR(__xludf.DUMMYFUNCTION("""COMPUTED_VALUE"""),1989.0)</f>
        <v>1989</v>
      </c>
      <c r="L201" s="12" t="str">
        <f>IFERROR(__xludf.DUMMYFUNCTION("""COMPUTED_VALUE"""),"Melánia Babicová a kol.: Sprievodca po podnikových a závodných múzeách a sieňach revolučných tradicií v Slovenskej socialistickej republike, Bratislava: Práca 1988, str. 187-188")</f>
        <v>Melánia Babicová a kol.: Sprievodca po podnikových a závodných múzeách a sieňach revolučných tradicií v Slovenskej socialistickej republike, Bratislava: Práca 1988, str. 187-188</v>
      </c>
      <c r="M201" s="9"/>
      <c r="N201" s="9" t="str">
        <f>IFERROR(__xludf.DUMMYFUNCTION("""COMPUTED_VALUE"""),"trebišov potravinářský.JPG")</f>
        <v>trebišov potravinářský.JPG</v>
      </c>
      <c r="O201" s="6" t="str">
        <f>IFERROR(__xludf.DUMMYFUNCTION("""COMPUTED_VALUE"""),"Pohled do expozice.")</f>
        <v>Pohled do expozice.</v>
      </c>
      <c r="P201" s="6" t="str">
        <f>IFERROR(__xludf.DUMMYFUNCTION("""COMPUTED_VALUE"""),"Melánia Babicová a kol.: Sprievodca po podnikových a závodných múzeách a sieňach revolučných tradicií v Slovenskej socialistickej republike, Bratislava: Práca 1988, str. 187")</f>
        <v>Melánia Babicová a kol.: Sprievodca po podnikových a závodných múzeách a sieňach revolučných tradicií v Slovenskej socialistickej republike, Bratislava: Práca 1988, str. 187</v>
      </c>
      <c r="Q201" s="6"/>
      <c r="R201" s="6"/>
      <c r="S201" s="6"/>
      <c r="T201" s="6"/>
      <c r="U201" s="6"/>
      <c r="V201" s="6"/>
      <c r="W201" s="6"/>
      <c r="X201" s="6"/>
      <c r="Y201" s="6"/>
      <c r="Z201" s="6"/>
      <c r="AA201" s="6"/>
    </row>
    <row r="202" ht="15.75" customHeight="1">
      <c r="E202" s="10"/>
      <c r="L202" s="12"/>
      <c r="O202" s="6"/>
      <c r="P202" s="6"/>
      <c r="Q202" s="6"/>
      <c r="R202" s="6"/>
      <c r="S202" s="6"/>
      <c r="T202" s="6"/>
      <c r="U202" s="6"/>
      <c r="V202" s="6"/>
      <c r="W202" s="6"/>
      <c r="X202" s="6"/>
      <c r="Y202" s="6"/>
      <c r="Z202" s="6"/>
      <c r="AA202" s="6"/>
    </row>
    <row r="203" ht="15.75" customHeight="1">
      <c r="E203" s="10"/>
      <c r="L203" s="12"/>
      <c r="O203" s="6"/>
      <c r="P203" s="6"/>
      <c r="Q203" s="6"/>
      <c r="R203" s="6"/>
      <c r="S203" s="6"/>
      <c r="T203" s="6"/>
      <c r="U203" s="6"/>
      <c r="V203" s="6"/>
      <c r="W203" s="6"/>
      <c r="X203" s="6"/>
      <c r="Y203" s="6"/>
      <c r="Z203" s="6"/>
      <c r="AA203" s="6"/>
    </row>
    <row r="204" ht="15.75" customHeight="1">
      <c r="E204" s="10"/>
      <c r="L204" s="12"/>
      <c r="O204" s="6"/>
      <c r="P204" s="6"/>
      <c r="Q204" s="6"/>
      <c r="R204" s="6"/>
      <c r="S204" s="6"/>
      <c r="T204" s="6"/>
      <c r="U204" s="6"/>
      <c r="V204" s="6"/>
      <c r="W204" s="6"/>
      <c r="X204" s="6"/>
      <c r="Y204" s="6"/>
      <c r="Z204" s="6"/>
      <c r="AA204" s="6"/>
    </row>
    <row r="205" ht="15.75" customHeight="1">
      <c r="E205" s="10"/>
      <c r="L205" s="12"/>
      <c r="O205" s="6"/>
      <c r="P205" s="6"/>
      <c r="Q205" s="6"/>
      <c r="R205" s="6"/>
      <c r="S205" s="6"/>
      <c r="T205" s="6"/>
      <c r="U205" s="6"/>
      <c r="V205" s="6"/>
      <c r="W205" s="6"/>
      <c r="X205" s="6"/>
      <c r="Y205" s="6"/>
      <c r="Z205" s="6"/>
      <c r="AA205" s="6"/>
    </row>
    <row r="206" ht="15.75" customHeight="1">
      <c r="E206" s="10"/>
      <c r="L206" s="12"/>
      <c r="O206" s="6"/>
      <c r="P206" s="6"/>
      <c r="Q206" s="6"/>
      <c r="R206" s="6"/>
      <c r="S206" s="6"/>
      <c r="T206" s="6"/>
      <c r="U206" s="6"/>
      <c r="V206" s="6"/>
      <c r="W206" s="6"/>
      <c r="X206" s="6"/>
      <c r="Y206" s="6"/>
      <c r="Z206" s="6"/>
      <c r="AA206" s="6"/>
    </row>
    <row r="207" ht="15.75" customHeight="1">
      <c r="E207" s="10"/>
      <c r="L207" s="12"/>
      <c r="O207" s="6"/>
      <c r="P207" s="6"/>
      <c r="Q207" s="6"/>
      <c r="R207" s="6"/>
      <c r="S207" s="6"/>
      <c r="T207" s="6"/>
      <c r="U207" s="6"/>
      <c r="V207" s="6"/>
      <c r="W207" s="6"/>
      <c r="X207" s="6"/>
      <c r="Y207" s="6"/>
      <c r="Z207" s="6"/>
      <c r="AA207" s="6"/>
    </row>
    <row r="208" ht="15.75" customHeight="1">
      <c r="E208" s="10"/>
      <c r="L208" s="12"/>
      <c r="O208" s="6"/>
      <c r="P208" s="6"/>
      <c r="Q208" s="6"/>
      <c r="R208" s="6"/>
      <c r="S208" s="6"/>
      <c r="T208" s="6"/>
      <c r="U208" s="6"/>
      <c r="V208" s="6"/>
      <c r="W208" s="6"/>
      <c r="X208" s="6"/>
      <c r="Y208" s="6"/>
      <c r="Z208" s="6"/>
      <c r="AA208" s="6"/>
    </row>
    <row r="209" ht="15.75" customHeight="1">
      <c r="E209" s="10"/>
      <c r="L209" s="12"/>
      <c r="O209" s="6"/>
      <c r="P209" s="6"/>
      <c r="Q209" s="6"/>
      <c r="R209" s="6"/>
      <c r="S209" s="6"/>
      <c r="T209" s="6"/>
      <c r="U209" s="6"/>
      <c r="V209" s="6"/>
      <c r="W209" s="6"/>
      <c r="X209" s="6"/>
      <c r="Y209" s="6"/>
      <c r="Z209" s="6"/>
      <c r="AA209" s="6"/>
    </row>
    <row r="210" ht="15.75" customHeight="1">
      <c r="E210" s="10"/>
      <c r="L210" s="12"/>
      <c r="O210" s="6"/>
      <c r="P210" s="6"/>
      <c r="Q210" s="6"/>
      <c r="R210" s="6"/>
      <c r="S210" s="6"/>
      <c r="T210" s="6"/>
      <c r="U210" s="6"/>
      <c r="V210" s="6"/>
      <c r="W210" s="6"/>
      <c r="X210" s="6"/>
      <c r="Y210" s="6"/>
      <c r="Z210" s="6"/>
      <c r="AA210" s="6"/>
    </row>
    <row r="211" ht="15.75" customHeight="1">
      <c r="E211" s="10"/>
      <c r="L211" s="12"/>
      <c r="O211" s="6"/>
      <c r="P211" s="6"/>
      <c r="Q211" s="6"/>
      <c r="R211" s="6"/>
      <c r="S211" s="6"/>
      <c r="T211" s="6"/>
      <c r="U211" s="6"/>
      <c r="V211" s="6"/>
      <c r="W211" s="6"/>
      <c r="X211" s="6"/>
      <c r="Y211" s="6"/>
      <c r="Z211" s="6"/>
      <c r="AA211" s="6"/>
    </row>
    <row r="212" ht="15.75" customHeight="1">
      <c r="E212" s="10"/>
      <c r="L212" s="12"/>
      <c r="O212" s="6"/>
      <c r="P212" s="6"/>
      <c r="Q212" s="6"/>
      <c r="R212" s="6"/>
      <c r="S212" s="6"/>
      <c r="T212" s="6"/>
      <c r="U212" s="6"/>
      <c r="V212" s="6"/>
      <c r="W212" s="6"/>
      <c r="X212" s="6"/>
      <c r="Y212" s="6"/>
      <c r="Z212" s="6"/>
      <c r="AA212" s="6"/>
    </row>
    <row r="213" ht="15.75" customHeight="1">
      <c r="E213" s="10"/>
      <c r="L213" s="12"/>
      <c r="O213" s="6"/>
      <c r="P213" s="6"/>
      <c r="Q213" s="6"/>
      <c r="R213" s="6"/>
      <c r="S213" s="6"/>
      <c r="T213" s="6"/>
      <c r="U213" s="6"/>
      <c r="V213" s="6"/>
      <c r="W213" s="6"/>
      <c r="X213" s="6"/>
      <c r="Y213" s="6"/>
      <c r="Z213" s="6"/>
      <c r="AA213" s="6"/>
    </row>
    <row r="214" ht="15.75" customHeight="1">
      <c r="E214" s="10"/>
      <c r="L214" s="12"/>
      <c r="O214" s="6"/>
      <c r="P214" s="6"/>
      <c r="Q214" s="6"/>
      <c r="R214" s="6"/>
      <c r="S214" s="6"/>
      <c r="T214" s="6"/>
      <c r="U214" s="6"/>
      <c r="V214" s="6"/>
      <c r="W214" s="6"/>
      <c r="X214" s="6"/>
      <c r="Y214" s="6"/>
      <c r="Z214" s="6"/>
      <c r="AA214" s="6"/>
    </row>
    <row r="215" ht="15.75" customHeight="1">
      <c r="E215" s="10"/>
      <c r="L215" s="12"/>
      <c r="O215" s="6"/>
      <c r="P215" s="6"/>
      <c r="Q215" s="6"/>
      <c r="R215" s="6"/>
      <c r="S215" s="6"/>
      <c r="T215" s="6"/>
      <c r="U215" s="6"/>
      <c r="V215" s="6"/>
      <c r="W215" s="6"/>
      <c r="X215" s="6"/>
      <c r="Y215" s="6"/>
      <c r="Z215" s="6"/>
      <c r="AA215" s="6"/>
    </row>
    <row r="216" ht="15.75" customHeight="1">
      <c r="E216" s="10"/>
      <c r="L216" s="12"/>
      <c r="O216" s="6"/>
      <c r="P216" s="6"/>
      <c r="Q216" s="6"/>
      <c r="R216" s="6"/>
      <c r="S216" s="6"/>
      <c r="T216" s="6"/>
      <c r="U216" s="6"/>
      <c r="V216" s="6"/>
      <c r="W216" s="6"/>
      <c r="X216" s="6"/>
      <c r="Y216" s="6"/>
      <c r="Z216" s="6"/>
      <c r="AA216" s="6"/>
    </row>
    <row r="217" ht="15.75" customHeight="1">
      <c r="E217" s="10"/>
      <c r="L217" s="12"/>
      <c r="O217" s="6"/>
      <c r="P217" s="6"/>
      <c r="Q217" s="6"/>
      <c r="R217" s="6"/>
      <c r="S217" s="6"/>
      <c r="T217" s="6"/>
      <c r="U217" s="6"/>
      <c r="V217" s="6"/>
      <c r="W217" s="6"/>
      <c r="X217" s="6"/>
      <c r="Y217" s="6"/>
      <c r="Z217" s="6"/>
      <c r="AA217" s="6"/>
    </row>
    <row r="218" ht="15.75" customHeight="1">
      <c r="E218" s="10"/>
      <c r="L218" s="12"/>
      <c r="O218" s="6"/>
      <c r="P218" s="6"/>
      <c r="Q218" s="6"/>
      <c r="R218" s="6"/>
      <c r="S218" s="6"/>
      <c r="T218" s="6"/>
      <c r="U218" s="6"/>
      <c r="V218" s="6"/>
      <c r="W218" s="6"/>
      <c r="X218" s="6"/>
      <c r="Y218" s="6"/>
      <c r="Z218" s="6"/>
      <c r="AA218" s="6"/>
    </row>
    <row r="219" ht="15.75" customHeight="1">
      <c r="E219" s="10"/>
      <c r="L219" s="12"/>
      <c r="O219" s="6"/>
      <c r="P219" s="6"/>
      <c r="Q219" s="6"/>
      <c r="R219" s="6"/>
      <c r="S219" s="6"/>
      <c r="T219" s="6"/>
      <c r="U219" s="6"/>
      <c r="V219" s="6"/>
      <c r="W219" s="6"/>
      <c r="X219" s="6"/>
      <c r="Y219" s="6"/>
      <c r="Z219" s="6"/>
      <c r="AA219" s="6"/>
    </row>
    <row r="220" ht="15.75" customHeight="1">
      <c r="E220" s="10"/>
      <c r="L220" s="12"/>
      <c r="O220" s="6"/>
      <c r="P220" s="6"/>
      <c r="Q220" s="6"/>
      <c r="R220" s="6"/>
      <c r="S220" s="6"/>
      <c r="T220" s="6"/>
      <c r="U220" s="6"/>
      <c r="V220" s="6"/>
      <c r="W220" s="6"/>
      <c r="X220" s="6"/>
      <c r="Y220" s="6"/>
      <c r="Z220" s="6"/>
      <c r="AA220" s="6"/>
    </row>
    <row r="221" ht="15.75" customHeight="1">
      <c r="L221" s="12"/>
      <c r="O221" s="6"/>
      <c r="P221" s="6"/>
      <c r="Q221" s="6"/>
      <c r="R221" s="6"/>
      <c r="S221" s="6"/>
      <c r="T221" s="6"/>
      <c r="U221" s="6"/>
      <c r="V221" s="6"/>
      <c r="W221" s="6"/>
      <c r="X221" s="6"/>
      <c r="Y221" s="6"/>
      <c r="Z221" s="6"/>
      <c r="AA221" s="6"/>
    </row>
    <row r="222" ht="15.75" customHeight="1">
      <c r="L222" s="12"/>
      <c r="O222" s="6"/>
      <c r="P222" s="6"/>
      <c r="Q222" s="6"/>
      <c r="R222" s="6"/>
      <c r="S222" s="6"/>
      <c r="T222" s="6"/>
      <c r="U222" s="6"/>
      <c r="V222" s="6"/>
      <c r="W222" s="6"/>
      <c r="X222" s="6"/>
      <c r="Y222" s="6"/>
      <c r="Z222" s="6"/>
      <c r="AA222" s="6"/>
    </row>
    <row r="223" ht="15.75" customHeight="1">
      <c r="L223" s="12"/>
      <c r="O223" s="6"/>
      <c r="P223" s="6"/>
      <c r="Q223" s="6"/>
      <c r="R223" s="6"/>
      <c r="S223" s="6"/>
      <c r="T223" s="6"/>
      <c r="U223" s="6"/>
      <c r="V223" s="6"/>
      <c r="W223" s="6"/>
      <c r="X223" s="6"/>
      <c r="Y223" s="6"/>
      <c r="Z223" s="6"/>
      <c r="AA223" s="6"/>
    </row>
    <row r="224" ht="15.75" customHeight="1">
      <c r="L224" s="12"/>
      <c r="O224" s="6"/>
      <c r="P224" s="6"/>
      <c r="Q224" s="6"/>
      <c r="R224" s="6"/>
      <c r="S224" s="6"/>
      <c r="T224" s="6"/>
      <c r="U224" s="6"/>
      <c r="V224" s="6"/>
      <c r="W224" s="6"/>
      <c r="X224" s="6"/>
      <c r="Y224" s="6"/>
      <c r="Z224" s="6"/>
      <c r="AA224" s="6"/>
    </row>
    <row r="225" ht="15.75" customHeight="1">
      <c r="L225" s="12"/>
      <c r="O225" s="6"/>
      <c r="P225" s="6"/>
      <c r="Q225" s="6"/>
      <c r="R225" s="6"/>
      <c r="S225" s="6"/>
      <c r="T225" s="6"/>
      <c r="U225" s="6"/>
      <c r="V225" s="6"/>
      <c r="W225" s="6"/>
      <c r="X225" s="6"/>
      <c r="Y225" s="6"/>
      <c r="Z225" s="6"/>
      <c r="AA225" s="6"/>
    </row>
    <row r="226" ht="15.75" customHeight="1">
      <c r="L226" s="12"/>
      <c r="O226" s="6"/>
      <c r="P226" s="6"/>
      <c r="Q226" s="6"/>
      <c r="R226" s="6"/>
      <c r="S226" s="6"/>
      <c r="T226" s="6"/>
      <c r="U226" s="6"/>
      <c r="V226" s="6"/>
      <c r="W226" s="6"/>
      <c r="X226" s="6"/>
      <c r="Y226" s="6"/>
      <c r="Z226" s="6"/>
      <c r="AA226" s="6"/>
    </row>
    <row r="227" ht="15.75" customHeight="1">
      <c r="L227" s="12"/>
      <c r="O227" s="6"/>
      <c r="P227" s="6"/>
      <c r="Q227" s="6"/>
      <c r="R227" s="6"/>
      <c r="S227" s="6"/>
      <c r="T227" s="6"/>
      <c r="U227" s="6"/>
      <c r="V227" s="6"/>
      <c r="W227" s="6"/>
      <c r="X227" s="6"/>
      <c r="Y227" s="6"/>
      <c r="Z227" s="6"/>
      <c r="AA227" s="6"/>
    </row>
    <row r="228" ht="15.75" customHeight="1">
      <c r="L228" s="12"/>
      <c r="O228" s="6"/>
      <c r="P228" s="6"/>
      <c r="Q228" s="6"/>
      <c r="R228" s="6"/>
      <c r="S228" s="6"/>
      <c r="T228" s="6"/>
      <c r="U228" s="6"/>
      <c r="V228" s="6"/>
      <c r="W228" s="6"/>
      <c r="X228" s="6"/>
      <c r="Y228" s="6"/>
      <c r="Z228" s="6"/>
      <c r="AA228" s="6"/>
    </row>
    <row r="229" ht="15.75" customHeight="1">
      <c r="L229" s="12"/>
      <c r="O229" s="6"/>
      <c r="P229" s="6"/>
      <c r="Q229" s="6"/>
      <c r="R229" s="6"/>
      <c r="S229" s="6"/>
      <c r="T229" s="6"/>
      <c r="U229" s="6"/>
      <c r="V229" s="6"/>
      <c r="W229" s="6"/>
      <c r="X229" s="6"/>
      <c r="Y229" s="6"/>
      <c r="Z229" s="6"/>
      <c r="AA229" s="6"/>
    </row>
    <row r="230" ht="15.75" customHeight="1">
      <c r="L230" s="12"/>
      <c r="O230" s="6"/>
      <c r="P230" s="6"/>
      <c r="Q230" s="6"/>
      <c r="R230" s="6"/>
      <c r="S230" s="6"/>
      <c r="T230" s="6"/>
      <c r="U230" s="6"/>
      <c r="V230" s="6"/>
      <c r="W230" s="6"/>
      <c r="X230" s="6"/>
      <c r="Y230" s="6"/>
      <c r="Z230" s="6"/>
      <c r="AA230" s="6"/>
    </row>
    <row r="231" ht="15.75" customHeight="1">
      <c r="L231" s="12"/>
      <c r="O231" s="6"/>
      <c r="P231" s="6"/>
      <c r="Q231" s="6"/>
      <c r="R231" s="6"/>
      <c r="S231" s="6"/>
      <c r="T231" s="6"/>
      <c r="U231" s="6"/>
      <c r="V231" s="6"/>
      <c r="W231" s="6"/>
      <c r="X231" s="6"/>
      <c r="Y231" s="6"/>
      <c r="Z231" s="6"/>
      <c r="AA231" s="6"/>
    </row>
    <row r="232" ht="15.75" customHeight="1">
      <c r="L232" s="12"/>
      <c r="O232" s="6"/>
      <c r="P232" s="6"/>
      <c r="Q232" s="6"/>
      <c r="R232" s="6"/>
      <c r="S232" s="6"/>
      <c r="T232" s="6"/>
      <c r="U232" s="6"/>
      <c r="V232" s="6"/>
      <c r="W232" s="6"/>
      <c r="X232" s="6"/>
      <c r="Y232" s="6"/>
      <c r="Z232" s="6"/>
      <c r="AA232" s="6"/>
    </row>
    <row r="233" ht="15.75" customHeight="1">
      <c r="L233" s="12"/>
      <c r="O233" s="6"/>
      <c r="P233" s="6"/>
      <c r="Q233" s="6"/>
      <c r="R233" s="6"/>
      <c r="S233" s="6"/>
      <c r="T233" s="6"/>
      <c r="U233" s="6"/>
      <c r="V233" s="6"/>
      <c r="W233" s="6"/>
      <c r="X233" s="6"/>
      <c r="Y233" s="6"/>
      <c r="Z233" s="6"/>
      <c r="AA233" s="6"/>
    </row>
    <row r="234" ht="15.75" customHeight="1">
      <c r="L234" s="12"/>
      <c r="O234" s="6"/>
      <c r="P234" s="6"/>
      <c r="Q234" s="6"/>
      <c r="R234" s="6"/>
      <c r="S234" s="6"/>
      <c r="T234" s="6"/>
      <c r="U234" s="6"/>
      <c r="V234" s="6"/>
      <c r="W234" s="6"/>
      <c r="X234" s="6"/>
      <c r="Y234" s="6"/>
      <c r="Z234" s="6"/>
      <c r="AA234" s="6"/>
    </row>
    <row r="235" ht="15.75" customHeight="1">
      <c r="L235" s="12"/>
      <c r="O235" s="6"/>
      <c r="P235" s="6"/>
      <c r="Q235" s="6"/>
      <c r="R235" s="6"/>
      <c r="S235" s="6"/>
      <c r="T235" s="6"/>
      <c r="U235" s="6"/>
      <c r="V235" s="6"/>
      <c r="W235" s="6"/>
      <c r="X235" s="6"/>
      <c r="Y235" s="6"/>
      <c r="Z235" s="6"/>
      <c r="AA235" s="6"/>
    </row>
    <row r="236" ht="15.75" customHeight="1">
      <c r="L236" s="12"/>
      <c r="O236" s="6"/>
      <c r="P236" s="6"/>
      <c r="Q236" s="6"/>
      <c r="R236" s="6"/>
      <c r="S236" s="6"/>
      <c r="T236" s="6"/>
      <c r="U236" s="6"/>
      <c r="V236" s="6"/>
      <c r="W236" s="6"/>
      <c r="X236" s="6"/>
      <c r="Y236" s="6"/>
      <c r="Z236" s="6"/>
      <c r="AA236" s="6"/>
    </row>
    <row r="237" ht="15.75" customHeight="1">
      <c r="L237" s="12"/>
      <c r="O237" s="6"/>
      <c r="P237" s="6"/>
      <c r="Q237" s="6"/>
      <c r="R237" s="6"/>
      <c r="S237" s="6"/>
      <c r="T237" s="6"/>
      <c r="U237" s="6"/>
      <c r="V237" s="6"/>
      <c r="W237" s="6"/>
      <c r="X237" s="6"/>
      <c r="Y237" s="6"/>
      <c r="Z237" s="6"/>
      <c r="AA237" s="6"/>
    </row>
    <row r="238" ht="15.75" customHeight="1">
      <c r="L238" s="12"/>
      <c r="O238" s="6"/>
      <c r="P238" s="6"/>
      <c r="Q238" s="6"/>
      <c r="R238" s="6"/>
      <c r="S238" s="6"/>
      <c r="T238" s="6"/>
      <c r="U238" s="6"/>
      <c r="V238" s="6"/>
      <c r="W238" s="6"/>
      <c r="X238" s="6"/>
      <c r="Y238" s="6"/>
      <c r="Z238" s="6"/>
      <c r="AA238" s="6"/>
    </row>
    <row r="239" ht="15.75" customHeight="1">
      <c r="L239" s="12"/>
      <c r="O239" s="6"/>
      <c r="P239" s="6"/>
      <c r="Q239" s="6"/>
      <c r="R239" s="6"/>
      <c r="S239" s="6"/>
      <c r="T239" s="6"/>
      <c r="U239" s="6"/>
      <c r="V239" s="6"/>
      <c r="W239" s="6"/>
      <c r="X239" s="6"/>
      <c r="Y239" s="6"/>
      <c r="Z239" s="6"/>
      <c r="AA239" s="6"/>
    </row>
    <row r="240" ht="15.75" customHeight="1">
      <c r="L240" s="12"/>
      <c r="O240" s="6"/>
      <c r="P240" s="6"/>
      <c r="Q240" s="6"/>
      <c r="R240" s="6"/>
      <c r="S240" s="6"/>
      <c r="T240" s="6"/>
      <c r="U240" s="6"/>
      <c r="V240" s="6"/>
      <c r="W240" s="6"/>
      <c r="X240" s="6"/>
      <c r="Y240" s="6"/>
      <c r="Z240" s="6"/>
      <c r="AA240" s="6"/>
    </row>
    <row r="241" ht="15.75" customHeight="1">
      <c r="L241" s="12"/>
      <c r="O241" s="6"/>
      <c r="P241" s="6"/>
      <c r="Q241" s="6"/>
      <c r="R241" s="6"/>
      <c r="S241" s="6"/>
      <c r="T241" s="6"/>
      <c r="U241" s="6"/>
      <c r="V241" s="6"/>
      <c r="W241" s="6"/>
      <c r="X241" s="6"/>
      <c r="Y241" s="6"/>
      <c r="Z241" s="6"/>
      <c r="AA241" s="6"/>
    </row>
    <row r="242" ht="15.75" customHeight="1">
      <c r="L242" s="12"/>
      <c r="O242" s="6"/>
      <c r="P242" s="6"/>
      <c r="Q242" s="6"/>
      <c r="R242" s="6"/>
      <c r="S242" s="6"/>
      <c r="T242" s="6"/>
      <c r="U242" s="6"/>
      <c r="V242" s="6"/>
      <c r="W242" s="6"/>
      <c r="X242" s="6"/>
      <c r="Y242" s="6"/>
      <c r="Z242" s="6"/>
      <c r="AA242" s="6"/>
    </row>
    <row r="243" ht="15.75" customHeight="1">
      <c r="L243" s="12"/>
      <c r="O243" s="6"/>
      <c r="P243" s="6"/>
      <c r="Q243" s="6"/>
      <c r="R243" s="6"/>
      <c r="S243" s="6"/>
      <c r="T243" s="6"/>
      <c r="U243" s="6"/>
      <c r="V243" s="6"/>
      <c r="W243" s="6"/>
      <c r="X243" s="6"/>
      <c r="Y243" s="6"/>
      <c r="Z243" s="6"/>
      <c r="AA243" s="6"/>
    </row>
    <row r="244" ht="15.75" customHeight="1">
      <c r="L244" s="12"/>
      <c r="O244" s="6"/>
      <c r="P244" s="6"/>
      <c r="Q244" s="6"/>
      <c r="R244" s="6"/>
      <c r="S244" s="6"/>
      <c r="T244" s="6"/>
      <c r="U244" s="6"/>
      <c r="V244" s="6"/>
      <c r="W244" s="6"/>
      <c r="X244" s="6"/>
      <c r="Y244" s="6"/>
      <c r="Z244" s="6"/>
      <c r="AA244" s="6"/>
    </row>
    <row r="245" ht="15.75" customHeight="1">
      <c r="L245" s="12"/>
      <c r="O245" s="6"/>
      <c r="P245" s="6"/>
      <c r="Q245" s="6"/>
      <c r="R245" s="6"/>
      <c r="S245" s="6"/>
      <c r="T245" s="6"/>
      <c r="U245" s="6"/>
      <c r="V245" s="6"/>
      <c r="W245" s="6"/>
      <c r="X245" s="6"/>
      <c r="Y245" s="6"/>
      <c r="Z245" s="6"/>
      <c r="AA245" s="6"/>
    </row>
    <row r="246" ht="15.75" customHeight="1">
      <c r="L246" s="12"/>
      <c r="O246" s="6"/>
      <c r="P246" s="6"/>
      <c r="Q246" s="6"/>
      <c r="R246" s="6"/>
      <c r="S246" s="6"/>
      <c r="T246" s="6"/>
      <c r="U246" s="6"/>
      <c r="V246" s="6"/>
      <c r="W246" s="6"/>
      <c r="X246" s="6"/>
      <c r="Y246" s="6"/>
      <c r="Z246" s="6"/>
      <c r="AA246" s="6"/>
    </row>
    <row r="247" ht="15.75" customHeight="1">
      <c r="L247" s="12"/>
      <c r="O247" s="6"/>
      <c r="P247" s="6"/>
      <c r="Q247" s="6"/>
      <c r="R247" s="6"/>
      <c r="S247" s="6"/>
      <c r="T247" s="6"/>
      <c r="U247" s="6"/>
      <c r="V247" s="6"/>
      <c r="W247" s="6"/>
      <c r="X247" s="6"/>
      <c r="Y247" s="6"/>
      <c r="Z247" s="6"/>
      <c r="AA247" s="6"/>
    </row>
    <row r="248" ht="15.75" customHeight="1">
      <c r="L248" s="12"/>
      <c r="O248" s="6"/>
      <c r="P248" s="6"/>
      <c r="Q248" s="6"/>
      <c r="R248" s="6"/>
      <c r="S248" s="6"/>
      <c r="T248" s="6"/>
      <c r="U248" s="6"/>
      <c r="V248" s="6"/>
      <c r="W248" s="6"/>
      <c r="X248" s="6"/>
      <c r="Y248" s="6"/>
      <c r="Z248" s="6"/>
      <c r="AA248" s="6"/>
    </row>
    <row r="249" ht="15.75" customHeight="1">
      <c r="L249" s="12"/>
      <c r="O249" s="6"/>
      <c r="P249" s="6"/>
      <c r="Q249" s="6"/>
      <c r="R249" s="6"/>
      <c r="S249" s="6"/>
      <c r="T249" s="6"/>
      <c r="U249" s="6"/>
      <c r="V249" s="6"/>
      <c r="W249" s="6"/>
      <c r="X249" s="6"/>
      <c r="Y249" s="6"/>
      <c r="Z249" s="6"/>
      <c r="AA249" s="6"/>
    </row>
    <row r="250" ht="15.75" customHeight="1">
      <c r="L250" s="12"/>
      <c r="O250" s="6"/>
      <c r="P250" s="6"/>
      <c r="Q250" s="6"/>
      <c r="R250" s="6"/>
      <c r="S250" s="6"/>
      <c r="T250" s="6"/>
      <c r="U250" s="6"/>
      <c r="V250" s="6"/>
      <c r="W250" s="6"/>
      <c r="X250" s="6"/>
      <c r="Y250" s="6"/>
      <c r="Z250" s="6"/>
      <c r="AA250" s="6"/>
    </row>
    <row r="251" ht="15.75" customHeight="1">
      <c r="L251" s="12"/>
      <c r="O251" s="6"/>
      <c r="P251" s="6"/>
      <c r="Q251" s="6"/>
      <c r="R251" s="6"/>
      <c r="S251" s="6"/>
      <c r="T251" s="6"/>
      <c r="U251" s="6"/>
      <c r="V251" s="6"/>
      <c r="W251" s="6"/>
      <c r="X251" s="6"/>
      <c r="Y251" s="6"/>
      <c r="Z251" s="6"/>
      <c r="AA251" s="6"/>
    </row>
    <row r="252" ht="15.75" customHeight="1">
      <c r="L252" s="12"/>
      <c r="O252" s="6"/>
      <c r="P252" s="6"/>
      <c r="Q252" s="6"/>
      <c r="R252" s="6"/>
      <c r="S252" s="6"/>
      <c r="T252" s="6"/>
      <c r="U252" s="6"/>
      <c r="V252" s="6"/>
      <c r="W252" s="6"/>
      <c r="X252" s="6"/>
      <c r="Y252" s="6"/>
      <c r="Z252" s="6"/>
      <c r="AA252" s="6"/>
    </row>
    <row r="253" ht="15.75" customHeight="1">
      <c r="L253" s="12"/>
      <c r="O253" s="6"/>
      <c r="P253" s="6"/>
      <c r="Q253" s="6"/>
      <c r="R253" s="6"/>
      <c r="S253" s="6"/>
      <c r="T253" s="6"/>
      <c r="U253" s="6"/>
      <c r="V253" s="6"/>
      <c r="W253" s="6"/>
      <c r="X253" s="6"/>
      <c r="Y253" s="6"/>
      <c r="Z253" s="6"/>
      <c r="AA253" s="6"/>
    </row>
    <row r="254" ht="15.75" customHeight="1">
      <c r="L254" s="12"/>
      <c r="O254" s="6"/>
      <c r="P254" s="6"/>
      <c r="Q254" s="6"/>
      <c r="R254" s="6"/>
      <c r="S254" s="6"/>
      <c r="T254" s="6"/>
      <c r="U254" s="6"/>
      <c r="V254" s="6"/>
      <c r="W254" s="6"/>
      <c r="X254" s="6"/>
      <c r="Y254" s="6"/>
      <c r="Z254" s="6"/>
      <c r="AA254" s="6"/>
    </row>
    <row r="255" ht="15.75" customHeight="1">
      <c r="L255" s="12"/>
      <c r="O255" s="6"/>
      <c r="P255" s="6"/>
      <c r="Q255" s="6"/>
      <c r="R255" s="6"/>
      <c r="S255" s="6"/>
      <c r="T255" s="6"/>
      <c r="U255" s="6"/>
      <c r="V255" s="6"/>
      <c r="W255" s="6"/>
      <c r="X255" s="6"/>
      <c r="Y255" s="6"/>
      <c r="Z255" s="6"/>
      <c r="AA255" s="6"/>
    </row>
    <row r="256" ht="15.75" customHeight="1">
      <c r="L256" s="12"/>
      <c r="O256" s="6"/>
      <c r="P256" s="6"/>
      <c r="Q256" s="6"/>
      <c r="R256" s="6"/>
      <c r="S256" s="6"/>
      <c r="T256" s="6"/>
      <c r="U256" s="6"/>
      <c r="V256" s="6"/>
      <c r="W256" s="6"/>
      <c r="X256" s="6"/>
      <c r="Y256" s="6"/>
      <c r="Z256" s="6"/>
      <c r="AA256" s="6"/>
    </row>
    <row r="257" ht="15.75" customHeight="1">
      <c r="L257" s="12"/>
      <c r="O257" s="6"/>
      <c r="P257" s="6"/>
      <c r="Q257" s="6"/>
      <c r="R257" s="6"/>
      <c r="S257" s="6"/>
      <c r="T257" s="6"/>
      <c r="U257" s="6"/>
      <c r="V257" s="6"/>
      <c r="W257" s="6"/>
      <c r="X257" s="6"/>
      <c r="Y257" s="6"/>
      <c r="Z257" s="6"/>
      <c r="AA257" s="6"/>
    </row>
    <row r="258" ht="15.75" customHeight="1">
      <c r="L258" s="12"/>
      <c r="O258" s="6"/>
      <c r="P258" s="6"/>
      <c r="Q258" s="6"/>
      <c r="R258" s="6"/>
      <c r="S258" s="6"/>
      <c r="T258" s="6"/>
      <c r="U258" s="6"/>
      <c r="V258" s="6"/>
      <c r="W258" s="6"/>
      <c r="X258" s="6"/>
      <c r="Y258" s="6"/>
      <c r="Z258" s="6"/>
      <c r="AA258" s="6"/>
    </row>
    <row r="259" ht="15.75" customHeight="1">
      <c r="L259" s="12"/>
      <c r="O259" s="6"/>
      <c r="P259" s="6"/>
      <c r="Q259" s="6"/>
      <c r="R259" s="6"/>
      <c r="S259" s="6"/>
      <c r="T259" s="6"/>
      <c r="U259" s="6"/>
      <c r="V259" s="6"/>
      <c r="W259" s="6"/>
      <c r="X259" s="6"/>
      <c r="Y259" s="6"/>
      <c r="Z259" s="6"/>
      <c r="AA259" s="6"/>
    </row>
    <row r="260" ht="15.75" customHeight="1">
      <c r="L260" s="12"/>
      <c r="O260" s="6"/>
      <c r="P260" s="6"/>
      <c r="Q260" s="6"/>
      <c r="R260" s="6"/>
      <c r="S260" s="6"/>
      <c r="T260" s="6"/>
      <c r="U260" s="6"/>
      <c r="V260" s="6"/>
      <c r="W260" s="6"/>
      <c r="X260" s="6"/>
      <c r="Y260" s="6"/>
      <c r="Z260" s="6"/>
      <c r="AA260" s="6"/>
    </row>
    <row r="261" ht="15.75" customHeight="1">
      <c r="L261" s="12"/>
      <c r="O261" s="6"/>
      <c r="P261" s="6"/>
      <c r="Q261" s="6"/>
      <c r="R261" s="6"/>
      <c r="S261" s="6"/>
      <c r="T261" s="6"/>
      <c r="U261" s="6"/>
      <c r="V261" s="6"/>
      <c r="W261" s="6"/>
      <c r="X261" s="6"/>
      <c r="Y261" s="6"/>
      <c r="Z261" s="6"/>
      <c r="AA261" s="6"/>
    </row>
    <row r="262" ht="15.75" customHeight="1">
      <c r="L262" s="12"/>
      <c r="O262" s="6"/>
      <c r="P262" s="6"/>
      <c r="Q262" s="6"/>
      <c r="R262" s="6"/>
      <c r="S262" s="6"/>
      <c r="T262" s="6"/>
      <c r="U262" s="6"/>
      <c r="V262" s="6"/>
      <c r="W262" s="6"/>
      <c r="X262" s="6"/>
      <c r="Y262" s="6"/>
      <c r="Z262" s="6"/>
      <c r="AA262" s="6"/>
    </row>
    <row r="263" ht="15.75" customHeight="1">
      <c r="L263" s="12"/>
      <c r="O263" s="6"/>
      <c r="P263" s="6"/>
      <c r="Q263" s="6"/>
      <c r="R263" s="6"/>
      <c r="S263" s="6"/>
      <c r="T263" s="6"/>
      <c r="U263" s="6"/>
      <c r="V263" s="6"/>
      <c r="W263" s="6"/>
      <c r="X263" s="6"/>
      <c r="Y263" s="6"/>
      <c r="Z263" s="6"/>
      <c r="AA263" s="6"/>
    </row>
    <row r="264" ht="15.75" customHeight="1">
      <c r="L264" s="12"/>
      <c r="O264" s="6"/>
      <c r="P264" s="6"/>
      <c r="Q264" s="6"/>
      <c r="R264" s="6"/>
      <c r="S264" s="6"/>
      <c r="T264" s="6"/>
      <c r="U264" s="6"/>
      <c r="V264" s="6"/>
      <c r="W264" s="6"/>
      <c r="X264" s="6"/>
      <c r="Y264" s="6"/>
      <c r="Z264" s="6"/>
      <c r="AA264" s="6"/>
    </row>
    <row r="265" ht="15.75" customHeight="1">
      <c r="L265" s="12"/>
      <c r="O265" s="6"/>
      <c r="P265" s="6"/>
      <c r="Q265" s="6"/>
      <c r="R265" s="6"/>
      <c r="S265" s="6"/>
      <c r="T265" s="6"/>
      <c r="U265" s="6"/>
      <c r="V265" s="6"/>
      <c r="W265" s="6"/>
      <c r="X265" s="6"/>
      <c r="Y265" s="6"/>
      <c r="Z265" s="6"/>
      <c r="AA265" s="6"/>
    </row>
    <row r="266" ht="15.75" customHeight="1">
      <c r="L266" s="12"/>
      <c r="O266" s="6"/>
      <c r="P266" s="6"/>
      <c r="Q266" s="6"/>
      <c r="R266" s="6"/>
      <c r="S266" s="6"/>
      <c r="T266" s="6"/>
      <c r="U266" s="6"/>
      <c r="V266" s="6"/>
      <c r="W266" s="6"/>
      <c r="X266" s="6"/>
      <c r="Y266" s="6"/>
      <c r="Z266" s="6"/>
      <c r="AA266" s="6"/>
    </row>
    <row r="267" ht="15.75" customHeight="1">
      <c r="L267" s="12"/>
      <c r="O267" s="6"/>
      <c r="P267" s="6"/>
      <c r="Q267" s="6"/>
      <c r="R267" s="6"/>
      <c r="S267" s="6"/>
      <c r="T267" s="6"/>
      <c r="U267" s="6"/>
      <c r="V267" s="6"/>
      <c r="W267" s="6"/>
      <c r="X267" s="6"/>
      <c r="Y267" s="6"/>
      <c r="Z267" s="6"/>
      <c r="AA267" s="6"/>
    </row>
    <row r="268" ht="15.75" customHeight="1">
      <c r="L268" s="12"/>
      <c r="O268" s="6"/>
      <c r="P268" s="6"/>
      <c r="Q268" s="6"/>
      <c r="R268" s="6"/>
      <c r="S268" s="6"/>
      <c r="T268" s="6"/>
      <c r="U268" s="6"/>
      <c r="V268" s="6"/>
      <c r="W268" s="6"/>
      <c r="X268" s="6"/>
      <c r="Y268" s="6"/>
      <c r="Z268" s="6"/>
      <c r="AA268" s="6"/>
    </row>
    <row r="269" ht="15.75" customHeight="1">
      <c r="L269" s="12"/>
      <c r="O269" s="6"/>
      <c r="P269" s="6"/>
      <c r="Q269" s="6"/>
      <c r="R269" s="6"/>
      <c r="S269" s="6"/>
      <c r="T269" s="6"/>
      <c r="U269" s="6"/>
      <c r="V269" s="6"/>
      <c r="W269" s="6"/>
      <c r="X269" s="6"/>
      <c r="Y269" s="6"/>
      <c r="Z269" s="6"/>
      <c r="AA269" s="6"/>
    </row>
    <row r="270" ht="15.75" customHeight="1">
      <c r="L270" s="12"/>
      <c r="O270" s="6"/>
      <c r="P270" s="6"/>
      <c r="Q270" s="6"/>
      <c r="R270" s="6"/>
      <c r="S270" s="6"/>
      <c r="T270" s="6"/>
      <c r="U270" s="6"/>
      <c r="V270" s="6"/>
      <c r="W270" s="6"/>
      <c r="X270" s="6"/>
      <c r="Y270" s="6"/>
      <c r="Z270" s="6"/>
      <c r="AA270" s="6"/>
    </row>
    <row r="271" ht="15.75" customHeight="1">
      <c r="L271" s="12"/>
      <c r="O271" s="6"/>
      <c r="P271" s="6"/>
      <c r="Q271" s="6"/>
      <c r="R271" s="6"/>
      <c r="S271" s="6"/>
      <c r="T271" s="6"/>
      <c r="U271" s="6"/>
      <c r="V271" s="6"/>
      <c r="W271" s="6"/>
      <c r="X271" s="6"/>
      <c r="Y271" s="6"/>
      <c r="Z271" s="6"/>
      <c r="AA271" s="6"/>
    </row>
    <row r="272" ht="15.75" customHeight="1">
      <c r="L272" s="12"/>
      <c r="O272" s="6"/>
      <c r="P272" s="6"/>
      <c r="Q272" s="6"/>
      <c r="R272" s="6"/>
      <c r="S272" s="6"/>
      <c r="T272" s="6"/>
      <c r="U272" s="6"/>
      <c r="V272" s="6"/>
      <c r="W272" s="6"/>
      <c r="X272" s="6"/>
      <c r="Y272" s="6"/>
      <c r="Z272" s="6"/>
      <c r="AA272" s="6"/>
    </row>
    <row r="273" ht="15.75" customHeight="1">
      <c r="L273" s="12"/>
      <c r="O273" s="6"/>
      <c r="P273" s="6"/>
      <c r="Q273" s="6"/>
      <c r="R273" s="6"/>
      <c r="S273" s="6"/>
      <c r="T273" s="6"/>
      <c r="U273" s="6"/>
      <c r="V273" s="6"/>
      <c r="W273" s="6"/>
      <c r="X273" s="6"/>
      <c r="Y273" s="6"/>
      <c r="Z273" s="6"/>
      <c r="AA273" s="6"/>
    </row>
    <row r="274" ht="15.75" customHeight="1">
      <c r="L274" s="12"/>
      <c r="O274" s="6"/>
      <c r="P274" s="6"/>
      <c r="Q274" s="6"/>
      <c r="R274" s="6"/>
      <c r="S274" s="6"/>
      <c r="T274" s="6"/>
      <c r="U274" s="6"/>
      <c r="V274" s="6"/>
      <c r="W274" s="6"/>
      <c r="X274" s="6"/>
      <c r="Y274" s="6"/>
      <c r="Z274" s="6"/>
      <c r="AA274" s="6"/>
    </row>
    <row r="275" ht="15.75" customHeight="1">
      <c r="L275" s="12"/>
      <c r="O275" s="6"/>
      <c r="P275" s="6"/>
      <c r="Q275" s="6"/>
      <c r="R275" s="6"/>
      <c r="S275" s="6"/>
      <c r="T275" s="6"/>
      <c r="U275" s="6"/>
      <c r="V275" s="6"/>
      <c r="W275" s="6"/>
      <c r="X275" s="6"/>
      <c r="Y275" s="6"/>
      <c r="Z275" s="6"/>
      <c r="AA275" s="6"/>
    </row>
    <row r="276" ht="15.75" customHeight="1">
      <c r="L276" s="12"/>
      <c r="O276" s="6"/>
      <c r="P276" s="6"/>
      <c r="Q276" s="6"/>
      <c r="R276" s="6"/>
      <c r="S276" s="6"/>
      <c r="T276" s="6"/>
      <c r="U276" s="6"/>
      <c r="V276" s="6"/>
      <c r="W276" s="6"/>
      <c r="X276" s="6"/>
      <c r="Y276" s="6"/>
      <c r="Z276" s="6"/>
      <c r="AA276" s="6"/>
    </row>
    <row r="277" ht="15.75" customHeight="1">
      <c r="L277" s="12"/>
      <c r="O277" s="6"/>
      <c r="P277" s="6"/>
      <c r="Q277" s="6"/>
      <c r="R277" s="6"/>
      <c r="S277" s="6"/>
      <c r="T277" s="6"/>
      <c r="U277" s="6"/>
      <c r="V277" s="6"/>
      <c r="W277" s="6"/>
      <c r="X277" s="6"/>
      <c r="Y277" s="6"/>
      <c r="Z277" s="6"/>
      <c r="AA277" s="6"/>
    </row>
    <row r="278" ht="15.75" customHeight="1">
      <c r="L278" s="12"/>
      <c r="O278" s="6"/>
      <c r="P278" s="6"/>
      <c r="Q278" s="6"/>
      <c r="R278" s="6"/>
      <c r="S278" s="6"/>
      <c r="T278" s="6"/>
      <c r="U278" s="6"/>
      <c r="V278" s="6"/>
      <c r="W278" s="6"/>
      <c r="X278" s="6"/>
      <c r="Y278" s="6"/>
      <c r="Z278" s="6"/>
      <c r="AA278" s="6"/>
    </row>
    <row r="279" ht="15.75" customHeight="1">
      <c r="L279" s="12"/>
      <c r="O279" s="6"/>
      <c r="P279" s="6"/>
      <c r="Q279" s="6"/>
      <c r="R279" s="6"/>
      <c r="S279" s="6"/>
      <c r="T279" s="6"/>
      <c r="U279" s="6"/>
      <c r="V279" s="6"/>
      <c r="W279" s="6"/>
      <c r="X279" s="6"/>
      <c r="Y279" s="6"/>
      <c r="Z279" s="6"/>
      <c r="AA279" s="6"/>
    </row>
    <row r="280" ht="15.75" customHeight="1">
      <c r="L280" s="12"/>
      <c r="O280" s="6"/>
      <c r="P280" s="6"/>
      <c r="Q280" s="6"/>
      <c r="R280" s="6"/>
      <c r="S280" s="6"/>
      <c r="T280" s="6"/>
      <c r="U280" s="6"/>
      <c r="V280" s="6"/>
      <c r="W280" s="6"/>
      <c r="X280" s="6"/>
      <c r="Y280" s="6"/>
      <c r="Z280" s="6"/>
      <c r="AA280" s="6"/>
    </row>
    <row r="281" ht="15.75" customHeight="1">
      <c r="L281" s="12"/>
      <c r="O281" s="6"/>
      <c r="P281" s="6"/>
      <c r="Q281" s="6"/>
      <c r="R281" s="6"/>
      <c r="S281" s="6"/>
      <c r="T281" s="6"/>
      <c r="U281" s="6"/>
      <c r="V281" s="6"/>
      <c r="W281" s="6"/>
      <c r="X281" s="6"/>
      <c r="Y281" s="6"/>
      <c r="Z281" s="6"/>
      <c r="AA281" s="6"/>
    </row>
    <row r="282" ht="15.75" customHeight="1">
      <c r="L282" s="12"/>
      <c r="O282" s="6"/>
      <c r="P282" s="6"/>
      <c r="Q282" s="6"/>
      <c r="R282" s="6"/>
      <c r="S282" s="6"/>
      <c r="T282" s="6"/>
      <c r="U282" s="6"/>
      <c r="V282" s="6"/>
      <c r="W282" s="6"/>
      <c r="X282" s="6"/>
      <c r="Y282" s="6"/>
      <c r="Z282" s="6"/>
      <c r="AA282" s="6"/>
    </row>
    <row r="283" ht="15.75" customHeight="1">
      <c r="L283" s="12"/>
      <c r="O283" s="6"/>
      <c r="P283" s="6"/>
      <c r="Q283" s="6"/>
      <c r="R283" s="6"/>
      <c r="S283" s="6"/>
      <c r="T283" s="6"/>
      <c r="U283" s="6"/>
      <c r="V283" s="6"/>
      <c r="W283" s="6"/>
      <c r="X283" s="6"/>
      <c r="Y283" s="6"/>
      <c r="Z283" s="6"/>
      <c r="AA283" s="6"/>
    </row>
    <row r="284" ht="15.75" customHeight="1">
      <c r="L284" s="12"/>
      <c r="O284" s="6"/>
      <c r="P284" s="6"/>
      <c r="Q284" s="6"/>
      <c r="R284" s="6"/>
      <c r="S284" s="6"/>
      <c r="T284" s="6"/>
      <c r="U284" s="6"/>
      <c r="V284" s="6"/>
      <c r="W284" s="6"/>
      <c r="X284" s="6"/>
      <c r="Y284" s="6"/>
      <c r="Z284" s="6"/>
      <c r="AA284" s="6"/>
    </row>
    <row r="285" ht="15.75" customHeight="1">
      <c r="L285" s="12"/>
      <c r="O285" s="6"/>
      <c r="P285" s="6"/>
      <c r="Q285" s="6"/>
      <c r="R285" s="6"/>
      <c r="S285" s="6"/>
      <c r="T285" s="6"/>
      <c r="U285" s="6"/>
      <c r="V285" s="6"/>
      <c r="W285" s="6"/>
      <c r="X285" s="6"/>
      <c r="Y285" s="6"/>
      <c r="Z285" s="6"/>
      <c r="AA285" s="6"/>
    </row>
    <row r="286" ht="15.75" customHeight="1">
      <c r="L286" s="12"/>
      <c r="O286" s="6"/>
      <c r="P286" s="6"/>
      <c r="Q286" s="6"/>
      <c r="R286" s="6"/>
      <c r="S286" s="6"/>
      <c r="T286" s="6"/>
      <c r="U286" s="6"/>
      <c r="V286" s="6"/>
      <c r="W286" s="6"/>
      <c r="X286" s="6"/>
      <c r="Y286" s="6"/>
      <c r="Z286" s="6"/>
      <c r="AA286" s="6"/>
    </row>
    <row r="287" ht="15.75" customHeight="1">
      <c r="L287" s="12"/>
      <c r="O287" s="6"/>
      <c r="P287" s="6"/>
      <c r="Q287" s="6"/>
      <c r="R287" s="6"/>
      <c r="S287" s="6"/>
      <c r="T287" s="6"/>
      <c r="U287" s="6"/>
      <c r="V287" s="6"/>
      <c r="W287" s="6"/>
      <c r="X287" s="6"/>
      <c r="Y287" s="6"/>
      <c r="Z287" s="6"/>
      <c r="AA287" s="6"/>
    </row>
    <row r="288" ht="15.75" customHeight="1">
      <c r="L288" s="12"/>
      <c r="O288" s="6"/>
      <c r="P288" s="6"/>
      <c r="Q288" s="6"/>
      <c r="R288" s="6"/>
      <c r="S288" s="6"/>
      <c r="T288" s="6"/>
      <c r="U288" s="6"/>
      <c r="V288" s="6"/>
      <c r="W288" s="6"/>
      <c r="X288" s="6"/>
      <c r="Y288" s="6"/>
      <c r="Z288" s="6"/>
      <c r="AA288" s="6"/>
    </row>
    <row r="289" ht="15.75" customHeight="1">
      <c r="L289" s="12"/>
      <c r="O289" s="6"/>
      <c r="P289" s="6"/>
      <c r="Q289" s="6"/>
      <c r="R289" s="6"/>
      <c r="S289" s="6"/>
      <c r="T289" s="6"/>
      <c r="U289" s="6"/>
      <c r="V289" s="6"/>
      <c r="W289" s="6"/>
      <c r="X289" s="6"/>
      <c r="Y289" s="6"/>
      <c r="Z289" s="6"/>
      <c r="AA289" s="6"/>
    </row>
    <row r="290" ht="15.75" customHeight="1">
      <c r="L290" s="12"/>
      <c r="O290" s="6"/>
      <c r="P290" s="6"/>
      <c r="Q290" s="6"/>
      <c r="R290" s="6"/>
      <c r="S290" s="6"/>
      <c r="T290" s="6"/>
      <c r="U290" s="6"/>
      <c r="V290" s="6"/>
      <c r="W290" s="6"/>
      <c r="X290" s="6"/>
      <c r="Y290" s="6"/>
      <c r="Z290" s="6"/>
      <c r="AA290" s="6"/>
    </row>
    <row r="291" ht="15.75" customHeight="1">
      <c r="L291" s="12"/>
      <c r="O291" s="6"/>
      <c r="P291" s="6"/>
      <c r="Q291" s="6"/>
      <c r="R291" s="6"/>
      <c r="S291" s="6"/>
      <c r="T291" s="6"/>
      <c r="U291" s="6"/>
      <c r="V291" s="6"/>
      <c r="W291" s="6"/>
      <c r="X291" s="6"/>
      <c r="Y291" s="6"/>
      <c r="Z291" s="6"/>
      <c r="AA291" s="6"/>
    </row>
    <row r="292" ht="15.75" customHeight="1">
      <c r="L292" s="12"/>
      <c r="O292" s="6"/>
      <c r="P292" s="6"/>
      <c r="Q292" s="6"/>
      <c r="R292" s="6"/>
      <c r="S292" s="6"/>
      <c r="T292" s="6"/>
      <c r="U292" s="6"/>
      <c r="V292" s="6"/>
      <c r="W292" s="6"/>
      <c r="X292" s="6"/>
      <c r="Y292" s="6"/>
      <c r="Z292" s="6"/>
      <c r="AA292" s="6"/>
    </row>
    <row r="293" ht="15.75" customHeight="1">
      <c r="L293" s="12"/>
      <c r="O293" s="6"/>
      <c r="P293" s="6"/>
      <c r="Q293" s="6"/>
      <c r="R293" s="6"/>
      <c r="S293" s="6"/>
      <c r="T293" s="6"/>
      <c r="U293" s="6"/>
      <c r="V293" s="6"/>
      <c r="W293" s="6"/>
      <c r="X293" s="6"/>
      <c r="Y293" s="6"/>
      <c r="Z293" s="6"/>
      <c r="AA293" s="6"/>
    </row>
    <row r="294" ht="15.75" customHeight="1">
      <c r="L294" s="12"/>
      <c r="O294" s="6"/>
      <c r="P294" s="6"/>
      <c r="Q294" s="6"/>
      <c r="R294" s="6"/>
      <c r="S294" s="6"/>
      <c r="T294" s="6"/>
      <c r="U294" s="6"/>
      <c r="V294" s="6"/>
      <c r="W294" s="6"/>
      <c r="X294" s="6"/>
      <c r="Y294" s="6"/>
      <c r="Z294" s="6"/>
      <c r="AA294" s="6"/>
    </row>
    <row r="295" ht="15.75" customHeight="1">
      <c r="L295" s="12"/>
      <c r="O295" s="6"/>
      <c r="P295" s="6"/>
      <c r="Q295" s="6"/>
      <c r="R295" s="6"/>
      <c r="S295" s="6"/>
      <c r="T295" s="6"/>
      <c r="U295" s="6"/>
      <c r="V295" s="6"/>
      <c r="W295" s="6"/>
      <c r="X295" s="6"/>
      <c r="Y295" s="6"/>
      <c r="Z295" s="6"/>
      <c r="AA295" s="6"/>
    </row>
    <row r="296" ht="15.75" customHeight="1">
      <c r="L296" s="12"/>
      <c r="O296" s="6"/>
      <c r="P296" s="6"/>
      <c r="Q296" s="6"/>
      <c r="R296" s="6"/>
      <c r="S296" s="6"/>
      <c r="T296" s="6"/>
      <c r="U296" s="6"/>
      <c r="V296" s="6"/>
      <c r="W296" s="6"/>
      <c r="X296" s="6"/>
      <c r="Y296" s="6"/>
      <c r="Z296" s="6"/>
      <c r="AA296" s="6"/>
    </row>
    <row r="297" ht="15.75" customHeight="1">
      <c r="L297" s="12"/>
      <c r="O297" s="6"/>
      <c r="P297" s="6"/>
      <c r="Q297" s="6"/>
      <c r="R297" s="6"/>
      <c r="S297" s="6"/>
      <c r="T297" s="6"/>
      <c r="U297" s="6"/>
      <c r="V297" s="6"/>
      <c r="W297" s="6"/>
      <c r="X297" s="6"/>
      <c r="Y297" s="6"/>
      <c r="Z297" s="6"/>
      <c r="AA297" s="6"/>
    </row>
    <row r="298" ht="15.75" customHeight="1">
      <c r="L298" s="12"/>
      <c r="O298" s="6"/>
      <c r="P298" s="6"/>
      <c r="Q298" s="6"/>
      <c r="R298" s="6"/>
      <c r="S298" s="6"/>
      <c r="T298" s="6"/>
      <c r="U298" s="6"/>
      <c r="V298" s="6"/>
      <c r="W298" s="6"/>
      <c r="X298" s="6"/>
      <c r="Y298" s="6"/>
      <c r="Z298" s="6"/>
      <c r="AA298" s="6"/>
    </row>
    <row r="299" ht="15.75" customHeight="1">
      <c r="L299" s="12"/>
      <c r="O299" s="6"/>
      <c r="P299" s="6"/>
      <c r="Q299" s="6"/>
      <c r="R299" s="6"/>
      <c r="S299" s="6"/>
      <c r="T299" s="6"/>
      <c r="U299" s="6"/>
      <c r="V299" s="6"/>
      <c r="W299" s="6"/>
      <c r="X299" s="6"/>
      <c r="Y299" s="6"/>
      <c r="Z299" s="6"/>
      <c r="AA299" s="6"/>
    </row>
    <row r="300" ht="15.75" customHeight="1">
      <c r="L300" s="12"/>
      <c r="O300" s="6"/>
      <c r="P300" s="6"/>
      <c r="Q300" s="6"/>
      <c r="R300" s="6"/>
      <c r="S300" s="6"/>
      <c r="T300" s="6"/>
      <c r="U300" s="6"/>
      <c r="V300" s="6"/>
      <c r="W300" s="6"/>
      <c r="X300" s="6"/>
      <c r="Y300" s="6"/>
      <c r="Z300" s="6"/>
      <c r="AA300" s="6"/>
    </row>
    <row r="301" ht="15.75" customHeight="1">
      <c r="L301" s="12"/>
      <c r="O301" s="6"/>
      <c r="P301" s="6"/>
      <c r="Q301" s="6"/>
      <c r="R301" s="6"/>
      <c r="S301" s="6"/>
      <c r="T301" s="6"/>
      <c r="U301" s="6"/>
      <c r="V301" s="6"/>
      <c r="W301" s="6"/>
      <c r="X301" s="6"/>
      <c r="Y301" s="6"/>
      <c r="Z301" s="6"/>
      <c r="AA301" s="6"/>
    </row>
    <row r="302" ht="15.75" customHeight="1">
      <c r="L302" s="12"/>
      <c r="O302" s="6"/>
      <c r="P302" s="6"/>
      <c r="Q302" s="6"/>
      <c r="R302" s="6"/>
      <c r="S302" s="6"/>
      <c r="T302" s="6"/>
      <c r="U302" s="6"/>
      <c r="V302" s="6"/>
      <c r="W302" s="6"/>
      <c r="X302" s="6"/>
      <c r="Y302" s="6"/>
      <c r="Z302" s="6"/>
      <c r="AA302" s="6"/>
    </row>
    <row r="303" ht="15.75" customHeight="1">
      <c r="L303" s="12"/>
      <c r="O303" s="6"/>
      <c r="P303" s="6"/>
      <c r="Q303" s="6"/>
      <c r="R303" s="6"/>
      <c r="S303" s="6"/>
      <c r="T303" s="6"/>
      <c r="U303" s="6"/>
      <c r="V303" s="6"/>
      <c r="W303" s="6"/>
      <c r="X303" s="6"/>
      <c r="Y303" s="6"/>
      <c r="Z303" s="6"/>
      <c r="AA303" s="6"/>
    </row>
    <row r="304" ht="15.75" customHeight="1">
      <c r="L304" s="12"/>
      <c r="O304" s="6"/>
      <c r="P304" s="6"/>
      <c r="Q304" s="6"/>
      <c r="R304" s="6"/>
      <c r="S304" s="6"/>
      <c r="T304" s="6"/>
      <c r="U304" s="6"/>
      <c r="V304" s="6"/>
      <c r="W304" s="6"/>
      <c r="X304" s="6"/>
      <c r="Y304" s="6"/>
      <c r="Z304" s="6"/>
      <c r="AA304" s="6"/>
    </row>
    <row r="305" ht="15.75" customHeight="1">
      <c r="L305" s="12"/>
      <c r="O305" s="6"/>
      <c r="P305" s="6"/>
      <c r="Q305" s="6"/>
      <c r="R305" s="6"/>
      <c r="S305" s="6"/>
      <c r="T305" s="6"/>
      <c r="U305" s="6"/>
      <c r="V305" s="6"/>
      <c r="W305" s="6"/>
      <c r="X305" s="6"/>
      <c r="Y305" s="6"/>
      <c r="Z305" s="6"/>
      <c r="AA305" s="6"/>
    </row>
    <row r="306" ht="15.75" customHeight="1">
      <c r="L306" s="12"/>
      <c r="O306" s="6"/>
      <c r="P306" s="6"/>
      <c r="Q306" s="6"/>
      <c r="R306" s="6"/>
      <c r="S306" s="6"/>
      <c r="T306" s="6"/>
      <c r="U306" s="6"/>
      <c r="V306" s="6"/>
      <c r="W306" s="6"/>
      <c r="X306" s="6"/>
      <c r="Y306" s="6"/>
      <c r="Z306" s="6"/>
      <c r="AA306" s="6"/>
    </row>
    <row r="307" ht="15.75" customHeight="1">
      <c r="L307" s="12"/>
      <c r="O307" s="6"/>
      <c r="P307" s="6"/>
      <c r="Q307" s="6"/>
      <c r="R307" s="6"/>
      <c r="S307" s="6"/>
      <c r="T307" s="6"/>
      <c r="U307" s="6"/>
      <c r="V307" s="6"/>
      <c r="W307" s="6"/>
      <c r="X307" s="6"/>
      <c r="Y307" s="6"/>
      <c r="Z307" s="6"/>
      <c r="AA307" s="6"/>
    </row>
    <row r="308" ht="15.75" customHeight="1">
      <c r="L308" s="12"/>
      <c r="O308" s="6"/>
      <c r="P308" s="6"/>
      <c r="Q308" s="6"/>
      <c r="R308" s="6"/>
      <c r="S308" s="6"/>
      <c r="T308" s="6"/>
      <c r="U308" s="6"/>
      <c r="V308" s="6"/>
      <c r="W308" s="6"/>
      <c r="X308" s="6"/>
      <c r="Y308" s="6"/>
      <c r="Z308" s="6"/>
      <c r="AA308" s="6"/>
    </row>
    <row r="309" ht="15.75" customHeight="1">
      <c r="L309" s="12"/>
      <c r="O309" s="6"/>
      <c r="P309" s="6"/>
      <c r="Q309" s="6"/>
      <c r="R309" s="6"/>
      <c r="S309" s="6"/>
      <c r="T309" s="6"/>
      <c r="U309" s="6"/>
      <c r="V309" s="6"/>
      <c r="W309" s="6"/>
      <c r="X309" s="6"/>
      <c r="Y309" s="6"/>
      <c r="Z309" s="6"/>
      <c r="AA309" s="6"/>
    </row>
    <row r="310" ht="15.75" customHeight="1">
      <c r="L310" s="12"/>
      <c r="O310" s="6"/>
      <c r="P310" s="6"/>
      <c r="Q310" s="6"/>
      <c r="R310" s="6"/>
      <c r="S310" s="6"/>
      <c r="T310" s="6"/>
      <c r="U310" s="6"/>
      <c r="V310" s="6"/>
      <c r="W310" s="6"/>
      <c r="X310" s="6"/>
      <c r="Y310" s="6"/>
      <c r="Z310" s="6"/>
      <c r="AA310" s="6"/>
    </row>
    <row r="311" ht="15.75" customHeight="1">
      <c r="L311" s="12"/>
      <c r="O311" s="6"/>
      <c r="P311" s="6"/>
      <c r="Q311" s="6"/>
      <c r="R311" s="6"/>
      <c r="S311" s="6"/>
      <c r="T311" s="6"/>
      <c r="U311" s="6"/>
      <c r="V311" s="6"/>
      <c r="W311" s="6"/>
      <c r="X311" s="6"/>
      <c r="Y311" s="6"/>
      <c r="Z311" s="6"/>
      <c r="AA311" s="6"/>
    </row>
    <row r="312" ht="15.75" customHeight="1">
      <c r="L312" s="12"/>
      <c r="O312" s="6"/>
      <c r="P312" s="6"/>
      <c r="Q312" s="6"/>
      <c r="R312" s="6"/>
      <c r="S312" s="6"/>
      <c r="T312" s="6"/>
      <c r="U312" s="6"/>
      <c r="V312" s="6"/>
      <c r="W312" s="6"/>
      <c r="X312" s="6"/>
      <c r="Y312" s="6"/>
      <c r="Z312" s="6"/>
      <c r="AA312" s="6"/>
    </row>
    <row r="313" ht="15.75" customHeight="1">
      <c r="L313" s="12"/>
      <c r="O313" s="6"/>
      <c r="P313" s="6"/>
      <c r="Q313" s="6"/>
      <c r="R313" s="6"/>
      <c r="S313" s="6"/>
      <c r="T313" s="6"/>
      <c r="U313" s="6"/>
      <c r="V313" s="6"/>
      <c r="W313" s="6"/>
      <c r="X313" s="6"/>
      <c r="Y313" s="6"/>
      <c r="Z313" s="6"/>
      <c r="AA313" s="6"/>
    </row>
    <row r="314" ht="15.75" customHeight="1">
      <c r="L314" s="12"/>
      <c r="O314" s="6"/>
      <c r="P314" s="6"/>
      <c r="Q314" s="6"/>
      <c r="R314" s="6"/>
      <c r="S314" s="6"/>
      <c r="T314" s="6"/>
      <c r="U314" s="6"/>
      <c r="V314" s="6"/>
      <c r="W314" s="6"/>
      <c r="X314" s="6"/>
      <c r="Y314" s="6"/>
      <c r="Z314" s="6"/>
      <c r="AA314" s="6"/>
    </row>
    <row r="315" ht="15.75" customHeight="1">
      <c r="L315" s="12"/>
      <c r="O315" s="6"/>
      <c r="P315" s="6"/>
      <c r="Q315" s="6"/>
      <c r="R315" s="6"/>
      <c r="S315" s="6"/>
      <c r="T315" s="6"/>
      <c r="U315" s="6"/>
      <c r="V315" s="6"/>
      <c r="W315" s="6"/>
      <c r="X315" s="6"/>
      <c r="Y315" s="6"/>
      <c r="Z315" s="6"/>
      <c r="AA315" s="6"/>
    </row>
    <row r="316" ht="15.75" customHeight="1">
      <c r="L316" s="12"/>
      <c r="O316" s="6"/>
      <c r="P316" s="6"/>
      <c r="Q316" s="6"/>
      <c r="R316" s="6"/>
      <c r="S316" s="6"/>
      <c r="T316" s="6"/>
      <c r="U316" s="6"/>
      <c r="V316" s="6"/>
      <c r="W316" s="6"/>
      <c r="X316" s="6"/>
      <c r="Y316" s="6"/>
      <c r="Z316" s="6"/>
      <c r="AA316" s="6"/>
    </row>
    <row r="317" ht="15.75" customHeight="1">
      <c r="L317" s="12"/>
      <c r="O317" s="6"/>
      <c r="P317" s="6"/>
      <c r="Q317" s="6"/>
      <c r="R317" s="6"/>
      <c r="S317" s="6"/>
      <c r="T317" s="6"/>
      <c r="U317" s="6"/>
      <c r="V317" s="6"/>
      <c r="W317" s="6"/>
      <c r="X317" s="6"/>
      <c r="Y317" s="6"/>
      <c r="Z317" s="6"/>
      <c r="AA317" s="6"/>
    </row>
    <row r="318" ht="15.75" customHeight="1">
      <c r="L318" s="12"/>
      <c r="O318" s="6"/>
      <c r="P318" s="6"/>
      <c r="Q318" s="6"/>
      <c r="R318" s="6"/>
      <c r="S318" s="6"/>
      <c r="T318" s="6"/>
      <c r="U318" s="6"/>
      <c r="V318" s="6"/>
      <c r="W318" s="6"/>
      <c r="X318" s="6"/>
      <c r="Y318" s="6"/>
      <c r="Z318" s="6"/>
      <c r="AA318" s="6"/>
    </row>
    <row r="319" ht="15.75" customHeight="1">
      <c r="L319" s="12"/>
      <c r="O319" s="6"/>
      <c r="P319" s="6"/>
      <c r="Q319" s="6"/>
      <c r="R319" s="6"/>
      <c r="S319" s="6"/>
      <c r="T319" s="6"/>
      <c r="U319" s="6"/>
      <c r="V319" s="6"/>
      <c r="W319" s="6"/>
      <c r="X319" s="6"/>
      <c r="Y319" s="6"/>
      <c r="Z319" s="6"/>
      <c r="AA319" s="6"/>
    </row>
    <row r="320" ht="15.75" customHeight="1">
      <c r="L320" s="12"/>
      <c r="O320" s="6"/>
      <c r="P320" s="6"/>
      <c r="Q320" s="6"/>
      <c r="R320" s="6"/>
      <c r="S320" s="6"/>
      <c r="T320" s="6"/>
      <c r="U320" s="6"/>
      <c r="V320" s="6"/>
      <c r="W320" s="6"/>
      <c r="X320" s="6"/>
      <c r="Y320" s="6"/>
      <c r="Z320" s="6"/>
      <c r="AA320" s="6"/>
    </row>
    <row r="321" ht="15.75" customHeight="1">
      <c r="L321" s="12"/>
      <c r="O321" s="6"/>
      <c r="P321" s="6"/>
      <c r="Q321" s="6"/>
      <c r="R321" s="6"/>
      <c r="S321" s="6"/>
      <c r="T321" s="6"/>
      <c r="U321" s="6"/>
      <c r="V321" s="6"/>
      <c r="W321" s="6"/>
      <c r="X321" s="6"/>
      <c r="Y321" s="6"/>
      <c r="Z321" s="6"/>
      <c r="AA321" s="6"/>
    </row>
    <row r="322" ht="15.75" customHeight="1">
      <c r="L322" s="12"/>
      <c r="O322" s="6"/>
      <c r="P322" s="6"/>
      <c r="Q322" s="6"/>
      <c r="R322" s="6"/>
      <c r="S322" s="6"/>
      <c r="T322" s="6"/>
      <c r="U322" s="6"/>
      <c r="V322" s="6"/>
      <c r="W322" s="6"/>
      <c r="X322" s="6"/>
      <c r="Y322" s="6"/>
      <c r="Z322" s="6"/>
      <c r="AA322" s="6"/>
    </row>
    <row r="323" ht="15.75" customHeight="1">
      <c r="L323" s="12"/>
      <c r="O323" s="6"/>
      <c r="P323" s="6"/>
      <c r="Q323" s="6"/>
      <c r="R323" s="6"/>
      <c r="S323" s="6"/>
      <c r="T323" s="6"/>
      <c r="U323" s="6"/>
      <c r="V323" s="6"/>
      <c r="W323" s="6"/>
      <c r="X323" s="6"/>
      <c r="Y323" s="6"/>
      <c r="Z323" s="6"/>
      <c r="AA323" s="6"/>
    </row>
    <row r="324" ht="15.75" customHeight="1">
      <c r="L324" s="12"/>
      <c r="O324" s="6"/>
      <c r="P324" s="6"/>
      <c r="Q324" s="6"/>
      <c r="R324" s="6"/>
      <c r="S324" s="6"/>
      <c r="T324" s="6"/>
      <c r="U324" s="6"/>
      <c r="V324" s="6"/>
      <c r="W324" s="6"/>
      <c r="X324" s="6"/>
      <c r="Y324" s="6"/>
      <c r="Z324" s="6"/>
      <c r="AA324" s="6"/>
    </row>
    <row r="325" ht="15.75" customHeight="1">
      <c r="L325" s="12"/>
      <c r="O325" s="6"/>
      <c r="P325" s="6"/>
      <c r="Q325" s="6"/>
      <c r="R325" s="6"/>
      <c r="S325" s="6"/>
      <c r="T325" s="6"/>
      <c r="U325" s="6"/>
      <c r="V325" s="6"/>
      <c r="W325" s="6"/>
      <c r="X325" s="6"/>
      <c r="Y325" s="6"/>
      <c r="Z325" s="6"/>
      <c r="AA325" s="6"/>
    </row>
    <row r="326" ht="15.75" customHeight="1">
      <c r="L326" s="12"/>
      <c r="O326" s="6"/>
      <c r="P326" s="6"/>
      <c r="Q326" s="6"/>
      <c r="R326" s="6"/>
      <c r="S326" s="6"/>
      <c r="T326" s="6"/>
      <c r="U326" s="6"/>
      <c r="V326" s="6"/>
      <c r="W326" s="6"/>
      <c r="X326" s="6"/>
      <c r="Y326" s="6"/>
      <c r="Z326" s="6"/>
      <c r="AA326" s="6"/>
    </row>
    <row r="327" ht="15.75" customHeight="1">
      <c r="L327" s="12"/>
      <c r="O327" s="6"/>
      <c r="P327" s="6"/>
      <c r="Q327" s="6"/>
      <c r="R327" s="6"/>
      <c r="S327" s="6"/>
      <c r="T327" s="6"/>
      <c r="U327" s="6"/>
      <c r="V327" s="6"/>
      <c r="W327" s="6"/>
      <c r="X327" s="6"/>
      <c r="Y327" s="6"/>
      <c r="Z327" s="6"/>
      <c r="AA327" s="6"/>
    </row>
    <row r="328" ht="15.75" customHeight="1">
      <c r="L328" s="12"/>
      <c r="O328" s="6"/>
      <c r="P328" s="6"/>
      <c r="Q328" s="6"/>
      <c r="R328" s="6"/>
      <c r="S328" s="6"/>
      <c r="T328" s="6"/>
      <c r="U328" s="6"/>
      <c r="V328" s="6"/>
      <c r="W328" s="6"/>
      <c r="X328" s="6"/>
      <c r="Y328" s="6"/>
      <c r="Z328" s="6"/>
      <c r="AA328" s="6"/>
    </row>
    <row r="329" ht="15.75" customHeight="1">
      <c r="L329" s="12"/>
      <c r="O329" s="6"/>
      <c r="P329" s="6"/>
      <c r="Q329" s="6"/>
      <c r="R329" s="6"/>
      <c r="S329" s="6"/>
      <c r="T329" s="6"/>
      <c r="U329" s="6"/>
      <c r="V329" s="6"/>
      <c r="W329" s="6"/>
      <c r="X329" s="6"/>
      <c r="Y329" s="6"/>
      <c r="Z329" s="6"/>
      <c r="AA329" s="6"/>
    </row>
    <row r="330" ht="15.75" customHeight="1">
      <c r="L330" s="12"/>
      <c r="O330" s="6"/>
      <c r="P330" s="6"/>
      <c r="Q330" s="6"/>
      <c r="R330" s="6"/>
      <c r="S330" s="6"/>
      <c r="T330" s="6"/>
      <c r="U330" s="6"/>
      <c r="V330" s="6"/>
      <c r="W330" s="6"/>
      <c r="X330" s="6"/>
      <c r="Y330" s="6"/>
      <c r="Z330" s="6"/>
      <c r="AA330" s="6"/>
    </row>
    <row r="331" ht="15.75" customHeight="1">
      <c r="L331" s="12"/>
      <c r="O331" s="6"/>
      <c r="P331" s="6"/>
      <c r="Q331" s="6"/>
      <c r="R331" s="6"/>
      <c r="S331" s="6"/>
      <c r="T331" s="6"/>
      <c r="U331" s="6"/>
      <c r="V331" s="6"/>
      <c r="W331" s="6"/>
      <c r="X331" s="6"/>
      <c r="Y331" s="6"/>
      <c r="Z331" s="6"/>
      <c r="AA331" s="6"/>
    </row>
    <row r="332" ht="15.75" customHeight="1">
      <c r="L332" s="12"/>
      <c r="O332" s="6"/>
      <c r="P332" s="6"/>
      <c r="Q332" s="6"/>
      <c r="R332" s="6"/>
      <c r="S332" s="6"/>
      <c r="T332" s="6"/>
      <c r="U332" s="6"/>
      <c r="V332" s="6"/>
      <c r="W332" s="6"/>
      <c r="X332" s="6"/>
      <c r="Y332" s="6"/>
      <c r="Z332" s="6"/>
      <c r="AA332" s="6"/>
    </row>
    <row r="333" ht="15.75" customHeight="1">
      <c r="L333" s="12"/>
      <c r="O333" s="6"/>
      <c r="P333" s="6"/>
      <c r="Q333" s="6"/>
      <c r="R333" s="6"/>
      <c r="S333" s="6"/>
      <c r="T333" s="6"/>
      <c r="U333" s="6"/>
      <c r="V333" s="6"/>
      <c r="W333" s="6"/>
      <c r="X333" s="6"/>
      <c r="Y333" s="6"/>
      <c r="Z333" s="6"/>
      <c r="AA333" s="6"/>
    </row>
    <row r="334" ht="15.75" customHeight="1">
      <c r="L334" s="12"/>
      <c r="O334" s="6"/>
      <c r="P334" s="6"/>
      <c r="Q334" s="6"/>
      <c r="R334" s="6"/>
      <c r="S334" s="6"/>
      <c r="T334" s="6"/>
      <c r="U334" s="6"/>
      <c r="V334" s="6"/>
      <c r="W334" s="6"/>
      <c r="X334" s="6"/>
      <c r="Y334" s="6"/>
      <c r="Z334" s="6"/>
      <c r="AA334" s="6"/>
    </row>
    <row r="335" ht="15.75" customHeight="1">
      <c r="L335" s="12"/>
      <c r="O335" s="6"/>
      <c r="P335" s="6"/>
      <c r="Q335" s="6"/>
      <c r="R335" s="6"/>
      <c r="S335" s="6"/>
      <c r="T335" s="6"/>
      <c r="U335" s="6"/>
      <c r="V335" s="6"/>
      <c r="W335" s="6"/>
      <c r="X335" s="6"/>
      <c r="Y335" s="6"/>
      <c r="Z335" s="6"/>
      <c r="AA335" s="6"/>
    </row>
    <row r="336" ht="15.75" customHeight="1">
      <c r="L336" s="12"/>
      <c r="O336" s="6"/>
      <c r="P336" s="6"/>
      <c r="Q336" s="6"/>
      <c r="R336" s="6"/>
      <c r="S336" s="6"/>
      <c r="T336" s="6"/>
      <c r="U336" s="6"/>
      <c r="V336" s="6"/>
      <c r="W336" s="6"/>
      <c r="X336" s="6"/>
      <c r="Y336" s="6"/>
      <c r="Z336" s="6"/>
      <c r="AA336" s="6"/>
    </row>
    <row r="337" ht="15.75" customHeight="1">
      <c r="L337" s="12"/>
      <c r="O337" s="6"/>
      <c r="P337" s="6"/>
      <c r="Q337" s="6"/>
      <c r="R337" s="6"/>
      <c r="S337" s="6"/>
      <c r="T337" s="6"/>
      <c r="U337" s="6"/>
      <c r="V337" s="6"/>
      <c r="W337" s="6"/>
      <c r="X337" s="6"/>
      <c r="Y337" s="6"/>
      <c r="Z337" s="6"/>
      <c r="AA337" s="6"/>
    </row>
    <row r="338" ht="15.75" customHeight="1">
      <c r="L338" s="12"/>
      <c r="O338" s="6"/>
      <c r="P338" s="6"/>
      <c r="Q338" s="6"/>
      <c r="R338" s="6"/>
      <c r="S338" s="6"/>
      <c r="T338" s="6"/>
      <c r="U338" s="6"/>
      <c r="V338" s="6"/>
      <c r="W338" s="6"/>
      <c r="X338" s="6"/>
      <c r="Y338" s="6"/>
      <c r="Z338" s="6"/>
      <c r="AA338" s="6"/>
    </row>
    <row r="339" ht="15.75" customHeight="1">
      <c r="L339" s="12"/>
      <c r="O339" s="6"/>
      <c r="P339" s="6"/>
      <c r="Q339" s="6"/>
      <c r="R339" s="6"/>
      <c r="S339" s="6"/>
      <c r="T339" s="6"/>
      <c r="U339" s="6"/>
      <c r="V339" s="6"/>
      <c r="W339" s="6"/>
      <c r="X339" s="6"/>
      <c r="Y339" s="6"/>
      <c r="Z339" s="6"/>
      <c r="AA339" s="6"/>
    </row>
    <row r="340" ht="15.75" customHeight="1">
      <c r="L340" s="12"/>
      <c r="O340" s="6"/>
      <c r="P340" s="6"/>
      <c r="Q340" s="6"/>
      <c r="R340" s="6"/>
      <c r="S340" s="6"/>
      <c r="T340" s="6"/>
      <c r="U340" s="6"/>
      <c r="V340" s="6"/>
      <c r="W340" s="6"/>
      <c r="X340" s="6"/>
      <c r="Y340" s="6"/>
      <c r="Z340" s="6"/>
      <c r="AA340" s="6"/>
    </row>
    <row r="341" ht="15.75" customHeight="1">
      <c r="L341" s="12"/>
      <c r="O341" s="6"/>
      <c r="P341" s="6"/>
      <c r="Q341" s="6"/>
      <c r="R341" s="6"/>
      <c r="S341" s="6"/>
      <c r="T341" s="6"/>
      <c r="U341" s="6"/>
      <c r="V341" s="6"/>
      <c r="W341" s="6"/>
      <c r="X341" s="6"/>
      <c r="Y341" s="6"/>
      <c r="Z341" s="6"/>
      <c r="AA341" s="6"/>
    </row>
    <row r="342" ht="15.75" customHeight="1">
      <c r="L342" s="12"/>
      <c r="O342" s="6"/>
      <c r="P342" s="6"/>
      <c r="Q342" s="6"/>
      <c r="R342" s="6"/>
      <c r="S342" s="6"/>
      <c r="T342" s="6"/>
      <c r="U342" s="6"/>
      <c r="V342" s="6"/>
      <c r="W342" s="6"/>
      <c r="X342" s="6"/>
      <c r="Y342" s="6"/>
      <c r="Z342" s="6"/>
      <c r="AA342" s="6"/>
    </row>
    <row r="343" ht="15.75" customHeight="1">
      <c r="L343" s="12"/>
      <c r="O343" s="6"/>
      <c r="P343" s="6"/>
      <c r="Q343" s="6"/>
      <c r="R343" s="6"/>
      <c r="S343" s="6"/>
      <c r="T343" s="6"/>
      <c r="U343" s="6"/>
      <c r="V343" s="6"/>
      <c r="W343" s="6"/>
      <c r="X343" s="6"/>
      <c r="Y343" s="6"/>
      <c r="Z343" s="6"/>
      <c r="AA343" s="6"/>
    </row>
    <row r="344" ht="15.75" customHeight="1">
      <c r="L344" s="12"/>
      <c r="O344" s="6"/>
      <c r="P344" s="6"/>
      <c r="Q344" s="6"/>
      <c r="R344" s="6"/>
      <c r="S344" s="6"/>
      <c r="T344" s="6"/>
      <c r="U344" s="6"/>
      <c r="V344" s="6"/>
      <c r="W344" s="6"/>
      <c r="X344" s="6"/>
      <c r="Y344" s="6"/>
      <c r="Z344" s="6"/>
      <c r="AA344" s="6"/>
    </row>
    <row r="345" ht="15.75" customHeight="1">
      <c r="L345" s="12"/>
      <c r="O345" s="6"/>
      <c r="P345" s="6"/>
      <c r="Q345" s="6"/>
      <c r="R345" s="6"/>
      <c r="S345" s="6"/>
      <c r="T345" s="6"/>
      <c r="U345" s="6"/>
      <c r="V345" s="6"/>
      <c r="W345" s="6"/>
      <c r="X345" s="6"/>
      <c r="Y345" s="6"/>
      <c r="Z345" s="6"/>
      <c r="AA345" s="6"/>
    </row>
    <row r="346" ht="15.75" customHeight="1">
      <c r="L346" s="12"/>
      <c r="O346" s="6"/>
      <c r="P346" s="6"/>
      <c r="Q346" s="6"/>
      <c r="R346" s="6"/>
      <c r="S346" s="6"/>
      <c r="T346" s="6"/>
      <c r="U346" s="6"/>
      <c r="V346" s="6"/>
      <c r="W346" s="6"/>
      <c r="X346" s="6"/>
      <c r="Y346" s="6"/>
      <c r="Z346" s="6"/>
      <c r="AA346" s="6"/>
    </row>
    <row r="347" ht="15.75" customHeight="1">
      <c r="L347" s="12"/>
      <c r="O347" s="6"/>
      <c r="P347" s="6"/>
      <c r="Q347" s="6"/>
      <c r="R347" s="6"/>
      <c r="S347" s="6"/>
      <c r="T347" s="6"/>
      <c r="U347" s="6"/>
      <c r="V347" s="6"/>
      <c r="W347" s="6"/>
      <c r="X347" s="6"/>
      <c r="Y347" s="6"/>
      <c r="Z347" s="6"/>
      <c r="AA347" s="6"/>
    </row>
    <row r="348" ht="15.75" customHeight="1">
      <c r="L348" s="12"/>
      <c r="O348" s="6"/>
      <c r="P348" s="6"/>
      <c r="Q348" s="6"/>
      <c r="R348" s="6"/>
      <c r="S348" s="6"/>
      <c r="T348" s="6"/>
      <c r="U348" s="6"/>
      <c r="V348" s="6"/>
      <c r="W348" s="6"/>
      <c r="X348" s="6"/>
      <c r="Y348" s="6"/>
      <c r="Z348" s="6"/>
      <c r="AA348" s="6"/>
    </row>
    <row r="349" ht="15.75" customHeight="1">
      <c r="L349" s="12"/>
      <c r="O349" s="6"/>
      <c r="P349" s="6"/>
      <c r="Q349" s="6"/>
      <c r="R349" s="6"/>
      <c r="S349" s="6"/>
      <c r="T349" s="6"/>
      <c r="U349" s="6"/>
      <c r="V349" s="6"/>
      <c r="W349" s="6"/>
      <c r="X349" s="6"/>
      <c r="Y349" s="6"/>
      <c r="Z349" s="6"/>
      <c r="AA349" s="6"/>
    </row>
    <row r="350" ht="15.75" customHeight="1">
      <c r="L350" s="12"/>
      <c r="O350" s="6"/>
      <c r="P350" s="6"/>
      <c r="Q350" s="6"/>
      <c r="R350" s="6"/>
      <c r="S350" s="6"/>
      <c r="T350" s="6"/>
      <c r="U350" s="6"/>
      <c r="V350" s="6"/>
      <c r="W350" s="6"/>
      <c r="X350" s="6"/>
      <c r="Y350" s="6"/>
      <c r="Z350" s="6"/>
      <c r="AA350" s="6"/>
    </row>
    <row r="351" ht="15.75" customHeight="1">
      <c r="L351" s="12"/>
      <c r="O351" s="6"/>
      <c r="P351" s="6"/>
      <c r="Q351" s="6"/>
      <c r="R351" s="6"/>
      <c r="S351" s="6"/>
      <c r="T351" s="6"/>
      <c r="U351" s="6"/>
      <c r="V351" s="6"/>
      <c r="W351" s="6"/>
      <c r="X351" s="6"/>
      <c r="Y351" s="6"/>
      <c r="Z351" s="6"/>
      <c r="AA351" s="6"/>
    </row>
    <row r="352" ht="15.75" customHeight="1">
      <c r="L352" s="12"/>
      <c r="O352" s="6"/>
      <c r="P352" s="6"/>
      <c r="Q352" s="6"/>
      <c r="R352" s="6"/>
      <c r="S352" s="6"/>
      <c r="T352" s="6"/>
      <c r="U352" s="6"/>
      <c r="V352" s="6"/>
      <c r="W352" s="6"/>
      <c r="X352" s="6"/>
      <c r="Y352" s="6"/>
      <c r="Z352" s="6"/>
      <c r="AA352" s="6"/>
    </row>
    <row r="353" ht="15.75" customHeight="1">
      <c r="L353" s="12"/>
      <c r="O353" s="6"/>
      <c r="P353" s="6"/>
      <c r="Q353" s="6"/>
      <c r="R353" s="6"/>
      <c r="S353" s="6"/>
      <c r="T353" s="6"/>
      <c r="U353" s="6"/>
      <c r="V353" s="6"/>
      <c r="W353" s="6"/>
      <c r="X353" s="6"/>
      <c r="Y353" s="6"/>
      <c r="Z353" s="6"/>
      <c r="AA353" s="6"/>
    </row>
    <row r="354" ht="15.75" customHeight="1">
      <c r="L354" s="12"/>
      <c r="O354" s="6"/>
      <c r="P354" s="6"/>
      <c r="Q354" s="6"/>
      <c r="R354" s="6"/>
      <c r="S354" s="6"/>
      <c r="T354" s="6"/>
      <c r="U354" s="6"/>
      <c r="V354" s="6"/>
      <c r="W354" s="6"/>
      <c r="X354" s="6"/>
      <c r="Y354" s="6"/>
      <c r="Z354" s="6"/>
      <c r="AA354" s="6"/>
    </row>
    <row r="355" ht="15.75" customHeight="1">
      <c r="L355" s="12"/>
      <c r="O355" s="6"/>
      <c r="P355" s="6"/>
      <c r="Q355" s="6"/>
      <c r="R355" s="6"/>
      <c r="S355" s="6"/>
      <c r="T355" s="6"/>
      <c r="U355" s="6"/>
      <c r="V355" s="6"/>
      <c r="W355" s="6"/>
      <c r="X355" s="6"/>
      <c r="Y355" s="6"/>
      <c r="Z355" s="6"/>
      <c r="AA355" s="6"/>
    </row>
    <row r="356" ht="15.75" customHeight="1">
      <c r="L356" s="12"/>
      <c r="O356" s="6"/>
      <c r="P356" s="6"/>
      <c r="Q356" s="6"/>
      <c r="R356" s="6"/>
      <c r="S356" s="6"/>
      <c r="T356" s="6"/>
      <c r="U356" s="6"/>
      <c r="V356" s="6"/>
      <c r="W356" s="6"/>
      <c r="X356" s="6"/>
      <c r="Y356" s="6"/>
      <c r="Z356" s="6"/>
      <c r="AA356" s="6"/>
    </row>
    <row r="357" ht="15.75" customHeight="1">
      <c r="L357" s="12"/>
      <c r="O357" s="6"/>
      <c r="P357" s="6"/>
      <c r="Q357" s="6"/>
      <c r="R357" s="6"/>
      <c r="S357" s="6"/>
      <c r="T357" s="6"/>
      <c r="U357" s="6"/>
      <c r="V357" s="6"/>
      <c r="W357" s="6"/>
      <c r="X357" s="6"/>
      <c r="Y357" s="6"/>
      <c r="Z357" s="6"/>
      <c r="AA357" s="6"/>
    </row>
    <row r="358" ht="15.75" customHeight="1">
      <c r="L358" s="12"/>
      <c r="O358" s="6"/>
      <c r="P358" s="6"/>
      <c r="Q358" s="6"/>
      <c r="R358" s="6"/>
      <c r="S358" s="6"/>
      <c r="T358" s="6"/>
      <c r="U358" s="6"/>
      <c r="V358" s="6"/>
      <c r="W358" s="6"/>
      <c r="X358" s="6"/>
      <c r="Y358" s="6"/>
      <c r="Z358" s="6"/>
      <c r="AA358" s="6"/>
    </row>
    <row r="359" ht="15.75" customHeight="1">
      <c r="L359" s="12"/>
      <c r="O359" s="6"/>
      <c r="P359" s="6"/>
      <c r="Q359" s="6"/>
      <c r="R359" s="6"/>
      <c r="S359" s="6"/>
      <c r="T359" s="6"/>
      <c r="U359" s="6"/>
      <c r="V359" s="6"/>
      <c r="W359" s="6"/>
      <c r="X359" s="6"/>
      <c r="Y359" s="6"/>
      <c r="Z359" s="6"/>
      <c r="AA359" s="6"/>
    </row>
    <row r="360" ht="15.75" customHeight="1">
      <c r="L360" s="12"/>
      <c r="O360" s="6"/>
      <c r="P360" s="6"/>
      <c r="Q360" s="6"/>
      <c r="R360" s="6"/>
      <c r="S360" s="6"/>
      <c r="T360" s="6"/>
      <c r="U360" s="6"/>
      <c r="V360" s="6"/>
      <c r="W360" s="6"/>
      <c r="X360" s="6"/>
      <c r="Y360" s="6"/>
      <c r="Z360" s="6"/>
      <c r="AA360" s="6"/>
    </row>
    <row r="361" ht="15.75" customHeight="1">
      <c r="L361" s="12"/>
      <c r="O361" s="6"/>
      <c r="P361" s="6"/>
      <c r="Q361" s="6"/>
      <c r="R361" s="6"/>
      <c r="S361" s="6"/>
      <c r="T361" s="6"/>
      <c r="U361" s="6"/>
      <c r="V361" s="6"/>
      <c r="W361" s="6"/>
      <c r="X361" s="6"/>
      <c r="Y361" s="6"/>
      <c r="Z361" s="6"/>
      <c r="AA361" s="6"/>
    </row>
    <row r="362" ht="15.75" customHeight="1">
      <c r="L362" s="12"/>
      <c r="O362" s="6"/>
      <c r="P362" s="6"/>
      <c r="Q362" s="6"/>
      <c r="R362" s="6"/>
      <c r="S362" s="6"/>
      <c r="T362" s="6"/>
      <c r="U362" s="6"/>
      <c r="V362" s="6"/>
      <c r="W362" s="6"/>
      <c r="X362" s="6"/>
      <c r="Y362" s="6"/>
      <c r="Z362" s="6"/>
      <c r="AA362" s="6"/>
    </row>
    <row r="363" ht="15.75" customHeight="1">
      <c r="L363" s="12"/>
      <c r="O363" s="6"/>
      <c r="P363" s="6"/>
      <c r="Q363" s="6"/>
      <c r="R363" s="6"/>
      <c r="S363" s="6"/>
      <c r="T363" s="6"/>
      <c r="U363" s="6"/>
      <c r="V363" s="6"/>
      <c r="W363" s="6"/>
      <c r="X363" s="6"/>
      <c r="Y363" s="6"/>
      <c r="Z363" s="6"/>
      <c r="AA363" s="6"/>
    </row>
    <row r="364" ht="15.75" customHeight="1">
      <c r="L364" s="12"/>
      <c r="O364" s="6"/>
      <c r="P364" s="6"/>
      <c r="Q364" s="6"/>
      <c r="R364" s="6"/>
      <c r="S364" s="6"/>
      <c r="T364" s="6"/>
      <c r="U364" s="6"/>
      <c r="V364" s="6"/>
      <c r="W364" s="6"/>
      <c r="X364" s="6"/>
      <c r="Y364" s="6"/>
      <c r="Z364" s="6"/>
      <c r="AA364" s="6"/>
    </row>
    <row r="365" ht="15.75" customHeight="1">
      <c r="L365" s="12"/>
      <c r="O365" s="6"/>
      <c r="P365" s="6"/>
      <c r="Q365" s="6"/>
      <c r="R365" s="6"/>
      <c r="S365" s="6"/>
      <c r="T365" s="6"/>
      <c r="U365" s="6"/>
      <c r="V365" s="6"/>
      <c r="W365" s="6"/>
      <c r="X365" s="6"/>
      <c r="Y365" s="6"/>
      <c r="Z365" s="6"/>
      <c r="AA365" s="6"/>
    </row>
    <row r="366" ht="15.75" customHeight="1">
      <c r="L366" s="12"/>
      <c r="O366" s="6"/>
      <c r="P366" s="6"/>
      <c r="Q366" s="6"/>
      <c r="R366" s="6"/>
      <c r="S366" s="6"/>
      <c r="T366" s="6"/>
      <c r="U366" s="6"/>
      <c r="V366" s="6"/>
      <c r="W366" s="6"/>
      <c r="X366" s="6"/>
      <c r="Y366" s="6"/>
      <c r="Z366" s="6"/>
      <c r="AA366" s="6"/>
    </row>
    <row r="367" ht="15.75" customHeight="1">
      <c r="L367" s="12"/>
      <c r="O367" s="6"/>
      <c r="P367" s="6"/>
      <c r="Q367" s="6"/>
      <c r="R367" s="6"/>
      <c r="S367" s="6"/>
      <c r="T367" s="6"/>
      <c r="U367" s="6"/>
      <c r="V367" s="6"/>
      <c r="W367" s="6"/>
      <c r="X367" s="6"/>
      <c r="Y367" s="6"/>
      <c r="Z367" s="6"/>
      <c r="AA367" s="6"/>
    </row>
    <row r="368" ht="15.75" customHeight="1">
      <c r="L368" s="12"/>
      <c r="O368" s="6"/>
      <c r="P368" s="6"/>
      <c r="Q368" s="6"/>
      <c r="R368" s="6"/>
      <c r="S368" s="6"/>
      <c r="T368" s="6"/>
      <c r="U368" s="6"/>
      <c r="V368" s="6"/>
      <c r="W368" s="6"/>
      <c r="X368" s="6"/>
      <c r="Y368" s="6"/>
      <c r="Z368" s="6"/>
      <c r="AA368" s="6"/>
    </row>
    <row r="369" ht="15.75" customHeight="1">
      <c r="L369" s="12"/>
      <c r="O369" s="6"/>
      <c r="P369" s="6"/>
      <c r="Q369" s="6"/>
      <c r="R369" s="6"/>
      <c r="S369" s="6"/>
      <c r="T369" s="6"/>
      <c r="U369" s="6"/>
      <c r="V369" s="6"/>
      <c r="W369" s="6"/>
      <c r="X369" s="6"/>
      <c r="Y369" s="6"/>
      <c r="Z369" s="6"/>
      <c r="AA369" s="6"/>
    </row>
    <row r="370" ht="15.75" customHeight="1">
      <c r="L370" s="12"/>
      <c r="O370" s="6"/>
      <c r="P370" s="6"/>
      <c r="Q370" s="6"/>
      <c r="R370" s="6"/>
      <c r="S370" s="6"/>
      <c r="T370" s="6"/>
      <c r="U370" s="6"/>
      <c r="V370" s="6"/>
      <c r="W370" s="6"/>
      <c r="X370" s="6"/>
      <c r="Y370" s="6"/>
      <c r="Z370" s="6"/>
      <c r="AA370" s="6"/>
    </row>
    <row r="371" ht="15.75" customHeight="1">
      <c r="L371" s="12"/>
      <c r="O371" s="6"/>
      <c r="P371" s="6"/>
      <c r="Q371" s="6"/>
      <c r="R371" s="6"/>
      <c r="S371" s="6"/>
      <c r="T371" s="6"/>
      <c r="U371" s="6"/>
      <c r="V371" s="6"/>
      <c r="W371" s="6"/>
      <c r="X371" s="6"/>
      <c r="Y371" s="6"/>
      <c r="Z371" s="6"/>
      <c r="AA371" s="6"/>
    </row>
    <row r="372" ht="15.75" customHeight="1">
      <c r="L372" s="12"/>
      <c r="O372" s="6"/>
      <c r="P372" s="6"/>
      <c r="Q372" s="6"/>
      <c r="R372" s="6"/>
      <c r="S372" s="6"/>
      <c r="T372" s="6"/>
      <c r="U372" s="6"/>
      <c r="V372" s="6"/>
      <c r="W372" s="6"/>
      <c r="X372" s="6"/>
      <c r="Y372" s="6"/>
      <c r="Z372" s="6"/>
      <c r="AA372" s="6"/>
    </row>
    <row r="373" ht="15.75" customHeight="1">
      <c r="L373" s="12"/>
      <c r="O373" s="6"/>
      <c r="P373" s="6"/>
      <c r="Q373" s="6"/>
      <c r="R373" s="6"/>
      <c r="S373" s="6"/>
      <c r="T373" s="6"/>
      <c r="U373" s="6"/>
      <c r="V373" s="6"/>
      <c r="W373" s="6"/>
      <c r="X373" s="6"/>
      <c r="Y373" s="6"/>
      <c r="Z373" s="6"/>
      <c r="AA373" s="6"/>
    </row>
    <row r="374" ht="15.75" customHeight="1">
      <c r="L374" s="12"/>
      <c r="O374" s="6"/>
      <c r="P374" s="6"/>
      <c r="Q374" s="6"/>
      <c r="R374" s="6"/>
      <c r="S374" s="6"/>
      <c r="T374" s="6"/>
      <c r="U374" s="6"/>
      <c r="V374" s="6"/>
      <c r="W374" s="6"/>
      <c r="X374" s="6"/>
      <c r="Y374" s="6"/>
      <c r="Z374" s="6"/>
      <c r="AA374" s="6"/>
    </row>
    <row r="375" ht="15.75" customHeight="1">
      <c r="L375" s="12"/>
      <c r="O375" s="6"/>
      <c r="P375" s="6"/>
      <c r="Q375" s="6"/>
      <c r="R375" s="6"/>
      <c r="S375" s="6"/>
      <c r="T375" s="6"/>
      <c r="U375" s="6"/>
      <c r="V375" s="6"/>
      <c r="W375" s="6"/>
      <c r="X375" s="6"/>
      <c r="Y375" s="6"/>
      <c r="Z375" s="6"/>
      <c r="AA375" s="6"/>
    </row>
    <row r="376" ht="15.75" customHeight="1">
      <c r="L376" s="12"/>
      <c r="O376" s="6"/>
      <c r="P376" s="6"/>
      <c r="Q376" s="6"/>
      <c r="R376" s="6"/>
      <c r="S376" s="6"/>
      <c r="T376" s="6"/>
      <c r="U376" s="6"/>
      <c r="V376" s="6"/>
      <c r="W376" s="6"/>
      <c r="X376" s="6"/>
      <c r="Y376" s="6"/>
      <c r="Z376" s="6"/>
      <c r="AA376" s="6"/>
    </row>
    <row r="377" ht="15.75" customHeight="1">
      <c r="L377" s="12"/>
      <c r="O377" s="6"/>
      <c r="P377" s="6"/>
      <c r="Q377" s="6"/>
      <c r="R377" s="6"/>
      <c r="S377" s="6"/>
      <c r="T377" s="6"/>
      <c r="U377" s="6"/>
      <c r="V377" s="6"/>
      <c r="W377" s="6"/>
      <c r="X377" s="6"/>
      <c r="Y377" s="6"/>
      <c r="Z377" s="6"/>
      <c r="AA377" s="6"/>
    </row>
    <row r="378" ht="15.75" customHeight="1">
      <c r="L378" s="12"/>
      <c r="O378" s="6"/>
      <c r="P378" s="6"/>
      <c r="Q378" s="6"/>
      <c r="R378" s="6"/>
      <c r="S378" s="6"/>
      <c r="T378" s="6"/>
      <c r="U378" s="6"/>
      <c r="V378" s="6"/>
      <c r="W378" s="6"/>
      <c r="X378" s="6"/>
      <c r="Y378" s="6"/>
      <c r="Z378" s="6"/>
      <c r="AA378" s="6"/>
    </row>
    <row r="379" ht="15.75" customHeight="1">
      <c r="L379" s="12"/>
      <c r="O379" s="6"/>
      <c r="P379" s="6"/>
      <c r="Q379" s="6"/>
      <c r="R379" s="6"/>
      <c r="S379" s="6"/>
      <c r="T379" s="6"/>
      <c r="U379" s="6"/>
      <c r="V379" s="6"/>
      <c r="W379" s="6"/>
      <c r="X379" s="6"/>
      <c r="Y379" s="6"/>
      <c r="Z379" s="6"/>
      <c r="AA379" s="6"/>
    </row>
    <row r="380" ht="15.75" customHeight="1">
      <c r="L380" s="12"/>
      <c r="O380" s="6"/>
      <c r="P380" s="6"/>
      <c r="Q380" s="6"/>
      <c r="R380" s="6"/>
      <c r="S380" s="6"/>
      <c r="T380" s="6"/>
      <c r="U380" s="6"/>
      <c r="V380" s="6"/>
      <c r="W380" s="6"/>
      <c r="X380" s="6"/>
      <c r="Y380" s="6"/>
      <c r="Z380" s="6"/>
      <c r="AA380" s="6"/>
    </row>
    <row r="381" ht="15.75" customHeight="1">
      <c r="L381" s="12"/>
      <c r="O381" s="6"/>
      <c r="P381" s="6"/>
      <c r="Q381" s="6"/>
      <c r="R381" s="6"/>
      <c r="S381" s="6"/>
      <c r="T381" s="6"/>
      <c r="U381" s="6"/>
      <c r="V381" s="6"/>
      <c r="W381" s="6"/>
      <c r="X381" s="6"/>
      <c r="Y381" s="6"/>
      <c r="Z381" s="6"/>
      <c r="AA381" s="6"/>
    </row>
    <row r="382" ht="15.75" customHeight="1">
      <c r="L382" s="12"/>
      <c r="O382" s="6"/>
      <c r="P382" s="6"/>
      <c r="Q382" s="6"/>
      <c r="R382" s="6"/>
      <c r="S382" s="6"/>
      <c r="T382" s="6"/>
      <c r="U382" s="6"/>
      <c r="V382" s="6"/>
      <c r="W382" s="6"/>
      <c r="X382" s="6"/>
      <c r="Y382" s="6"/>
      <c r="Z382" s="6"/>
      <c r="AA382" s="6"/>
    </row>
    <row r="383" ht="15.75" customHeight="1">
      <c r="L383" s="12"/>
      <c r="O383" s="6"/>
      <c r="P383" s="6"/>
      <c r="Q383" s="6"/>
      <c r="R383" s="6"/>
      <c r="S383" s="6"/>
      <c r="T383" s="6"/>
      <c r="U383" s="6"/>
      <c r="V383" s="6"/>
      <c r="W383" s="6"/>
      <c r="X383" s="6"/>
      <c r="Y383" s="6"/>
      <c r="Z383" s="6"/>
      <c r="AA383" s="6"/>
    </row>
    <row r="384" ht="15.75" customHeight="1">
      <c r="L384" s="12"/>
      <c r="O384" s="6"/>
      <c r="P384" s="6"/>
      <c r="Q384" s="6"/>
      <c r="R384" s="6"/>
      <c r="S384" s="6"/>
      <c r="T384" s="6"/>
      <c r="U384" s="6"/>
      <c r="V384" s="6"/>
      <c r="W384" s="6"/>
      <c r="X384" s="6"/>
      <c r="Y384" s="6"/>
      <c r="Z384" s="6"/>
      <c r="AA384" s="6"/>
    </row>
    <row r="385" ht="15.75" customHeight="1">
      <c r="L385" s="12"/>
      <c r="O385" s="6"/>
      <c r="P385" s="6"/>
      <c r="Q385" s="6"/>
      <c r="R385" s="6"/>
      <c r="S385" s="6"/>
      <c r="T385" s="6"/>
      <c r="U385" s="6"/>
      <c r="V385" s="6"/>
      <c r="W385" s="6"/>
      <c r="X385" s="6"/>
      <c r="Y385" s="6"/>
      <c r="Z385" s="6"/>
      <c r="AA385" s="6"/>
    </row>
    <row r="386" ht="15.75" customHeight="1">
      <c r="L386" s="12"/>
      <c r="O386" s="6"/>
      <c r="P386" s="6"/>
      <c r="Q386" s="6"/>
      <c r="R386" s="6"/>
      <c r="S386" s="6"/>
      <c r="T386" s="6"/>
      <c r="U386" s="6"/>
      <c r="V386" s="6"/>
      <c r="W386" s="6"/>
      <c r="X386" s="6"/>
      <c r="Y386" s="6"/>
      <c r="Z386" s="6"/>
      <c r="AA386" s="6"/>
    </row>
    <row r="387" ht="15.75" customHeight="1">
      <c r="L387" s="12"/>
      <c r="O387" s="6"/>
      <c r="P387" s="6"/>
      <c r="Q387" s="6"/>
      <c r="R387" s="6"/>
      <c r="S387" s="6"/>
      <c r="T387" s="6"/>
      <c r="U387" s="6"/>
      <c r="V387" s="6"/>
      <c r="W387" s="6"/>
      <c r="X387" s="6"/>
      <c r="Y387" s="6"/>
      <c r="Z387" s="6"/>
      <c r="AA387" s="6"/>
    </row>
    <row r="388" ht="15.75" customHeight="1">
      <c r="L388" s="12"/>
      <c r="O388" s="6"/>
      <c r="P388" s="6"/>
      <c r="Q388" s="6"/>
      <c r="R388" s="6"/>
      <c r="S388" s="6"/>
      <c r="T388" s="6"/>
      <c r="U388" s="6"/>
      <c r="V388" s="6"/>
      <c r="W388" s="6"/>
      <c r="X388" s="6"/>
      <c r="Y388" s="6"/>
      <c r="Z388" s="6"/>
      <c r="AA388" s="6"/>
    </row>
    <row r="389" ht="15.75" customHeight="1">
      <c r="L389" s="12"/>
      <c r="O389" s="6"/>
      <c r="P389" s="6"/>
      <c r="Q389" s="6"/>
      <c r="R389" s="6"/>
      <c r="S389" s="6"/>
      <c r="T389" s="6"/>
      <c r="U389" s="6"/>
      <c r="V389" s="6"/>
      <c r="W389" s="6"/>
      <c r="X389" s="6"/>
      <c r="Y389" s="6"/>
      <c r="Z389" s="6"/>
      <c r="AA389" s="6"/>
    </row>
    <row r="390" ht="15.75" customHeight="1">
      <c r="L390" s="12"/>
      <c r="O390" s="6"/>
      <c r="P390" s="6"/>
      <c r="Q390" s="6"/>
      <c r="R390" s="6"/>
      <c r="S390" s="6"/>
      <c r="T390" s="6"/>
      <c r="U390" s="6"/>
      <c r="V390" s="6"/>
      <c r="W390" s="6"/>
      <c r="X390" s="6"/>
      <c r="Y390" s="6"/>
      <c r="Z390" s="6"/>
      <c r="AA390" s="6"/>
    </row>
    <row r="391" ht="15.75" customHeight="1">
      <c r="L391" s="12"/>
      <c r="O391" s="6"/>
      <c r="P391" s="6"/>
      <c r="Q391" s="6"/>
      <c r="R391" s="6"/>
      <c r="S391" s="6"/>
      <c r="T391" s="6"/>
      <c r="U391" s="6"/>
      <c r="V391" s="6"/>
      <c r="W391" s="6"/>
      <c r="X391" s="6"/>
      <c r="Y391" s="6"/>
      <c r="Z391" s="6"/>
      <c r="AA391" s="6"/>
    </row>
    <row r="392" ht="15.75" customHeight="1">
      <c r="L392" s="12"/>
      <c r="O392" s="6"/>
      <c r="P392" s="6"/>
      <c r="Q392" s="6"/>
      <c r="R392" s="6"/>
      <c r="S392" s="6"/>
      <c r="T392" s="6"/>
      <c r="U392" s="6"/>
      <c r="V392" s="6"/>
      <c r="W392" s="6"/>
      <c r="X392" s="6"/>
      <c r="Y392" s="6"/>
      <c r="Z392" s="6"/>
      <c r="AA392" s="6"/>
    </row>
    <row r="393" ht="15.75" customHeight="1">
      <c r="L393" s="12"/>
      <c r="O393" s="6"/>
      <c r="P393" s="6"/>
      <c r="Q393" s="6"/>
      <c r="R393" s="6"/>
      <c r="S393" s="6"/>
      <c r="T393" s="6"/>
      <c r="U393" s="6"/>
      <c r="V393" s="6"/>
      <c r="W393" s="6"/>
      <c r="X393" s="6"/>
      <c r="Y393" s="6"/>
      <c r="Z393" s="6"/>
      <c r="AA393" s="6"/>
    </row>
    <row r="394" ht="15.75" customHeight="1">
      <c r="L394" s="12"/>
      <c r="O394" s="6"/>
      <c r="P394" s="6"/>
      <c r="Q394" s="6"/>
      <c r="R394" s="6"/>
      <c r="S394" s="6"/>
      <c r="T394" s="6"/>
      <c r="U394" s="6"/>
      <c r="V394" s="6"/>
      <c r="W394" s="6"/>
      <c r="X394" s="6"/>
      <c r="Y394" s="6"/>
      <c r="Z394" s="6"/>
      <c r="AA394" s="6"/>
    </row>
    <row r="395" ht="15.75" customHeight="1">
      <c r="L395" s="12"/>
      <c r="O395" s="6"/>
      <c r="P395" s="6"/>
      <c r="Q395" s="6"/>
      <c r="R395" s="6"/>
      <c r="S395" s="6"/>
      <c r="T395" s="6"/>
      <c r="U395" s="6"/>
      <c r="V395" s="6"/>
      <c r="W395" s="6"/>
      <c r="X395" s="6"/>
      <c r="Y395" s="6"/>
      <c r="Z395" s="6"/>
      <c r="AA395" s="6"/>
    </row>
    <row r="396" ht="15.75" customHeight="1">
      <c r="L396" s="12"/>
      <c r="O396" s="6"/>
      <c r="P396" s="6"/>
      <c r="Q396" s="6"/>
      <c r="R396" s="6"/>
      <c r="S396" s="6"/>
      <c r="T396" s="6"/>
      <c r="U396" s="6"/>
      <c r="V396" s="6"/>
      <c r="W396" s="6"/>
      <c r="X396" s="6"/>
      <c r="Y396" s="6"/>
      <c r="Z396" s="6"/>
      <c r="AA396" s="6"/>
    </row>
    <row r="397" ht="15.75" customHeight="1">
      <c r="L397" s="12"/>
      <c r="O397" s="6"/>
      <c r="P397" s="6"/>
      <c r="Q397" s="6"/>
      <c r="R397" s="6"/>
      <c r="S397" s="6"/>
      <c r="T397" s="6"/>
      <c r="U397" s="6"/>
      <c r="V397" s="6"/>
      <c r="W397" s="6"/>
      <c r="X397" s="6"/>
      <c r="Y397" s="6"/>
      <c r="Z397" s="6"/>
      <c r="AA397" s="6"/>
    </row>
    <row r="398" ht="15.75" customHeight="1">
      <c r="L398" s="12"/>
      <c r="O398" s="6"/>
      <c r="P398" s="6"/>
      <c r="Q398" s="6"/>
      <c r="R398" s="6"/>
      <c r="S398" s="6"/>
      <c r="T398" s="6"/>
      <c r="U398" s="6"/>
      <c r="V398" s="6"/>
      <c r="W398" s="6"/>
      <c r="X398" s="6"/>
      <c r="Y398" s="6"/>
      <c r="Z398" s="6"/>
      <c r="AA398" s="6"/>
    </row>
    <row r="399" ht="15.75" customHeight="1">
      <c r="L399" s="12"/>
      <c r="O399" s="6"/>
      <c r="P399" s="6"/>
      <c r="Q399" s="6"/>
      <c r="R399" s="6"/>
      <c r="S399" s="6"/>
      <c r="T399" s="6"/>
      <c r="U399" s="6"/>
      <c r="V399" s="6"/>
      <c r="W399" s="6"/>
      <c r="X399" s="6"/>
      <c r="Y399" s="6"/>
      <c r="Z399" s="6"/>
      <c r="AA399" s="6"/>
    </row>
    <row r="400" ht="15.75" customHeight="1">
      <c r="L400" s="12"/>
      <c r="O400" s="6"/>
      <c r="P400" s="6"/>
      <c r="Q400" s="6"/>
      <c r="R400" s="6"/>
      <c r="S400" s="6"/>
      <c r="T400" s="6"/>
      <c r="U400" s="6"/>
      <c r="V400" s="6"/>
      <c r="W400" s="6"/>
      <c r="X400" s="6"/>
      <c r="Y400" s="6"/>
      <c r="Z400" s="6"/>
      <c r="AA400" s="6"/>
    </row>
    <row r="401" ht="15.75" customHeight="1">
      <c r="L401" s="12"/>
      <c r="O401" s="6"/>
      <c r="P401" s="6"/>
      <c r="Q401" s="6"/>
      <c r="R401" s="6"/>
      <c r="S401" s="6"/>
      <c r="T401" s="6"/>
      <c r="U401" s="6"/>
      <c r="V401" s="6"/>
      <c r="W401" s="6"/>
      <c r="X401" s="6"/>
      <c r="Y401" s="6"/>
      <c r="Z401" s="6"/>
      <c r="AA401" s="6"/>
    </row>
    <row r="402" ht="15.75" customHeight="1">
      <c r="L402" s="12"/>
      <c r="O402" s="6"/>
      <c r="P402" s="6"/>
      <c r="Q402" s="6"/>
      <c r="R402" s="6"/>
      <c r="S402" s="6"/>
      <c r="T402" s="6"/>
      <c r="U402" s="6"/>
      <c r="V402" s="6"/>
      <c r="W402" s="6"/>
      <c r="X402" s="6"/>
      <c r="Y402" s="6"/>
      <c r="Z402" s="6"/>
      <c r="AA402" s="6"/>
    </row>
    <row r="403" ht="15.75" customHeight="1">
      <c r="L403" s="12"/>
      <c r="O403" s="6"/>
      <c r="P403" s="6"/>
      <c r="Q403" s="6"/>
      <c r="R403" s="6"/>
      <c r="S403" s="6"/>
      <c r="T403" s="6"/>
      <c r="U403" s="6"/>
      <c r="V403" s="6"/>
      <c r="W403" s="6"/>
      <c r="X403" s="6"/>
      <c r="Y403" s="6"/>
      <c r="Z403" s="6"/>
      <c r="AA403" s="6"/>
    </row>
    <row r="404" ht="15.75" customHeight="1">
      <c r="L404" s="12"/>
      <c r="O404" s="6"/>
      <c r="P404" s="6"/>
      <c r="Q404" s="6"/>
      <c r="R404" s="6"/>
      <c r="S404" s="6"/>
      <c r="T404" s="6"/>
      <c r="U404" s="6"/>
      <c r="V404" s="6"/>
      <c r="W404" s="6"/>
      <c r="X404" s="6"/>
      <c r="Y404" s="6"/>
      <c r="Z404" s="6"/>
      <c r="AA404" s="6"/>
    </row>
    <row r="405" ht="15.75" customHeight="1">
      <c r="L405" s="12"/>
      <c r="O405" s="6"/>
      <c r="P405" s="6"/>
      <c r="Q405" s="6"/>
      <c r="R405" s="6"/>
      <c r="S405" s="6"/>
      <c r="T405" s="6"/>
      <c r="U405" s="6"/>
      <c r="V405" s="6"/>
      <c r="W405" s="6"/>
      <c r="X405" s="6"/>
      <c r="Y405" s="6"/>
      <c r="Z405" s="6"/>
      <c r="AA405" s="6"/>
    </row>
    <row r="406" ht="15.75" customHeight="1">
      <c r="L406" s="12"/>
      <c r="O406" s="6"/>
      <c r="P406" s="6"/>
      <c r="Q406" s="6"/>
      <c r="R406" s="6"/>
      <c r="S406" s="6"/>
      <c r="T406" s="6"/>
      <c r="U406" s="6"/>
      <c r="V406" s="6"/>
      <c r="W406" s="6"/>
      <c r="X406" s="6"/>
      <c r="Y406" s="6"/>
      <c r="Z406" s="6"/>
      <c r="AA406" s="6"/>
    </row>
    <row r="407" ht="15.75" customHeight="1">
      <c r="L407" s="12"/>
      <c r="O407" s="6"/>
      <c r="P407" s="6"/>
      <c r="Q407" s="6"/>
      <c r="R407" s="6"/>
      <c r="S407" s="6"/>
      <c r="T407" s="6"/>
      <c r="U407" s="6"/>
      <c r="V407" s="6"/>
      <c r="W407" s="6"/>
      <c r="X407" s="6"/>
      <c r="Y407" s="6"/>
      <c r="Z407" s="6"/>
      <c r="AA407" s="6"/>
    </row>
    <row r="408" ht="15.75" customHeight="1">
      <c r="L408" s="12"/>
      <c r="O408" s="6"/>
      <c r="P408" s="6"/>
      <c r="Q408" s="6"/>
      <c r="R408" s="6"/>
      <c r="S408" s="6"/>
      <c r="T408" s="6"/>
      <c r="U408" s="6"/>
      <c r="V408" s="6"/>
      <c r="W408" s="6"/>
      <c r="X408" s="6"/>
      <c r="Y408" s="6"/>
      <c r="Z408" s="6"/>
      <c r="AA408" s="6"/>
    </row>
    <row r="409" ht="15.75" customHeight="1">
      <c r="L409" s="12"/>
      <c r="O409" s="6"/>
      <c r="P409" s="6"/>
      <c r="Q409" s="6"/>
      <c r="R409" s="6"/>
      <c r="S409" s="6"/>
      <c r="T409" s="6"/>
      <c r="U409" s="6"/>
      <c r="V409" s="6"/>
      <c r="W409" s="6"/>
      <c r="X409" s="6"/>
      <c r="Y409" s="6"/>
      <c r="Z409" s="6"/>
      <c r="AA409" s="6"/>
    </row>
    <row r="410" ht="15.75" customHeight="1">
      <c r="L410" s="12"/>
      <c r="O410" s="6"/>
      <c r="P410" s="6"/>
      <c r="Q410" s="6"/>
      <c r="R410" s="6"/>
      <c r="S410" s="6"/>
      <c r="T410" s="6"/>
      <c r="U410" s="6"/>
      <c r="V410" s="6"/>
      <c r="W410" s="6"/>
      <c r="X410" s="6"/>
      <c r="Y410" s="6"/>
      <c r="Z410" s="6"/>
      <c r="AA410" s="6"/>
    </row>
    <row r="411" ht="15.75" customHeight="1">
      <c r="L411" s="12"/>
      <c r="O411" s="6"/>
      <c r="P411" s="6"/>
      <c r="Q411" s="6"/>
      <c r="R411" s="6"/>
      <c r="S411" s="6"/>
      <c r="T411" s="6"/>
      <c r="U411" s="6"/>
      <c r="V411" s="6"/>
      <c r="W411" s="6"/>
      <c r="X411" s="6"/>
      <c r="Y411" s="6"/>
      <c r="Z411" s="6"/>
      <c r="AA411" s="6"/>
    </row>
    <row r="412" ht="15.75" customHeight="1">
      <c r="L412" s="12"/>
      <c r="O412" s="6"/>
      <c r="P412" s="6"/>
      <c r="Q412" s="6"/>
      <c r="R412" s="6"/>
      <c r="S412" s="6"/>
      <c r="T412" s="6"/>
      <c r="U412" s="6"/>
      <c r="V412" s="6"/>
      <c r="W412" s="6"/>
      <c r="X412" s="6"/>
      <c r="Y412" s="6"/>
      <c r="Z412" s="6"/>
      <c r="AA412" s="6"/>
    </row>
    <row r="413" ht="15.75" customHeight="1">
      <c r="L413" s="12"/>
      <c r="O413" s="6"/>
      <c r="P413" s="6"/>
      <c r="Q413" s="6"/>
      <c r="R413" s="6"/>
      <c r="S413" s="6"/>
      <c r="T413" s="6"/>
      <c r="U413" s="6"/>
      <c r="V413" s="6"/>
      <c r="W413" s="6"/>
      <c r="X413" s="6"/>
      <c r="Y413" s="6"/>
      <c r="Z413" s="6"/>
      <c r="AA413" s="6"/>
    </row>
    <row r="414" ht="15.75" customHeight="1">
      <c r="L414" s="12"/>
      <c r="O414" s="6"/>
      <c r="P414" s="6"/>
      <c r="Q414" s="6"/>
      <c r="R414" s="6"/>
      <c r="S414" s="6"/>
      <c r="T414" s="6"/>
      <c r="U414" s="6"/>
      <c r="V414" s="6"/>
      <c r="W414" s="6"/>
      <c r="X414" s="6"/>
      <c r="Y414" s="6"/>
      <c r="Z414" s="6"/>
      <c r="AA414" s="6"/>
    </row>
    <row r="415" ht="15.75" customHeight="1">
      <c r="L415" s="12"/>
      <c r="O415" s="6"/>
      <c r="P415" s="6"/>
      <c r="Q415" s="6"/>
      <c r="R415" s="6"/>
      <c r="S415" s="6"/>
      <c r="T415" s="6"/>
      <c r="U415" s="6"/>
      <c r="V415" s="6"/>
      <c r="W415" s="6"/>
      <c r="X415" s="6"/>
      <c r="Y415" s="6"/>
      <c r="Z415" s="6"/>
      <c r="AA415" s="6"/>
    </row>
    <row r="416" ht="15.75" customHeight="1">
      <c r="L416" s="12"/>
      <c r="O416" s="6"/>
      <c r="P416" s="6"/>
      <c r="Q416" s="6"/>
      <c r="R416" s="6"/>
      <c r="S416" s="6"/>
      <c r="T416" s="6"/>
      <c r="U416" s="6"/>
      <c r="V416" s="6"/>
      <c r="W416" s="6"/>
      <c r="X416" s="6"/>
      <c r="Y416" s="6"/>
      <c r="Z416" s="6"/>
      <c r="AA416" s="6"/>
    </row>
    <row r="417" ht="15.75" customHeight="1">
      <c r="L417" s="12"/>
      <c r="O417" s="6"/>
      <c r="P417" s="6"/>
      <c r="Q417" s="6"/>
      <c r="R417" s="6"/>
      <c r="S417" s="6"/>
      <c r="T417" s="6"/>
      <c r="U417" s="6"/>
      <c r="V417" s="6"/>
      <c r="W417" s="6"/>
      <c r="X417" s="6"/>
      <c r="Y417" s="6"/>
      <c r="Z417" s="6"/>
      <c r="AA417" s="6"/>
    </row>
    <row r="418" ht="15.75" customHeight="1">
      <c r="L418" s="12"/>
      <c r="O418" s="6"/>
      <c r="P418" s="6"/>
      <c r="Q418" s="6"/>
      <c r="R418" s="6"/>
      <c r="S418" s="6"/>
      <c r="T418" s="6"/>
      <c r="U418" s="6"/>
      <c r="V418" s="6"/>
      <c r="W418" s="6"/>
      <c r="X418" s="6"/>
      <c r="Y418" s="6"/>
      <c r="Z418" s="6"/>
      <c r="AA418" s="6"/>
    </row>
    <row r="419" ht="15.75" customHeight="1">
      <c r="L419" s="12"/>
      <c r="O419" s="6"/>
      <c r="P419" s="6"/>
      <c r="Q419" s="6"/>
      <c r="R419" s="6"/>
      <c r="S419" s="6"/>
      <c r="T419" s="6"/>
      <c r="U419" s="6"/>
      <c r="V419" s="6"/>
      <c r="W419" s="6"/>
      <c r="X419" s="6"/>
      <c r="Y419" s="6"/>
      <c r="Z419" s="6"/>
      <c r="AA419" s="6"/>
    </row>
    <row r="420" ht="15.75" customHeight="1">
      <c r="L420" s="12"/>
      <c r="O420" s="6"/>
      <c r="P420" s="6"/>
      <c r="Q420" s="6"/>
      <c r="R420" s="6"/>
      <c r="S420" s="6"/>
      <c r="T420" s="6"/>
      <c r="U420" s="6"/>
      <c r="V420" s="6"/>
      <c r="W420" s="6"/>
      <c r="X420" s="6"/>
      <c r="Y420" s="6"/>
      <c r="Z420" s="6"/>
      <c r="AA420" s="6"/>
    </row>
    <row r="421" ht="15.75" customHeight="1">
      <c r="L421" s="12"/>
      <c r="O421" s="6"/>
      <c r="P421" s="6"/>
      <c r="Q421" s="6"/>
      <c r="R421" s="6"/>
      <c r="S421" s="6"/>
      <c r="T421" s="6"/>
      <c r="U421" s="6"/>
      <c r="V421" s="6"/>
      <c r="W421" s="6"/>
      <c r="X421" s="6"/>
      <c r="Y421" s="6"/>
      <c r="Z421" s="6"/>
      <c r="AA421" s="6"/>
    </row>
    <row r="422" ht="15.75" customHeight="1">
      <c r="L422" s="12"/>
      <c r="O422" s="6"/>
      <c r="P422" s="6"/>
      <c r="Q422" s="6"/>
      <c r="R422" s="6"/>
      <c r="S422" s="6"/>
      <c r="T422" s="6"/>
      <c r="U422" s="6"/>
      <c r="V422" s="6"/>
      <c r="W422" s="6"/>
      <c r="X422" s="6"/>
      <c r="Y422" s="6"/>
      <c r="Z422" s="6"/>
      <c r="AA422" s="6"/>
    </row>
    <row r="423" ht="15.75" customHeight="1">
      <c r="L423" s="12"/>
      <c r="O423" s="6"/>
      <c r="P423" s="6"/>
      <c r="Q423" s="6"/>
      <c r="R423" s="6"/>
      <c r="S423" s="6"/>
      <c r="T423" s="6"/>
      <c r="U423" s="6"/>
      <c r="V423" s="6"/>
      <c r="W423" s="6"/>
      <c r="X423" s="6"/>
      <c r="Y423" s="6"/>
      <c r="Z423" s="6"/>
      <c r="AA423" s="6"/>
    </row>
    <row r="424" ht="15.75" customHeight="1">
      <c r="L424" s="12"/>
      <c r="O424" s="6"/>
      <c r="P424" s="6"/>
      <c r="Q424" s="6"/>
      <c r="R424" s="6"/>
      <c r="S424" s="6"/>
      <c r="T424" s="6"/>
      <c r="U424" s="6"/>
      <c r="V424" s="6"/>
      <c r="W424" s="6"/>
      <c r="X424" s="6"/>
      <c r="Y424" s="6"/>
      <c r="Z424" s="6"/>
      <c r="AA424" s="6"/>
    </row>
    <row r="425" ht="15.75" customHeight="1">
      <c r="L425" s="12"/>
      <c r="O425" s="6"/>
      <c r="P425" s="6"/>
      <c r="Q425" s="6"/>
      <c r="R425" s="6"/>
      <c r="S425" s="6"/>
      <c r="T425" s="6"/>
      <c r="U425" s="6"/>
      <c r="V425" s="6"/>
      <c r="W425" s="6"/>
      <c r="X425" s="6"/>
      <c r="Y425" s="6"/>
      <c r="Z425" s="6"/>
      <c r="AA425" s="6"/>
    </row>
    <row r="426" ht="15.75" customHeight="1">
      <c r="L426" s="12"/>
      <c r="O426" s="6"/>
      <c r="P426" s="6"/>
      <c r="Q426" s="6"/>
      <c r="R426" s="6"/>
      <c r="S426" s="6"/>
      <c r="T426" s="6"/>
      <c r="U426" s="6"/>
      <c r="V426" s="6"/>
      <c r="W426" s="6"/>
      <c r="X426" s="6"/>
      <c r="Y426" s="6"/>
      <c r="Z426" s="6"/>
      <c r="AA426" s="6"/>
    </row>
    <row r="427" ht="15.75" customHeight="1">
      <c r="L427" s="12"/>
      <c r="O427" s="6"/>
      <c r="P427" s="6"/>
      <c r="Q427" s="6"/>
      <c r="R427" s="6"/>
      <c r="S427" s="6"/>
      <c r="T427" s="6"/>
      <c r="U427" s="6"/>
      <c r="V427" s="6"/>
      <c r="W427" s="6"/>
      <c r="X427" s="6"/>
      <c r="Y427" s="6"/>
      <c r="Z427" s="6"/>
      <c r="AA427" s="6"/>
    </row>
    <row r="428" ht="15.75" customHeight="1">
      <c r="L428" s="12"/>
      <c r="O428" s="6"/>
      <c r="P428" s="6"/>
      <c r="Q428" s="6"/>
      <c r="R428" s="6"/>
      <c r="S428" s="6"/>
      <c r="T428" s="6"/>
      <c r="U428" s="6"/>
      <c r="V428" s="6"/>
      <c r="W428" s="6"/>
      <c r="X428" s="6"/>
      <c r="Y428" s="6"/>
      <c r="Z428" s="6"/>
      <c r="AA428" s="6"/>
    </row>
    <row r="429" ht="15.75" customHeight="1">
      <c r="L429" s="12"/>
      <c r="O429" s="6"/>
      <c r="P429" s="6"/>
      <c r="Q429" s="6"/>
      <c r="R429" s="6"/>
      <c r="S429" s="6"/>
      <c r="T429" s="6"/>
      <c r="U429" s="6"/>
      <c r="V429" s="6"/>
      <c r="W429" s="6"/>
      <c r="X429" s="6"/>
      <c r="Y429" s="6"/>
      <c r="Z429" s="6"/>
      <c r="AA429" s="6"/>
    </row>
    <row r="430" ht="15.75" customHeight="1">
      <c r="L430" s="12"/>
      <c r="O430" s="6"/>
      <c r="P430" s="6"/>
      <c r="Q430" s="6"/>
      <c r="R430" s="6"/>
      <c r="S430" s="6"/>
      <c r="T430" s="6"/>
      <c r="U430" s="6"/>
      <c r="V430" s="6"/>
      <c r="W430" s="6"/>
      <c r="X430" s="6"/>
      <c r="Y430" s="6"/>
      <c r="Z430" s="6"/>
      <c r="AA430" s="6"/>
    </row>
    <row r="431" ht="15.75" customHeight="1">
      <c r="L431" s="12"/>
      <c r="O431" s="6"/>
      <c r="P431" s="6"/>
      <c r="Q431" s="6"/>
      <c r="R431" s="6"/>
      <c r="S431" s="6"/>
      <c r="T431" s="6"/>
      <c r="U431" s="6"/>
      <c r="V431" s="6"/>
      <c r="W431" s="6"/>
      <c r="X431" s="6"/>
      <c r="Y431" s="6"/>
      <c r="Z431" s="6"/>
      <c r="AA431" s="6"/>
    </row>
    <row r="432" ht="15.75" customHeight="1">
      <c r="L432" s="12"/>
      <c r="O432" s="6"/>
      <c r="P432" s="6"/>
      <c r="Q432" s="6"/>
      <c r="R432" s="6"/>
      <c r="S432" s="6"/>
      <c r="T432" s="6"/>
      <c r="U432" s="6"/>
      <c r="V432" s="6"/>
      <c r="W432" s="6"/>
      <c r="X432" s="6"/>
      <c r="Y432" s="6"/>
      <c r="Z432" s="6"/>
      <c r="AA432" s="6"/>
    </row>
    <row r="433" ht="15.75" customHeight="1">
      <c r="L433" s="12"/>
      <c r="O433" s="6"/>
      <c r="P433" s="6"/>
      <c r="Q433" s="6"/>
      <c r="R433" s="6"/>
      <c r="S433" s="6"/>
      <c r="T433" s="6"/>
      <c r="U433" s="6"/>
      <c r="V433" s="6"/>
      <c r="W433" s="6"/>
      <c r="X433" s="6"/>
      <c r="Y433" s="6"/>
      <c r="Z433" s="6"/>
      <c r="AA433" s="6"/>
    </row>
    <row r="434" ht="15.75" customHeight="1">
      <c r="L434" s="12"/>
      <c r="O434" s="6"/>
      <c r="P434" s="6"/>
      <c r="Q434" s="6"/>
      <c r="R434" s="6"/>
      <c r="S434" s="6"/>
      <c r="T434" s="6"/>
      <c r="U434" s="6"/>
      <c r="V434" s="6"/>
      <c r="W434" s="6"/>
      <c r="X434" s="6"/>
      <c r="Y434" s="6"/>
      <c r="Z434" s="6"/>
      <c r="AA434" s="6"/>
    </row>
    <row r="435" ht="15.75" customHeight="1">
      <c r="L435" s="12"/>
      <c r="O435" s="6"/>
      <c r="P435" s="6"/>
      <c r="Q435" s="6"/>
      <c r="R435" s="6"/>
      <c r="S435" s="6"/>
      <c r="T435" s="6"/>
      <c r="U435" s="6"/>
      <c r="V435" s="6"/>
      <c r="W435" s="6"/>
      <c r="X435" s="6"/>
      <c r="Y435" s="6"/>
      <c r="Z435" s="6"/>
      <c r="AA435" s="6"/>
    </row>
    <row r="436" ht="15.75" customHeight="1">
      <c r="L436" s="12"/>
      <c r="O436" s="6"/>
      <c r="P436" s="6"/>
      <c r="Q436" s="6"/>
      <c r="R436" s="6"/>
      <c r="S436" s="6"/>
      <c r="T436" s="6"/>
      <c r="U436" s="6"/>
      <c r="V436" s="6"/>
      <c r="W436" s="6"/>
      <c r="X436" s="6"/>
      <c r="Y436" s="6"/>
      <c r="Z436" s="6"/>
      <c r="AA436" s="6"/>
    </row>
    <row r="437" ht="15.75" customHeight="1">
      <c r="L437" s="12"/>
      <c r="O437" s="6"/>
      <c r="P437" s="6"/>
      <c r="Q437" s="6"/>
      <c r="R437" s="6"/>
      <c r="S437" s="6"/>
      <c r="T437" s="6"/>
      <c r="U437" s="6"/>
      <c r="V437" s="6"/>
      <c r="W437" s="6"/>
      <c r="X437" s="6"/>
      <c r="Y437" s="6"/>
      <c r="Z437" s="6"/>
      <c r="AA437" s="6"/>
    </row>
    <row r="438" ht="15.75" customHeight="1">
      <c r="L438" s="12"/>
      <c r="O438" s="6"/>
      <c r="P438" s="6"/>
      <c r="Q438" s="6"/>
      <c r="R438" s="6"/>
      <c r="S438" s="6"/>
      <c r="T438" s="6"/>
      <c r="U438" s="6"/>
      <c r="V438" s="6"/>
      <c r="W438" s="6"/>
      <c r="X438" s="6"/>
      <c r="Y438" s="6"/>
      <c r="Z438" s="6"/>
      <c r="AA438" s="6"/>
    </row>
    <row r="439" ht="15.75" customHeight="1">
      <c r="L439" s="12"/>
      <c r="O439" s="6"/>
      <c r="P439" s="6"/>
      <c r="Q439" s="6"/>
      <c r="R439" s="6"/>
      <c r="S439" s="6"/>
      <c r="T439" s="6"/>
      <c r="U439" s="6"/>
      <c r="V439" s="6"/>
      <c r="W439" s="6"/>
      <c r="X439" s="6"/>
      <c r="Y439" s="6"/>
      <c r="Z439" s="6"/>
      <c r="AA439" s="6"/>
    </row>
    <row r="440" ht="15.75" customHeight="1">
      <c r="L440" s="12"/>
      <c r="O440" s="6"/>
      <c r="P440" s="6"/>
      <c r="Q440" s="6"/>
      <c r="R440" s="6"/>
      <c r="S440" s="6"/>
      <c r="T440" s="6"/>
      <c r="U440" s="6"/>
      <c r="V440" s="6"/>
      <c r="W440" s="6"/>
      <c r="X440" s="6"/>
      <c r="Y440" s="6"/>
      <c r="Z440" s="6"/>
      <c r="AA440" s="6"/>
    </row>
    <row r="441" ht="15.75" customHeight="1">
      <c r="L441" s="12"/>
      <c r="O441" s="6"/>
      <c r="P441" s="6"/>
      <c r="Q441" s="6"/>
      <c r="R441" s="6"/>
      <c r="S441" s="6"/>
      <c r="T441" s="6"/>
      <c r="U441" s="6"/>
      <c r="V441" s="6"/>
      <c r="W441" s="6"/>
      <c r="X441" s="6"/>
      <c r="Y441" s="6"/>
      <c r="Z441" s="6"/>
      <c r="AA441" s="6"/>
    </row>
    <row r="442" ht="15.75" customHeight="1">
      <c r="L442" s="12"/>
      <c r="O442" s="6"/>
      <c r="P442" s="6"/>
      <c r="Q442" s="6"/>
      <c r="R442" s="6"/>
      <c r="S442" s="6"/>
      <c r="T442" s="6"/>
      <c r="U442" s="6"/>
      <c r="V442" s="6"/>
      <c r="W442" s="6"/>
      <c r="X442" s="6"/>
      <c r="Y442" s="6"/>
      <c r="Z442" s="6"/>
      <c r="AA442" s="6"/>
    </row>
    <row r="443" ht="15.75" customHeight="1">
      <c r="L443" s="12"/>
      <c r="O443" s="6"/>
      <c r="P443" s="6"/>
      <c r="Q443" s="6"/>
      <c r="R443" s="6"/>
      <c r="S443" s="6"/>
      <c r="T443" s="6"/>
      <c r="U443" s="6"/>
      <c r="V443" s="6"/>
      <c r="W443" s="6"/>
      <c r="X443" s="6"/>
      <c r="Y443" s="6"/>
      <c r="Z443" s="6"/>
      <c r="AA443" s="6"/>
    </row>
    <row r="444" ht="15.75" customHeight="1">
      <c r="L444" s="12"/>
      <c r="O444" s="6"/>
      <c r="P444" s="6"/>
      <c r="Q444" s="6"/>
      <c r="R444" s="6"/>
      <c r="S444" s="6"/>
      <c r="T444" s="6"/>
      <c r="U444" s="6"/>
      <c r="V444" s="6"/>
      <c r="W444" s="6"/>
      <c r="X444" s="6"/>
      <c r="Y444" s="6"/>
      <c r="Z444" s="6"/>
      <c r="AA444" s="6"/>
    </row>
    <row r="445" ht="15.75" customHeight="1">
      <c r="L445" s="12"/>
      <c r="O445" s="6"/>
      <c r="P445" s="6"/>
      <c r="Q445" s="6"/>
      <c r="R445" s="6"/>
      <c r="S445" s="6"/>
      <c r="T445" s="6"/>
      <c r="U445" s="6"/>
      <c r="V445" s="6"/>
      <c r="W445" s="6"/>
      <c r="X445" s="6"/>
      <c r="Y445" s="6"/>
      <c r="Z445" s="6"/>
      <c r="AA445" s="6"/>
    </row>
    <row r="446" ht="15.75" customHeight="1">
      <c r="L446" s="12"/>
      <c r="O446" s="6"/>
      <c r="P446" s="6"/>
      <c r="Q446" s="6"/>
      <c r="R446" s="6"/>
      <c r="S446" s="6"/>
      <c r="T446" s="6"/>
      <c r="U446" s="6"/>
      <c r="V446" s="6"/>
      <c r="W446" s="6"/>
      <c r="X446" s="6"/>
      <c r="Y446" s="6"/>
      <c r="Z446" s="6"/>
      <c r="AA446" s="6"/>
    </row>
    <row r="447" ht="15.75" customHeight="1">
      <c r="L447" s="12"/>
      <c r="O447" s="6"/>
      <c r="P447" s="6"/>
      <c r="Q447" s="6"/>
      <c r="R447" s="6"/>
      <c r="S447" s="6"/>
      <c r="T447" s="6"/>
      <c r="U447" s="6"/>
      <c r="V447" s="6"/>
      <c r="W447" s="6"/>
      <c r="X447" s="6"/>
      <c r="Y447" s="6"/>
      <c r="Z447" s="6"/>
      <c r="AA447" s="6"/>
    </row>
    <row r="448" ht="15.75" customHeight="1">
      <c r="L448" s="12"/>
      <c r="O448" s="6"/>
      <c r="P448" s="6"/>
      <c r="Q448" s="6"/>
      <c r="R448" s="6"/>
      <c r="S448" s="6"/>
      <c r="T448" s="6"/>
      <c r="U448" s="6"/>
      <c r="V448" s="6"/>
      <c r="W448" s="6"/>
      <c r="X448" s="6"/>
      <c r="Y448" s="6"/>
      <c r="Z448" s="6"/>
      <c r="AA448" s="6"/>
    </row>
    <row r="449" ht="15.75" customHeight="1">
      <c r="L449" s="12"/>
      <c r="O449" s="6"/>
      <c r="P449" s="6"/>
      <c r="Q449" s="6"/>
      <c r="R449" s="6"/>
      <c r="S449" s="6"/>
      <c r="T449" s="6"/>
      <c r="U449" s="6"/>
      <c r="V449" s="6"/>
      <c r="W449" s="6"/>
      <c r="X449" s="6"/>
      <c r="Y449" s="6"/>
      <c r="Z449" s="6"/>
      <c r="AA449" s="6"/>
    </row>
    <row r="450" ht="15.75" customHeight="1">
      <c r="L450" s="12"/>
      <c r="O450" s="6"/>
      <c r="P450" s="6"/>
      <c r="Q450" s="6"/>
      <c r="R450" s="6"/>
      <c r="S450" s="6"/>
      <c r="T450" s="6"/>
      <c r="U450" s="6"/>
      <c r="V450" s="6"/>
      <c r="W450" s="6"/>
      <c r="X450" s="6"/>
      <c r="Y450" s="6"/>
      <c r="Z450" s="6"/>
      <c r="AA450" s="6"/>
    </row>
    <row r="451" ht="15.75" customHeight="1">
      <c r="L451" s="12"/>
      <c r="O451" s="6"/>
      <c r="P451" s="6"/>
      <c r="Q451" s="6"/>
      <c r="R451" s="6"/>
      <c r="S451" s="6"/>
      <c r="T451" s="6"/>
      <c r="U451" s="6"/>
      <c r="V451" s="6"/>
      <c r="W451" s="6"/>
      <c r="X451" s="6"/>
      <c r="Y451" s="6"/>
      <c r="Z451" s="6"/>
      <c r="AA451" s="6"/>
    </row>
    <row r="452" ht="15.75" customHeight="1">
      <c r="L452" s="12"/>
      <c r="O452" s="6"/>
      <c r="P452" s="6"/>
      <c r="Q452" s="6"/>
      <c r="R452" s="6"/>
      <c r="S452" s="6"/>
      <c r="T452" s="6"/>
      <c r="U452" s="6"/>
      <c r="V452" s="6"/>
      <c r="W452" s="6"/>
      <c r="X452" s="6"/>
      <c r="Y452" s="6"/>
      <c r="Z452" s="6"/>
      <c r="AA452" s="6"/>
    </row>
    <row r="453" ht="15.75" customHeight="1">
      <c r="L453" s="12"/>
      <c r="O453" s="6"/>
      <c r="P453" s="6"/>
      <c r="Q453" s="6"/>
      <c r="R453" s="6"/>
      <c r="S453" s="6"/>
      <c r="T453" s="6"/>
      <c r="U453" s="6"/>
      <c r="V453" s="6"/>
      <c r="W453" s="6"/>
      <c r="X453" s="6"/>
      <c r="Y453" s="6"/>
      <c r="Z453" s="6"/>
      <c r="AA453" s="6"/>
    </row>
    <row r="454" ht="15.75" customHeight="1">
      <c r="L454" s="12"/>
      <c r="O454" s="6"/>
      <c r="P454" s="6"/>
      <c r="Q454" s="6"/>
      <c r="R454" s="6"/>
      <c r="S454" s="6"/>
      <c r="T454" s="6"/>
      <c r="U454" s="6"/>
      <c r="V454" s="6"/>
      <c r="W454" s="6"/>
      <c r="X454" s="6"/>
      <c r="Y454" s="6"/>
      <c r="Z454" s="6"/>
      <c r="AA454" s="6"/>
    </row>
    <row r="455" ht="15.75" customHeight="1">
      <c r="L455" s="12"/>
      <c r="O455" s="6"/>
      <c r="P455" s="6"/>
      <c r="Q455" s="6"/>
      <c r="R455" s="6"/>
      <c r="S455" s="6"/>
      <c r="T455" s="6"/>
      <c r="U455" s="6"/>
      <c r="V455" s="6"/>
      <c r="W455" s="6"/>
      <c r="X455" s="6"/>
      <c r="Y455" s="6"/>
      <c r="Z455" s="6"/>
      <c r="AA455" s="6"/>
    </row>
    <row r="456" ht="15.75" customHeight="1">
      <c r="L456" s="12"/>
      <c r="O456" s="6"/>
      <c r="P456" s="6"/>
      <c r="Q456" s="6"/>
      <c r="R456" s="6"/>
      <c r="S456" s="6"/>
      <c r="T456" s="6"/>
      <c r="U456" s="6"/>
      <c r="V456" s="6"/>
      <c r="W456" s="6"/>
      <c r="X456" s="6"/>
      <c r="Y456" s="6"/>
      <c r="Z456" s="6"/>
      <c r="AA456" s="6"/>
    </row>
    <row r="457" ht="15.75" customHeight="1">
      <c r="L457" s="12"/>
      <c r="O457" s="6"/>
      <c r="P457" s="6"/>
      <c r="Q457" s="6"/>
      <c r="R457" s="6"/>
      <c r="S457" s="6"/>
      <c r="T457" s="6"/>
      <c r="U457" s="6"/>
      <c r="V457" s="6"/>
      <c r="W457" s="6"/>
      <c r="X457" s="6"/>
      <c r="Y457" s="6"/>
      <c r="Z457" s="6"/>
      <c r="AA457" s="6"/>
    </row>
    <row r="458" ht="15.75" customHeight="1">
      <c r="L458" s="12"/>
      <c r="O458" s="6"/>
      <c r="P458" s="6"/>
      <c r="Q458" s="6"/>
      <c r="R458" s="6"/>
      <c r="S458" s="6"/>
      <c r="T458" s="6"/>
      <c r="U458" s="6"/>
      <c r="V458" s="6"/>
      <c r="W458" s="6"/>
      <c r="X458" s="6"/>
      <c r="Y458" s="6"/>
      <c r="Z458" s="6"/>
      <c r="AA458" s="6"/>
    </row>
    <row r="459" ht="15.75" customHeight="1">
      <c r="L459" s="12"/>
      <c r="O459" s="6"/>
      <c r="P459" s="6"/>
      <c r="Q459" s="6"/>
      <c r="R459" s="6"/>
      <c r="S459" s="6"/>
      <c r="T459" s="6"/>
      <c r="U459" s="6"/>
      <c r="V459" s="6"/>
      <c r="W459" s="6"/>
      <c r="X459" s="6"/>
      <c r="Y459" s="6"/>
      <c r="Z459" s="6"/>
      <c r="AA459" s="6"/>
    </row>
    <row r="460" ht="15.75" customHeight="1">
      <c r="L460" s="12"/>
      <c r="O460" s="6"/>
      <c r="P460" s="6"/>
      <c r="Q460" s="6"/>
      <c r="R460" s="6"/>
      <c r="S460" s="6"/>
      <c r="T460" s="6"/>
      <c r="U460" s="6"/>
      <c r="V460" s="6"/>
      <c r="W460" s="6"/>
      <c r="X460" s="6"/>
      <c r="Y460" s="6"/>
      <c r="Z460" s="6"/>
      <c r="AA460" s="6"/>
    </row>
    <row r="461" ht="15.75" customHeight="1">
      <c r="L461" s="12"/>
      <c r="O461" s="6"/>
      <c r="P461" s="6"/>
      <c r="Q461" s="6"/>
      <c r="R461" s="6"/>
      <c r="S461" s="6"/>
      <c r="T461" s="6"/>
      <c r="U461" s="6"/>
      <c r="V461" s="6"/>
      <c r="W461" s="6"/>
      <c r="X461" s="6"/>
      <c r="Y461" s="6"/>
      <c r="Z461" s="6"/>
      <c r="AA461" s="6"/>
    </row>
    <row r="462" ht="15.75" customHeight="1">
      <c r="L462" s="12"/>
      <c r="O462" s="6"/>
      <c r="P462" s="6"/>
      <c r="Q462" s="6"/>
      <c r="R462" s="6"/>
      <c r="S462" s="6"/>
      <c r="T462" s="6"/>
      <c r="U462" s="6"/>
      <c r="V462" s="6"/>
      <c r="W462" s="6"/>
      <c r="X462" s="6"/>
      <c r="Y462" s="6"/>
      <c r="Z462" s="6"/>
      <c r="AA462" s="6"/>
    </row>
    <row r="463" ht="15.75" customHeight="1">
      <c r="L463" s="12"/>
      <c r="O463" s="6"/>
      <c r="P463" s="6"/>
      <c r="Q463" s="6"/>
      <c r="R463" s="6"/>
      <c r="S463" s="6"/>
      <c r="T463" s="6"/>
      <c r="U463" s="6"/>
      <c r="V463" s="6"/>
      <c r="W463" s="6"/>
      <c r="X463" s="6"/>
      <c r="Y463" s="6"/>
      <c r="Z463" s="6"/>
      <c r="AA463" s="6"/>
    </row>
    <row r="464" ht="15.75" customHeight="1">
      <c r="L464" s="12"/>
      <c r="O464" s="6"/>
      <c r="P464" s="6"/>
      <c r="Q464" s="6"/>
      <c r="R464" s="6"/>
      <c r="S464" s="6"/>
      <c r="T464" s="6"/>
      <c r="U464" s="6"/>
      <c r="V464" s="6"/>
      <c r="W464" s="6"/>
      <c r="X464" s="6"/>
      <c r="Y464" s="6"/>
      <c r="Z464" s="6"/>
      <c r="AA464" s="6"/>
    </row>
    <row r="465" ht="15.75" customHeight="1">
      <c r="L465" s="12"/>
      <c r="O465" s="6"/>
      <c r="P465" s="6"/>
      <c r="Q465" s="6"/>
      <c r="R465" s="6"/>
      <c r="S465" s="6"/>
      <c r="T465" s="6"/>
      <c r="U465" s="6"/>
      <c r="V465" s="6"/>
      <c r="W465" s="6"/>
      <c r="X465" s="6"/>
      <c r="Y465" s="6"/>
      <c r="Z465" s="6"/>
      <c r="AA465" s="6"/>
    </row>
    <row r="466" ht="15.75" customHeight="1">
      <c r="L466" s="12"/>
      <c r="O466" s="6"/>
      <c r="P466" s="6"/>
      <c r="Q466" s="6"/>
      <c r="R466" s="6"/>
      <c r="S466" s="6"/>
      <c r="T466" s="6"/>
      <c r="U466" s="6"/>
      <c r="V466" s="6"/>
      <c r="W466" s="6"/>
      <c r="X466" s="6"/>
      <c r="Y466" s="6"/>
      <c r="Z466" s="6"/>
      <c r="AA466" s="6"/>
    </row>
    <row r="467" ht="15.75" customHeight="1">
      <c r="L467" s="12"/>
      <c r="O467" s="6"/>
      <c r="P467" s="6"/>
      <c r="Q467" s="6"/>
      <c r="R467" s="6"/>
      <c r="S467" s="6"/>
      <c r="T467" s="6"/>
      <c r="U467" s="6"/>
      <c r="V467" s="6"/>
      <c r="W467" s="6"/>
      <c r="X467" s="6"/>
      <c r="Y467" s="6"/>
      <c r="Z467" s="6"/>
      <c r="AA467" s="6"/>
    </row>
    <row r="468" ht="15.75" customHeight="1">
      <c r="L468" s="12"/>
      <c r="O468" s="6"/>
      <c r="P468" s="6"/>
      <c r="Q468" s="6"/>
      <c r="R468" s="6"/>
      <c r="S468" s="6"/>
      <c r="T468" s="6"/>
      <c r="U468" s="6"/>
      <c r="V468" s="6"/>
      <c r="W468" s="6"/>
      <c r="X468" s="6"/>
      <c r="Y468" s="6"/>
      <c r="Z468" s="6"/>
      <c r="AA468" s="6"/>
    </row>
    <row r="469" ht="15.75" customHeight="1">
      <c r="L469" s="12"/>
      <c r="O469" s="6"/>
      <c r="P469" s="6"/>
      <c r="Q469" s="6"/>
      <c r="R469" s="6"/>
      <c r="S469" s="6"/>
      <c r="T469" s="6"/>
      <c r="U469" s="6"/>
      <c r="V469" s="6"/>
      <c r="W469" s="6"/>
      <c r="X469" s="6"/>
      <c r="Y469" s="6"/>
      <c r="Z469" s="6"/>
      <c r="AA469" s="6"/>
    </row>
    <row r="470" ht="15.75" customHeight="1">
      <c r="L470" s="12"/>
      <c r="O470" s="6"/>
      <c r="P470" s="6"/>
      <c r="Q470" s="6"/>
      <c r="R470" s="6"/>
      <c r="S470" s="6"/>
      <c r="T470" s="6"/>
      <c r="U470" s="6"/>
      <c r="V470" s="6"/>
      <c r="W470" s="6"/>
      <c r="X470" s="6"/>
      <c r="Y470" s="6"/>
      <c r="Z470" s="6"/>
      <c r="AA470" s="6"/>
    </row>
    <row r="471" ht="15.75" customHeight="1">
      <c r="L471" s="12"/>
      <c r="O471" s="6"/>
      <c r="P471" s="6"/>
      <c r="Q471" s="6"/>
      <c r="R471" s="6"/>
      <c r="S471" s="6"/>
      <c r="T471" s="6"/>
      <c r="U471" s="6"/>
      <c r="V471" s="6"/>
      <c r="W471" s="6"/>
      <c r="X471" s="6"/>
      <c r="Y471" s="6"/>
      <c r="Z471" s="6"/>
      <c r="AA471" s="6"/>
    </row>
    <row r="472" ht="15.75" customHeight="1">
      <c r="L472" s="12"/>
      <c r="O472" s="6"/>
      <c r="P472" s="6"/>
      <c r="Q472" s="6"/>
      <c r="R472" s="6"/>
      <c r="S472" s="6"/>
      <c r="T472" s="6"/>
      <c r="U472" s="6"/>
      <c r="V472" s="6"/>
      <c r="W472" s="6"/>
      <c r="X472" s="6"/>
      <c r="Y472" s="6"/>
      <c r="Z472" s="6"/>
      <c r="AA472" s="6"/>
    </row>
    <row r="473" ht="15.75" customHeight="1">
      <c r="L473" s="12"/>
      <c r="O473" s="6"/>
      <c r="P473" s="6"/>
      <c r="Q473" s="6"/>
      <c r="R473" s="6"/>
      <c r="S473" s="6"/>
      <c r="T473" s="6"/>
      <c r="U473" s="6"/>
      <c r="V473" s="6"/>
      <c r="W473" s="6"/>
      <c r="X473" s="6"/>
      <c r="Y473" s="6"/>
      <c r="Z473" s="6"/>
      <c r="AA473" s="6"/>
    </row>
    <row r="474" ht="15.75" customHeight="1">
      <c r="L474" s="12"/>
      <c r="O474" s="6"/>
      <c r="P474" s="6"/>
      <c r="Q474" s="6"/>
      <c r="R474" s="6"/>
      <c r="S474" s="6"/>
      <c r="T474" s="6"/>
      <c r="U474" s="6"/>
      <c r="V474" s="6"/>
      <c r="W474" s="6"/>
      <c r="X474" s="6"/>
      <c r="Y474" s="6"/>
      <c r="Z474" s="6"/>
      <c r="AA474" s="6"/>
    </row>
    <row r="475" ht="15.75" customHeight="1">
      <c r="L475" s="12"/>
      <c r="O475" s="6"/>
      <c r="P475" s="6"/>
      <c r="Q475" s="6"/>
      <c r="R475" s="6"/>
      <c r="S475" s="6"/>
      <c r="T475" s="6"/>
      <c r="U475" s="6"/>
      <c r="V475" s="6"/>
      <c r="W475" s="6"/>
      <c r="X475" s="6"/>
      <c r="Y475" s="6"/>
      <c r="Z475" s="6"/>
      <c r="AA475" s="6"/>
    </row>
    <row r="476" ht="15.75" customHeight="1">
      <c r="L476" s="12"/>
      <c r="O476" s="6"/>
      <c r="P476" s="6"/>
      <c r="Q476" s="6"/>
      <c r="R476" s="6"/>
      <c r="S476" s="6"/>
      <c r="T476" s="6"/>
      <c r="U476" s="6"/>
      <c r="V476" s="6"/>
      <c r="W476" s="6"/>
      <c r="X476" s="6"/>
      <c r="Y476" s="6"/>
      <c r="Z476" s="6"/>
      <c r="AA476" s="6"/>
    </row>
    <row r="477" ht="15.75" customHeight="1">
      <c r="L477" s="12"/>
      <c r="O477" s="6"/>
      <c r="P477" s="6"/>
      <c r="Q477" s="6"/>
      <c r="R477" s="6"/>
      <c r="S477" s="6"/>
      <c r="T477" s="6"/>
      <c r="U477" s="6"/>
      <c r="V477" s="6"/>
      <c r="W477" s="6"/>
      <c r="X477" s="6"/>
      <c r="Y477" s="6"/>
      <c r="Z477" s="6"/>
      <c r="AA477" s="6"/>
    </row>
    <row r="478" ht="15.75" customHeight="1">
      <c r="L478" s="12"/>
      <c r="O478" s="6"/>
      <c r="P478" s="6"/>
      <c r="Q478" s="6"/>
      <c r="R478" s="6"/>
      <c r="S478" s="6"/>
      <c r="T478" s="6"/>
      <c r="U478" s="6"/>
      <c r="V478" s="6"/>
      <c r="W478" s="6"/>
      <c r="X478" s="6"/>
      <c r="Y478" s="6"/>
      <c r="Z478" s="6"/>
      <c r="AA478" s="6"/>
    </row>
    <row r="479" ht="15.75" customHeight="1">
      <c r="L479" s="12"/>
      <c r="O479" s="6"/>
      <c r="P479" s="6"/>
      <c r="Q479" s="6"/>
      <c r="R479" s="6"/>
      <c r="S479" s="6"/>
      <c r="T479" s="6"/>
      <c r="U479" s="6"/>
      <c r="V479" s="6"/>
      <c r="W479" s="6"/>
      <c r="X479" s="6"/>
      <c r="Y479" s="6"/>
      <c r="Z479" s="6"/>
      <c r="AA479" s="6"/>
    </row>
    <row r="480" ht="15.75" customHeight="1">
      <c r="L480" s="12"/>
      <c r="O480" s="6"/>
      <c r="P480" s="6"/>
      <c r="Q480" s="6"/>
      <c r="R480" s="6"/>
      <c r="S480" s="6"/>
      <c r="T480" s="6"/>
      <c r="U480" s="6"/>
      <c r="V480" s="6"/>
      <c r="W480" s="6"/>
      <c r="X480" s="6"/>
      <c r="Y480" s="6"/>
      <c r="Z480" s="6"/>
      <c r="AA480" s="6"/>
    </row>
    <row r="481" ht="15.75" customHeight="1">
      <c r="L481" s="12"/>
      <c r="O481" s="6"/>
      <c r="P481" s="6"/>
      <c r="Q481" s="6"/>
      <c r="R481" s="6"/>
      <c r="S481" s="6"/>
      <c r="T481" s="6"/>
      <c r="U481" s="6"/>
      <c r="V481" s="6"/>
      <c r="W481" s="6"/>
      <c r="X481" s="6"/>
      <c r="Y481" s="6"/>
      <c r="Z481" s="6"/>
      <c r="AA481" s="6"/>
    </row>
    <row r="482" ht="15.75" customHeight="1">
      <c r="L482" s="12"/>
      <c r="O482" s="6"/>
      <c r="P482" s="6"/>
      <c r="Q482" s="6"/>
      <c r="R482" s="6"/>
      <c r="S482" s="6"/>
      <c r="T482" s="6"/>
      <c r="U482" s="6"/>
      <c r="V482" s="6"/>
      <c r="W482" s="6"/>
      <c r="X482" s="6"/>
      <c r="Y482" s="6"/>
      <c r="Z482" s="6"/>
      <c r="AA482" s="6"/>
    </row>
    <row r="483" ht="15.75" customHeight="1">
      <c r="L483" s="12"/>
      <c r="O483" s="6"/>
      <c r="P483" s="6"/>
      <c r="Q483" s="6"/>
      <c r="R483" s="6"/>
      <c r="S483" s="6"/>
      <c r="T483" s="6"/>
      <c r="U483" s="6"/>
      <c r="V483" s="6"/>
      <c r="W483" s="6"/>
      <c r="X483" s="6"/>
      <c r="Y483" s="6"/>
      <c r="Z483" s="6"/>
      <c r="AA483" s="6"/>
    </row>
    <row r="484" ht="15.75" customHeight="1">
      <c r="L484" s="12"/>
      <c r="O484" s="6"/>
      <c r="P484" s="6"/>
      <c r="Q484" s="6"/>
      <c r="R484" s="6"/>
      <c r="S484" s="6"/>
      <c r="T484" s="6"/>
      <c r="U484" s="6"/>
      <c r="V484" s="6"/>
      <c r="W484" s="6"/>
      <c r="X484" s="6"/>
      <c r="Y484" s="6"/>
      <c r="Z484" s="6"/>
      <c r="AA484" s="6"/>
    </row>
    <row r="485" ht="15.75" customHeight="1">
      <c r="L485" s="12"/>
      <c r="O485" s="6"/>
      <c r="P485" s="6"/>
      <c r="Q485" s="6"/>
      <c r="R485" s="6"/>
      <c r="S485" s="6"/>
      <c r="T485" s="6"/>
      <c r="U485" s="6"/>
      <c r="V485" s="6"/>
      <c r="W485" s="6"/>
      <c r="X485" s="6"/>
      <c r="Y485" s="6"/>
      <c r="Z485" s="6"/>
      <c r="AA485" s="6"/>
    </row>
    <row r="486" ht="15.75" customHeight="1">
      <c r="L486" s="12"/>
      <c r="O486" s="6"/>
      <c r="P486" s="6"/>
      <c r="Q486" s="6"/>
      <c r="R486" s="6"/>
      <c r="S486" s="6"/>
      <c r="T486" s="6"/>
      <c r="U486" s="6"/>
      <c r="V486" s="6"/>
      <c r="W486" s="6"/>
      <c r="X486" s="6"/>
      <c r="Y486" s="6"/>
      <c r="Z486" s="6"/>
      <c r="AA486" s="6"/>
    </row>
    <row r="487" ht="15.75" customHeight="1">
      <c r="L487" s="12"/>
      <c r="O487" s="6"/>
      <c r="P487" s="6"/>
      <c r="Q487" s="6"/>
      <c r="R487" s="6"/>
      <c r="S487" s="6"/>
      <c r="T487" s="6"/>
      <c r="U487" s="6"/>
      <c r="V487" s="6"/>
      <c r="W487" s="6"/>
      <c r="X487" s="6"/>
      <c r="Y487" s="6"/>
      <c r="Z487" s="6"/>
      <c r="AA487" s="6"/>
    </row>
    <row r="488" ht="15.75" customHeight="1">
      <c r="L488" s="12"/>
      <c r="O488" s="6"/>
      <c r="P488" s="6"/>
      <c r="Q488" s="6"/>
      <c r="R488" s="6"/>
      <c r="S488" s="6"/>
      <c r="T488" s="6"/>
      <c r="U488" s="6"/>
      <c r="V488" s="6"/>
      <c r="W488" s="6"/>
      <c r="X488" s="6"/>
      <c r="Y488" s="6"/>
      <c r="Z488" s="6"/>
      <c r="AA488" s="6"/>
    </row>
    <row r="489" ht="15.75" customHeight="1">
      <c r="L489" s="12"/>
      <c r="O489" s="6"/>
      <c r="P489" s="6"/>
      <c r="Q489" s="6"/>
      <c r="R489" s="6"/>
      <c r="S489" s="6"/>
      <c r="T489" s="6"/>
      <c r="U489" s="6"/>
      <c r="V489" s="6"/>
      <c r="W489" s="6"/>
      <c r="X489" s="6"/>
      <c r="Y489" s="6"/>
      <c r="Z489" s="6"/>
      <c r="AA489" s="6"/>
    </row>
    <row r="490" ht="15.75" customHeight="1">
      <c r="L490" s="12"/>
      <c r="O490" s="6"/>
      <c r="P490" s="6"/>
      <c r="Q490" s="6"/>
      <c r="R490" s="6"/>
      <c r="S490" s="6"/>
      <c r="T490" s="6"/>
      <c r="U490" s="6"/>
      <c r="V490" s="6"/>
      <c r="W490" s="6"/>
      <c r="X490" s="6"/>
      <c r="Y490" s="6"/>
      <c r="Z490" s="6"/>
      <c r="AA490" s="6"/>
    </row>
    <row r="491" ht="15.75" customHeight="1">
      <c r="L491" s="12"/>
      <c r="O491" s="6"/>
      <c r="P491" s="6"/>
      <c r="Q491" s="6"/>
      <c r="R491" s="6"/>
      <c r="S491" s="6"/>
      <c r="T491" s="6"/>
      <c r="U491" s="6"/>
      <c r="V491" s="6"/>
      <c r="W491" s="6"/>
      <c r="X491" s="6"/>
      <c r="Y491" s="6"/>
      <c r="Z491" s="6"/>
      <c r="AA491" s="6"/>
    </row>
    <row r="492" ht="15.75" customHeight="1">
      <c r="L492" s="12"/>
      <c r="O492" s="6"/>
      <c r="P492" s="6"/>
      <c r="Q492" s="6"/>
      <c r="R492" s="6"/>
      <c r="S492" s="6"/>
      <c r="T492" s="6"/>
      <c r="U492" s="6"/>
      <c r="V492" s="6"/>
      <c r="W492" s="6"/>
      <c r="X492" s="6"/>
      <c r="Y492" s="6"/>
      <c r="Z492" s="6"/>
      <c r="AA492" s="6"/>
    </row>
    <row r="493" ht="15.75" customHeight="1">
      <c r="L493" s="12"/>
      <c r="O493" s="6"/>
      <c r="P493" s="6"/>
      <c r="Q493" s="6"/>
      <c r="R493" s="6"/>
      <c r="S493" s="6"/>
      <c r="T493" s="6"/>
      <c r="U493" s="6"/>
      <c r="V493" s="6"/>
      <c r="W493" s="6"/>
      <c r="X493" s="6"/>
      <c r="Y493" s="6"/>
      <c r="Z493" s="6"/>
      <c r="AA493" s="6"/>
    </row>
    <row r="494" ht="15.75" customHeight="1">
      <c r="L494" s="12"/>
      <c r="O494" s="6"/>
      <c r="P494" s="6"/>
      <c r="Q494" s="6"/>
      <c r="R494" s="6"/>
      <c r="S494" s="6"/>
      <c r="T494" s="6"/>
      <c r="U494" s="6"/>
      <c r="V494" s="6"/>
      <c r="W494" s="6"/>
      <c r="X494" s="6"/>
      <c r="Y494" s="6"/>
      <c r="Z494" s="6"/>
      <c r="AA494" s="6"/>
    </row>
    <row r="495" ht="15.75" customHeight="1">
      <c r="L495" s="12"/>
      <c r="O495" s="6"/>
      <c r="P495" s="6"/>
      <c r="Q495" s="6"/>
      <c r="R495" s="6"/>
      <c r="S495" s="6"/>
      <c r="T495" s="6"/>
      <c r="U495" s="6"/>
      <c r="V495" s="6"/>
      <c r="W495" s="6"/>
      <c r="X495" s="6"/>
      <c r="Y495" s="6"/>
      <c r="Z495" s="6"/>
      <c r="AA495" s="6"/>
    </row>
    <row r="496" ht="15.75" customHeight="1">
      <c r="L496" s="12"/>
      <c r="O496" s="6"/>
      <c r="P496" s="6"/>
      <c r="Q496" s="6"/>
      <c r="R496" s="6"/>
      <c r="S496" s="6"/>
      <c r="T496" s="6"/>
      <c r="U496" s="6"/>
      <c r="V496" s="6"/>
      <c r="W496" s="6"/>
      <c r="X496" s="6"/>
      <c r="Y496" s="6"/>
      <c r="Z496" s="6"/>
      <c r="AA496" s="6"/>
    </row>
    <row r="497" ht="15.75" customHeight="1">
      <c r="L497" s="12"/>
      <c r="O497" s="6"/>
      <c r="P497" s="6"/>
      <c r="Q497" s="6"/>
      <c r="R497" s="6"/>
      <c r="S497" s="6"/>
      <c r="T497" s="6"/>
      <c r="U497" s="6"/>
      <c r="V497" s="6"/>
      <c r="W497" s="6"/>
      <c r="X497" s="6"/>
      <c r="Y497" s="6"/>
      <c r="Z497" s="6"/>
      <c r="AA497" s="6"/>
    </row>
    <row r="498" ht="15.75" customHeight="1">
      <c r="L498" s="12"/>
      <c r="O498" s="6"/>
      <c r="P498" s="6"/>
      <c r="Q498" s="6"/>
      <c r="R498" s="6"/>
      <c r="S498" s="6"/>
      <c r="T498" s="6"/>
      <c r="U498" s="6"/>
      <c r="V498" s="6"/>
      <c r="W498" s="6"/>
      <c r="X498" s="6"/>
      <c r="Y498" s="6"/>
      <c r="Z498" s="6"/>
      <c r="AA498" s="6"/>
    </row>
    <row r="499" ht="15.75" customHeight="1">
      <c r="L499" s="12"/>
      <c r="O499" s="6"/>
      <c r="P499" s="6"/>
      <c r="Q499" s="6"/>
      <c r="R499" s="6"/>
      <c r="S499" s="6"/>
      <c r="T499" s="6"/>
      <c r="U499" s="6"/>
      <c r="V499" s="6"/>
      <c r="W499" s="6"/>
      <c r="X499" s="6"/>
      <c r="Y499" s="6"/>
      <c r="Z499" s="6"/>
      <c r="AA499" s="6"/>
    </row>
    <row r="500" ht="15.75" customHeight="1">
      <c r="L500" s="12"/>
      <c r="O500" s="6"/>
      <c r="P500" s="6"/>
      <c r="Q500" s="6"/>
      <c r="R500" s="6"/>
      <c r="S500" s="6"/>
      <c r="T500" s="6"/>
      <c r="U500" s="6"/>
      <c r="V500" s="6"/>
      <c r="W500" s="6"/>
      <c r="X500" s="6"/>
      <c r="Y500" s="6"/>
      <c r="Z500" s="6"/>
      <c r="AA500" s="6"/>
    </row>
    <row r="501" ht="15.75" customHeight="1">
      <c r="L501" s="12"/>
      <c r="O501" s="6"/>
      <c r="P501" s="6"/>
      <c r="Q501" s="6"/>
      <c r="R501" s="6"/>
      <c r="S501" s="6"/>
      <c r="T501" s="6"/>
      <c r="U501" s="6"/>
      <c r="V501" s="6"/>
      <c r="W501" s="6"/>
      <c r="X501" s="6"/>
      <c r="Y501" s="6"/>
      <c r="Z501" s="6"/>
      <c r="AA501" s="6"/>
    </row>
    <row r="502" ht="15.75" customHeight="1">
      <c r="L502" s="12"/>
      <c r="O502" s="6"/>
      <c r="P502" s="6"/>
      <c r="Q502" s="6"/>
      <c r="R502" s="6"/>
      <c r="S502" s="6"/>
      <c r="T502" s="6"/>
      <c r="U502" s="6"/>
      <c r="V502" s="6"/>
      <c r="W502" s="6"/>
      <c r="X502" s="6"/>
      <c r="Y502" s="6"/>
      <c r="Z502" s="6"/>
      <c r="AA502" s="6"/>
    </row>
    <row r="503" ht="15.75" customHeight="1">
      <c r="L503" s="12"/>
      <c r="O503" s="6"/>
      <c r="P503" s="6"/>
      <c r="Q503" s="6"/>
      <c r="R503" s="6"/>
      <c r="S503" s="6"/>
      <c r="T503" s="6"/>
      <c r="U503" s="6"/>
      <c r="V503" s="6"/>
      <c r="W503" s="6"/>
      <c r="X503" s="6"/>
      <c r="Y503" s="6"/>
      <c r="Z503" s="6"/>
      <c r="AA503" s="6"/>
    </row>
    <row r="504" ht="15.75" customHeight="1">
      <c r="L504" s="12"/>
      <c r="O504" s="6"/>
      <c r="P504" s="6"/>
      <c r="Q504" s="6"/>
      <c r="R504" s="6"/>
      <c r="S504" s="6"/>
      <c r="T504" s="6"/>
      <c r="U504" s="6"/>
      <c r="V504" s="6"/>
      <c r="W504" s="6"/>
      <c r="X504" s="6"/>
      <c r="Y504" s="6"/>
      <c r="Z504" s="6"/>
      <c r="AA504" s="6"/>
    </row>
    <row r="505" ht="15.75" customHeight="1">
      <c r="L505" s="12"/>
      <c r="O505" s="6"/>
      <c r="P505" s="6"/>
      <c r="Q505" s="6"/>
      <c r="R505" s="6"/>
      <c r="S505" s="6"/>
      <c r="T505" s="6"/>
      <c r="U505" s="6"/>
      <c r="V505" s="6"/>
      <c r="W505" s="6"/>
      <c r="X505" s="6"/>
      <c r="Y505" s="6"/>
      <c r="Z505" s="6"/>
      <c r="AA505" s="6"/>
    </row>
    <row r="506" ht="15.75" customHeight="1">
      <c r="L506" s="12"/>
      <c r="O506" s="6"/>
      <c r="P506" s="6"/>
      <c r="Q506" s="6"/>
      <c r="R506" s="6"/>
      <c r="S506" s="6"/>
      <c r="T506" s="6"/>
      <c r="U506" s="6"/>
      <c r="V506" s="6"/>
      <c r="W506" s="6"/>
      <c r="X506" s="6"/>
      <c r="Y506" s="6"/>
      <c r="Z506" s="6"/>
      <c r="AA506" s="6"/>
    </row>
    <row r="507" ht="15.75" customHeight="1">
      <c r="L507" s="12"/>
      <c r="O507" s="6"/>
      <c r="P507" s="6"/>
      <c r="Q507" s="6"/>
      <c r="R507" s="6"/>
      <c r="S507" s="6"/>
      <c r="T507" s="6"/>
      <c r="U507" s="6"/>
      <c r="V507" s="6"/>
      <c r="W507" s="6"/>
      <c r="X507" s="6"/>
      <c r="Y507" s="6"/>
      <c r="Z507" s="6"/>
      <c r="AA507" s="6"/>
    </row>
    <row r="508" ht="15.75" customHeight="1">
      <c r="L508" s="12"/>
      <c r="O508" s="6"/>
      <c r="P508" s="6"/>
      <c r="Q508" s="6"/>
      <c r="R508" s="6"/>
      <c r="S508" s="6"/>
      <c r="T508" s="6"/>
      <c r="U508" s="6"/>
      <c r="V508" s="6"/>
      <c r="W508" s="6"/>
      <c r="X508" s="6"/>
      <c r="Y508" s="6"/>
      <c r="Z508" s="6"/>
      <c r="AA508" s="6"/>
    </row>
    <row r="509" ht="15.75" customHeight="1">
      <c r="L509" s="12"/>
      <c r="O509" s="6"/>
      <c r="P509" s="6"/>
      <c r="Q509" s="6"/>
      <c r="R509" s="6"/>
      <c r="S509" s="6"/>
      <c r="T509" s="6"/>
      <c r="U509" s="6"/>
      <c r="V509" s="6"/>
      <c r="W509" s="6"/>
      <c r="X509" s="6"/>
      <c r="Y509" s="6"/>
      <c r="Z509" s="6"/>
      <c r="AA509" s="6"/>
    </row>
    <row r="510" ht="15.75" customHeight="1">
      <c r="L510" s="12"/>
      <c r="O510" s="6"/>
      <c r="P510" s="6"/>
      <c r="Q510" s="6"/>
      <c r="R510" s="6"/>
      <c r="S510" s="6"/>
      <c r="T510" s="6"/>
      <c r="U510" s="6"/>
      <c r="V510" s="6"/>
      <c r="W510" s="6"/>
      <c r="X510" s="6"/>
      <c r="Y510" s="6"/>
      <c r="Z510" s="6"/>
      <c r="AA510" s="6"/>
    </row>
    <row r="511" ht="15.75" customHeight="1">
      <c r="L511" s="12"/>
      <c r="O511" s="6"/>
      <c r="P511" s="6"/>
      <c r="Q511" s="6"/>
      <c r="R511" s="6"/>
      <c r="S511" s="6"/>
      <c r="T511" s="6"/>
      <c r="U511" s="6"/>
      <c r="V511" s="6"/>
      <c r="W511" s="6"/>
      <c r="X511" s="6"/>
      <c r="Y511" s="6"/>
      <c r="Z511" s="6"/>
      <c r="AA511" s="6"/>
    </row>
    <row r="512" ht="15.75" customHeight="1">
      <c r="L512" s="12"/>
      <c r="O512" s="6"/>
      <c r="P512" s="6"/>
      <c r="Q512" s="6"/>
      <c r="R512" s="6"/>
      <c r="S512" s="6"/>
      <c r="T512" s="6"/>
      <c r="U512" s="6"/>
      <c r="V512" s="6"/>
      <c r="W512" s="6"/>
      <c r="X512" s="6"/>
      <c r="Y512" s="6"/>
      <c r="Z512" s="6"/>
      <c r="AA512" s="6"/>
    </row>
    <row r="513" ht="15.75" customHeight="1">
      <c r="L513" s="12"/>
      <c r="O513" s="6"/>
      <c r="P513" s="6"/>
      <c r="Q513" s="6"/>
      <c r="R513" s="6"/>
      <c r="S513" s="6"/>
      <c r="T513" s="6"/>
      <c r="U513" s="6"/>
      <c r="V513" s="6"/>
      <c r="W513" s="6"/>
      <c r="X513" s="6"/>
      <c r="Y513" s="6"/>
      <c r="Z513" s="6"/>
      <c r="AA513" s="6"/>
    </row>
    <row r="514" ht="15.75" customHeight="1">
      <c r="L514" s="12"/>
      <c r="O514" s="6"/>
      <c r="P514" s="6"/>
      <c r="Q514" s="6"/>
      <c r="R514" s="6"/>
      <c r="S514" s="6"/>
      <c r="T514" s="6"/>
      <c r="U514" s="6"/>
      <c r="V514" s="6"/>
      <c r="W514" s="6"/>
      <c r="X514" s="6"/>
      <c r="Y514" s="6"/>
      <c r="Z514" s="6"/>
      <c r="AA514" s="6"/>
    </row>
    <row r="515" ht="15.75" customHeight="1">
      <c r="L515" s="12"/>
      <c r="O515" s="6"/>
      <c r="P515" s="6"/>
      <c r="Q515" s="6"/>
      <c r="R515" s="6"/>
      <c r="S515" s="6"/>
      <c r="T515" s="6"/>
      <c r="U515" s="6"/>
      <c r="V515" s="6"/>
      <c r="W515" s="6"/>
      <c r="X515" s="6"/>
      <c r="Y515" s="6"/>
      <c r="Z515" s="6"/>
      <c r="AA515" s="6"/>
    </row>
    <row r="516" ht="15.75" customHeight="1">
      <c r="L516" s="12"/>
      <c r="O516" s="6"/>
      <c r="P516" s="6"/>
      <c r="Q516" s="6"/>
      <c r="R516" s="6"/>
      <c r="S516" s="6"/>
      <c r="T516" s="6"/>
      <c r="U516" s="6"/>
      <c r="V516" s="6"/>
      <c r="W516" s="6"/>
      <c r="X516" s="6"/>
      <c r="Y516" s="6"/>
      <c r="Z516" s="6"/>
      <c r="AA516" s="6"/>
    </row>
    <row r="517" ht="15.75" customHeight="1">
      <c r="L517" s="12"/>
      <c r="O517" s="6"/>
      <c r="P517" s="6"/>
      <c r="Q517" s="6"/>
      <c r="R517" s="6"/>
      <c r="S517" s="6"/>
      <c r="T517" s="6"/>
      <c r="U517" s="6"/>
      <c r="V517" s="6"/>
      <c r="W517" s="6"/>
      <c r="X517" s="6"/>
      <c r="Y517" s="6"/>
      <c r="Z517" s="6"/>
      <c r="AA517" s="6"/>
    </row>
    <row r="518" ht="15.75" customHeight="1">
      <c r="L518" s="12"/>
      <c r="O518" s="6"/>
      <c r="P518" s="6"/>
      <c r="Q518" s="6"/>
      <c r="R518" s="6"/>
      <c r="S518" s="6"/>
      <c r="T518" s="6"/>
      <c r="U518" s="6"/>
      <c r="V518" s="6"/>
      <c r="W518" s="6"/>
      <c r="X518" s="6"/>
      <c r="Y518" s="6"/>
      <c r="Z518" s="6"/>
      <c r="AA518" s="6"/>
    </row>
    <row r="519" ht="15.75" customHeight="1">
      <c r="L519" s="12"/>
      <c r="O519" s="6"/>
      <c r="P519" s="6"/>
      <c r="Q519" s="6"/>
      <c r="R519" s="6"/>
      <c r="S519" s="6"/>
      <c r="T519" s="6"/>
      <c r="U519" s="6"/>
      <c r="V519" s="6"/>
      <c r="W519" s="6"/>
      <c r="X519" s="6"/>
      <c r="Y519" s="6"/>
      <c r="Z519" s="6"/>
      <c r="AA519" s="6"/>
    </row>
    <row r="520" ht="15.75" customHeight="1">
      <c r="L520" s="12"/>
      <c r="O520" s="6"/>
      <c r="P520" s="6"/>
      <c r="Q520" s="6"/>
      <c r="R520" s="6"/>
      <c r="S520" s="6"/>
      <c r="T520" s="6"/>
      <c r="U520" s="6"/>
      <c r="V520" s="6"/>
      <c r="W520" s="6"/>
      <c r="X520" s="6"/>
      <c r="Y520" s="6"/>
      <c r="Z520" s="6"/>
      <c r="AA520" s="6"/>
    </row>
    <row r="521" ht="15.75" customHeight="1">
      <c r="L521" s="12"/>
      <c r="O521" s="6"/>
      <c r="P521" s="6"/>
      <c r="Q521" s="6"/>
      <c r="R521" s="6"/>
      <c r="S521" s="6"/>
      <c r="T521" s="6"/>
      <c r="U521" s="6"/>
      <c r="V521" s="6"/>
      <c r="W521" s="6"/>
      <c r="X521" s="6"/>
      <c r="Y521" s="6"/>
      <c r="Z521" s="6"/>
      <c r="AA521" s="6"/>
    </row>
    <row r="522" ht="15.75" customHeight="1">
      <c r="L522" s="12"/>
      <c r="O522" s="6"/>
      <c r="P522" s="6"/>
      <c r="Q522" s="6"/>
      <c r="R522" s="6"/>
      <c r="S522" s="6"/>
      <c r="T522" s="6"/>
      <c r="U522" s="6"/>
      <c r="V522" s="6"/>
      <c r="W522" s="6"/>
      <c r="X522" s="6"/>
      <c r="Y522" s="6"/>
      <c r="Z522" s="6"/>
      <c r="AA522" s="6"/>
    </row>
    <row r="523" ht="15.75" customHeight="1">
      <c r="L523" s="12"/>
      <c r="O523" s="6"/>
      <c r="P523" s="6"/>
      <c r="Q523" s="6"/>
      <c r="R523" s="6"/>
      <c r="S523" s="6"/>
      <c r="T523" s="6"/>
      <c r="U523" s="6"/>
      <c r="V523" s="6"/>
      <c r="W523" s="6"/>
      <c r="X523" s="6"/>
      <c r="Y523" s="6"/>
      <c r="Z523" s="6"/>
      <c r="AA523" s="6"/>
    </row>
    <row r="524" ht="15.75" customHeight="1">
      <c r="L524" s="12"/>
      <c r="O524" s="6"/>
      <c r="P524" s="6"/>
      <c r="Q524" s="6"/>
      <c r="R524" s="6"/>
      <c r="S524" s="6"/>
      <c r="T524" s="6"/>
      <c r="U524" s="6"/>
      <c r="V524" s="6"/>
      <c r="W524" s="6"/>
      <c r="X524" s="6"/>
      <c r="Y524" s="6"/>
      <c r="Z524" s="6"/>
      <c r="AA524" s="6"/>
    </row>
    <row r="525" ht="15.75" customHeight="1">
      <c r="L525" s="12"/>
      <c r="O525" s="6"/>
      <c r="P525" s="6"/>
      <c r="Q525" s="6"/>
      <c r="R525" s="6"/>
      <c r="S525" s="6"/>
      <c r="T525" s="6"/>
      <c r="U525" s="6"/>
      <c r="V525" s="6"/>
      <c r="W525" s="6"/>
      <c r="X525" s="6"/>
      <c r="Y525" s="6"/>
      <c r="Z525" s="6"/>
      <c r="AA525" s="6"/>
    </row>
    <row r="526" ht="15.75" customHeight="1">
      <c r="L526" s="12"/>
      <c r="O526" s="6"/>
      <c r="P526" s="6"/>
      <c r="Q526" s="6"/>
      <c r="R526" s="6"/>
      <c r="S526" s="6"/>
      <c r="T526" s="6"/>
      <c r="U526" s="6"/>
      <c r="V526" s="6"/>
      <c r="W526" s="6"/>
      <c r="X526" s="6"/>
      <c r="Y526" s="6"/>
      <c r="Z526" s="6"/>
      <c r="AA526" s="6"/>
    </row>
    <row r="527" ht="15.75" customHeight="1">
      <c r="L527" s="12"/>
      <c r="O527" s="6"/>
      <c r="P527" s="6"/>
      <c r="Q527" s="6"/>
      <c r="R527" s="6"/>
      <c r="S527" s="6"/>
      <c r="T527" s="6"/>
      <c r="U527" s="6"/>
      <c r="V527" s="6"/>
      <c r="W527" s="6"/>
      <c r="X527" s="6"/>
      <c r="Y527" s="6"/>
      <c r="Z527" s="6"/>
      <c r="AA527" s="6"/>
    </row>
    <row r="528" ht="15.75" customHeight="1">
      <c r="L528" s="12"/>
      <c r="O528" s="6"/>
      <c r="P528" s="6"/>
      <c r="Q528" s="6"/>
      <c r="R528" s="6"/>
      <c r="S528" s="6"/>
      <c r="T528" s="6"/>
      <c r="U528" s="6"/>
      <c r="V528" s="6"/>
      <c r="W528" s="6"/>
      <c r="X528" s="6"/>
      <c r="Y528" s="6"/>
      <c r="Z528" s="6"/>
      <c r="AA528" s="6"/>
    </row>
    <row r="529" ht="15.75" customHeight="1">
      <c r="L529" s="12"/>
      <c r="O529" s="6"/>
      <c r="P529" s="6"/>
      <c r="Q529" s="6"/>
      <c r="R529" s="6"/>
      <c r="S529" s="6"/>
      <c r="T529" s="6"/>
      <c r="U529" s="6"/>
      <c r="V529" s="6"/>
      <c r="W529" s="6"/>
      <c r="X529" s="6"/>
      <c r="Y529" s="6"/>
      <c r="Z529" s="6"/>
      <c r="AA529" s="6"/>
    </row>
    <row r="530" ht="15.75" customHeight="1">
      <c r="L530" s="12"/>
      <c r="O530" s="6"/>
      <c r="P530" s="6"/>
      <c r="Q530" s="6"/>
      <c r="R530" s="6"/>
      <c r="S530" s="6"/>
      <c r="T530" s="6"/>
      <c r="U530" s="6"/>
      <c r="V530" s="6"/>
      <c r="W530" s="6"/>
      <c r="X530" s="6"/>
      <c r="Y530" s="6"/>
      <c r="Z530" s="6"/>
      <c r="AA530" s="6"/>
    </row>
    <row r="531" ht="15.75" customHeight="1">
      <c r="L531" s="12"/>
      <c r="O531" s="6"/>
      <c r="P531" s="6"/>
      <c r="Q531" s="6"/>
      <c r="R531" s="6"/>
      <c r="S531" s="6"/>
      <c r="T531" s="6"/>
      <c r="U531" s="6"/>
      <c r="V531" s="6"/>
      <c r="W531" s="6"/>
      <c r="X531" s="6"/>
      <c r="Y531" s="6"/>
      <c r="Z531" s="6"/>
      <c r="AA531" s="6"/>
    </row>
    <row r="532" ht="15.75" customHeight="1">
      <c r="L532" s="12"/>
      <c r="O532" s="6"/>
      <c r="P532" s="6"/>
      <c r="Q532" s="6"/>
      <c r="R532" s="6"/>
      <c r="S532" s="6"/>
      <c r="T532" s="6"/>
      <c r="U532" s="6"/>
      <c r="V532" s="6"/>
      <c r="W532" s="6"/>
      <c r="X532" s="6"/>
      <c r="Y532" s="6"/>
      <c r="Z532" s="6"/>
      <c r="AA532" s="6"/>
    </row>
    <row r="533" ht="15.75" customHeight="1">
      <c r="L533" s="12"/>
      <c r="O533" s="6"/>
      <c r="P533" s="6"/>
      <c r="Q533" s="6"/>
      <c r="R533" s="6"/>
      <c r="S533" s="6"/>
      <c r="T533" s="6"/>
      <c r="U533" s="6"/>
      <c r="V533" s="6"/>
      <c r="W533" s="6"/>
      <c r="X533" s="6"/>
      <c r="Y533" s="6"/>
      <c r="Z533" s="6"/>
      <c r="AA533" s="6"/>
    </row>
    <row r="534" ht="15.75" customHeight="1">
      <c r="L534" s="12"/>
      <c r="O534" s="6"/>
      <c r="P534" s="6"/>
      <c r="Q534" s="6"/>
      <c r="R534" s="6"/>
      <c r="S534" s="6"/>
      <c r="T534" s="6"/>
      <c r="U534" s="6"/>
      <c r="V534" s="6"/>
      <c r="W534" s="6"/>
      <c r="X534" s="6"/>
      <c r="Y534" s="6"/>
      <c r="Z534" s="6"/>
      <c r="AA534" s="6"/>
    </row>
    <row r="535" ht="15.75" customHeight="1">
      <c r="L535" s="12"/>
      <c r="O535" s="6"/>
      <c r="P535" s="6"/>
      <c r="Q535" s="6"/>
      <c r="R535" s="6"/>
      <c r="S535" s="6"/>
      <c r="T535" s="6"/>
      <c r="U535" s="6"/>
      <c r="V535" s="6"/>
      <c r="W535" s="6"/>
      <c r="X535" s="6"/>
      <c r="Y535" s="6"/>
      <c r="Z535" s="6"/>
      <c r="AA535" s="6"/>
    </row>
    <row r="536" ht="15.75" customHeight="1">
      <c r="L536" s="12"/>
      <c r="O536" s="6"/>
      <c r="P536" s="6"/>
      <c r="Q536" s="6"/>
      <c r="R536" s="6"/>
      <c r="S536" s="6"/>
      <c r="T536" s="6"/>
      <c r="U536" s="6"/>
      <c r="V536" s="6"/>
      <c r="W536" s="6"/>
      <c r="X536" s="6"/>
      <c r="Y536" s="6"/>
      <c r="Z536" s="6"/>
      <c r="AA536" s="6"/>
    </row>
    <row r="537" ht="15.75" customHeight="1">
      <c r="L537" s="12"/>
      <c r="O537" s="6"/>
      <c r="P537" s="6"/>
      <c r="Q537" s="6"/>
      <c r="R537" s="6"/>
      <c r="S537" s="6"/>
      <c r="T537" s="6"/>
      <c r="U537" s="6"/>
      <c r="V537" s="6"/>
      <c r="W537" s="6"/>
      <c r="X537" s="6"/>
      <c r="Y537" s="6"/>
      <c r="Z537" s="6"/>
      <c r="AA537" s="6"/>
    </row>
    <row r="538" ht="15.75" customHeight="1">
      <c r="L538" s="12"/>
      <c r="O538" s="6"/>
      <c r="P538" s="6"/>
      <c r="Q538" s="6"/>
      <c r="R538" s="6"/>
      <c r="S538" s="6"/>
      <c r="T538" s="6"/>
      <c r="U538" s="6"/>
      <c r="V538" s="6"/>
      <c r="W538" s="6"/>
      <c r="X538" s="6"/>
      <c r="Y538" s="6"/>
      <c r="Z538" s="6"/>
      <c r="AA538" s="6"/>
    </row>
    <row r="539" ht="15.75" customHeight="1">
      <c r="L539" s="12"/>
      <c r="O539" s="6"/>
      <c r="P539" s="6"/>
      <c r="Q539" s="6"/>
      <c r="R539" s="6"/>
      <c r="S539" s="6"/>
      <c r="T539" s="6"/>
      <c r="U539" s="6"/>
      <c r="V539" s="6"/>
      <c r="W539" s="6"/>
      <c r="X539" s="6"/>
      <c r="Y539" s="6"/>
      <c r="Z539" s="6"/>
      <c r="AA539" s="6"/>
    </row>
    <row r="540" ht="15.75" customHeight="1">
      <c r="L540" s="12"/>
      <c r="O540" s="6"/>
      <c r="P540" s="6"/>
      <c r="Q540" s="6"/>
      <c r="R540" s="6"/>
      <c r="S540" s="6"/>
      <c r="T540" s="6"/>
      <c r="U540" s="6"/>
      <c r="V540" s="6"/>
      <c r="W540" s="6"/>
      <c r="X540" s="6"/>
      <c r="Y540" s="6"/>
      <c r="Z540" s="6"/>
      <c r="AA540" s="6"/>
    </row>
    <row r="541" ht="15.75" customHeight="1">
      <c r="L541" s="12"/>
      <c r="O541" s="6"/>
      <c r="P541" s="6"/>
      <c r="Q541" s="6"/>
      <c r="R541" s="6"/>
      <c r="S541" s="6"/>
      <c r="T541" s="6"/>
      <c r="U541" s="6"/>
      <c r="V541" s="6"/>
      <c r="W541" s="6"/>
      <c r="X541" s="6"/>
      <c r="Y541" s="6"/>
      <c r="Z541" s="6"/>
      <c r="AA541" s="6"/>
    </row>
    <row r="542" ht="15.75" customHeight="1">
      <c r="L542" s="12"/>
      <c r="O542" s="6"/>
      <c r="P542" s="6"/>
      <c r="Q542" s="6"/>
      <c r="R542" s="6"/>
      <c r="S542" s="6"/>
      <c r="T542" s="6"/>
      <c r="U542" s="6"/>
      <c r="V542" s="6"/>
      <c r="W542" s="6"/>
      <c r="X542" s="6"/>
      <c r="Y542" s="6"/>
      <c r="Z542" s="6"/>
      <c r="AA542" s="6"/>
    </row>
    <row r="543" ht="15.75" customHeight="1">
      <c r="L543" s="12"/>
      <c r="O543" s="6"/>
      <c r="P543" s="6"/>
      <c r="Q543" s="6"/>
      <c r="R543" s="6"/>
      <c r="S543" s="6"/>
      <c r="T543" s="6"/>
      <c r="U543" s="6"/>
      <c r="V543" s="6"/>
      <c r="W543" s="6"/>
      <c r="X543" s="6"/>
      <c r="Y543" s="6"/>
      <c r="Z543" s="6"/>
      <c r="AA543" s="6"/>
    </row>
    <row r="544" ht="15.75" customHeight="1">
      <c r="L544" s="12"/>
      <c r="O544" s="6"/>
      <c r="P544" s="6"/>
      <c r="Q544" s="6"/>
      <c r="R544" s="6"/>
      <c r="S544" s="6"/>
      <c r="T544" s="6"/>
      <c r="U544" s="6"/>
      <c r="V544" s="6"/>
      <c r="W544" s="6"/>
      <c r="X544" s="6"/>
      <c r="Y544" s="6"/>
      <c r="Z544" s="6"/>
      <c r="AA544" s="6"/>
    </row>
    <row r="545" ht="15.75" customHeight="1">
      <c r="L545" s="12"/>
      <c r="O545" s="6"/>
      <c r="P545" s="6"/>
      <c r="Q545" s="6"/>
      <c r="R545" s="6"/>
      <c r="S545" s="6"/>
      <c r="T545" s="6"/>
      <c r="U545" s="6"/>
      <c r="V545" s="6"/>
      <c r="W545" s="6"/>
      <c r="X545" s="6"/>
      <c r="Y545" s="6"/>
      <c r="Z545" s="6"/>
      <c r="AA545" s="6"/>
    </row>
    <row r="546" ht="15.75" customHeight="1">
      <c r="L546" s="12"/>
      <c r="O546" s="6"/>
      <c r="P546" s="6"/>
      <c r="Q546" s="6"/>
      <c r="R546" s="6"/>
      <c r="S546" s="6"/>
      <c r="T546" s="6"/>
      <c r="U546" s="6"/>
      <c r="V546" s="6"/>
      <c r="W546" s="6"/>
      <c r="X546" s="6"/>
      <c r="Y546" s="6"/>
      <c r="Z546" s="6"/>
      <c r="AA546" s="6"/>
    </row>
    <row r="547" ht="15.75" customHeight="1">
      <c r="L547" s="12"/>
      <c r="O547" s="6"/>
      <c r="P547" s="6"/>
      <c r="Q547" s="6"/>
      <c r="R547" s="6"/>
      <c r="S547" s="6"/>
      <c r="T547" s="6"/>
      <c r="U547" s="6"/>
      <c r="V547" s="6"/>
      <c r="W547" s="6"/>
      <c r="X547" s="6"/>
      <c r="Y547" s="6"/>
      <c r="Z547" s="6"/>
      <c r="AA547" s="6"/>
    </row>
    <row r="548" ht="15.75" customHeight="1">
      <c r="L548" s="12"/>
      <c r="O548" s="6"/>
      <c r="P548" s="6"/>
      <c r="Q548" s="6"/>
      <c r="R548" s="6"/>
      <c r="S548" s="6"/>
      <c r="T548" s="6"/>
      <c r="U548" s="6"/>
      <c r="V548" s="6"/>
      <c r="W548" s="6"/>
      <c r="X548" s="6"/>
      <c r="Y548" s="6"/>
      <c r="Z548" s="6"/>
      <c r="AA548" s="6"/>
    </row>
    <row r="549" ht="15.75" customHeight="1">
      <c r="L549" s="12"/>
      <c r="O549" s="6"/>
      <c r="P549" s="6"/>
      <c r="Q549" s="6"/>
      <c r="R549" s="6"/>
      <c r="S549" s="6"/>
      <c r="T549" s="6"/>
      <c r="U549" s="6"/>
      <c r="V549" s="6"/>
      <c r="W549" s="6"/>
      <c r="X549" s="6"/>
      <c r="Y549" s="6"/>
      <c r="Z549" s="6"/>
      <c r="AA549" s="6"/>
    </row>
    <row r="550" ht="15.75" customHeight="1">
      <c r="L550" s="12"/>
      <c r="O550" s="6"/>
      <c r="P550" s="6"/>
      <c r="Q550" s="6"/>
      <c r="R550" s="6"/>
      <c r="S550" s="6"/>
      <c r="T550" s="6"/>
      <c r="U550" s="6"/>
      <c r="V550" s="6"/>
      <c r="W550" s="6"/>
      <c r="X550" s="6"/>
      <c r="Y550" s="6"/>
      <c r="Z550" s="6"/>
      <c r="AA550" s="6"/>
    </row>
    <row r="551" ht="15.75" customHeight="1">
      <c r="L551" s="12"/>
      <c r="O551" s="6"/>
      <c r="P551" s="6"/>
      <c r="Q551" s="6"/>
      <c r="R551" s="6"/>
      <c r="S551" s="6"/>
      <c r="T551" s="6"/>
      <c r="U551" s="6"/>
      <c r="V551" s="6"/>
      <c r="W551" s="6"/>
      <c r="X551" s="6"/>
      <c r="Y551" s="6"/>
      <c r="Z551" s="6"/>
      <c r="AA551" s="6"/>
    </row>
    <row r="552" ht="15.75" customHeight="1">
      <c r="L552" s="12"/>
      <c r="O552" s="6"/>
      <c r="P552" s="6"/>
      <c r="Q552" s="6"/>
      <c r="R552" s="6"/>
      <c r="S552" s="6"/>
      <c r="T552" s="6"/>
      <c r="U552" s="6"/>
      <c r="V552" s="6"/>
      <c r="W552" s="6"/>
      <c r="X552" s="6"/>
      <c r="Y552" s="6"/>
      <c r="Z552" s="6"/>
      <c r="AA552" s="6"/>
    </row>
    <row r="553" ht="15.75" customHeight="1">
      <c r="L553" s="12"/>
      <c r="O553" s="6"/>
      <c r="P553" s="6"/>
      <c r="Q553" s="6"/>
      <c r="R553" s="6"/>
      <c r="S553" s="6"/>
      <c r="T553" s="6"/>
      <c r="U553" s="6"/>
      <c r="V553" s="6"/>
      <c r="W553" s="6"/>
      <c r="X553" s="6"/>
      <c r="Y553" s="6"/>
      <c r="Z553" s="6"/>
      <c r="AA553" s="6"/>
    </row>
    <row r="554" ht="15.75" customHeight="1">
      <c r="L554" s="12"/>
      <c r="O554" s="6"/>
      <c r="P554" s="6"/>
      <c r="Q554" s="6"/>
      <c r="R554" s="6"/>
      <c r="S554" s="6"/>
      <c r="T554" s="6"/>
      <c r="U554" s="6"/>
      <c r="V554" s="6"/>
      <c r="W554" s="6"/>
      <c r="X554" s="6"/>
      <c r="Y554" s="6"/>
      <c r="Z554" s="6"/>
      <c r="AA554" s="6"/>
    </row>
    <row r="555" ht="15.75" customHeight="1">
      <c r="L555" s="12"/>
      <c r="O555" s="6"/>
      <c r="P555" s="6"/>
      <c r="Q555" s="6"/>
      <c r="R555" s="6"/>
      <c r="S555" s="6"/>
      <c r="T555" s="6"/>
      <c r="U555" s="6"/>
      <c r="V555" s="6"/>
      <c r="W555" s="6"/>
      <c r="X555" s="6"/>
      <c r="Y555" s="6"/>
      <c r="Z555" s="6"/>
      <c r="AA555" s="6"/>
    </row>
    <row r="556" ht="15.75" customHeight="1">
      <c r="L556" s="12"/>
      <c r="O556" s="6"/>
      <c r="P556" s="6"/>
      <c r="Q556" s="6"/>
      <c r="R556" s="6"/>
      <c r="S556" s="6"/>
      <c r="T556" s="6"/>
      <c r="U556" s="6"/>
      <c r="V556" s="6"/>
      <c r="W556" s="6"/>
      <c r="X556" s="6"/>
      <c r="Y556" s="6"/>
      <c r="Z556" s="6"/>
      <c r="AA556" s="6"/>
    </row>
    <row r="557" ht="15.75" customHeight="1">
      <c r="L557" s="12"/>
      <c r="O557" s="6"/>
      <c r="P557" s="6"/>
      <c r="Q557" s="6"/>
      <c r="R557" s="6"/>
      <c r="S557" s="6"/>
      <c r="T557" s="6"/>
      <c r="U557" s="6"/>
      <c r="V557" s="6"/>
      <c r="W557" s="6"/>
      <c r="X557" s="6"/>
      <c r="Y557" s="6"/>
      <c r="Z557" s="6"/>
      <c r="AA557" s="6"/>
    </row>
    <row r="558" ht="15.75" customHeight="1">
      <c r="L558" s="12"/>
      <c r="O558" s="6"/>
      <c r="P558" s="6"/>
      <c r="Q558" s="6"/>
      <c r="R558" s="6"/>
      <c r="S558" s="6"/>
      <c r="T558" s="6"/>
      <c r="U558" s="6"/>
      <c r="V558" s="6"/>
      <c r="W558" s="6"/>
      <c r="X558" s="6"/>
      <c r="Y558" s="6"/>
      <c r="Z558" s="6"/>
      <c r="AA558" s="6"/>
    </row>
    <row r="559" ht="15.75" customHeight="1">
      <c r="L559" s="12"/>
      <c r="O559" s="6"/>
      <c r="P559" s="6"/>
      <c r="Q559" s="6"/>
      <c r="R559" s="6"/>
      <c r="S559" s="6"/>
      <c r="T559" s="6"/>
      <c r="U559" s="6"/>
      <c r="V559" s="6"/>
      <c r="W559" s="6"/>
      <c r="X559" s="6"/>
      <c r="Y559" s="6"/>
      <c r="Z559" s="6"/>
      <c r="AA559" s="6"/>
    </row>
    <row r="560" ht="15.75" customHeight="1">
      <c r="L560" s="12"/>
      <c r="O560" s="6"/>
      <c r="P560" s="6"/>
      <c r="Q560" s="6"/>
      <c r="R560" s="6"/>
      <c r="S560" s="6"/>
      <c r="T560" s="6"/>
      <c r="U560" s="6"/>
      <c r="V560" s="6"/>
      <c r="W560" s="6"/>
      <c r="X560" s="6"/>
      <c r="Y560" s="6"/>
      <c r="Z560" s="6"/>
      <c r="AA560" s="6"/>
    </row>
    <row r="561" ht="15.75" customHeight="1">
      <c r="L561" s="12"/>
      <c r="O561" s="6"/>
      <c r="P561" s="6"/>
      <c r="Q561" s="6"/>
      <c r="R561" s="6"/>
      <c r="S561" s="6"/>
      <c r="T561" s="6"/>
      <c r="U561" s="6"/>
      <c r="V561" s="6"/>
      <c r="W561" s="6"/>
      <c r="X561" s="6"/>
      <c r="Y561" s="6"/>
      <c r="Z561" s="6"/>
      <c r="AA561" s="6"/>
    </row>
    <row r="562" ht="15.75" customHeight="1">
      <c r="L562" s="12"/>
      <c r="O562" s="6"/>
      <c r="P562" s="6"/>
      <c r="Q562" s="6"/>
      <c r="R562" s="6"/>
      <c r="S562" s="6"/>
      <c r="T562" s="6"/>
      <c r="U562" s="6"/>
      <c r="V562" s="6"/>
      <c r="W562" s="6"/>
      <c r="X562" s="6"/>
      <c r="Y562" s="6"/>
      <c r="Z562" s="6"/>
      <c r="AA562" s="6"/>
    </row>
    <row r="563" ht="15.75" customHeight="1">
      <c r="L563" s="12"/>
      <c r="O563" s="6"/>
      <c r="P563" s="6"/>
      <c r="Q563" s="6"/>
      <c r="R563" s="6"/>
      <c r="S563" s="6"/>
      <c r="T563" s="6"/>
      <c r="U563" s="6"/>
      <c r="V563" s="6"/>
      <c r="W563" s="6"/>
      <c r="X563" s="6"/>
      <c r="Y563" s="6"/>
      <c r="Z563" s="6"/>
      <c r="AA563" s="6"/>
    </row>
    <row r="564" ht="15.75" customHeight="1">
      <c r="L564" s="12"/>
      <c r="O564" s="6"/>
      <c r="P564" s="6"/>
      <c r="Q564" s="6"/>
      <c r="R564" s="6"/>
      <c r="S564" s="6"/>
      <c r="T564" s="6"/>
      <c r="U564" s="6"/>
      <c r="V564" s="6"/>
      <c r="W564" s="6"/>
      <c r="X564" s="6"/>
      <c r="Y564" s="6"/>
      <c r="Z564" s="6"/>
      <c r="AA564" s="6"/>
    </row>
    <row r="565" ht="15.75" customHeight="1">
      <c r="L565" s="12"/>
      <c r="O565" s="6"/>
      <c r="P565" s="6"/>
      <c r="Q565" s="6"/>
      <c r="R565" s="6"/>
      <c r="S565" s="6"/>
      <c r="T565" s="6"/>
      <c r="U565" s="6"/>
      <c r="V565" s="6"/>
      <c r="W565" s="6"/>
      <c r="X565" s="6"/>
      <c r="Y565" s="6"/>
      <c r="Z565" s="6"/>
      <c r="AA565" s="6"/>
    </row>
    <row r="566" ht="15.75" customHeight="1">
      <c r="L566" s="12"/>
      <c r="O566" s="6"/>
      <c r="P566" s="6"/>
      <c r="Q566" s="6"/>
      <c r="R566" s="6"/>
      <c r="S566" s="6"/>
      <c r="T566" s="6"/>
      <c r="U566" s="6"/>
      <c r="V566" s="6"/>
      <c r="W566" s="6"/>
      <c r="X566" s="6"/>
      <c r="Y566" s="6"/>
      <c r="Z566" s="6"/>
      <c r="AA566" s="6"/>
    </row>
    <row r="567" ht="15.75" customHeight="1">
      <c r="L567" s="12"/>
      <c r="O567" s="6"/>
      <c r="P567" s="6"/>
      <c r="Q567" s="6"/>
      <c r="R567" s="6"/>
      <c r="S567" s="6"/>
      <c r="T567" s="6"/>
      <c r="U567" s="6"/>
      <c r="V567" s="6"/>
      <c r="W567" s="6"/>
      <c r="X567" s="6"/>
      <c r="Y567" s="6"/>
      <c r="Z567" s="6"/>
      <c r="AA567" s="6"/>
    </row>
    <row r="568" ht="15.75" customHeight="1">
      <c r="L568" s="12"/>
      <c r="O568" s="6"/>
      <c r="P568" s="6"/>
      <c r="Q568" s="6"/>
      <c r="R568" s="6"/>
      <c r="S568" s="6"/>
      <c r="T568" s="6"/>
      <c r="U568" s="6"/>
      <c r="V568" s="6"/>
      <c r="W568" s="6"/>
      <c r="X568" s="6"/>
      <c r="Y568" s="6"/>
      <c r="Z568" s="6"/>
      <c r="AA568" s="6"/>
    </row>
    <row r="569" ht="15.75" customHeight="1">
      <c r="L569" s="12"/>
      <c r="O569" s="6"/>
      <c r="P569" s="6"/>
      <c r="Q569" s="6"/>
      <c r="R569" s="6"/>
      <c r="S569" s="6"/>
      <c r="T569" s="6"/>
      <c r="U569" s="6"/>
      <c r="V569" s="6"/>
      <c r="W569" s="6"/>
      <c r="X569" s="6"/>
      <c r="Y569" s="6"/>
      <c r="Z569" s="6"/>
      <c r="AA569" s="6"/>
    </row>
    <row r="570" ht="15.75" customHeight="1">
      <c r="L570" s="12"/>
      <c r="O570" s="6"/>
      <c r="P570" s="6"/>
      <c r="Q570" s="6"/>
      <c r="R570" s="6"/>
      <c r="S570" s="6"/>
      <c r="T570" s="6"/>
      <c r="U570" s="6"/>
      <c r="V570" s="6"/>
      <c r="W570" s="6"/>
      <c r="X570" s="6"/>
      <c r="Y570" s="6"/>
      <c r="Z570" s="6"/>
      <c r="AA570" s="6"/>
    </row>
    <row r="571" ht="15.75" customHeight="1">
      <c r="L571" s="12"/>
      <c r="O571" s="6"/>
      <c r="P571" s="6"/>
      <c r="Q571" s="6"/>
      <c r="R571" s="6"/>
      <c r="S571" s="6"/>
      <c r="T571" s="6"/>
      <c r="U571" s="6"/>
      <c r="V571" s="6"/>
      <c r="W571" s="6"/>
      <c r="X571" s="6"/>
      <c r="Y571" s="6"/>
      <c r="Z571" s="6"/>
      <c r="AA571" s="6"/>
    </row>
    <row r="572" ht="15.75" customHeight="1">
      <c r="L572" s="12"/>
      <c r="O572" s="6"/>
      <c r="P572" s="6"/>
      <c r="Q572" s="6"/>
      <c r="R572" s="6"/>
      <c r="S572" s="6"/>
      <c r="T572" s="6"/>
      <c r="U572" s="6"/>
      <c r="V572" s="6"/>
      <c r="W572" s="6"/>
      <c r="X572" s="6"/>
      <c r="Y572" s="6"/>
      <c r="Z572" s="6"/>
      <c r="AA572" s="6"/>
    </row>
    <row r="573" ht="15.75" customHeight="1">
      <c r="L573" s="12"/>
      <c r="O573" s="6"/>
      <c r="P573" s="6"/>
      <c r="Q573" s="6"/>
      <c r="R573" s="6"/>
      <c r="S573" s="6"/>
      <c r="T573" s="6"/>
      <c r="U573" s="6"/>
      <c r="V573" s="6"/>
      <c r="W573" s="6"/>
      <c r="X573" s="6"/>
      <c r="Y573" s="6"/>
      <c r="Z573" s="6"/>
      <c r="AA573" s="6"/>
    </row>
    <row r="574" ht="15.75" customHeight="1">
      <c r="L574" s="12"/>
      <c r="O574" s="6"/>
      <c r="P574" s="6"/>
      <c r="Q574" s="6"/>
      <c r="R574" s="6"/>
      <c r="S574" s="6"/>
      <c r="T574" s="6"/>
      <c r="U574" s="6"/>
      <c r="V574" s="6"/>
      <c r="W574" s="6"/>
      <c r="X574" s="6"/>
      <c r="Y574" s="6"/>
      <c r="Z574" s="6"/>
      <c r="AA574" s="6"/>
    </row>
    <row r="575" ht="15.75" customHeight="1">
      <c r="L575" s="12"/>
      <c r="O575" s="6"/>
      <c r="P575" s="6"/>
      <c r="Q575" s="6"/>
      <c r="R575" s="6"/>
      <c r="S575" s="6"/>
      <c r="T575" s="6"/>
      <c r="U575" s="6"/>
      <c r="V575" s="6"/>
      <c r="W575" s="6"/>
      <c r="X575" s="6"/>
      <c r="Y575" s="6"/>
      <c r="Z575" s="6"/>
      <c r="AA575" s="6"/>
    </row>
    <row r="576" ht="15.75" customHeight="1">
      <c r="L576" s="12"/>
      <c r="O576" s="6"/>
      <c r="P576" s="6"/>
      <c r="Q576" s="6"/>
      <c r="R576" s="6"/>
      <c r="S576" s="6"/>
      <c r="T576" s="6"/>
      <c r="U576" s="6"/>
      <c r="V576" s="6"/>
      <c r="W576" s="6"/>
      <c r="X576" s="6"/>
      <c r="Y576" s="6"/>
      <c r="Z576" s="6"/>
      <c r="AA576" s="6"/>
    </row>
    <row r="577" ht="15.75" customHeight="1">
      <c r="L577" s="12"/>
      <c r="O577" s="6"/>
      <c r="P577" s="6"/>
      <c r="Q577" s="6"/>
      <c r="R577" s="6"/>
      <c r="S577" s="6"/>
      <c r="T577" s="6"/>
      <c r="U577" s="6"/>
      <c r="V577" s="6"/>
      <c r="W577" s="6"/>
      <c r="X577" s="6"/>
      <c r="Y577" s="6"/>
      <c r="Z577" s="6"/>
      <c r="AA577" s="6"/>
    </row>
    <row r="578" ht="15.75" customHeight="1">
      <c r="L578" s="12"/>
      <c r="O578" s="6"/>
      <c r="P578" s="6"/>
      <c r="Q578" s="6"/>
      <c r="R578" s="6"/>
      <c r="S578" s="6"/>
      <c r="T578" s="6"/>
      <c r="U578" s="6"/>
      <c r="V578" s="6"/>
      <c r="W578" s="6"/>
      <c r="X578" s="6"/>
      <c r="Y578" s="6"/>
      <c r="Z578" s="6"/>
      <c r="AA578" s="6"/>
    </row>
    <row r="579" ht="15.75" customHeight="1">
      <c r="L579" s="12"/>
      <c r="O579" s="6"/>
      <c r="P579" s="6"/>
      <c r="Q579" s="6"/>
      <c r="R579" s="6"/>
      <c r="S579" s="6"/>
      <c r="T579" s="6"/>
      <c r="U579" s="6"/>
      <c r="V579" s="6"/>
      <c r="W579" s="6"/>
      <c r="X579" s="6"/>
      <c r="Y579" s="6"/>
      <c r="Z579" s="6"/>
      <c r="AA579" s="6"/>
    </row>
    <row r="580" ht="15.75" customHeight="1">
      <c r="L580" s="12"/>
      <c r="O580" s="6"/>
      <c r="P580" s="6"/>
      <c r="Q580" s="6"/>
      <c r="R580" s="6"/>
      <c r="S580" s="6"/>
      <c r="T580" s="6"/>
      <c r="U580" s="6"/>
      <c r="V580" s="6"/>
      <c r="W580" s="6"/>
      <c r="X580" s="6"/>
      <c r="Y580" s="6"/>
      <c r="Z580" s="6"/>
      <c r="AA580" s="6"/>
    </row>
    <row r="581" ht="15.75" customHeight="1">
      <c r="L581" s="12"/>
      <c r="O581" s="6"/>
      <c r="P581" s="6"/>
      <c r="Q581" s="6"/>
      <c r="R581" s="6"/>
      <c r="S581" s="6"/>
      <c r="T581" s="6"/>
      <c r="U581" s="6"/>
      <c r="V581" s="6"/>
      <c r="W581" s="6"/>
      <c r="X581" s="6"/>
      <c r="Y581" s="6"/>
      <c r="Z581" s="6"/>
      <c r="AA581" s="6"/>
    </row>
    <row r="582" ht="15.75" customHeight="1">
      <c r="L582" s="12"/>
      <c r="O582" s="6"/>
      <c r="P582" s="6"/>
      <c r="Q582" s="6"/>
      <c r="R582" s="6"/>
      <c r="S582" s="6"/>
      <c r="T582" s="6"/>
      <c r="U582" s="6"/>
      <c r="V582" s="6"/>
      <c r="W582" s="6"/>
      <c r="X582" s="6"/>
      <c r="Y582" s="6"/>
      <c r="Z582" s="6"/>
      <c r="AA582" s="6"/>
    </row>
    <row r="583" ht="15.75" customHeight="1">
      <c r="L583" s="12"/>
      <c r="O583" s="6"/>
      <c r="P583" s="6"/>
      <c r="Q583" s="6"/>
      <c r="R583" s="6"/>
      <c r="S583" s="6"/>
      <c r="T583" s="6"/>
      <c r="U583" s="6"/>
      <c r="V583" s="6"/>
      <c r="W583" s="6"/>
      <c r="X583" s="6"/>
      <c r="Y583" s="6"/>
      <c r="Z583" s="6"/>
      <c r="AA583" s="6"/>
    </row>
    <row r="584" ht="15.75" customHeight="1">
      <c r="L584" s="12"/>
      <c r="O584" s="6"/>
      <c r="P584" s="6"/>
      <c r="Q584" s="6"/>
      <c r="R584" s="6"/>
      <c r="S584" s="6"/>
      <c r="T584" s="6"/>
      <c r="U584" s="6"/>
      <c r="V584" s="6"/>
      <c r="W584" s="6"/>
      <c r="X584" s="6"/>
      <c r="Y584" s="6"/>
      <c r="Z584" s="6"/>
      <c r="AA584" s="6"/>
    </row>
    <row r="585" ht="15.75" customHeight="1">
      <c r="L585" s="12"/>
      <c r="O585" s="6"/>
      <c r="P585" s="6"/>
      <c r="Q585" s="6"/>
      <c r="R585" s="6"/>
      <c r="S585" s="6"/>
      <c r="T585" s="6"/>
      <c r="U585" s="6"/>
      <c r="V585" s="6"/>
      <c r="W585" s="6"/>
      <c r="X585" s="6"/>
      <c r="Y585" s="6"/>
      <c r="Z585" s="6"/>
      <c r="AA585" s="6"/>
    </row>
    <row r="586" ht="15.75" customHeight="1">
      <c r="L586" s="12"/>
      <c r="O586" s="6"/>
      <c r="P586" s="6"/>
      <c r="Q586" s="6"/>
      <c r="R586" s="6"/>
      <c r="S586" s="6"/>
      <c r="T586" s="6"/>
      <c r="U586" s="6"/>
      <c r="V586" s="6"/>
      <c r="W586" s="6"/>
      <c r="X586" s="6"/>
      <c r="Y586" s="6"/>
      <c r="Z586" s="6"/>
      <c r="AA586" s="6"/>
    </row>
    <row r="587" ht="15.75" customHeight="1">
      <c r="L587" s="12"/>
      <c r="O587" s="6"/>
      <c r="P587" s="6"/>
      <c r="Q587" s="6"/>
      <c r="R587" s="6"/>
      <c r="S587" s="6"/>
      <c r="T587" s="6"/>
      <c r="U587" s="6"/>
      <c r="V587" s="6"/>
      <c r="W587" s="6"/>
      <c r="X587" s="6"/>
      <c r="Y587" s="6"/>
      <c r="Z587" s="6"/>
      <c r="AA587" s="6"/>
    </row>
    <row r="588" ht="15.75" customHeight="1">
      <c r="L588" s="12"/>
      <c r="O588" s="6"/>
      <c r="P588" s="6"/>
      <c r="Q588" s="6"/>
      <c r="R588" s="6"/>
      <c r="S588" s="6"/>
      <c r="T588" s="6"/>
      <c r="U588" s="6"/>
      <c r="V588" s="6"/>
      <c r="W588" s="6"/>
      <c r="X588" s="6"/>
      <c r="Y588" s="6"/>
      <c r="Z588" s="6"/>
      <c r="AA588" s="6"/>
    </row>
    <row r="589" ht="15.75" customHeight="1">
      <c r="L589" s="12"/>
      <c r="O589" s="6"/>
      <c r="P589" s="6"/>
      <c r="Q589" s="6"/>
      <c r="R589" s="6"/>
      <c r="S589" s="6"/>
      <c r="T589" s="6"/>
      <c r="U589" s="6"/>
      <c r="V589" s="6"/>
      <c r="W589" s="6"/>
      <c r="X589" s="6"/>
      <c r="Y589" s="6"/>
      <c r="Z589" s="6"/>
      <c r="AA589" s="6"/>
    </row>
    <row r="590" ht="15.75" customHeight="1">
      <c r="L590" s="12"/>
      <c r="O590" s="6"/>
      <c r="P590" s="6"/>
      <c r="Q590" s="6"/>
      <c r="R590" s="6"/>
      <c r="S590" s="6"/>
      <c r="T590" s="6"/>
      <c r="U590" s="6"/>
      <c r="V590" s="6"/>
      <c r="W590" s="6"/>
      <c r="X590" s="6"/>
      <c r="Y590" s="6"/>
      <c r="Z590" s="6"/>
      <c r="AA590" s="6"/>
    </row>
    <row r="591" ht="15.75" customHeight="1">
      <c r="L591" s="12"/>
      <c r="O591" s="6"/>
      <c r="P591" s="6"/>
      <c r="Q591" s="6"/>
      <c r="R591" s="6"/>
      <c r="S591" s="6"/>
      <c r="T591" s="6"/>
      <c r="U591" s="6"/>
      <c r="V591" s="6"/>
      <c r="W591" s="6"/>
      <c r="X591" s="6"/>
      <c r="Y591" s="6"/>
      <c r="Z591" s="6"/>
      <c r="AA591" s="6"/>
    </row>
    <row r="592" ht="15.75" customHeight="1">
      <c r="L592" s="12"/>
      <c r="O592" s="6"/>
      <c r="P592" s="6"/>
      <c r="Q592" s="6"/>
      <c r="R592" s="6"/>
      <c r="S592" s="6"/>
      <c r="T592" s="6"/>
      <c r="U592" s="6"/>
      <c r="V592" s="6"/>
      <c r="W592" s="6"/>
      <c r="X592" s="6"/>
      <c r="Y592" s="6"/>
      <c r="Z592" s="6"/>
      <c r="AA592" s="6"/>
    </row>
    <row r="593" ht="15.75" customHeight="1">
      <c r="L593" s="12"/>
      <c r="O593" s="6"/>
      <c r="P593" s="6"/>
      <c r="Q593" s="6"/>
      <c r="R593" s="6"/>
      <c r="S593" s="6"/>
      <c r="T593" s="6"/>
      <c r="U593" s="6"/>
      <c r="V593" s="6"/>
      <c r="W593" s="6"/>
      <c r="X593" s="6"/>
      <c r="Y593" s="6"/>
      <c r="Z593" s="6"/>
      <c r="AA593" s="6"/>
    </row>
    <row r="594" ht="15.75" customHeight="1">
      <c r="L594" s="12"/>
      <c r="O594" s="6"/>
      <c r="P594" s="6"/>
      <c r="Q594" s="6"/>
      <c r="R594" s="6"/>
      <c r="S594" s="6"/>
      <c r="T594" s="6"/>
      <c r="U594" s="6"/>
      <c r="V594" s="6"/>
      <c r="W594" s="6"/>
      <c r="X594" s="6"/>
      <c r="Y594" s="6"/>
      <c r="Z594" s="6"/>
      <c r="AA594" s="6"/>
    </row>
    <row r="595" ht="15.75" customHeight="1">
      <c r="L595" s="12"/>
      <c r="O595" s="6"/>
      <c r="P595" s="6"/>
      <c r="Q595" s="6"/>
      <c r="R595" s="6"/>
      <c r="S595" s="6"/>
      <c r="T595" s="6"/>
      <c r="U595" s="6"/>
      <c r="V595" s="6"/>
      <c r="W595" s="6"/>
      <c r="X595" s="6"/>
      <c r="Y595" s="6"/>
      <c r="Z595" s="6"/>
      <c r="AA595" s="6"/>
    </row>
    <row r="596" ht="15.75" customHeight="1">
      <c r="L596" s="12"/>
      <c r="O596" s="6"/>
      <c r="P596" s="6"/>
      <c r="Q596" s="6"/>
      <c r="R596" s="6"/>
      <c r="S596" s="6"/>
      <c r="T596" s="6"/>
      <c r="U596" s="6"/>
      <c r="V596" s="6"/>
      <c r="W596" s="6"/>
      <c r="X596" s="6"/>
      <c r="Y596" s="6"/>
      <c r="Z596" s="6"/>
      <c r="AA596" s="6"/>
    </row>
    <row r="597" ht="15.75" customHeight="1">
      <c r="L597" s="12"/>
      <c r="O597" s="6"/>
      <c r="P597" s="6"/>
      <c r="Q597" s="6"/>
      <c r="R597" s="6"/>
      <c r="S597" s="6"/>
      <c r="T597" s="6"/>
      <c r="U597" s="6"/>
      <c r="V597" s="6"/>
      <c r="W597" s="6"/>
      <c r="X597" s="6"/>
      <c r="Y597" s="6"/>
      <c r="Z597" s="6"/>
      <c r="AA597" s="6"/>
    </row>
    <row r="598" ht="15.75" customHeight="1">
      <c r="L598" s="12"/>
      <c r="O598" s="6"/>
      <c r="P598" s="6"/>
      <c r="Q598" s="6"/>
      <c r="R598" s="6"/>
      <c r="S598" s="6"/>
      <c r="T598" s="6"/>
      <c r="U598" s="6"/>
      <c r="V598" s="6"/>
      <c r="W598" s="6"/>
      <c r="X598" s="6"/>
      <c r="Y598" s="6"/>
      <c r="Z598" s="6"/>
      <c r="AA598" s="6"/>
    </row>
    <row r="599" ht="15.75" customHeight="1">
      <c r="L599" s="12"/>
      <c r="O599" s="6"/>
      <c r="P599" s="6"/>
      <c r="Q599" s="6"/>
      <c r="R599" s="6"/>
      <c r="S599" s="6"/>
      <c r="T599" s="6"/>
      <c r="U599" s="6"/>
      <c r="V599" s="6"/>
      <c r="W599" s="6"/>
      <c r="X599" s="6"/>
      <c r="Y599" s="6"/>
      <c r="Z599" s="6"/>
      <c r="AA599" s="6"/>
    </row>
    <row r="600" ht="15.75" customHeight="1">
      <c r="L600" s="12"/>
      <c r="O600" s="6"/>
      <c r="P600" s="6"/>
      <c r="Q600" s="6"/>
      <c r="R600" s="6"/>
      <c r="S600" s="6"/>
      <c r="T600" s="6"/>
      <c r="U600" s="6"/>
      <c r="V600" s="6"/>
      <c r="W600" s="6"/>
      <c r="X600" s="6"/>
      <c r="Y600" s="6"/>
      <c r="Z600" s="6"/>
      <c r="AA600" s="6"/>
    </row>
    <row r="601" ht="15.75" customHeight="1">
      <c r="L601" s="12"/>
      <c r="O601" s="6"/>
      <c r="P601" s="6"/>
      <c r="Q601" s="6"/>
      <c r="R601" s="6"/>
      <c r="S601" s="6"/>
      <c r="T601" s="6"/>
      <c r="U601" s="6"/>
      <c r="V601" s="6"/>
      <c r="W601" s="6"/>
      <c r="X601" s="6"/>
      <c r="Y601" s="6"/>
      <c r="Z601" s="6"/>
      <c r="AA601" s="6"/>
    </row>
    <row r="602" ht="15.75" customHeight="1">
      <c r="L602" s="12"/>
      <c r="O602" s="6"/>
      <c r="P602" s="6"/>
      <c r="Q602" s="6"/>
      <c r="R602" s="6"/>
      <c r="S602" s="6"/>
      <c r="T602" s="6"/>
      <c r="U602" s="6"/>
      <c r="V602" s="6"/>
      <c r="W602" s="6"/>
      <c r="X602" s="6"/>
      <c r="Y602" s="6"/>
      <c r="Z602" s="6"/>
      <c r="AA602" s="6"/>
    </row>
    <row r="603" ht="15.75" customHeight="1">
      <c r="L603" s="12"/>
      <c r="O603" s="6"/>
      <c r="P603" s="6"/>
      <c r="Q603" s="6"/>
      <c r="R603" s="6"/>
      <c r="S603" s="6"/>
      <c r="T603" s="6"/>
      <c r="U603" s="6"/>
      <c r="V603" s="6"/>
      <c r="W603" s="6"/>
      <c r="X603" s="6"/>
      <c r="Y603" s="6"/>
      <c r="Z603" s="6"/>
      <c r="AA603" s="6"/>
    </row>
    <row r="604" ht="15.75" customHeight="1">
      <c r="L604" s="12"/>
      <c r="O604" s="6"/>
      <c r="P604" s="6"/>
      <c r="Q604" s="6"/>
      <c r="R604" s="6"/>
      <c r="S604" s="6"/>
      <c r="T604" s="6"/>
      <c r="U604" s="6"/>
      <c r="V604" s="6"/>
      <c r="W604" s="6"/>
      <c r="X604" s="6"/>
      <c r="Y604" s="6"/>
      <c r="Z604" s="6"/>
      <c r="AA604" s="6"/>
    </row>
    <row r="605" ht="15.75" customHeight="1">
      <c r="L605" s="12"/>
      <c r="O605" s="6"/>
      <c r="P605" s="6"/>
      <c r="Q605" s="6"/>
      <c r="R605" s="6"/>
      <c r="S605" s="6"/>
      <c r="T605" s="6"/>
      <c r="U605" s="6"/>
      <c r="V605" s="6"/>
      <c r="W605" s="6"/>
      <c r="X605" s="6"/>
      <c r="Y605" s="6"/>
      <c r="Z605" s="6"/>
      <c r="AA605" s="6"/>
    </row>
    <row r="606" ht="15.75" customHeight="1">
      <c r="L606" s="12"/>
      <c r="O606" s="6"/>
      <c r="P606" s="6"/>
      <c r="Q606" s="6"/>
      <c r="R606" s="6"/>
      <c r="S606" s="6"/>
      <c r="T606" s="6"/>
      <c r="U606" s="6"/>
      <c r="V606" s="6"/>
      <c r="W606" s="6"/>
      <c r="X606" s="6"/>
      <c r="Y606" s="6"/>
      <c r="Z606" s="6"/>
      <c r="AA606" s="6"/>
    </row>
    <row r="607" ht="15.75" customHeight="1">
      <c r="L607" s="12"/>
      <c r="O607" s="6"/>
      <c r="P607" s="6"/>
      <c r="Q607" s="6"/>
      <c r="R607" s="6"/>
      <c r="S607" s="6"/>
      <c r="T607" s="6"/>
      <c r="U607" s="6"/>
      <c r="V607" s="6"/>
      <c r="W607" s="6"/>
      <c r="X607" s="6"/>
      <c r="Y607" s="6"/>
      <c r="Z607" s="6"/>
      <c r="AA607" s="6"/>
    </row>
    <row r="608" ht="15.75" customHeight="1">
      <c r="L608" s="12"/>
      <c r="O608" s="6"/>
      <c r="P608" s="6"/>
      <c r="Q608" s="6"/>
      <c r="R608" s="6"/>
      <c r="S608" s="6"/>
      <c r="T608" s="6"/>
      <c r="U608" s="6"/>
      <c r="V608" s="6"/>
      <c r="W608" s="6"/>
      <c r="X608" s="6"/>
      <c r="Y608" s="6"/>
      <c r="Z608" s="6"/>
      <c r="AA608" s="6"/>
    </row>
    <row r="609" ht="15.75" customHeight="1">
      <c r="L609" s="12"/>
      <c r="O609" s="6"/>
      <c r="P609" s="6"/>
      <c r="Q609" s="6"/>
      <c r="R609" s="6"/>
      <c r="S609" s="6"/>
      <c r="T609" s="6"/>
      <c r="U609" s="6"/>
      <c r="V609" s="6"/>
      <c r="W609" s="6"/>
      <c r="X609" s="6"/>
      <c r="Y609" s="6"/>
      <c r="Z609" s="6"/>
      <c r="AA609" s="6"/>
    </row>
    <row r="610" ht="15.75" customHeight="1">
      <c r="L610" s="12"/>
      <c r="O610" s="6"/>
      <c r="P610" s="6"/>
      <c r="Q610" s="6"/>
      <c r="R610" s="6"/>
      <c r="S610" s="6"/>
      <c r="T610" s="6"/>
      <c r="U610" s="6"/>
      <c r="V610" s="6"/>
      <c r="W610" s="6"/>
      <c r="X610" s="6"/>
      <c r="Y610" s="6"/>
      <c r="Z610" s="6"/>
      <c r="AA610" s="6"/>
    </row>
    <row r="611" ht="15.75" customHeight="1">
      <c r="L611" s="12"/>
      <c r="O611" s="6"/>
      <c r="P611" s="6"/>
      <c r="Q611" s="6"/>
      <c r="R611" s="6"/>
      <c r="S611" s="6"/>
      <c r="T611" s="6"/>
      <c r="U611" s="6"/>
      <c r="V611" s="6"/>
      <c r="W611" s="6"/>
      <c r="X611" s="6"/>
      <c r="Y611" s="6"/>
      <c r="Z611" s="6"/>
      <c r="AA611" s="6"/>
    </row>
    <row r="612" ht="15.75" customHeight="1">
      <c r="L612" s="12"/>
      <c r="O612" s="6"/>
      <c r="P612" s="6"/>
      <c r="Q612" s="6"/>
      <c r="R612" s="6"/>
      <c r="S612" s="6"/>
      <c r="T612" s="6"/>
      <c r="U612" s="6"/>
      <c r="V612" s="6"/>
      <c r="W612" s="6"/>
      <c r="X612" s="6"/>
      <c r="Y612" s="6"/>
      <c r="Z612" s="6"/>
      <c r="AA612" s="6"/>
    </row>
    <row r="613" ht="15.75" customHeight="1">
      <c r="L613" s="12"/>
      <c r="O613" s="6"/>
      <c r="P613" s="6"/>
      <c r="Q613" s="6"/>
      <c r="R613" s="6"/>
      <c r="S613" s="6"/>
      <c r="T613" s="6"/>
      <c r="U613" s="6"/>
      <c r="V613" s="6"/>
      <c r="W613" s="6"/>
      <c r="X613" s="6"/>
      <c r="Y613" s="6"/>
      <c r="Z613" s="6"/>
      <c r="AA613" s="6"/>
    </row>
    <row r="614" ht="15.75" customHeight="1">
      <c r="L614" s="12"/>
      <c r="O614" s="6"/>
      <c r="P614" s="6"/>
      <c r="Q614" s="6"/>
      <c r="R614" s="6"/>
      <c r="S614" s="6"/>
      <c r="T614" s="6"/>
      <c r="U614" s="6"/>
      <c r="V614" s="6"/>
      <c r="W614" s="6"/>
      <c r="X614" s="6"/>
      <c r="Y614" s="6"/>
      <c r="Z614" s="6"/>
      <c r="AA614" s="6"/>
    </row>
    <row r="615" ht="15.75" customHeight="1">
      <c r="L615" s="12"/>
      <c r="O615" s="6"/>
      <c r="P615" s="6"/>
      <c r="Q615" s="6"/>
      <c r="R615" s="6"/>
      <c r="S615" s="6"/>
      <c r="T615" s="6"/>
      <c r="U615" s="6"/>
      <c r="V615" s="6"/>
      <c r="W615" s="6"/>
      <c r="X615" s="6"/>
      <c r="Y615" s="6"/>
      <c r="Z615" s="6"/>
      <c r="AA615" s="6"/>
    </row>
    <row r="616" ht="15.75" customHeight="1">
      <c r="L616" s="12"/>
      <c r="O616" s="6"/>
      <c r="P616" s="6"/>
      <c r="Q616" s="6"/>
      <c r="R616" s="6"/>
      <c r="S616" s="6"/>
      <c r="T616" s="6"/>
      <c r="U616" s="6"/>
      <c r="V616" s="6"/>
      <c r="W616" s="6"/>
      <c r="X616" s="6"/>
      <c r="Y616" s="6"/>
      <c r="Z616" s="6"/>
      <c r="AA616" s="6"/>
    </row>
    <row r="617" ht="15.75" customHeight="1">
      <c r="L617" s="12"/>
      <c r="O617" s="6"/>
      <c r="P617" s="6"/>
      <c r="Q617" s="6"/>
      <c r="R617" s="6"/>
      <c r="S617" s="6"/>
      <c r="T617" s="6"/>
      <c r="U617" s="6"/>
      <c r="V617" s="6"/>
      <c r="W617" s="6"/>
      <c r="X617" s="6"/>
      <c r="Y617" s="6"/>
      <c r="Z617" s="6"/>
      <c r="AA617" s="6"/>
    </row>
    <row r="618" ht="15.75" customHeight="1">
      <c r="L618" s="12"/>
      <c r="O618" s="6"/>
      <c r="P618" s="6"/>
      <c r="Q618" s="6"/>
      <c r="R618" s="6"/>
      <c r="S618" s="6"/>
      <c r="T618" s="6"/>
      <c r="U618" s="6"/>
      <c r="V618" s="6"/>
      <c r="W618" s="6"/>
      <c r="X618" s="6"/>
      <c r="Y618" s="6"/>
      <c r="Z618" s="6"/>
      <c r="AA618" s="6"/>
    </row>
    <row r="619" ht="15.75" customHeight="1">
      <c r="L619" s="12"/>
      <c r="O619" s="6"/>
      <c r="P619" s="6"/>
      <c r="Q619" s="6"/>
      <c r="R619" s="6"/>
      <c r="S619" s="6"/>
      <c r="T619" s="6"/>
      <c r="U619" s="6"/>
      <c r="V619" s="6"/>
      <c r="W619" s="6"/>
      <c r="X619" s="6"/>
      <c r="Y619" s="6"/>
      <c r="Z619" s="6"/>
      <c r="AA619" s="6"/>
    </row>
    <row r="620" ht="15.75" customHeight="1">
      <c r="L620" s="12"/>
      <c r="O620" s="6"/>
      <c r="P620" s="6"/>
      <c r="Q620" s="6"/>
      <c r="R620" s="6"/>
      <c r="S620" s="6"/>
      <c r="T620" s="6"/>
      <c r="U620" s="6"/>
      <c r="V620" s="6"/>
      <c r="W620" s="6"/>
      <c r="X620" s="6"/>
      <c r="Y620" s="6"/>
      <c r="Z620" s="6"/>
      <c r="AA620" s="6"/>
    </row>
    <row r="621" ht="15.75" customHeight="1">
      <c r="L621" s="12"/>
      <c r="O621" s="6"/>
      <c r="P621" s="6"/>
      <c r="Q621" s="6"/>
      <c r="R621" s="6"/>
      <c r="S621" s="6"/>
      <c r="T621" s="6"/>
      <c r="U621" s="6"/>
      <c r="V621" s="6"/>
      <c r="W621" s="6"/>
      <c r="X621" s="6"/>
      <c r="Y621" s="6"/>
      <c r="Z621" s="6"/>
      <c r="AA621" s="6"/>
    </row>
    <row r="622" ht="15.75" customHeight="1">
      <c r="L622" s="12"/>
      <c r="O622" s="6"/>
      <c r="P622" s="6"/>
      <c r="Q622" s="6"/>
      <c r="R622" s="6"/>
      <c r="S622" s="6"/>
      <c r="T622" s="6"/>
      <c r="U622" s="6"/>
      <c r="V622" s="6"/>
      <c r="W622" s="6"/>
      <c r="X622" s="6"/>
      <c r="Y622" s="6"/>
      <c r="Z622" s="6"/>
      <c r="AA622" s="6"/>
    </row>
    <row r="623" ht="15.75" customHeight="1">
      <c r="L623" s="12"/>
      <c r="O623" s="6"/>
      <c r="P623" s="6"/>
      <c r="Q623" s="6"/>
      <c r="R623" s="6"/>
      <c r="S623" s="6"/>
      <c r="T623" s="6"/>
      <c r="U623" s="6"/>
      <c r="V623" s="6"/>
      <c r="W623" s="6"/>
      <c r="X623" s="6"/>
      <c r="Y623" s="6"/>
      <c r="Z623" s="6"/>
      <c r="AA623" s="6"/>
    </row>
    <row r="624" ht="15.75" customHeight="1">
      <c r="L624" s="12"/>
      <c r="O624" s="6"/>
      <c r="P624" s="6"/>
      <c r="Q624" s="6"/>
      <c r="R624" s="6"/>
      <c r="S624" s="6"/>
      <c r="T624" s="6"/>
      <c r="U624" s="6"/>
      <c r="V624" s="6"/>
      <c r="W624" s="6"/>
      <c r="X624" s="6"/>
      <c r="Y624" s="6"/>
      <c r="Z624" s="6"/>
      <c r="AA624" s="6"/>
    </row>
    <row r="625" ht="15.75" customHeight="1">
      <c r="L625" s="12"/>
      <c r="O625" s="6"/>
      <c r="P625" s="6"/>
      <c r="Q625" s="6"/>
      <c r="R625" s="6"/>
      <c r="S625" s="6"/>
      <c r="T625" s="6"/>
      <c r="U625" s="6"/>
      <c r="V625" s="6"/>
      <c r="W625" s="6"/>
      <c r="X625" s="6"/>
      <c r="Y625" s="6"/>
      <c r="Z625" s="6"/>
      <c r="AA625" s="6"/>
    </row>
    <row r="626" ht="15.75" customHeight="1">
      <c r="L626" s="12"/>
      <c r="O626" s="6"/>
      <c r="P626" s="6"/>
      <c r="Q626" s="6"/>
      <c r="R626" s="6"/>
      <c r="S626" s="6"/>
      <c r="T626" s="6"/>
      <c r="U626" s="6"/>
      <c r="V626" s="6"/>
      <c r="W626" s="6"/>
      <c r="X626" s="6"/>
      <c r="Y626" s="6"/>
      <c r="Z626" s="6"/>
      <c r="AA626" s="6"/>
    </row>
    <row r="627" ht="15.75" customHeight="1">
      <c r="L627" s="12"/>
      <c r="O627" s="6"/>
      <c r="P627" s="6"/>
      <c r="Q627" s="6"/>
      <c r="R627" s="6"/>
      <c r="S627" s="6"/>
      <c r="T627" s="6"/>
      <c r="U627" s="6"/>
      <c r="V627" s="6"/>
      <c r="W627" s="6"/>
      <c r="X627" s="6"/>
      <c r="Y627" s="6"/>
      <c r="Z627" s="6"/>
      <c r="AA627" s="6"/>
    </row>
    <row r="628" ht="15.75" customHeight="1">
      <c r="L628" s="12"/>
      <c r="O628" s="6"/>
      <c r="P628" s="6"/>
      <c r="Q628" s="6"/>
      <c r="R628" s="6"/>
      <c r="S628" s="6"/>
      <c r="T628" s="6"/>
      <c r="U628" s="6"/>
      <c r="V628" s="6"/>
      <c r="W628" s="6"/>
      <c r="X628" s="6"/>
      <c r="Y628" s="6"/>
      <c r="Z628" s="6"/>
      <c r="AA628" s="6"/>
    </row>
    <row r="629" ht="15.75" customHeight="1">
      <c r="L629" s="12"/>
      <c r="O629" s="6"/>
      <c r="P629" s="6"/>
      <c r="Q629" s="6"/>
      <c r="R629" s="6"/>
      <c r="S629" s="6"/>
      <c r="T629" s="6"/>
      <c r="U629" s="6"/>
      <c r="V629" s="6"/>
      <c r="W629" s="6"/>
      <c r="X629" s="6"/>
      <c r="Y629" s="6"/>
      <c r="Z629" s="6"/>
      <c r="AA629" s="6"/>
    </row>
    <row r="630" ht="15.75" customHeight="1">
      <c r="L630" s="12"/>
      <c r="O630" s="6"/>
      <c r="P630" s="6"/>
      <c r="Q630" s="6"/>
      <c r="R630" s="6"/>
      <c r="S630" s="6"/>
      <c r="T630" s="6"/>
      <c r="U630" s="6"/>
      <c r="V630" s="6"/>
      <c r="W630" s="6"/>
      <c r="X630" s="6"/>
      <c r="Y630" s="6"/>
      <c r="Z630" s="6"/>
      <c r="AA630" s="6"/>
    </row>
    <row r="631" ht="15.75" customHeight="1">
      <c r="L631" s="12"/>
      <c r="O631" s="6"/>
      <c r="P631" s="6"/>
      <c r="Q631" s="6"/>
      <c r="R631" s="6"/>
      <c r="S631" s="6"/>
      <c r="T631" s="6"/>
      <c r="U631" s="6"/>
      <c r="V631" s="6"/>
      <c r="W631" s="6"/>
      <c r="X631" s="6"/>
      <c r="Y631" s="6"/>
      <c r="Z631" s="6"/>
      <c r="AA631" s="6"/>
    </row>
    <row r="632" ht="15.75" customHeight="1">
      <c r="L632" s="12"/>
      <c r="O632" s="6"/>
      <c r="P632" s="6"/>
      <c r="Q632" s="6"/>
      <c r="R632" s="6"/>
      <c r="S632" s="6"/>
      <c r="T632" s="6"/>
      <c r="U632" s="6"/>
      <c r="V632" s="6"/>
      <c r="W632" s="6"/>
      <c r="X632" s="6"/>
      <c r="Y632" s="6"/>
      <c r="Z632" s="6"/>
      <c r="AA632" s="6"/>
    </row>
    <row r="633" ht="15.75" customHeight="1">
      <c r="L633" s="12"/>
      <c r="O633" s="6"/>
      <c r="P633" s="6"/>
      <c r="Q633" s="6"/>
      <c r="R633" s="6"/>
      <c r="S633" s="6"/>
      <c r="T633" s="6"/>
      <c r="U633" s="6"/>
      <c r="V633" s="6"/>
      <c r="W633" s="6"/>
      <c r="X633" s="6"/>
      <c r="Y633" s="6"/>
      <c r="Z633" s="6"/>
      <c r="AA633" s="6"/>
    </row>
    <row r="634" ht="15.75" customHeight="1">
      <c r="L634" s="12"/>
      <c r="O634" s="6"/>
      <c r="P634" s="6"/>
      <c r="Q634" s="6"/>
      <c r="R634" s="6"/>
      <c r="S634" s="6"/>
      <c r="T634" s="6"/>
      <c r="U634" s="6"/>
      <c r="V634" s="6"/>
      <c r="W634" s="6"/>
      <c r="X634" s="6"/>
      <c r="Y634" s="6"/>
      <c r="Z634" s="6"/>
      <c r="AA634" s="6"/>
    </row>
    <row r="635" ht="15.75" customHeight="1">
      <c r="L635" s="12"/>
      <c r="O635" s="6"/>
      <c r="P635" s="6"/>
      <c r="Q635" s="6"/>
      <c r="R635" s="6"/>
      <c r="S635" s="6"/>
      <c r="T635" s="6"/>
      <c r="U635" s="6"/>
      <c r="V635" s="6"/>
      <c r="W635" s="6"/>
      <c r="X635" s="6"/>
      <c r="Y635" s="6"/>
      <c r="Z635" s="6"/>
      <c r="AA635" s="6"/>
    </row>
    <row r="636" ht="15.75" customHeight="1">
      <c r="L636" s="12"/>
      <c r="O636" s="6"/>
      <c r="P636" s="6"/>
      <c r="Q636" s="6"/>
      <c r="R636" s="6"/>
      <c r="S636" s="6"/>
      <c r="T636" s="6"/>
      <c r="U636" s="6"/>
      <c r="V636" s="6"/>
      <c r="W636" s="6"/>
      <c r="X636" s="6"/>
      <c r="Y636" s="6"/>
      <c r="Z636" s="6"/>
      <c r="AA636" s="6"/>
    </row>
    <row r="637" ht="15.75" customHeight="1">
      <c r="L637" s="12"/>
      <c r="O637" s="6"/>
      <c r="P637" s="6"/>
      <c r="Q637" s="6"/>
      <c r="R637" s="6"/>
      <c r="S637" s="6"/>
      <c r="T637" s="6"/>
      <c r="U637" s="6"/>
      <c r="V637" s="6"/>
      <c r="W637" s="6"/>
      <c r="X637" s="6"/>
      <c r="Y637" s="6"/>
      <c r="Z637" s="6"/>
      <c r="AA637" s="6"/>
    </row>
    <row r="638" ht="15.75" customHeight="1">
      <c r="L638" s="12"/>
      <c r="O638" s="6"/>
      <c r="P638" s="6"/>
      <c r="Q638" s="6"/>
      <c r="R638" s="6"/>
      <c r="S638" s="6"/>
      <c r="T638" s="6"/>
      <c r="U638" s="6"/>
      <c r="V638" s="6"/>
      <c r="W638" s="6"/>
      <c r="X638" s="6"/>
      <c r="Y638" s="6"/>
      <c r="Z638" s="6"/>
      <c r="AA638" s="6"/>
    </row>
    <row r="639" ht="15.75" customHeight="1">
      <c r="L639" s="12"/>
      <c r="O639" s="6"/>
      <c r="P639" s="6"/>
      <c r="Q639" s="6"/>
      <c r="R639" s="6"/>
      <c r="S639" s="6"/>
      <c r="T639" s="6"/>
      <c r="U639" s="6"/>
      <c r="V639" s="6"/>
      <c r="W639" s="6"/>
      <c r="X639" s="6"/>
      <c r="Y639" s="6"/>
      <c r="Z639" s="6"/>
      <c r="AA639" s="6"/>
    </row>
    <row r="640" ht="15.75" customHeight="1">
      <c r="L640" s="12"/>
      <c r="O640" s="6"/>
      <c r="P640" s="6"/>
      <c r="Q640" s="6"/>
      <c r="R640" s="6"/>
      <c r="S640" s="6"/>
      <c r="T640" s="6"/>
      <c r="U640" s="6"/>
      <c r="V640" s="6"/>
      <c r="W640" s="6"/>
      <c r="X640" s="6"/>
      <c r="Y640" s="6"/>
      <c r="Z640" s="6"/>
      <c r="AA640" s="6"/>
    </row>
    <row r="641" ht="15.75" customHeight="1">
      <c r="L641" s="12"/>
      <c r="O641" s="6"/>
      <c r="P641" s="6"/>
      <c r="Q641" s="6"/>
      <c r="R641" s="6"/>
      <c r="S641" s="6"/>
      <c r="T641" s="6"/>
      <c r="U641" s="6"/>
      <c r="V641" s="6"/>
      <c r="W641" s="6"/>
      <c r="X641" s="6"/>
      <c r="Y641" s="6"/>
      <c r="Z641" s="6"/>
      <c r="AA641" s="6"/>
    </row>
    <row r="642" ht="15.75" customHeight="1">
      <c r="L642" s="12"/>
      <c r="O642" s="6"/>
      <c r="P642" s="6"/>
      <c r="Q642" s="6"/>
      <c r="R642" s="6"/>
      <c r="S642" s="6"/>
      <c r="T642" s="6"/>
      <c r="U642" s="6"/>
      <c r="V642" s="6"/>
      <c r="W642" s="6"/>
      <c r="X642" s="6"/>
      <c r="Y642" s="6"/>
      <c r="Z642" s="6"/>
      <c r="AA642" s="6"/>
    </row>
    <row r="643" ht="15.75" customHeight="1">
      <c r="L643" s="12"/>
      <c r="O643" s="6"/>
      <c r="P643" s="6"/>
      <c r="Q643" s="6"/>
      <c r="R643" s="6"/>
      <c r="S643" s="6"/>
      <c r="T643" s="6"/>
      <c r="U643" s="6"/>
      <c r="V643" s="6"/>
      <c r="W643" s="6"/>
      <c r="X643" s="6"/>
      <c r="Y643" s="6"/>
      <c r="Z643" s="6"/>
      <c r="AA643" s="6"/>
    </row>
    <row r="644" ht="15.75" customHeight="1">
      <c r="L644" s="12"/>
      <c r="O644" s="6"/>
      <c r="P644" s="6"/>
      <c r="Q644" s="6"/>
      <c r="R644" s="6"/>
      <c r="S644" s="6"/>
      <c r="T644" s="6"/>
      <c r="U644" s="6"/>
      <c r="V644" s="6"/>
      <c r="W644" s="6"/>
      <c r="X644" s="6"/>
      <c r="Y644" s="6"/>
      <c r="Z644" s="6"/>
      <c r="AA644" s="6"/>
    </row>
    <row r="645" ht="15.75" customHeight="1">
      <c r="L645" s="12"/>
      <c r="O645" s="6"/>
      <c r="P645" s="6"/>
      <c r="Q645" s="6"/>
      <c r="R645" s="6"/>
      <c r="S645" s="6"/>
      <c r="T645" s="6"/>
      <c r="U645" s="6"/>
      <c r="V645" s="6"/>
      <c r="W645" s="6"/>
      <c r="X645" s="6"/>
      <c r="Y645" s="6"/>
      <c r="Z645" s="6"/>
      <c r="AA645" s="6"/>
    </row>
    <row r="646" ht="15.75" customHeight="1">
      <c r="L646" s="12"/>
      <c r="O646" s="6"/>
      <c r="P646" s="6"/>
      <c r="Q646" s="6"/>
      <c r="R646" s="6"/>
      <c r="S646" s="6"/>
      <c r="T646" s="6"/>
      <c r="U646" s="6"/>
      <c r="V646" s="6"/>
      <c r="W646" s="6"/>
      <c r="X646" s="6"/>
      <c r="Y646" s="6"/>
      <c r="Z646" s="6"/>
      <c r="AA646" s="6"/>
    </row>
    <row r="647" ht="15.75" customHeight="1">
      <c r="L647" s="12"/>
      <c r="O647" s="6"/>
      <c r="P647" s="6"/>
      <c r="Q647" s="6"/>
      <c r="R647" s="6"/>
      <c r="S647" s="6"/>
      <c r="T647" s="6"/>
      <c r="U647" s="6"/>
      <c r="V647" s="6"/>
      <c r="W647" s="6"/>
      <c r="X647" s="6"/>
      <c r="Y647" s="6"/>
      <c r="Z647" s="6"/>
      <c r="AA647" s="6"/>
    </row>
    <row r="648" ht="15.75" customHeight="1">
      <c r="L648" s="12"/>
      <c r="O648" s="6"/>
      <c r="P648" s="6"/>
      <c r="Q648" s="6"/>
      <c r="R648" s="6"/>
      <c r="S648" s="6"/>
      <c r="T648" s="6"/>
      <c r="U648" s="6"/>
      <c r="V648" s="6"/>
      <c r="W648" s="6"/>
      <c r="X648" s="6"/>
      <c r="Y648" s="6"/>
      <c r="Z648" s="6"/>
      <c r="AA648" s="6"/>
    </row>
    <row r="649" ht="15.75" customHeight="1">
      <c r="L649" s="12"/>
      <c r="O649" s="6"/>
      <c r="P649" s="6"/>
      <c r="Q649" s="6"/>
      <c r="R649" s="6"/>
      <c r="S649" s="6"/>
      <c r="T649" s="6"/>
      <c r="U649" s="6"/>
      <c r="V649" s="6"/>
      <c r="W649" s="6"/>
      <c r="X649" s="6"/>
      <c r="Y649" s="6"/>
      <c r="Z649" s="6"/>
      <c r="AA649" s="6"/>
    </row>
    <row r="650" ht="15.75" customHeight="1">
      <c r="L650" s="12"/>
      <c r="O650" s="6"/>
      <c r="P650" s="6"/>
      <c r="Q650" s="6"/>
      <c r="R650" s="6"/>
      <c r="S650" s="6"/>
      <c r="T650" s="6"/>
      <c r="U650" s="6"/>
      <c r="V650" s="6"/>
      <c r="W650" s="6"/>
      <c r="X650" s="6"/>
      <c r="Y650" s="6"/>
      <c r="Z650" s="6"/>
      <c r="AA650" s="6"/>
    </row>
    <row r="651" ht="15.75" customHeight="1">
      <c r="L651" s="12"/>
      <c r="O651" s="6"/>
      <c r="P651" s="6"/>
      <c r="Q651" s="6"/>
      <c r="R651" s="6"/>
      <c r="S651" s="6"/>
      <c r="T651" s="6"/>
      <c r="U651" s="6"/>
      <c r="V651" s="6"/>
      <c r="W651" s="6"/>
      <c r="X651" s="6"/>
      <c r="Y651" s="6"/>
      <c r="Z651" s="6"/>
      <c r="AA651" s="6"/>
    </row>
    <row r="652" ht="15.75" customHeight="1">
      <c r="L652" s="12"/>
      <c r="O652" s="6"/>
      <c r="P652" s="6"/>
      <c r="Q652" s="6"/>
      <c r="R652" s="6"/>
      <c r="S652" s="6"/>
      <c r="T652" s="6"/>
      <c r="U652" s="6"/>
      <c r="V652" s="6"/>
      <c r="W652" s="6"/>
      <c r="X652" s="6"/>
      <c r="Y652" s="6"/>
      <c r="Z652" s="6"/>
      <c r="AA652" s="6"/>
    </row>
    <row r="653" ht="15.75" customHeight="1">
      <c r="L653" s="12"/>
      <c r="O653" s="6"/>
      <c r="P653" s="6"/>
      <c r="Q653" s="6"/>
      <c r="R653" s="6"/>
      <c r="S653" s="6"/>
      <c r="T653" s="6"/>
      <c r="U653" s="6"/>
      <c r="V653" s="6"/>
      <c r="W653" s="6"/>
      <c r="X653" s="6"/>
      <c r="Y653" s="6"/>
      <c r="Z653" s="6"/>
      <c r="AA653" s="6"/>
    </row>
    <row r="654" ht="15.75" customHeight="1">
      <c r="L654" s="12"/>
      <c r="O654" s="6"/>
      <c r="P654" s="6"/>
      <c r="Q654" s="6"/>
      <c r="R654" s="6"/>
      <c r="S654" s="6"/>
      <c r="T654" s="6"/>
      <c r="U654" s="6"/>
      <c r="V654" s="6"/>
      <c r="W654" s="6"/>
      <c r="X654" s="6"/>
      <c r="Y654" s="6"/>
      <c r="Z654" s="6"/>
      <c r="AA654" s="6"/>
    </row>
    <row r="655" ht="15.75" customHeight="1">
      <c r="L655" s="12"/>
      <c r="O655" s="6"/>
      <c r="P655" s="6"/>
      <c r="Q655" s="6"/>
      <c r="R655" s="6"/>
      <c r="S655" s="6"/>
      <c r="T655" s="6"/>
      <c r="U655" s="6"/>
      <c r="V655" s="6"/>
      <c r="W655" s="6"/>
      <c r="X655" s="6"/>
      <c r="Y655" s="6"/>
      <c r="Z655" s="6"/>
      <c r="AA655" s="6"/>
    </row>
    <row r="656" ht="15.75" customHeight="1">
      <c r="L656" s="12"/>
      <c r="O656" s="6"/>
      <c r="P656" s="6"/>
      <c r="Q656" s="6"/>
      <c r="R656" s="6"/>
      <c r="S656" s="6"/>
      <c r="T656" s="6"/>
      <c r="U656" s="6"/>
      <c r="V656" s="6"/>
      <c r="W656" s="6"/>
      <c r="X656" s="6"/>
      <c r="Y656" s="6"/>
      <c r="Z656" s="6"/>
      <c r="AA656" s="6"/>
    </row>
    <row r="657" ht="15.75" customHeight="1">
      <c r="L657" s="12"/>
      <c r="O657" s="6"/>
      <c r="P657" s="6"/>
      <c r="Q657" s="6"/>
      <c r="R657" s="6"/>
      <c r="S657" s="6"/>
      <c r="T657" s="6"/>
      <c r="U657" s="6"/>
      <c r="V657" s="6"/>
      <c r="W657" s="6"/>
      <c r="X657" s="6"/>
      <c r="Y657" s="6"/>
      <c r="Z657" s="6"/>
      <c r="AA657" s="6"/>
    </row>
    <row r="658" ht="15.75" customHeight="1">
      <c r="L658" s="12"/>
      <c r="O658" s="6"/>
      <c r="P658" s="6"/>
      <c r="Q658" s="6"/>
      <c r="R658" s="6"/>
      <c r="S658" s="6"/>
      <c r="T658" s="6"/>
      <c r="U658" s="6"/>
      <c r="V658" s="6"/>
      <c r="W658" s="6"/>
      <c r="X658" s="6"/>
      <c r="Y658" s="6"/>
      <c r="Z658" s="6"/>
      <c r="AA658" s="6"/>
    </row>
    <row r="659" ht="15.75" customHeight="1">
      <c r="L659" s="12"/>
      <c r="O659" s="6"/>
      <c r="P659" s="6"/>
      <c r="Q659" s="6"/>
      <c r="R659" s="6"/>
      <c r="S659" s="6"/>
      <c r="T659" s="6"/>
      <c r="U659" s="6"/>
      <c r="V659" s="6"/>
      <c r="W659" s="6"/>
      <c r="X659" s="6"/>
      <c r="Y659" s="6"/>
      <c r="Z659" s="6"/>
      <c r="AA659" s="6"/>
    </row>
    <row r="660" ht="15.75" customHeight="1">
      <c r="L660" s="12"/>
      <c r="O660" s="6"/>
      <c r="P660" s="6"/>
      <c r="Q660" s="6"/>
      <c r="R660" s="6"/>
      <c r="S660" s="6"/>
      <c r="T660" s="6"/>
      <c r="U660" s="6"/>
      <c r="V660" s="6"/>
      <c r="W660" s="6"/>
      <c r="X660" s="6"/>
      <c r="Y660" s="6"/>
      <c r="Z660" s="6"/>
      <c r="AA660" s="6"/>
    </row>
    <row r="661" ht="15.75" customHeight="1">
      <c r="L661" s="12"/>
      <c r="O661" s="6"/>
      <c r="P661" s="6"/>
      <c r="Q661" s="6"/>
      <c r="R661" s="6"/>
      <c r="S661" s="6"/>
      <c r="T661" s="6"/>
      <c r="U661" s="6"/>
      <c r="V661" s="6"/>
      <c r="W661" s="6"/>
      <c r="X661" s="6"/>
      <c r="Y661" s="6"/>
      <c r="Z661" s="6"/>
      <c r="AA661" s="6"/>
    </row>
    <row r="662" ht="15.75" customHeight="1">
      <c r="L662" s="12"/>
      <c r="O662" s="6"/>
      <c r="P662" s="6"/>
      <c r="Q662" s="6"/>
      <c r="R662" s="6"/>
      <c r="S662" s="6"/>
      <c r="T662" s="6"/>
      <c r="U662" s="6"/>
      <c r="V662" s="6"/>
      <c r="W662" s="6"/>
      <c r="X662" s="6"/>
      <c r="Y662" s="6"/>
      <c r="Z662" s="6"/>
      <c r="AA662" s="6"/>
    </row>
    <row r="663" ht="15.75" customHeight="1">
      <c r="L663" s="12"/>
      <c r="O663" s="6"/>
      <c r="P663" s="6"/>
      <c r="Q663" s="6"/>
      <c r="R663" s="6"/>
      <c r="S663" s="6"/>
      <c r="T663" s="6"/>
      <c r="U663" s="6"/>
      <c r="V663" s="6"/>
      <c r="W663" s="6"/>
      <c r="X663" s="6"/>
      <c r="Y663" s="6"/>
      <c r="Z663" s="6"/>
      <c r="AA663" s="6"/>
    </row>
    <row r="664" ht="15.75" customHeight="1">
      <c r="L664" s="12"/>
      <c r="O664" s="6"/>
      <c r="P664" s="6"/>
      <c r="Q664" s="6"/>
      <c r="R664" s="6"/>
      <c r="S664" s="6"/>
      <c r="T664" s="6"/>
      <c r="U664" s="6"/>
      <c r="V664" s="6"/>
      <c r="W664" s="6"/>
      <c r="X664" s="6"/>
      <c r="Y664" s="6"/>
      <c r="Z664" s="6"/>
      <c r="AA664" s="6"/>
    </row>
    <row r="665" ht="15.75" customHeight="1">
      <c r="L665" s="12"/>
      <c r="O665" s="6"/>
      <c r="P665" s="6"/>
      <c r="Q665" s="6"/>
      <c r="R665" s="6"/>
      <c r="S665" s="6"/>
      <c r="T665" s="6"/>
      <c r="U665" s="6"/>
      <c r="V665" s="6"/>
      <c r="W665" s="6"/>
      <c r="X665" s="6"/>
      <c r="Y665" s="6"/>
      <c r="Z665" s="6"/>
      <c r="AA665" s="6"/>
    </row>
    <row r="666" ht="15.75" customHeight="1">
      <c r="L666" s="12"/>
      <c r="O666" s="6"/>
      <c r="P666" s="6"/>
      <c r="Q666" s="6"/>
      <c r="R666" s="6"/>
      <c r="S666" s="6"/>
      <c r="T666" s="6"/>
      <c r="U666" s="6"/>
      <c r="V666" s="6"/>
      <c r="W666" s="6"/>
      <c r="X666" s="6"/>
      <c r="Y666" s="6"/>
      <c r="Z666" s="6"/>
      <c r="AA666" s="6"/>
    </row>
    <row r="667" ht="15.75" customHeight="1">
      <c r="L667" s="12"/>
      <c r="O667" s="6"/>
      <c r="P667" s="6"/>
      <c r="Q667" s="6"/>
      <c r="R667" s="6"/>
      <c r="S667" s="6"/>
      <c r="T667" s="6"/>
      <c r="U667" s="6"/>
      <c r="V667" s="6"/>
      <c r="W667" s="6"/>
      <c r="X667" s="6"/>
      <c r="Y667" s="6"/>
      <c r="Z667" s="6"/>
      <c r="AA667" s="6"/>
    </row>
    <row r="668" ht="15.75" customHeight="1">
      <c r="L668" s="12"/>
      <c r="O668" s="6"/>
      <c r="P668" s="6"/>
      <c r="Q668" s="6"/>
      <c r="R668" s="6"/>
      <c r="S668" s="6"/>
      <c r="T668" s="6"/>
      <c r="U668" s="6"/>
      <c r="V668" s="6"/>
      <c r="W668" s="6"/>
      <c r="X668" s="6"/>
      <c r="Y668" s="6"/>
      <c r="Z668" s="6"/>
      <c r="AA668" s="6"/>
    </row>
    <row r="669" ht="15.75" customHeight="1">
      <c r="L669" s="12"/>
      <c r="O669" s="6"/>
      <c r="P669" s="6"/>
      <c r="Q669" s="6"/>
      <c r="R669" s="6"/>
      <c r="S669" s="6"/>
      <c r="T669" s="6"/>
      <c r="U669" s="6"/>
      <c r="V669" s="6"/>
      <c r="W669" s="6"/>
      <c r="X669" s="6"/>
      <c r="Y669" s="6"/>
      <c r="Z669" s="6"/>
      <c r="AA669" s="6"/>
    </row>
    <row r="670" ht="15.75" customHeight="1">
      <c r="L670" s="12"/>
      <c r="O670" s="6"/>
      <c r="P670" s="6"/>
      <c r="Q670" s="6"/>
      <c r="R670" s="6"/>
      <c r="S670" s="6"/>
      <c r="T670" s="6"/>
      <c r="U670" s="6"/>
      <c r="V670" s="6"/>
      <c r="W670" s="6"/>
      <c r="X670" s="6"/>
      <c r="Y670" s="6"/>
      <c r="Z670" s="6"/>
      <c r="AA670" s="6"/>
    </row>
    <row r="671" ht="15.75" customHeight="1">
      <c r="L671" s="12"/>
      <c r="O671" s="6"/>
      <c r="P671" s="6"/>
      <c r="Q671" s="6"/>
      <c r="R671" s="6"/>
      <c r="S671" s="6"/>
      <c r="T671" s="6"/>
      <c r="U671" s="6"/>
      <c r="V671" s="6"/>
      <c r="W671" s="6"/>
      <c r="X671" s="6"/>
      <c r="Y671" s="6"/>
      <c r="Z671" s="6"/>
      <c r="AA671" s="6"/>
    </row>
    <row r="672" ht="15.75" customHeight="1">
      <c r="L672" s="12"/>
      <c r="O672" s="6"/>
      <c r="P672" s="6"/>
      <c r="Q672" s="6"/>
      <c r="R672" s="6"/>
      <c r="S672" s="6"/>
      <c r="T672" s="6"/>
      <c r="U672" s="6"/>
      <c r="V672" s="6"/>
      <c r="W672" s="6"/>
      <c r="X672" s="6"/>
      <c r="Y672" s="6"/>
      <c r="Z672" s="6"/>
      <c r="AA672" s="6"/>
    </row>
    <row r="673" ht="15.75" customHeight="1">
      <c r="L673" s="12"/>
      <c r="O673" s="6"/>
      <c r="P673" s="6"/>
      <c r="Q673" s="6"/>
      <c r="R673" s="6"/>
      <c r="S673" s="6"/>
      <c r="T673" s="6"/>
      <c r="U673" s="6"/>
      <c r="V673" s="6"/>
      <c r="W673" s="6"/>
      <c r="X673" s="6"/>
      <c r="Y673" s="6"/>
      <c r="Z673" s="6"/>
      <c r="AA673" s="6"/>
    </row>
    <row r="674" ht="15.75" customHeight="1">
      <c r="L674" s="12"/>
      <c r="O674" s="6"/>
      <c r="P674" s="6"/>
      <c r="Q674" s="6"/>
      <c r="R674" s="6"/>
      <c r="S674" s="6"/>
      <c r="T674" s="6"/>
      <c r="U674" s="6"/>
      <c r="V674" s="6"/>
      <c r="W674" s="6"/>
      <c r="X674" s="6"/>
      <c r="Y674" s="6"/>
      <c r="Z674" s="6"/>
      <c r="AA674" s="6"/>
    </row>
    <row r="675" ht="15.75" customHeight="1">
      <c r="L675" s="12"/>
      <c r="O675" s="6"/>
      <c r="P675" s="6"/>
      <c r="Q675" s="6"/>
      <c r="R675" s="6"/>
      <c r="S675" s="6"/>
      <c r="T675" s="6"/>
      <c r="U675" s="6"/>
      <c r="V675" s="6"/>
      <c r="W675" s="6"/>
      <c r="X675" s="6"/>
      <c r="Y675" s="6"/>
      <c r="Z675" s="6"/>
      <c r="AA675" s="6"/>
    </row>
    <row r="676" ht="15.75" customHeight="1">
      <c r="L676" s="12"/>
      <c r="O676" s="6"/>
      <c r="P676" s="6"/>
      <c r="Q676" s="6"/>
      <c r="R676" s="6"/>
      <c r="S676" s="6"/>
      <c r="T676" s="6"/>
      <c r="U676" s="6"/>
      <c r="V676" s="6"/>
      <c r="W676" s="6"/>
      <c r="X676" s="6"/>
      <c r="Y676" s="6"/>
      <c r="Z676" s="6"/>
      <c r="AA676" s="6"/>
    </row>
    <row r="677" ht="15.75" customHeight="1">
      <c r="L677" s="12"/>
      <c r="O677" s="6"/>
      <c r="P677" s="6"/>
      <c r="Q677" s="6"/>
      <c r="R677" s="6"/>
      <c r="S677" s="6"/>
      <c r="T677" s="6"/>
      <c r="U677" s="6"/>
      <c r="V677" s="6"/>
      <c r="W677" s="6"/>
      <c r="X677" s="6"/>
      <c r="Y677" s="6"/>
      <c r="Z677" s="6"/>
      <c r="AA677" s="6"/>
    </row>
    <row r="678" ht="15.75" customHeight="1">
      <c r="L678" s="12"/>
      <c r="O678" s="6"/>
      <c r="P678" s="6"/>
      <c r="Q678" s="6"/>
      <c r="R678" s="6"/>
      <c r="S678" s="6"/>
      <c r="T678" s="6"/>
      <c r="U678" s="6"/>
      <c r="V678" s="6"/>
      <c r="W678" s="6"/>
      <c r="X678" s="6"/>
      <c r="Y678" s="6"/>
      <c r="Z678" s="6"/>
      <c r="AA678" s="6"/>
    </row>
    <row r="679" ht="15.75" customHeight="1">
      <c r="L679" s="12"/>
      <c r="O679" s="6"/>
      <c r="P679" s="6"/>
      <c r="Q679" s="6"/>
      <c r="R679" s="6"/>
      <c r="S679" s="6"/>
      <c r="T679" s="6"/>
      <c r="U679" s="6"/>
      <c r="V679" s="6"/>
      <c r="W679" s="6"/>
      <c r="X679" s="6"/>
      <c r="Y679" s="6"/>
      <c r="Z679" s="6"/>
      <c r="AA679" s="6"/>
    </row>
    <row r="680" ht="15.75" customHeight="1">
      <c r="L680" s="12"/>
      <c r="O680" s="6"/>
      <c r="P680" s="6"/>
      <c r="Q680" s="6"/>
      <c r="R680" s="6"/>
      <c r="S680" s="6"/>
      <c r="T680" s="6"/>
      <c r="U680" s="6"/>
      <c r="V680" s="6"/>
      <c r="W680" s="6"/>
      <c r="X680" s="6"/>
      <c r="Y680" s="6"/>
      <c r="Z680" s="6"/>
      <c r="AA680" s="6"/>
    </row>
    <row r="681" ht="15.75" customHeight="1">
      <c r="L681" s="12"/>
      <c r="O681" s="6"/>
      <c r="P681" s="6"/>
      <c r="Q681" s="6"/>
      <c r="R681" s="6"/>
      <c r="S681" s="6"/>
      <c r="T681" s="6"/>
      <c r="U681" s="6"/>
      <c r="V681" s="6"/>
      <c r="W681" s="6"/>
      <c r="X681" s="6"/>
      <c r="Y681" s="6"/>
      <c r="Z681" s="6"/>
      <c r="AA681" s="6"/>
    </row>
    <row r="682" ht="15.75" customHeight="1">
      <c r="L682" s="12"/>
      <c r="O682" s="6"/>
      <c r="P682" s="6"/>
      <c r="Q682" s="6"/>
      <c r="R682" s="6"/>
      <c r="S682" s="6"/>
      <c r="T682" s="6"/>
      <c r="U682" s="6"/>
      <c r="V682" s="6"/>
      <c r="W682" s="6"/>
      <c r="X682" s="6"/>
      <c r="Y682" s="6"/>
      <c r="Z682" s="6"/>
      <c r="AA682" s="6"/>
    </row>
    <row r="683" ht="15.75" customHeight="1">
      <c r="L683" s="12"/>
      <c r="O683" s="6"/>
      <c r="P683" s="6"/>
      <c r="Q683" s="6"/>
      <c r="R683" s="6"/>
      <c r="S683" s="6"/>
      <c r="T683" s="6"/>
      <c r="U683" s="6"/>
      <c r="V683" s="6"/>
      <c r="W683" s="6"/>
      <c r="X683" s="6"/>
      <c r="Y683" s="6"/>
      <c r="Z683" s="6"/>
      <c r="AA683" s="6"/>
    </row>
    <row r="684" ht="15.75" customHeight="1">
      <c r="L684" s="12"/>
      <c r="O684" s="6"/>
      <c r="P684" s="6"/>
      <c r="Q684" s="6"/>
      <c r="R684" s="6"/>
      <c r="S684" s="6"/>
      <c r="T684" s="6"/>
      <c r="U684" s="6"/>
      <c r="V684" s="6"/>
      <c r="W684" s="6"/>
      <c r="X684" s="6"/>
      <c r="Y684" s="6"/>
      <c r="Z684" s="6"/>
      <c r="AA684" s="6"/>
    </row>
    <row r="685" ht="15.75" customHeight="1">
      <c r="L685" s="12"/>
      <c r="O685" s="6"/>
      <c r="P685" s="6"/>
      <c r="Q685" s="6"/>
      <c r="R685" s="6"/>
      <c r="S685" s="6"/>
      <c r="T685" s="6"/>
      <c r="U685" s="6"/>
      <c r="V685" s="6"/>
      <c r="W685" s="6"/>
      <c r="X685" s="6"/>
      <c r="Y685" s="6"/>
      <c r="Z685" s="6"/>
      <c r="AA685" s="6"/>
    </row>
    <row r="686" ht="15.75" customHeight="1">
      <c r="L686" s="12"/>
      <c r="O686" s="6"/>
      <c r="P686" s="6"/>
      <c r="Q686" s="6"/>
      <c r="R686" s="6"/>
      <c r="S686" s="6"/>
      <c r="T686" s="6"/>
      <c r="U686" s="6"/>
      <c r="V686" s="6"/>
      <c r="W686" s="6"/>
      <c r="X686" s="6"/>
      <c r="Y686" s="6"/>
      <c r="Z686" s="6"/>
      <c r="AA686" s="6"/>
    </row>
    <row r="687" ht="15.75" customHeight="1">
      <c r="L687" s="12"/>
      <c r="O687" s="6"/>
      <c r="P687" s="6"/>
      <c r="Q687" s="6"/>
      <c r="R687" s="6"/>
      <c r="S687" s="6"/>
      <c r="T687" s="6"/>
      <c r="U687" s="6"/>
      <c r="V687" s="6"/>
      <c r="W687" s="6"/>
      <c r="X687" s="6"/>
      <c r="Y687" s="6"/>
      <c r="Z687" s="6"/>
      <c r="AA687" s="6"/>
    </row>
    <row r="688" ht="15.75" customHeight="1">
      <c r="L688" s="12"/>
      <c r="O688" s="6"/>
      <c r="P688" s="6"/>
      <c r="Q688" s="6"/>
      <c r="R688" s="6"/>
      <c r="S688" s="6"/>
      <c r="T688" s="6"/>
      <c r="U688" s="6"/>
      <c r="V688" s="6"/>
      <c r="W688" s="6"/>
      <c r="X688" s="6"/>
      <c r="Y688" s="6"/>
      <c r="Z688" s="6"/>
      <c r="AA688" s="6"/>
    </row>
    <row r="689" ht="15.75" customHeight="1">
      <c r="L689" s="12"/>
      <c r="O689" s="6"/>
      <c r="P689" s="6"/>
      <c r="Q689" s="6"/>
      <c r="R689" s="6"/>
      <c r="S689" s="6"/>
      <c r="T689" s="6"/>
      <c r="U689" s="6"/>
      <c r="V689" s="6"/>
      <c r="W689" s="6"/>
      <c r="X689" s="6"/>
      <c r="Y689" s="6"/>
      <c r="Z689" s="6"/>
      <c r="AA689" s="6"/>
    </row>
    <row r="690" ht="15.75" customHeight="1">
      <c r="L690" s="12"/>
      <c r="O690" s="6"/>
      <c r="P690" s="6"/>
      <c r="Q690" s="6"/>
      <c r="R690" s="6"/>
      <c r="S690" s="6"/>
      <c r="T690" s="6"/>
      <c r="U690" s="6"/>
      <c r="V690" s="6"/>
      <c r="W690" s="6"/>
      <c r="X690" s="6"/>
      <c r="Y690" s="6"/>
      <c r="Z690" s="6"/>
      <c r="AA690" s="6"/>
    </row>
    <row r="691" ht="15.75" customHeight="1">
      <c r="L691" s="12"/>
      <c r="O691" s="6"/>
      <c r="P691" s="6"/>
      <c r="Q691" s="6"/>
      <c r="R691" s="6"/>
      <c r="S691" s="6"/>
      <c r="T691" s="6"/>
      <c r="U691" s="6"/>
      <c r="V691" s="6"/>
      <c r="W691" s="6"/>
      <c r="X691" s="6"/>
      <c r="Y691" s="6"/>
      <c r="Z691" s="6"/>
      <c r="AA691" s="6"/>
    </row>
    <row r="692" ht="15.75" customHeight="1">
      <c r="L692" s="12"/>
      <c r="O692" s="6"/>
      <c r="P692" s="6"/>
      <c r="Q692" s="6"/>
      <c r="R692" s="6"/>
      <c r="S692" s="6"/>
      <c r="T692" s="6"/>
      <c r="U692" s="6"/>
      <c r="V692" s="6"/>
      <c r="W692" s="6"/>
      <c r="X692" s="6"/>
      <c r="Y692" s="6"/>
      <c r="Z692" s="6"/>
      <c r="AA692" s="6"/>
    </row>
    <row r="693" ht="15.75" customHeight="1">
      <c r="L693" s="12"/>
      <c r="O693" s="6"/>
      <c r="P693" s="6"/>
      <c r="Q693" s="6"/>
      <c r="R693" s="6"/>
      <c r="S693" s="6"/>
      <c r="T693" s="6"/>
      <c r="U693" s="6"/>
      <c r="V693" s="6"/>
      <c r="W693" s="6"/>
      <c r="X693" s="6"/>
      <c r="Y693" s="6"/>
      <c r="Z693" s="6"/>
      <c r="AA693" s="6"/>
    </row>
    <row r="694" ht="15.75" customHeight="1">
      <c r="L694" s="12"/>
      <c r="O694" s="6"/>
      <c r="P694" s="6"/>
      <c r="Q694" s="6"/>
      <c r="R694" s="6"/>
      <c r="S694" s="6"/>
      <c r="T694" s="6"/>
      <c r="U694" s="6"/>
      <c r="V694" s="6"/>
      <c r="W694" s="6"/>
      <c r="X694" s="6"/>
      <c r="Y694" s="6"/>
      <c r="Z694" s="6"/>
      <c r="AA694" s="6"/>
    </row>
    <row r="695" ht="15.75" customHeight="1">
      <c r="L695" s="12"/>
      <c r="O695" s="6"/>
      <c r="P695" s="6"/>
      <c r="Q695" s="6"/>
      <c r="R695" s="6"/>
      <c r="S695" s="6"/>
      <c r="T695" s="6"/>
      <c r="U695" s="6"/>
      <c r="V695" s="6"/>
      <c r="W695" s="6"/>
      <c r="X695" s="6"/>
      <c r="Y695" s="6"/>
      <c r="Z695" s="6"/>
      <c r="AA695" s="6"/>
    </row>
    <row r="696" ht="15.75" customHeight="1">
      <c r="L696" s="12"/>
      <c r="O696" s="6"/>
      <c r="P696" s="6"/>
      <c r="Q696" s="6"/>
      <c r="R696" s="6"/>
      <c r="S696" s="6"/>
      <c r="T696" s="6"/>
      <c r="U696" s="6"/>
      <c r="V696" s="6"/>
      <c r="W696" s="6"/>
      <c r="X696" s="6"/>
      <c r="Y696" s="6"/>
      <c r="Z696" s="6"/>
      <c r="AA696" s="6"/>
    </row>
    <row r="697" ht="15.75" customHeight="1">
      <c r="L697" s="12"/>
      <c r="O697" s="6"/>
      <c r="P697" s="6"/>
      <c r="Q697" s="6"/>
      <c r="R697" s="6"/>
      <c r="S697" s="6"/>
      <c r="T697" s="6"/>
      <c r="U697" s="6"/>
      <c r="V697" s="6"/>
      <c r="W697" s="6"/>
      <c r="X697" s="6"/>
      <c r="Y697" s="6"/>
      <c r="Z697" s="6"/>
      <c r="AA697" s="6"/>
    </row>
    <row r="698" ht="15.75" customHeight="1">
      <c r="L698" s="12"/>
      <c r="O698" s="6"/>
      <c r="P698" s="6"/>
      <c r="Q698" s="6"/>
      <c r="R698" s="6"/>
      <c r="S698" s="6"/>
      <c r="T698" s="6"/>
      <c r="U698" s="6"/>
      <c r="V698" s="6"/>
      <c r="W698" s="6"/>
      <c r="X698" s="6"/>
      <c r="Y698" s="6"/>
      <c r="Z698" s="6"/>
      <c r="AA698" s="6"/>
    </row>
    <row r="699" ht="15.75" customHeight="1">
      <c r="L699" s="12"/>
      <c r="O699" s="6"/>
      <c r="P699" s="6"/>
      <c r="Q699" s="6"/>
      <c r="R699" s="6"/>
      <c r="S699" s="6"/>
      <c r="T699" s="6"/>
      <c r="U699" s="6"/>
      <c r="V699" s="6"/>
      <c r="W699" s="6"/>
      <c r="X699" s="6"/>
      <c r="Y699" s="6"/>
      <c r="Z699" s="6"/>
      <c r="AA699" s="6"/>
    </row>
    <row r="700" ht="15.75" customHeight="1">
      <c r="L700" s="12"/>
      <c r="O700" s="6"/>
      <c r="P700" s="6"/>
      <c r="Q700" s="6"/>
      <c r="R700" s="6"/>
      <c r="S700" s="6"/>
      <c r="T700" s="6"/>
      <c r="U700" s="6"/>
      <c r="V700" s="6"/>
      <c r="W700" s="6"/>
      <c r="X700" s="6"/>
      <c r="Y700" s="6"/>
      <c r="Z700" s="6"/>
      <c r="AA700" s="6"/>
    </row>
    <row r="701" ht="15.75" customHeight="1">
      <c r="L701" s="12"/>
      <c r="O701" s="6"/>
      <c r="P701" s="6"/>
      <c r="Q701" s="6"/>
      <c r="R701" s="6"/>
      <c r="S701" s="6"/>
      <c r="T701" s="6"/>
      <c r="U701" s="6"/>
      <c r="V701" s="6"/>
      <c r="W701" s="6"/>
      <c r="X701" s="6"/>
      <c r="Y701" s="6"/>
      <c r="Z701" s="6"/>
      <c r="AA701" s="6"/>
    </row>
    <row r="702" ht="15.75" customHeight="1">
      <c r="L702" s="12"/>
      <c r="O702" s="6"/>
      <c r="P702" s="6"/>
      <c r="Q702" s="6"/>
      <c r="R702" s="6"/>
      <c r="S702" s="6"/>
      <c r="T702" s="6"/>
      <c r="U702" s="6"/>
      <c r="V702" s="6"/>
      <c r="W702" s="6"/>
      <c r="X702" s="6"/>
      <c r="Y702" s="6"/>
      <c r="Z702" s="6"/>
      <c r="AA702" s="6"/>
    </row>
    <row r="703" ht="15.75" customHeight="1">
      <c r="L703" s="12"/>
      <c r="O703" s="6"/>
      <c r="P703" s="6"/>
      <c r="Q703" s="6"/>
      <c r="R703" s="6"/>
      <c r="S703" s="6"/>
      <c r="T703" s="6"/>
      <c r="U703" s="6"/>
      <c r="V703" s="6"/>
      <c r="W703" s="6"/>
      <c r="X703" s="6"/>
      <c r="Y703" s="6"/>
      <c r="Z703" s="6"/>
      <c r="AA703" s="6"/>
    </row>
    <row r="704" ht="15.75" customHeight="1">
      <c r="L704" s="12"/>
      <c r="O704" s="6"/>
      <c r="P704" s="6"/>
      <c r="Q704" s="6"/>
      <c r="R704" s="6"/>
      <c r="S704" s="6"/>
      <c r="T704" s="6"/>
      <c r="U704" s="6"/>
      <c r="V704" s="6"/>
      <c r="W704" s="6"/>
      <c r="X704" s="6"/>
      <c r="Y704" s="6"/>
      <c r="Z704" s="6"/>
      <c r="AA704" s="6"/>
    </row>
    <row r="705" ht="15.75" customHeight="1">
      <c r="L705" s="12"/>
      <c r="O705" s="6"/>
      <c r="P705" s="6"/>
      <c r="Q705" s="6"/>
      <c r="R705" s="6"/>
      <c r="S705" s="6"/>
      <c r="T705" s="6"/>
      <c r="U705" s="6"/>
      <c r="V705" s="6"/>
      <c r="W705" s="6"/>
      <c r="X705" s="6"/>
      <c r="Y705" s="6"/>
      <c r="Z705" s="6"/>
      <c r="AA705" s="6"/>
    </row>
    <row r="706" ht="15.75" customHeight="1">
      <c r="L706" s="12"/>
      <c r="O706" s="6"/>
      <c r="P706" s="6"/>
      <c r="Q706" s="6"/>
      <c r="R706" s="6"/>
      <c r="S706" s="6"/>
      <c r="T706" s="6"/>
      <c r="U706" s="6"/>
      <c r="V706" s="6"/>
      <c r="W706" s="6"/>
      <c r="X706" s="6"/>
      <c r="Y706" s="6"/>
      <c r="Z706" s="6"/>
      <c r="AA706" s="6"/>
    </row>
    <row r="707" ht="15.75" customHeight="1">
      <c r="L707" s="12"/>
      <c r="O707" s="6"/>
      <c r="P707" s="6"/>
      <c r="Q707" s="6"/>
      <c r="R707" s="6"/>
      <c r="S707" s="6"/>
      <c r="T707" s="6"/>
      <c r="U707" s="6"/>
      <c r="V707" s="6"/>
      <c r="W707" s="6"/>
      <c r="X707" s="6"/>
      <c r="Y707" s="6"/>
      <c r="Z707" s="6"/>
      <c r="AA707" s="6"/>
    </row>
    <row r="708" ht="15.75" customHeight="1">
      <c r="L708" s="12"/>
      <c r="O708" s="6"/>
      <c r="P708" s="6"/>
      <c r="Q708" s="6"/>
      <c r="R708" s="6"/>
      <c r="S708" s="6"/>
      <c r="T708" s="6"/>
      <c r="U708" s="6"/>
      <c r="V708" s="6"/>
      <c r="W708" s="6"/>
      <c r="X708" s="6"/>
      <c r="Y708" s="6"/>
      <c r="Z708" s="6"/>
      <c r="AA708" s="6"/>
    </row>
    <row r="709" ht="15.75" customHeight="1">
      <c r="L709" s="12"/>
      <c r="O709" s="6"/>
      <c r="P709" s="6"/>
      <c r="Q709" s="6"/>
      <c r="R709" s="6"/>
      <c r="S709" s="6"/>
      <c r="T709" s="6"/>
      <c r="U709" s="6"/>
      <c r="V709" s="6"/>
      <c r="W709" s="6"/>
      <c r="X709" s="6"/>
      <c r="Y709" s="6"/>
      <c r="Z709" s="6"/>
      <c r="AA709" s="6"/>
    </row>
    <row r="710" ht="15.75" customHeight="1">
      <c r="L710" s="12"/>
      <c r="O710" s="6"/>
      <c r="P710" s="6"/>
      <c r="Q710" s="6"/>
      <c r="R710" s="6"/>
      <c r="S710" s="6"/>
      <c r="T710" s="6"/>
      <c r="U710" s="6"/>
      <c r="V710" s="6"/>
      <c r="W710" s="6"/>
      <c r="X710" s="6"/>
      <c r="Y710" s="6"/>
      <c r="Z710" s="6"/>
      <c r="AA710" s="6"/>
    </row>
    <row r="711" ht="15.75" customHeight="1">
      <c r="L711" s="12"/>
      <c r="O711" s="6"/>
      <c r="P711" s="6"/>
      <c r="Q711" s="6"/>
      <c r="R711" s="6"/>
      <c r="S711" s="6"/>
      <c r="T711" s="6"/>
      <c r="U711" s="6"/>
      <c r="V711" s="6"/>
      <c r="W711" s="6"/>
      <c r="X711" s="6"/>
      <c r="Y711" s="6"/>
      <c r="Z711" s="6"/>
      <c r="AA711" s="6"/>
    </row>
    <row r="712" ht="15.75" customHeight="1">
      <c r="L712" s="12"/>
      <c r="O712" s="6"/>
      <c r="P712" s="6"/>
      <c r="Q712" s="6"/>
      <c r="R712" s="6"/>
      <c r="S712" s="6"/>
      <c r="T712" s="6"/>
      <c r="U712" s="6"/>
      <c r="V712" s="6"/>
      <c r="W712" s="6"/>
      <c r="X712" s="6"/>
      <c r="Y712" s="6"/>
      <c r="Z712" s="6"/>
      <c r="AA712" s="6"/>
    </row>
    <row r="713" ht="15.75" customHeight="1">
      <c r="L713" s="12"/>
      <c r="O713" s="6"/>
      <c r="P713" s="6"/>
      <c r="Q713" s="6"/>
      <c r="R713" s="6"/>
      <c r="S713" s="6"/>
      <c r="T713" s="6"/>
      <c r="U713" s="6"/>
      <c r="V713" s="6"/>
      <c r="W713" s="6"/>
      <c r="X713" s="6"/>
      <c r="Y713" s="6"/>
      <c r="Z713" s="6"/>
      <c r="AA713" s="6"/>
    </row>
    <row r="714" ht="15.75" customHeight="1">
      <c r="L714" s="12"/>
      <c r="O714" s="6"/>
      <c r="P714" s="6"/>
      <c r="Q714" s="6"/>
      <c r="R714" s="6"/>
      <c r="S714" s="6"/>
      <c r="T714" s="6"/>
      <c r="U714" s="6"/>
      <c r="V714" s="6"/>
      <c r="W714" s="6"/>
      <c r="X714" s="6"/>
      <c r="Y714" s="6"/>
      <c r="Z714" s="6"/>
      <c r="AA714" s="6"/>
    </row>
    <row r="715" ht="15.75" customHeight="1">
      <c r="L715" s="12"/>
      <c r="O715" s="6"/>
      <c r="P715" s="6"/>
      <c r="Q715" s="6"/>
      <c r="R715" s="6"/>
      <c r="S715" s="6"/>
      <c r="T715" s="6"/>
      <c r="U715" s="6"/>
      <c r="V715" s="6"/>
      <c r="W715" s="6"/>
      <c r="X715" s="6"/>
      <c r="Y715" s="6"/>
      <c r="Z715" s="6"/>
      <c r="AA715" s="6"/>
    </row>
    <row r="716" ht="15.75" customHeight="1">
      <c r="L716" s="12"/>
      <c r="O716" s="6"/>
      <c r="P716" s="6"/>
      <c r="Q716" s="6"/>
      <c r="R716" s="6"/>
      <c r="S716" s="6"/>
      <c r="T716" s="6"/>
      <c r="U716" s="6"/>
      <c r="V716" s="6"/>
      <c r="W716" s="6"/>
      <c r="X716" s="6"/>
      <c r="Y716" s="6"/>
      <c r="Z716" s="6"/>
      <c r="AA716" s="6"/>
    </row>
    <row r="717" ht="15.75" customHeight="1">
      <c r="L717" s="12"/>
      <c r="O717" s="6"/>
      <c r="P717" s="6"/>
      <c r="Q717" s="6"/>
      <c r="R717" s="6"/>
      <c r="S717" s="6"/>
      <c r="T717" s="6"/>
      <c r="U717" s="6"/>
      <c r="V717" s="6"/>
      <c r="W717" s="6"/>
      <c r="X717" s="6"/>
      <c r="Y717" s="6"/>
      <c r="Z717" s="6"/>
      <c r="AA717" s="6"/>
    </row>
    <row r="718" ht="15.75" customHeight="1">
      <c r="L718" s="12"/>
      <c r="O718" s="6"/>
      <c r="P718" s="6"/>
      <c r="Q718" s="6"/>
      <c r="R718" s="6"/>
      <c r="S718" s="6"/>
      <c r="T718" s="6"/>
      <c r="U718" s="6"/>
      <c r="V718" s="6"/>
      <c r="W718" s="6"/>
      <c r="X718" s="6"/>
      <c r="Y718" s="6"/>
      <c r="Z718" s="6"/>
      <c r="AA718" s="6"/>
    </row>
    <row r="719" ht="15.75" customHeight="1">
      <c r="L719" s="12"/>
      <c r="O719" s="6"/>
      <c r="P719" s="6"/>
      <c r="Q719" s="6"/>
      <c r="R719" s="6"/>
      <c r="S719" s="6"/>
      <c r="T719" s="6"/>
      <c r="U719" s="6"/>
      <c r="V719" s="6"/>
      <c r="W719" s="6"/>
      <c r="X719" s="6"/>
      <c r="Y719" s="6"/>
      <c r="Z719" s="6"/>
      <c r="AA719" s="6"/>
    </row>
    <row r="720" ht="15.75" customHeight="1">
      <c r="L720" s="12"/>
      <c r="O720" s="6"/>
      <c r="P720" s="6"/>
      <c r="Q720" s="6"/>
      <c r="R720" s="6"/>
      <c r="S720" s="6"/>
      <c r="T720" s="6"/>
      <c r="U720" s="6"/>
      <c r="V720" s="6"/>
      <c r="W720" s="6"/>
      <c r="X720" s="6"/>
      <c r="Y720" s="6"/>
      <c r="Z720" s="6"/>
      <c r="AA720" s="6"/>
    </row>
    <row r="721" ht="15.75" customHeight="1">
      <c r="L721" s="12"/>
      <c r="O721" s="6"/>
      <c r="P721" s="6"/>
      <c r="Q721" s="6"/>
      <c r="R721" s="6"/>
      <c r="S721" s="6"/>
      <c r="T721" s="6"/>
      <c r="U721" s="6"/>
      <c r="V721" s="6"/>
      <c r="W721" s="6"/>
      <c r="X721" s="6"/>
      <c r="Y721" s="6"/>
      <c r="Z721" s="6"/>
      <c r="AA721" s="6"/>
    </row>
    <row r="722" ht="15.75" customHeight="1">
      <c r="L722" s="12"/>
      <c r="O722" s="6"/>
      <c r="P722" s="6"/>
      <c r="Q722" s="6"/>
      <c r="R722" s="6"/>
      <c r="S722" s="6"/>
      <c r="T722" s="6"/>
      <c r="U722" s="6"/>
      <c r="V722" s="6"/>
      <c r="W722" s="6"/>
      <c r="X722" s="6"/>
      <c r="Y722" s="6"/>
      <c r="Z722" s="6"/>
      <c r="AA722" s="6"/>
    </row>
    <row r="723" ht="15.75" customHeight="1">
      <c r="L723" s="12"/>
      <c r="O723" s="6"/>
      <c r="P723" s="6"/>
      <c r="Q723" s="6"/>
      <c r="R723" s="6"/>
      <c r="S723" s="6"/>
      <c r="T723" s="6"/>
      <c r="U723" s="6"/>
      <c r="V723" s="6"/>
      <c r="W723" s="6"/>
      <c r="X723" s="6"/>
      <c r="Y723" s="6"/>
      <c r="Z723" s="6"/>
      <c r="AA723" s="6"/>
    </row>
    <row r="724" ht="15.75" customHeight="1">
      <c r="L724" s="12"/>
      <c r="O724" s="6"/>
      <c r="P724" s="6"/>
      <c r="Q724" s="6"/>
      <c r="R724" s="6"/>
      <c r="S724" s="6"/>
      <c r="T724" s="6"/>
      <c r="U724" s="6"/>
      <c r="V724" s="6"/>
      <c r="W724" s="6"/>
      <c r="X724" s="6"/>
      <c r="Y724" s="6"/>
      <c r="Z724" s="6"/>
      <c r="AA724" s="6"/>
    </row>
    <row r="725" ht="15.75" customHeight="1">
      <c r="L725" s="12"/>
      <c r="O725" s="6"/>
      <c r="P725" s="6"/>
      <c r="Q725" s="6"/>
      <c r="R725" s="6"/>
      <c r="S725" s="6"/>
      <c r="T725" s="6"/>
      <c r="U725" s="6"/>
      <c r="V725" s="6"/>
      <c r="W725" s="6"/>
      <c r="X725" s="6"/>
      <c r="Y725" s="6"/>
      <c r="Z725" s="6"/>
      <c r="AA725" s="6"/>
    </row>
    <row r="726" ht="15.75" customHeight="1">
      <c r="L726" s="12"/>
      <c r="O726" s="6"/>
      <c r="P726" s="6"/>
      <c r="Q726" s="6"/>
      <c r="R726" s="6"/>
      <c r="S726" s="6"/>
      <c r="T726" s="6"/>
      <c r="U726" s="6"/>
      <c r="V726" s="6"/>
      <c r="W726" s="6"/>
      <c r="X726" s="6"/>
      <c r="Y726" s="6"/>
      <c r="Z726" s="6"/>
      <c r="AA726" s="6"/>
    </row>
    <row r="727" ht="15.75" customHeight="1">
      <c r="L727" s="12"/>
      <c r="O727" s="6"/>
      <c r="P727" s="6"/>
      <c r="Q727" s="6"/>
      <c r="R727" s="6"/>
      <c r="S727" s="6"/>
      <c r="T727" s="6"/>
      <c r="U727" s="6"/>
      <c r="V727" s="6"/>
      <c r="W727" s="6"/>
      <c r="X727" s="6"/>
      <c r="Y727" s="6"/>
      <c r="Z727" s="6"/>
      <c r="AA727" s="6"/>
    </row>
    <row r="728" ht="15.75" customHeight="1">
      <c r="L728" s="12"/>
      <c r="O728" s="6"/>
      <c r="P728" s="6"/>
      <c r="Q728" s="6"/>
      <c r="R728" s="6"/>
      <c r="S728" s="6"/>
      <c r="T728" s="6"/>
      <c r="U728" s="6"/>
      <c r="V728" s="6"/>
      <c r="W728" s="6"/>
      <c r="X728" s="6"/>
      <c r="Y728" s="6"/>
      <c r="Z728" s="6"/>
      <c r="AA728" s="6"/>
    </row>
    <row r="729" ht="15.75" customHeight="1">
      <c r="L729" s="12"/>
      <c r="O729" s="6"/>
      <c r="P729" s="6"/>
      <c r="Q729" s="6"/>
      <c r="R729" s="6"/>
      <c r="S729" s="6"/>
      <c r="T729" s="6"/>
      <c r="U729" s="6"/>
      <c r="V729" s="6"/>
      <c r="W729" s="6"/>
      <c r="X729" s="6"/>
      <c r="Y729" s="6"/>
      <c r="Z729" s="6"/>
      <c r="AA729" s="6"/>
    </row>
    <row r="730" ht="15.75" customHeight="1">
      <c r="L730" s="12"/>
      <c r="O730" s="6"/>
      <c r="P730" s="6"/>
      <c r="Q730" s="6"/>
      <c r="R730" s="6"/>
      <c r="S730" s="6"/>
      <c r="T730" s="6"/>
      <c r="U730" s="6"/>
      <c r="V730" s="6"/>
      <c r="W730" s="6"/>
      <c r="X730" s="6"/>
      <c r="Y730" s="6"/>
      <c r="Z730" s="6"/>
      <c r="AA730" s="6"/>
    </row>
    <row r="731" ht="15.75" customHeight="1">
      <c r="L731" s="12"/>
      <c r="O731" s="6"/>
      <c r="P731" s="6"/>
      <c r="Q731" s="6"/>
      <c r="R731" s="6"/>
      <c r="S731" s="6"/>
      <c r="T731" s="6"/>
      <c r="U731" s="6"/>
      <c r="V731" s="6"/>
      <c r="W731" s="6"/>
      <c r="X731" s="6"/>
      <c r="Y731" s="6"/>
      <c r="Z731" s="6"/>
      <c r="AA731" s="6"/>
    </row>
    <row r="732" ht="15.75" customHeight="1">
      <c r="L732" s="12"/>
      <c r="O732" s="6"/>
      <c r="P732" s="6"/>
      <c r="Q732" s="6"/>
      <c r="R732" s="6"/>
      <c r="S732" s="6"/>
      <c r="T732" s="6"/>
      <c r="U732" s="6"/>
      <c r="V732" s="6"/>
      <c r="W732" s="6"/>
      <c r="X732" s="6"/>
      <c r="Y732" s="6"/>
      <c r="Z732" s="6"/>
      <c r="AA732" s="6"/>
    </row>
    <row r="733" ht="15.75" customHeight="1">
      <c r="L733" s="12"/>
      <c r="O733" s="6"/>
      <c r="P733" s="6"/>
      <c r="Q733" s="6"/>
      <c r="R733" s="6"/>
      <c r="S733" s="6"/>
      <c r="T733" s="6"/>
      <c r="U733" s="6"/>
      <c r="V733" s="6"/>
      <c r="W733" s="6"/>
      <c r="X733" s="6"/>
      <c r="Y733" s="6"/>
      <c r="Z733" s="6"/>
      <c r="AA733" s="6"/>
    </row>
    <row r="734" ht="15.75" customHeight="1">
      <c r="L734" s="12"/>
      <c r="O734" s="6"/>
      <c r="P734" s="6"/>
      <c r="Q734" s="6"/>
      <c r="R734" s="6"/>
      <c r="S734" s="6"/>
      <c r="T734" s="6"/>
      <c r="U734" s="6"/>
      <c r="V734" s="6"/>
      <c r="W734" s="6"/>
      <c r="X734" s="6"/>
      <c r="Y734" s="6"/>
      <c r="Z734" s="6"/>
      <c r="AA734" s="6"/>
    </row>
    <row r="735" ht="15.75" customHeight="1">
      <c r="L735" s="12"/>
      <c r="O735" s="6"/>
      <c r="P735" s="6"/>
      <c r="Q735" s="6"/>
      <c r="R735" s="6"/>
      <c r="S735" s="6"/>
      <c r="T735" s="6"/>
      <c r="U735" s="6"/>
      <c r="V735" s="6"/>
      <c r="W735" s="6"/>
      <c r="X735" s="6"/>
      <c r="Y735" s="6"/>
      <c r="Z735" s="6"/>
      <c r="AA735" s="6"/>
    </row>
    <row r="736" ht="15.75" customHeight="1">
      <c r="L736" s="12"/>
      <c r="O736" s="6"/>
      <c r="P736" s="6"/>
      <c r="Q736" s="6"/>
      <c r="R736" s="6"/>
      <c r="S736" s="6"/>
      <c r="T736" s="6"/>
      <c r="U736" s="6"/>
      <c r="V736" s="6"/>
      <c r="W736" s="6"/>
      <c r="X736" s="6"/>
      <c r="Y736" s="6"/>
      <c r="Z736" s="6"/>
      <c r="AA736" s="6"/>
    </row>
    <row r="737" ht="15.75" customHeight="1">
      <c r="L737" s="12"/>
      <c r="O737" s="6"/>
      <c r="P737" s="6"/>
      <c r="Q737" s="6"/>
      <c r="R737" s="6"/>
      <c r="S737" s="6"/>
      <c r="T737" s="6"/>
      <c r="U737" s="6"/>
      <c r="V737" s="6"/>
      <c r="W737" s="6"/>
      <c r="X737" s="6"/>
      <c r="Y737" s="6"/>
      <c r="Z737" s="6"/>
      <c r="AA737" s="6"/>
    </row>
    <row r="738" ht="15.75" customHeight="1">
      <c r="L738" s="12"/>
      <c r="O738" s="6"/>
      <c r="P738" s="6"/>
      <c r="Q738" s="6"/>
      <c r="R738" s="6"/>
      <c r="S738" s="6"/>
      <c r="T738" s="6"/>
      <c r="U738" s="6"/>
      <c r="V738" s="6"/>
      <c r="W738" s="6"/>
      <c r="X738" s="6"/>
      <c r="Y738" s="6"/>
      <c r="Z738" s="6"/>
      <c r="AA738" s="6"/>
    </row>
    <row r="739" ht="15.75" customHeight="1">
      <c r="L739" s="12"/>
      <c r="O739" s="6"/>
      <c r="P739" s="6"/>
      <c r="Q739" s="6"/>
      <c r="R739" s="6"/>
      <c r="S739" s="6"/>
      <c r="T739" s="6"/>
      <c r="U739" s="6"/>
      <c r="V739" s="6"/>
      <c r="W739" s="6"/>
      <c r="X739" s="6"/>
      <c r="Y739" s="6"/>
      <c r="Z739" s="6"/>
      <c r="AA739" s="6"/>
    </row>
    <row r="740" ht="15.75" customHeight="1">
      <c r="L740" s="12"/>
      <c r="O740" s="6"/>
      <c r="P740" s="6"/>
      <c r="Q740" s="6"/>
      <c r="R740" s="6"/>
      <c r="S740" s="6"/>
      <c r="T740" s="6"/>
      <c r="U740" s="6"/>
      <c r="V740" s="6"/>
      <c r="W740" s="6"/>
      <c r="X740" s="6"/>
      <c r="Y740" s="6"/>
      <c r="Z740" s="6"/>
      <c r="AA740" s="6"/>
    </row>
    <row r="741" ht="15.75" customHeight="1">
      <c r="L741" s="12"/>
      <c r="O741" s="6"/>
      <c r="P741" s="6"/>
      <c r="Q741" s="6"/>
      <c r="R741" s="6"/>
      <c r="S741" s="6"/>
      <c r="T741" s="6"/>
      <c r="U741" s="6"/>
      <c r="V741" s="6"/>
      <c r="W741" s="6"/>
      <c r="X741" s="6"/>
      <c r="Y741" s="6"/>
      <c r="Z741" s="6"/>
      <c r="AA741" s="6"/>
    </row>
    <row r="742" ht="15.75" customHeight="1">
      <c r="L742" s="12"/>
      <c r="O742" s="6"/>
      <c r="P742" s="6"/>
      <c r="Q742" s="6"/>
      <c r="R742" s="6"/>
      <c r="S742" s="6"/>
      <c r="T742" s="6"/>
      <c r="U742" s="6"/>
      <c r="V742" s="6"/>
      <c r="W742" s="6"/>
      <c r="X742" s="6"/>
      <c r="Y742" s="6"/>
      <c r="Z742" s="6"/>
      <c r="AA742" s="6"/>
    </row>
    <row r="743" ht="15.75" customHeight="1">
      <c r="L743" s="12"/>
      <c r="O743" s="6"/>
      <c r="P743" s="6"/>
      <c r="Q743" s="6"/>
      <c r="R743" s="6"/>
      <c r="S743" s="6"/>
      <c r="T743" s="6"/>
      <c r="U743" s="6"/>
      <c r="V743" s="6"/>
      <c r="W743" s="6"/>
      <c r="X743" s="6"/>
      <c r="Y743" s="6"/>
      <c r="Z743" s="6"/>
      <c r="AA743" s="6"/>
    </row>
    <row r="744" ht="15.75" customHeight="1">
      <c r="L744" s="12"/>
      <c r="O744" s="6"/>
      <c r="P744" s="6"/>
      <c r="Q744" s="6"/>
      <c r="R744" s="6"/>
      <c r="S744" s="6"/>
      <c r="T744" s="6"/>
      <c r="U744" s="6"/>
      <c r="V744" s="6"/>
      <c r="W744" s="6"/>
      <c r="X744" s="6"/>
      <c r="Y744" s="6"/>
      <c r="Z744" s="6"/>
      <c r="AA744" s="6"/>
    </row>
    <row r="745" ht="15.75" customHeight="1">
      <c r="L745" s="12"/>
      <c r="O745" s="6"/>
      <c r="P745" s="6"/>
      <c r="Q745" s="6"/>
      <c r="R745" s="6"/>
      <c r="S745" s="6"/>
      <c r="T745" s="6"/>
      <c r="U745" s="6"/>
      <c r="V745" s="6"/>
      <c r="W745" s="6"/>
      <c r="X745" s="6"/>
      <c r="Y745" s="6"/>
      <c r="Z745" s="6"/>
      <c r="AA745" s="6"/>
    </row>
    <row r="746" ht="15.75" customHeight="1">
      <c r="L746" s="12"/>
      <c r="O746" s="6"/>
      <c r="P746" s="6"/>
      <c r="Q746" s="6"/>
      <c r="R746" s="6"/>
      <c r="S746" s="6"/>
      <c r="T746" s="6"/>
      <c r="U746" s="6"/>
      <c r="V746" s="6"/>
      <c r="W746" s="6"/>
      <c r="X746" s="6"/>
      <c r="Y746" s="6"/>
      <c r="Z746" s="6"/>
      <c r="AA746" s="6"/>
    </row>
    <row r="747" ht="15.75" customHeight="1">
      <c r="L747" s="12"/>
      <c r="O747" s="6"/>
      <c r="P747" s="6"/>
      <c r="Q747" s="6"/>
      <c r="R747" s="6"/>
      <c r="S747" s="6"/>
      <c r="T747" s="6"/>
      <c r="U747" s="6"/>
      <c r="V747" s="6"/>
      <c r="W747" s="6"/>
      <c r="X747" s="6"/>
      <c r="Y747" s="6"/>
      <c r="Z747" s="6"/>
      <c r="AA747" s="6"/>
    </row>
    <row r="748" ht="15.75" customHeight="1">
      <c r="L748" s="12"/>
      <c r="O748" s="6"/>
      <c r="P748" s="6"/>
      <c r="Q748" s="6"/>
      <c r="R748" s="6"/>
      <c r="S748" s="6"/>
      <c r="T748" s="6"/>
      <c r="U748" s="6"/>
      <c r="V748" s="6"/>
      <c r="W748" s="6"/>
      <c r="X748" s="6"/>
      <c r="Y748" s="6"/>
      <c r="Z748" s="6"/>
      <c r="AA748" s="6"/>
    </row>
    <row r="749" ht="15.75" customHeight="1">
      <c r="L749" s="12"/>
      <c r="O749" s="6"/>
      <c r="P749" s="6"/>
      <c r="Q749" s="6"/>
      <c r="R749" s="6"/>
      <c r="S749" s="6"/>
      <c r="T749" s="6"/>
      <c r="U749" s="6"/>
      <c r="V749" s="6"/>
      <c r="W749" s="6"/>
      <c r="X749" s="6"/>
      <c r="Y749" s="6"/>
      <c r="Z749" s="6"/>
      <c r="AA749" s="6"/>
    </row>
    <row r="750" ht="15.75" customHeight="1">
      <c r="L750" s="12"/>
      <c r="O750" s="6"/>
      <c r="P750" s="6"/>
      <c r="Q750" s="6"/>
      <c r="R750" s="6"/>
      <c r="S750" s="6"/>
      <c r="T750" s="6"/>
      <c r="U750" s="6"/>
      <c r="V750" s="6"/>
      <c r="W750" s="6"/>
      <c r="X750" s="6"/>
      <c r="Y750" s="6"/>
      <c r="Z750" s="6"/>
      <c r="AA750" s="6"/>
    </row>
    <row r="751" ht="15.75" customHeight="1">
      <c r="L751" s="12"/>
      <c r="O751" s="6"/>
      <c r="P751" s="6"/>
      <c r="Q751" s="6"/>
      <c r="R751" s="6"/>
      <c r="S751" s="6"/>
      <c r="T751" s="6"/>
      <c r="U751" s="6"/>
      <c r="V751" s="6"/>
      <c r="W751" s="6"/>
      <c r="X751" s="6"/>
      <c r="Y751" s="6"/>
      <c r="Z751" s="6"/>
      <c r="AA751" s="6"/>
    </row>
    <row r="752" ht="15.75" customHeight="1">
      <c r="L752" s="12"/>
      <c r="O752" s="6"/>
      <c r="P752" s="6"/>
      <c r="Q752" s="6"/>
      <c r="R752" s="6"/>
      <c r="S752" s="6"/>
      <c r="T752" s="6"/>
      <c r="U752" s="6"/>
      <c r="V752" s="6"/>
      <c r="W752" s="6"/>
      <c r="X752" s="6"/>
      <c r="Y752" s="6"/>
      <c r="Z752" s="6"/>
      <c r="AA752" s="6"/>
    </row>
    <row r="753" ht="15.75" customHeight="1">
      <c r="L753" s="12"/>
      <c r="O753" s="6"/>
      <c r="P753" s="6"/>
      <c r="Q753" s="6"/>
      <c r="R753" s="6"/>
      <c r="S753" s="6"/>
      <c r="T753" s="6"/>
      <c r="U753" s="6"/>
      <c r="V753" s="6"/>
      <c r="W753" s="6"/>
      <c r="X753" s="6"/>
      <c r="Y753" s="6"/>
      <c r="Z753" s="6"/>
      <c r="AA753" s="6"/>
    </row>
    <row r="754" ht="15.75" customHeight="1">
      <c r="L754" s="12"/>
      <c r="O754" s="6"/>
      <c r="P754" s="6"/>
      <c r="Q754" s="6"/>
      <c r="R754" s="6"/>
      <c r="S754" s="6"/>
      <c r="T754" s="6"/>
      <c r="U754" s="6"/>
      <c r="V754" s="6"/>
      <c r="W754" s="6"/>
      <c r="X754" s="6"/>
      <c r="Y754" s="6"/>
      <c r="Z754" s="6"/>
      <c r="AA754" s="6"/>
    </row>
    <row r="755" ht="15.75" customHeight="1">
      <c r="L755" s="12"/>
      <c r="O755" s="6"/>
      <c r="P755" s="6"/>
      <c r="Q755" s="6"/>
      <c r="R755" s="6"/>
      <c r="S755" s="6"/>
      <c r="T755" s="6"/>
      <c r="U755" s="6"/>
      <c r="V755" s="6"/>
      <c r="W755" s="6"/>
      <c r="X755" s="6"/>
      <c r="Y755" s="6"/>
      <c r="Z755" s="6"/>
      <c r="AA755" s="6"/>
    </row>
    <row r="756" ht="15.75" customHeight="1">
      <c r="L756" s="12"/>
      <c r="O756" s="6"/>
      <c r="P756" s="6"/>
      <c r="Q756" s="6"/>
      <c r="R756" s="6"/>
      <c r="S756" s="6"/>
      <c r="T756" s="6"/>
      <c r="U756" s="6"/>
      <c r="V756" s="6"/>
      <c r="W756" s="6"/>
      <c r="X756" s="6"/>
      <c r="Y756" s="6"/>
      <c r="Z756" s="6"/>
      <c r="AA756" s="6"/>
    </row>
    <row r="757" ht="15.75" customHeight="1">
      <c r="L757" s="12"/>
      <c r="O757" s="6"/>
      <c r="P757" s="6"/>
      <c r="Q757" s="6"/>
      <c r="R757" s="6"/>
      <c r="S757" s="6"/>
      <c r="T757" s="6"/>
      <c r="U757" s="6"/>
      <c r="V757" s="6"/>
      <c r="W757" s="6"/>
      <c r="X757" s="6"/>
      <c r="Y757" s="6"/>
      <c r="Z757" s="6"/>
      <c r="AA757" s="6"/>
    </row>
    <row r="758" ht="15.75" customHeight="1">
      <c r="L758" s="12"/>
      <c r="O758" s="6"/>
      <c r="P758" s="6"/>
      <c r="Q758" s="6"/>
      <c r="R758" s="6"/>
      <c r="S758" s="6"/>
      <c r="T758" s="6"/>
      <c r="U758" s="6"/>
      <c r="V758" s="6"/>
      <c r="W758" s="6"/>
      <c r="X758" s="6"/>
      <c r="Y758" s="6"/>
      <c r="Z758" s="6"/>
      <c r="AA758" s="6"/>
    </row>
    <row r="759" ht="15.75" customHeight="1">
      <c r="L759" s="12"/>
      <c r="O759" s="6"/>
      <c r="P759" s="6"/>
      <c r="Q759" s="6"/>
      <c r="R759" s="6"/>
      <c r="S759" s="6"/>
      <c r="T759" s="6"/>
      <c r="U759" s="6"/>
      <c r="V759" s="6"/>
      <c r="W759" s="6"/>
      <c r="X759" s="6"/>
      <c r="Y759" s="6"/>
      <c r="Z759" s="6"/>
      <c r="AA759" s="6"/>
    </row>
    <row r="760" ht="15.75" customHeight="1">
      <c r="L760" s="12"/>
      <c r="O760" s="6"/>
      <c r="P760" s="6"/>
      <c r="Q760" s="6"/>
      <c r="R760" s="6"/>
      <c r="S760" s="6"/>
      <c r="T760" s="6"/>
      <c r="U760" s="6"/>
      <c r="V760" s="6"/>
      <c r="W760" s="6"/>
      <c r="X760" s="6"/>
      <c r="Y760" s="6"/>
      <c r="Z760" s="6"/>
      <c r="AA760" s="6"/>
    </row>
    <row r="761" ht="15.75" customHeight="1">
      <c r="L761" s="12"/>
      <c r="O761" s="6"/>
      <c r="P761" s="6"/>
      <c r="Q761" s="6"/>
      <c r="R761" s="6"/>
      <c r="S761" s="6"/>
      <c r="T761" s="6"/>
      <c r="U761" s="6"/>
      <c r="V761" s="6"/>
      <c r="W761" s="6"/>
      <c r="X761" s="6"/>
      <c r="Y761" s="6"/>
      <c r="Z761" s="6"/>
      <c r="AA761" s="6"/>
    </row>
    <row r="762" ht="15.75" customHeight="1">
      <c r="L762" s="12"/>
      <c r="O762" s="6"/>
      <c r="P762" s="6"/>
      <c r="Q762" s="6"/>
      <c r="R762" s="6"/>
      <c r="S762" s="6"/>
      <c r="T762" s="6"/>
      <c r="U762" s="6"/>
      <c r="V762" s="6"/>
      <c r="W762" s="6"/>
      <c r="X762" s="6"/>
      <c r="Y762" s="6"/>
      <c r="Z762" s="6"/>
      <c r="AA762" s="6"/>
    </row>
    <row r="763" ht="15.75" customHeight="1">
      <c r="L763" s="12"/>
      <c r="O763" s="6"/>
      <c r="P763" s="6"/>
      <c r="Q763" s="6"/>
      <c r="R763" s="6"/>
      <c r="S763" s="6"/>
      <c r="T763" s="6"/>
      <c r="U763" s="6"/>
      <c r="V763" s="6"/>
      <c r="W763" s="6"/>
      <c r="X763" s="6"/>
      <c r="Y763" s="6"/>
      <c r="Z763" s="6"/>
      <c r="AA763" s="6"/>
    </row>
    <row r="764" ht="15.75" customHeight="1">
      <c r="L764" s="12"/>
      <c r="O764" s="6"/>
      <c r="P764" s="6"/>
      <c r="Q764" s="6"/>
      <c r="R764" s="6"/>
      <c r="S764" s="6"/>
      <c r="T764" s="6"/>
      <c r="U764" s="6"/>
      <c r="V764" s="6"/>
      <c r="W764" s="6"/>
      <c r="X764" s="6"/>
      <c r="Y764" s="6"/>
      <c r="Z764" s="6"/>
      <c r="AA764" s="6"/>
    </row>
    <row r="765" ht="15.75" customHeight="1">
      <c r="L765" s="12"/>
      <c r="O765" s="6"/>
      <c r="P765" s="6"/>
      <c r="Q765" s="6"/>
      <c r="R765" s="6"/>
      <c r="S765" s="6"/>
      <c r="T765" s="6"/>
      <c r="U765" s="6"/>
      <c r="V765" s="6"/>
      <c r="W765" s="6"/>
      <c r="X765" s="6"/>
      <c r="Y765" s="6"/>
      <c r="Z765" s="6"/>
      <c r="AA765" s="6"/>
    </row>
    <row r="766" ht="15.75" customHeight="1">
      <c r="L766" s="12"/>
      <c r="O766" s="6"/>
      <c r="P766" s="6"/>
      <c r="Q766" s="6"/>
      <c r="R766" s="6"/>
      <c r="S766" s="6"/>
      <c r="T766" s="6"/>
      <c r="U766" s="6"/>
      <c r="V766" s="6"/>
      <c r="W766" s="6"/>
      <c r="X766" s="6"/>
      <c r="Y766" s="6"/>
      <c r="Z766" s="6"/>
      <c r="AA766" s="6"/>
    </row>
    <row r="767" ht="15.75" customHeight="1">
      <c r="L767" s="12"/>
      <c r="O767" s="6"/>
      <c r="P767" s="6"/>
      <c r="Q767" s="6"/>
      <c r="R767" s="6"/>
      <c r="S767" s="6"/>
      <c r="T767" s="6"/>
      <c r="U767" s="6"/>
      <c r="V767" s="6"/>
      <c r="W767" s="6"/>
      <c r="X767" s="6"/>
      <c r="Y767" s="6"/>
      <c r="Z767" s="6"/>
      <c r="AA767" s="6"/>
    </row>
    <row r="768" ht="15.75" customHeight="1">
      <c r="L768" s="12"/>
      <c r="O768" s="6"/>
      <c r="P768" s="6"/>
      <c r="Q768" s="6"/>
      <c r="R768" s="6"/>
      <c r="S768" s="6"/>
      <c r="T768" s="6"/>
      <c r="U768" s="6"/>
      <c r="V768" s="6"/>
      <c r="W768" s="6"/>
      <c r="X768" s="6"/>
      <c r="Y768" s="6"/>
      <c r="Z768" s="6"/>
      <c r="AA768" s="6"/>
    </row>
    <row r="769" ht="15.75" customHeight="1">
      <c r="L769" s="12"/>
      <c r="O769" s="6"/>
      <c r="P769" s="6"/>
      <c r="Q769" s="6"/>
      <c r="R769" s="6"/>
      <c r="S769" s="6"/>
      <c r="T769" s="6"/>
      <c r="U769" s="6"/>
      <c r="V769" s="6"/>
      <c r="W769" s="6"/>
      <c r="X769" s="6"/>
      <c r="Y769" s="6"/>
      <c r="Z769" s="6"/>
      <c r="AA769" s="6"/>
    </row>
    <row r="770" ht="15.75" customHeight="1">
      <c r="L770" s="12"/>
      <c r="O770" s="6"/>
      <c r="P770" s="6"/>
      <c r="Q770" s="6"/>
      <c r="R770" s="6"/>
      <c r="S770" s="6"/>
      <c r="T770" s="6"/>
      <c r="U770" s="6"/>
      <c r="V770" s="6"/>
      <c r="W770" s="6"/>
      <c r="X770" s="6"/>
      <c r="Y770" s="6"/>
      <c r="Z770" s="6"/>
      <c r="AA770" s="6"/>
    </row>
    <row r="771" ht="15.75" customHeight="1">
      <c r="L771" s="12"/>
      <c r="O771" s="6"/>
      <c r="P771" s="6"/>
      <c r="Q771" s="6"/>
      <c r="R771" s="6"/>
      <c r="S771" s="6"/>
      <c r="T771" s="6"/>
      <c r="U771" s="6"/>
      <c r="V771" s="6"/>
      <c r="W771" s="6"/>
      <c r="X771" s="6"/>
      <c r="Y771" s="6"/>
      <c r="Z771" s="6"/>
      <c r="AA771" s="6"/>
    </row>
    <row r="772" ht="15.75" customHeight="1">
      <c r="L772" s="12"/>
      <c r="O772" s="6"/>
      <c r="P772" s="6"/>
      <c r="Q772" s="6"/>
      <c r="R772" s="6"/>
      <c r="S772" s="6"/>
      <c r="T772" s="6"/>
      <c r="U772" s="6"/>
      <c r="V772" s="6"/>
      <c r="W772" s="6"/>
      <c r="X772" s="6"/>
      <c r="Y772" s="6"/>
      <c r="Z772" s="6"/>
      <c r="AA772" s="6"/>
    </row>
    <row r="773" ht="15.75" customHeight="1">
      <c r="L773" s="12"/>
      <c r="O773" s="6"/>
      <c r="P773" s="6"/>
      <c r="Q773" s="6"/>
      <c r="R773" s="6"/>
      <c r="S773" s="6"/>
      <c r="T773" s="6"/>
      <c r="U773" s="6"/>
      <c r="V773" s="6"/>
      <c r="W773" s="6"/>
      <c r="X773" s="6"/>
      <c r="Y773" s="6"/>
      <c r="Z773" s="6"/>
      <c r="AA773" s="6"/>
    </row>
    <row r="774" ht="15.75" customHeight="1">
      <c r="L774" s="12"/>
      <c r="O774" s="6"/>
      <c r="P774" s="6"/>
      <c r="Q774" s="6"/>
      <c r="R774" s="6"/>
      <c r="S774" s="6"/>
      <c r="T774" s="6"/>
      <c r="U774" s="6"/>
      <c r="V774" s="6"/>
      <c r="W774" s="6"/>
      <c r="X774" s="6"/>
      <c r="Y774" s="6"/>
      <c r="Z774" s="6"/>
      <c r="AA774" s="6"/>
    </row>
    <row r="775" ht="15.75" customHeight="1">
      <c r="L775" s="12"/>
      <c r="O775" s="6"/>
      <c r="P775" s="6"/>
      <c r="Q775" s="6"/>
      <c r="R775" s="6"/>
      <c r="S775" s="6"/>
      <c r="T775" s="6"/>
      <c r="U775" s="6"/>
      <c r="V775" s="6"/>
      <c r="W775" s="6"/>
      <c r="X775" s="6"/>
      <c r="Y775" s="6"/>
      <c r="Z775" s="6"/>
      <c r="AA775" s="6"/>
    </row>
    <row r="776" ht="15.75" customHeight="1">
      <c r="L776" s="12"/>
      <c r="O776" s="6"/>
      <c r="P776" s="6"/>
      <c r="Q776" s="6"/>
      <c r="R776" s="6"/>
      <c r="S776" s="6"/>
      <c r="T776" s="6"/>
      <c r="U776" s="6"/>
      <c r="V776" s="6"/>
      <c r="W776" s="6"/>
      <c r="X776" s="6"/>
      <c r="Y776" s="6"/>
      <c r="Z776" s="6"/>
      <c r="AA776" s="6"/>
    </row>
    <row r="777" ht="15.75" customHeight="1">
      <c r="L777" s="12"/>
      <c r="O777" s="6"/>
      <c r="P777" s="6"/>
      <c r="Q777" s="6"/>
      <c r="R777" s="6"/>
      <c r="S777" s="6"/>
      <c r="T777" s="6"/>
      <c r="U777" s="6"/>
      <c r="V777" s="6"/>
      <c r="W777" s="6"/>
      <c r="X777" s="6"/>
      <c r="Y777" s="6"/>
      <c r="Z777" s="6"/>
      <c r="AA777" s="6"/>
    </row>
    <row r="778" ht="15.75" customHeight="1">
      <c r="L778" s="12"/>
      <c r="O778" s="6"/>
      <c r="P778" s="6"/>
      <c r="Q778" s="6"/>
      <c r="R778" s="6"/>
      <c r="S778" s="6"/>
      <c r="T778" s="6"/>
      <c r="U778" s="6"/>
      <c r="V778" s="6"/>
      <c r="W778" s="6"/>
      <c r="X778" s="6"/>
      <c r="Y778" s="6"/>
      <c r="Z778" s="6"/>
      <c r="AA778" s="6"/>
    </row>
    <row r="779" ht="15.75" customHeight="1">
      <c r="L779" s="12"/>
      <c r="O779" s="6"/>
      <c r="P779" s="6"/>
      <c r="Q779" s="6"/>
      <c r="R779" s="6"/>
      <c r="S779" s="6"/>
      <c r="T779" s="6"/>
      <c r="U779" s="6"/>
      <c r="V779" s="6"/>
      <c r="W779" s="6"/>
      <c r="X779" s="6"/>
      <c r="Y779" s="6"/>
      <c r="Z779" s="6"/>
      <c r="AA779" s="6"/>
    </row>
    <row r="780" ht="15.75" customHeight="1">
      <c r="L780" s="12"/>
      <c r="O780" s="6"/>
      <c r="P780" s="6"/>
      <c r="Q780" s="6"/>
      <c r="R780" s="6"/>
      <c r="S780" s="6"/>
      <c r="T780" s="6"/>
      <c r="U780" s="6"/>
      <c r="V780" s="6"/>
      <c r="W780" s="6"/>
      <c r="X780" s="6"/>
      <c r="Y780" s="6"/>
      <c r="Z780" s="6"/>
      <c r="AA780" s="6"/>
    </row>
    <row r="781" ht="15.75" customHeight="1">
      <c r="L781" s="12"/>
      <c r="O781" s="6"/>
      <c r="P781" s="6"/>
      <c r="Q781" s="6"/>
      <c r="R781" s="6"/>
      <c r="S781" s="6"/>
      <c r="T781" s="6"/>
      <c r="U781" s="6"/>
      <c r="V781" s="6"/>
      <c r="W781" s="6"/>
      <c r="X781" s="6"/>
      <c r="Y781" s="6"/>
      <c r="Z781" s="6"/>
      <c r="AA781" s="6"/>
    </row>
    <row r="782" ht="15.75" customHeight="1">
      <c r="L782" s="12"/>
      <c r="O782" s="6"/>
      <c r="P782" s="6"/>
      <c r="Q782" s="6"/>
      <c r="R782" s="6"/>
      <c r="S782" s="6"/>
      <c r="T782" s="6"/>
      <c r="U782" s="6"/>
      <c r="V782" s="6"/>
      <c r="W782" s="6"/>
      <c r="X782" s="6"/>
      <c r="Y782" s="6"/>
      <c r="Z782" s="6"/>
      <c r="AA782" s="6"/>
    </row>
    <row r="783" ht="15.75" customHeight="1">
      <c r="L783" s="12"/>
      <c r="O783" s="6"/>
      <c r="P783" s="6"/>
      <c r="Q783" s="6"/>
      <c r="R783" s="6"/>
      <c r="S783" s="6"/>
      <c r="T783" s="6"/>
      <c r="U783" s="6"/>
      <c r="V783" s="6"/>
      <c r="W783" s="6"/>
      <c r="X783" s="6"/>
      <c r="Y783" s="6"/>
      <c r="Z783" s="6"/>
      <c r="AA783" s="6"/>
    </row>
    <row r="784" ht="15.75" customHeight="1">
      <c r="L784" s="12"/>
      <c r="O784" s="6"/>
      <c r="P784" s="6"/>
      <c r="Q784" s="6"/>
      <c r="R784" s="6"/>
      <c r="S784" s="6"/>
      <c r="T784" s="6"/>
      <c r="U784" s="6"/>
      <c r="V784" s="6"/>
      <c r="W784" s="6"/>
      <c r="X784" s="6"/>
      <c r="Y784" s="6"/>
      <c r="Z784" s="6"/>
      <c r="AA784" s="6"/>
    </row>
    <row r="785" ht="15.75" customHeight="1">
      <c r="L785" s="12"/>
      <c r="O785" s="6"/>
      <c r="P785" s="6"/>
      <c r="Q785" s="6"/>
      <c r="R785" s="6"/>
      <c r="S785" s="6"/>
      <c r="T785" s="6"/>
      <c r="U785" s="6"/>
      <c r="V785" s="6"/>
      <c r="W785" s="6"/>
      <c r="X785" s="6"/>
      <c r="Y785" s="6"/>
      <c r="Z785" s="6"/>
      <c r="AA785" s="6"/>
    </row>
    <row r="786" ht="15.75" customHeight="1">
      <c r="L786" s="12"/>
      <c r="O786" s="6"/>
      <c r="P786" s="6"/>
      <c r="Q786" s="6"/>
      <c r="R786" s="6"/>
      <c r="S786" s="6"/>
      <c r="T786" s="6"/>
      <c r="U786" s="6"/>
      <c r="V786" s="6"/>
      <c r="W786" s="6"/>
      <c r="X786" s="6"/>
      <c r="Y786" s="6"/>
      <c r="Z786" s="6"/>
      <c r="AA786" s="6"/>
    </row>
    <row r="787" ht="15.75" customHeight="1">
      <c r="L787" s="12"/>
      <c r="O787" s="6"/>
      <c r="P787" s="6"/>
      <c r="Q787" s="6"/>
      <c r="R787" s="6"/>
      <c r="S787" s="6"/>
      <c r="T787" s="6"/>
      <c r="U787" s="6"/>
      <c r="V787" s="6"/>
      <c r="W787" s="6"/>
      <c r="X787" s="6"/>
      <c r="Y787" s="6"/>
      <c r="Z787" s="6"/>
      <c r="AA787" s="6"/>
    </row>
    <row r="788" ht="15.75" customHeight="1">
      <c r="L788" s="12"/>
      <c r="O788" s="6"/>
      <c r="P788" s="6"/>
      <c r="Q788" s="6"/>
      <c r="R788" s="6"/>
      <c r="S788" s="6"/>
      <c r="T788" s="6"/>
      <c r="U788" s="6"/>
      <c r="V788" s="6"/>
      <c r="W788" s="6"/>
      <c r="X788" s="6"/>
      <c r="Y788" s="6"/>
      <c r="Z788" s="6"/>
      <c r="AA788" s="6"/>
    </row>
    <row r="789" ht="15.75" customHeight="1">
      <c r="L789" s="12"/>
      <c r="O789" s="6"/>
      <c r="P789" s="6"/>
      <c r="Q789" s="6"/>
      <c r="R789" s="6"/>
      <c r="S789" s="6"/>
      <c r="T789" s="6"/>
      <c r="U789" s="6"/>
      <c r="V789" s="6"/>
      <c r="W789" s="6"/>
      <c r="X789" s="6"/>
      <c r="Y789" s="6"/>
      <c r="Z789" s="6"/>
      <c r="AA789" s="6"/>
    </row>
    <row r="790" ht="15.75" customHeight="1">
      <c r="L790" s="12"/>
      <c r="O790" s="6"/>
      <c r="P790" s="6"/>
      <c r="Q790" s="6"/>
      <c r="R790" s="6"/>
      <c r="S790" s="6"/>
      <c r="T790" s="6"/>
      <c r="U790" s="6"/>
      <c r="V790" s="6"/>
      <c r="W790" s="6"/>
      <c r="X790" s="6"/>
      <c r="Y790" s="6"/>
      <c r="Z790" s="6"/>
      <c r="AA790" s="6"/>
    </row>
    <row r="791" ht="15.75" customHeight="1">
      <c r="L791" s="12"/>
      <c r="O791" s="6"/>
      <c r="P791" s="6"/>
      <c r="Q791" s="6"/>
      <c r="R791" s="6"/>
      <c r="S791" s="6"/>
      <c r="T791" s="6"/>
      <c r="U791" s="6"/>
      <c r="V791" s="6"/>
      <c r="W791" s="6"/>
      <c r="X791" s="6"/>
      <c r="Y791" s="6"/>
      <c r="Z791" s="6"/>
      <c r="AA791" s="6"/>
    </row>
    <row r="792" ht="15.75" customHeight="1">
      <c r="L792" s="12"/>
      <c r="O792" s="6"/>
      <c r="P792" s="6"/>
      <c r="Q792" s="6"/>
      <c r="R792" s="6"/>
      <c r="S792" s="6"/>
      <c r="T792" s="6"/>
      <c r="U792" s="6"/>
      <c r="V792" s="6"/>
      <c r="W792" s="6"/>
      <c r="X792" s="6"/>
      <c r="Y792" s="6"/>
      <c r="Z792" s="6"/>
      <c r="AA792" s="6"/>
    </row>
    <row r="793" ht="15.75" customHeight="1">
      <c r="L793" s="12"/>
      <c r="O793" s="6"/>
      <c r="P793" s="6"/>
      <c r="Q793" s="6"/>
      <c r="R793" s="6"/>
      <c r="S793" s="6"/>
      <c r="T793" s="6"/>
      <c r="U793" s="6"/>
      <c r="V793" s="6"/>
      <c r="W793" s="6"/>
      <c r="X793" s="6"/>
      <c r="Y793" s="6"/>
      <c r="Z793" s="6"/>
      <c r="AA793" s="6"/>
    </row>
    <row r="794" ht="15.75" customHeight="1">
      <c r="L794" s="12"/>
      <c r="O794" s="6"/>
      <c r="P794" s="6"/>
      <c r="Q794" s="6"/>
      <c r="R794" s="6"/>
      <c r="S794" s="6"/>
      <c r="T794" s="6"/>
      <c r="U794" s="6"/>
      <c r="V794" s="6"/>
      <c r="W794" s="6"/>
      <c r="X794" s="6"/>
      <c r="Y794" s="6"/>
      <c r="Z794" s="6"/>
      <c r="AA794" s="6"/>
    </row>
    <row r="795" ht="15.75" customHeight="1">
      <c r="L795" s="12"/>
      <c r="O795" s="6"/>
      <c r="P795" s="6"/>
      <c r="Q795" s="6"/>
      <c r="R795" s="6"/>
      <c r="S795" s="6"/>
      <c r="T795" s="6"/>
      <c r="U795" s="6"/>
      <c r="V795" s="6"/>
      <c r="W795" s="6"/>
      <c r="X795" s="6"/>
      <c r="Y795" s="6"/>
      <c r="Z795" s="6"/>
      <c r="AA795" s="6"/>
    </row>
    <row r="796" ht="15.75" customHeight="1">
      <c r="L796" s="12"/>
      <c r="O796" s="6"/>
      <c r="P796" s="6"/>
      <c r="Q796" s="6"/>
      <c r="R796" s="6"/>
      <c r="S796" s="6"/>
      <c r="T796" s="6"/>
      <c r="U796" s="6"/>
      <c r="V796" s="6"/>
      <c r="W796" s="6"/>
      <c r="X796" s="6"/>
      <c r="Y796" s="6"/>
      <c r="Z796" s="6"/>
      <c r="AA796" s="6"/>
    </row>
    <row r="797" ht="15.75" customHeight="1">
      <c r="L797" s="12"/>
      <c r="O797" s="6"/>
      <c r="P797" s="6"/>
      <c r="Q797" s="6"/>
      <c r="R797" s="6"/>
      <c r="S797" s="6"/>
      <c r="T797" s="6"/>
      <c r="U797" s="6"/>
      <c r="V797" s="6"/>
      <c r="W797" s="6"/>
      <c r="X797" s="6"/>
      <c r="Y797" s="6"/>
      <c r="Z797" s="6"/>
      <c r="AA797" s="6"/>
    </row>
    <row r="798" ht="15.75" customHeight="1">
      <c r="L798" s="12"/>
      <c r="O798" s="6"/>
      <c r="P798" s="6"/>
      <c r="Q798" s="6"/>
      <c r="R798" s="6"/>
      <c r="S798" s="6"/>
      <c r="T798" s="6"/>
      <c r="U798" s="6"/>
      <c r="V798" s="6"/>
      <c r="W798" s="6"/>
      <c r="X798" s="6"/>
      <c r="Y798" s="6"/>
      <c r="Z798" s="6"/>
      <c r="AA798" s="6"/>
    </row>
    <row r="799" ht="15.75" customHeight="1">
      <c r="L799" s="12"/>
      <c r="O799" s="6"/>
      <c r="P799" s="6"/>
      <c r="Q799" s="6"/>
      <c r="R799" s="6"/>
      <c r="S799" s="6"/>
      <c r="T799" s="6"/>
      <c r="U799" s="6"/>
      <c r="V799" s="6"/>
      <c r="W799" s="6"/>
      <c r="X799" s="6"/>
      <c r="Y799" s="6"/>
      <c r="Z799" s="6"/>
      <c r="AA799" s="6"/>
    </row>
    <row r="800" ht="15.75" customHeight="1">
      <c r="L800" s="12"/>
      <c r="O800" s="6"/>
      <c r="P800" s="6"/>
      <c r="Q800" s="6"/>
      <c r="R800" s="6"/>
      <c r="S800" s="6"/>
      <c r="T800" s="6"/>
      <c r="U800" s="6"/>
      <c r="V800" s="6"/>
      <c r="W800" s="6"/>
      <c r="X800" s="6"/>
      <c r="Y800" s="6"/>
      <c r="Z800" s="6"/>
      <c r="AA800" s="6"/>
    </row>
    <row r="801" ht="15.75" customHeight="1">
      <c r="L801" s="12"/>
      <c r="O801" s="6"/>
      <c r="P801" s="6"/>
      <c r="Q801" s="6"/>
      <c r="R801" s="6"/>
      <c r="S801" s="6"/>
      <c r="T801" s="6"/>
      <c r="U801" s="6"/>
      <c r="V801" s="6"/>
      <c r="W801" s="6"/>
      <c r="X801" s="6"/>
      <c r="Y801" s="6"/>
      <c r="Z801" s="6"/>
      <c r="AA801" s="6"/>
    </row>
    <row r="802" ht="15.75" customHeight="1">
      <c r="L802" s="12"/>
      <c r="O802" s="6"/>
      <c r="P802" s="6"/>
      <c r="Q802" s="6"/>
      <c r="R802" s="6"/>
      <c r="S802" s="6"/>
      <c r="T802" s="6"/>
      <c r="U802" s="6"/>
      <c r="V802" s="6"/>
      <c r="W802" s="6"/>
      <c r="X802" s="6"/>
      <c r="Y802" s="6"/>
      <c r="Z802" s="6"/>
      <c r="AA802" s="6"/>
    </row>
    <row r="803" ht="15.75" customHeight="1">
      <c r="L803" s="12"/>
      <c r="O803" s="6"/>
      <c r="P803" s="6"/>
      <c r="Q803" s="6"/>
      <c r="R803" s="6"/>
      <c r="S803" s="6"/>
      <c r="T803" s="6"/>
      <c r="U803" s="6"/>
      <c r="V803" s="6"/>
      <c r="W803" s="6"/>
      <c r="X803" s="6"/>
      <c r="Y803" s="6"/>
      <c r="Z803" s="6"/>
      <c r="AA803" s="6"/>
    </row>
    <row r="804" ht="15.75" customHeight="1">
      <c r="L804" s="12"/>
      <c r="O804" s="6"/>
      <c r="P804" s="6"/>
      <c r="Q804" s="6"/>
      <c r="R804" s="6"/>
      <c r="S804" s="6"/>
      <c r="T804" s="6"/>
      <c r="U804" s="6"/>
      <c r="V804" s="6"/>
      <c r="W804" s="6"/>
      <c r="X804" s="6"/>
      <c r="Y804" s="6"/>
      <c r="Z804" s="6"/>
      <c r="AA804" s="6"/>
    </row>
    <row r="805" ht="15.75" customHeight="1">
      <c r="L805" s="12"/>
      <c r="O805" s="6"/>
      <c r="P805" s="6"/>
      <c r="Q805" s="6"/>
      <c r="R805" s="6"/>
      <c r="S805" s="6"/>
      <c r="T805" s="6"/>
      <c r="U805" s="6"/>
      <c r="V805" s="6"/>
      <c r="W805" s="6"/>
      <c r="X805" s="6"/>
      <c r="Y805" s="6"/>
      <c r="Z805" s="6"/>
      <c r="AA805" s="6"/>
    </row>
    <row r="806" ht="15.75" customHeight="1">
      <c r="L806" s="12"/>
      <c r="O806" s="6"/>
      <c r="P806" s="6"/>
      <c r="Q806" s="6"/>
      <c r="R806" s="6"/>
      <c r="S806" s="6"/>
      <c r="T806" s="6"/>
      <c r="U806" s="6"/>
      <c r="V806" s="6"/>
      <c r="W806" s="6"/>
      <c r="X806" s="6"/>
      <c r="Y806" s="6"/>
      <c r="Z806" s="6"/>
      <c r="AA806" s="6"/>
    </row>
    <row r="807" ht="15.75" customHeight="1">
      <c r="L807" s="12"/>
      <c r="O807" s="6"/>
      <c r="P807" s="6"/>
      <c r="Q807" s="6"/>
      <c r="R807" s="6"/>
      <c r="S807" s="6"/>
      <c r="T807" s="6"/>
      <c r="U807" s="6"/>
      <c r="V807" s="6"/>
      <c r="W807" s="6"/>
      <c r="X807" s="6"/>
      <c r="Y807" s="6"/>
      <c r="Z807" s="6"/>
      <c r="AA807" s="6"/>
    </row>
    <row r="808" ht="15.75" customHeight="1">
      <c r="L808" s="12"/>
      <c r="O808" s="6"/>
      <c r="P808" s="6"/>
      <c r="Q808" s="6"/>
      <c r="R808" s="6"/>
      <c r="S808" s="6"/>
      <c r="T808" s="6"/>
      <c r="U808" s="6"/>
      <c r="V808" s="6"/>
      <c r="W808" s="6"/>
      <c r="X808" s="6"/>
      <c r="Y808" s="6"/>
      <c r="Z808" s="6"/>
      <c r="AA808" s="6"/>
    </row>
    <row r="809" ht="15.75" customHeight="1">
      <c r="L809" s="12"/>
      <c r="O809" s="6"/>
      <c r="P809" s="6"/>
      <c r="Q809" s="6"/>
      <c r="R809" s="6"/>
      <c r="S809" s="6"/>
      <c r="T809" s="6"/>
      <c r="U809" s="6"/>
      <c r="V809" s="6"/>
      <c r="W809" s="6"/>
      <c r="X809" s="6"/>
      <c r="Y809" s="6"/>
      <c r="Z809" s="6"/>
      <c r="AA809" s="6"/>
    </row>
    <row r="810" ht="15.75" customHeight="1">
      <c r="L810" s="12"/>
      <c r="O810" s="6"/>
      <c r="P810" s="6"/>
      <c r="Q810" s="6"/>
      <c r="R810" s="6"/>
      <c r="S810" s="6"/>
      <c r="T810" s="6"/>
      <c r="U810" s="6"/>
      <c r="V810" s="6"/>
      <c r="W810" s="6"/>
      <c r="X810" s="6"/>
      <c r="Y810" s="6"/>
      <c r="Z810" s="6"/>
      <c r="AA810" s="6"/>
    </row>
    <row r="811" ht="15.75" customHeight="1">
      <c r="L811" s="12"/>
      <c r="O811" s="6"/>
      <c r="P811" s="6"/>
      <c r="Q811" s="6"/>
      <c r="R811" s="6"/>
      <c r="S811" s="6"/>
      <c r="T811" s="6"/>
      <c r="U811" s="6"/>
      <c r="V811" s="6"/>
      <c r="W811" s="6"/>
      <c r="X811" s="6"/>
      <c r="Y811" s="6"/>
      <c r="Z811" s="6"/>
      <c r="AA811" s="6"/>
    </row>
    <row r="812" ht="15.75" customHeight="1">
      <c r="L812" s="12"/>
      <c r="O812" s="6"/>
      <c r="P812" s="6"/>
      <c r="Q812" s="6"/>
      <c r="R812" s="6"/>
      <c r="S812" s="6"/>
      <c r="T812" s="6"/>
      <c r="U812" s="6"/>
      <c r="V812" s="6"/>
      <c r="W812" s="6"/>
      <c r="X812" s="6"/>
      <c r="Y812" s="6"/>
      <c r="Z812" s="6"/>
      <c r="AA812" s="6"/>
    </row>
    <row r="813" ht="15.75" customHeight="1">
      <c r="L813" s="12"/>
      <c r="O813" s="6"/>
      <c r="P813" s="6"/>
      <c r="Q813" s="6"/>
      <c r="R813" s="6"/>
      <c r="S813" s="6"/>
      <c r="T813" s="6"/>
      <c r="U813" s="6"/>
      <c r="V813" s="6"/>
      <c r="W813" s="6"/>
      <c r="X813" s="6"/>
      <c r="Y813" s="6"/>
      <c r="Z813" s="6"/>
      <c r="AA813" s="6"/>
    </row>
    <row r="814" ht="15.75" customHeight="1">
      <c r="L814" s="12"/>
      <c r="O814" s="6"/>
      <c r="P814" s="6"/>
      <c r="Q814" s="6"/>
      <c r="R814" s="6"/>
      <c r="S814" s="6"/>
      <c r="T814" s="6"/>
      <c r="U814" s="6"/>
      <c r="V814" s="6"/>
      <c r="W814" s="6"/>
      <c r="X814" s="6"/>
      <c r="Y814" s="6"/>
      <c r="Z814" s="6"/>
      <c r="AA814" s="6"/>
    </row>
    <row r="815" ht="15.75" customHeight="1">
      <c r="L815" s="12"/>
      <c r="O815" s="6"/>
      <c r="P815" s="6"/>
      <c r="Q815" s="6"/>
      <c r="R815" s="6"/>
      <c r="S815" s="6"/>
      <c r="T815" s="6"/>
      <c r="U815" s="6"/>
      <c r="V815" s="6"/>
      <c r="W815" s="6"/>
      <c r="X815" s="6"/>
      <c r="Y815" s="6"/>
      <c r="Z815" s="6"/>
      <c r="AA815" s="6"/>
    </row>
    <row r="816" ht="15.75" customHeight="1">
      <c r="L816" s="12"/>
      <c r="O816" s="6"/>
      <c r="P816" s="6"/>
      <c r="Q816" s="6"/>
      <c r="R816" s="6"/>
      <c r="S816" s="6"/>
      <c r="T816" s="6"/>
      <c r="U816" s="6"/>
      <c r="V816" s="6"/>
      <c r="W816" s="6"/>
      <c r="X816" s="6"/>
      <c r="Y816" s="6"/>
      <c r="Z816" s="6"/>
      <c r="AA816" s="6"/>
    </row>
    <row r="817" ht="15.75" customHeight="1">
      <c r="L817" s="12"/>
      <c r="O817" s="6"/>
      <c r="P817" s="6"/>
      <c r="Q817" s="6"/>
      <c r="R817" s="6"/>
      <c r="S817" s="6"/>
      <c r="T817" s="6"/>
      <c r="U817" s="6"/>
      <c r="V817" s="6"/>
      <c r="W817" s="6"/>
      <c r="X817" s="6"/>
      <c r="Y817" s="6"/>
      <c r="Z817" s="6"/>
      <c r="AA817" s="6"/>
    </row>
    <row r="818" ht="15.75" customHeight="1">
      <c r="L818" s="12"/>
      <c r="O818" s="6"/>
      <c r="P818" s="6"/>
      <c r="Q818" s="6"/>
      <c r="R818" s="6"/>
      <c r="S818" s="6"/>
      <c r="T818" s="6"/>
      <c r="U818" s="6"/>
      <c r="V818" s="6"/>
      <c r="W818" s="6"/>
      <c r="X818" s="6"/>
      <c r="Y818" s="6"/>
      <c r="Z818" s="6"/>
      <c r="AA818" s="6"/>
    </row>
    <row r="819" ht="15.75" customHeight="1">
      <c r="L819" s="12"/>
      <c r="O819" s="6"/>
      <c r="P819" s="6"/>
      <c r="Q819" s="6"/>
      <c r="R819" s="6"/>
      <c r="S819" s="6"/>
      <c r="T819" s="6"/>
      <c r="U819" s="6"/>
      <c r="V819" s="6"/>
      <c r="W819" s="6"/>
      <c r="X819" s="6"/>
      <c r="Y819" s="6"/>
      <c r="Z819" s="6"/>
      <c r="AA819" s="6"/>
    </row>
    <row r="820" ht="15.75" customHeight="1">
      <c r="L820" s="12"/>
      <c r="O820" s="6"/>
      <c r="P820" s="6"/>
      <c r="Q820" s="6"/>
      <c r="R820" s="6"/>
      <c r="S820" s="6"/>
      <c r="T820" s="6"/>
      <c r="U820" s="6"/>
      <c r="V820" s="6"/>
      <c r="W820" s="6"/>
      <c r="X820" s="6"/>
      <c r="Y820" s="6"/>
      <c r="Z820" s="6"/>
      <c r="AA820" s="6"/>
    </row>
    <row r="821" ht="15.75" customHeight="1">
      <c r="L821" s="12"/>
      <c r="O821" s="6"/>
      <c r="P821" s="6"/>
      <c r="Q821" s="6"/>
      <c r="R821" s="6"/>
      <c r="S821" s="6"/>
      <c r="T821" s="6"/>
      <c r="U821" s="6"/>
      <c r="V821" s="6"/>
      <c r="W821" s="6"/>
      <c r="X821" s="6"/>
      <c r="Y821" s="6"/>
      <c r="Z821" s="6"/>
      <c r="AA821" s="6"/>
    </row>
    <row r="822" ht="15.75" customHeight="1">
      <c r="L822" s="12"/>
      <c r="O822" s="6"/>
      <c r="P822" s="6"/>
      <c r="Q822" s="6"/>
      <c r="R822" s="6"/>
      <c r="S822" s="6"/>
      <c r="T822" s="6"/>
      <c r="U822" s="6"/>
      <c r="V822" s="6"/>
      <c r="W822" s="6"/>
      <c r="X822" s="6"/>
      <c r="Y822" s="6"/>
      <c r="Z822" s="6"/>
      <c r="AA822" s="6"/>
    </row>
    <row r="823" ht="15.75" customHeight="1">
      <c r="L823" s="12"/>
      <c r="O823" s="6"/>
      <c r="P823" s="6"/>
      <c r="Q823" s="6"/>
      <c r="R823" s="6"/>
      <c r="S823" s="6"/>
      <c r="T823" s="6"/>
      <c r="U823" s="6"/>
      <c r="V823" s="6"/>
      <c r="W823" s="6"/>
      <c r="X823" s="6"/>
      <c r="Y823" s="6"/>
      <c r="Z823" s="6"/>
      <c r="AA823" s="6"/>
    </row>
    <row r="824" ht="15.75" customHeight="1">
      <c r="L824" s="12"/>
      <c r="O824" s="6"/>
      <c r="P824" s="6"/>
      <c r="Q824" s="6"/>
      <c r="R824" s="6"/>
      <c r="S824" s="6"/>
      <c r="T824" s="6"/>
      <c r="U824" s="6"/>
      <c r="V824" s="6"/>
      <c r="W824" s="6"/>
      <c r="X824" s="6"/>
      <c r="Y824" s="6"/>
      <c r="Z824" s="6"/>
      <c r="AA824" s="6"/>
    </row>
    <row r="825" ht="15.75" customHeight="1">
      <c r="L825" s="12"/>
      <c r="O825" s="6"/>
      <c r="P825" s="6"/>
      <c r="Q825" s="6"/>
      <c r="R825" s="6"/>
      <c r="S825" s="6"/>
      <c r="T825" s="6"/>
      <c r="U825" s="6"/>
      <c r="V825" s="6"/>
      <c r="W825" s="6"/>
      <c r="X825" s="6"/>
      <c r="Y825" s="6"/>
      <c r="Z825" s="6"/>
      <c r="AA825" s="6"/>
    </row>
    <row r="826" ht="15.75" customHeight="1">
      <c r="L826" s="12"/>
      <c r="O826" s="6"/>
      <c r="P826" s="6"/>
      <c r="Q826" s="6"/>
      <c r="R826" s="6"/>
      <c r="S826" s="6"/>
      <c r="T826" s="6"/>
      <c r="U826" s="6"/>
      <c r="V826" s="6"/>
      <c r="W826" s="6"/>
      <c r="X826" s="6"/>
      <c r="Y826" s="6"/>
      <c r="Z826" s="6"/>
      <c r="AA826" s="6"/>
    </row>
    <row r="827" ht="15.75" customHeight="1">
      <c r="L827" s="12"/>
      <c r="O827" s="6"/>
      <c r="P827" s="6"/>
      <c r="Q827" s="6"/>
      <c r="R827" s="6"/>
      <c r="S827" s="6"/>
      <c r="T827" s="6"/>
      <c r="U827" s="6"/>
      <c r="V827" s="6"/>
      <c r="W827" s="6"/>
      <c r="X827" s="6"/>
      <c r="Y827" s="6"/>
      <c r="Z827" s="6"/>
      <c r="AA827" s="6"/>
    </row>
    <row r="828" ht="15.75" customHeight="1">
      <c r="L828" s="12"/>
      <c r="O828" s="6"/>
      <c r="P828" s="6"/>
      <c r="Q828" s="6"/>
      <c r="R828" s="6"/>
      <c r="S828" s="6"/>
      <c r="T828" s="6"/>
      <c r="U828" s="6"/>
      <c r="V828" s="6"/>
      <c r="W828" s="6"/>
      <c r="X828" s="6"/>
      <c r="Y828" s="6"/>
      <c r="Z828" s="6"/>
      <c r="AA828" s="6"/>
    </row>
    <row r="829" ht="15.75" customHeight="1">
      <c r="L829" s="12"/>
      <c r="O829" s="6"/>
      <c r="P829" s="6"/>
      <c r="Q829" s="6"/>
      <c r="R829" s="6"/>
      <c r="S829" s="6"/>
      <c r="T829" s="6"/>
      <c r="U829" s="6"/>
      <c r="V829" s="6"/>
      <c r="W829" s="6"/>
      <c r="X829" s="6"/>
      <c r="Y829" s="6"/>
      <c r="Z829" s="6"/>
      <c r="AA829" s="6"/>
    </row>
    <row r="830" ht="15.75" customHeight="1">
      <c r="L830" s="12"/>
      <c r="O830" s="6"/>
      <c r="P830" s="6"/>
      <c r="Q830" s="6"/>
      <c r="R830" s="6"/>
      <c r="S830" s="6"/>
      <c r="T830" s="6"/>
      <c r="U830" s="6"/>
      <c r="V830" s="6"/>
      <c r="W830" s="6"/>
      <c r="X830" s="6"/>
      <c r="Y830" s="6"/>
      <c r="Z830" s="6"/>
      <c r="AA830" s="6"/>
    </row>
    <row r="831" ht="15.75" customHeight="1">
      <c r="L831" s="12"/>
      <c r="O831" s="6"/>
      <c r="P831" s="6"/>
      <c r="Q831" s="6"/>
      <c r="R831" s="6"/>
      <c r="S831" s="6"/>
      <c r="T831" s="6"/>
      <c r="U831" s="6"/>
      <c r="V831" s="6"/>
      <c r="W831" s="6"/>
      <c r="X831" s="6"/>
      <c r="Y831" s="6"/>
      <c r="Z831" s="6"/>
      <c r="AA831" s="6"/>
    </row>
    <row r="832" ht="15.75" customHeight="1">
      <c r="L832" s="12"/>
      <c r="O832" s="6"/>
      <c r="P832" s="6"/>
      <c r="Q832" s="6"/>
      <c r="R832" s="6"/>
      <c r="S832" s="6"/>
      <c r="T832" s="6"/>
      <c r="U832" s="6"/>
      <c r="V832" s="6"/>
      <c r="W832" s="6"/>
      <c r="X832" s="6"/>
      <c r="Y832" s="6"/>
      <c r="Z832" s="6"/>
      <c r="AA832" s="6"/>
    </row>
    <row r="833" ht="15.75" customHeight="1">
      <c r="L833" s="12"/>
      <c r="O833" s="6"/>
      <c r="P833" s="6"/>
      <c r="Q833" s="6"/>
      <c r="R833" s="6"/>
      <c r="S833" s="6"/>
      <c r="T833" s="6"/>
      <c r="U833" s="6"/>
      <c r="V833" s="6"/>
      <c r="W833" s="6"/>
      <c r="X833" s="6"/>
      <c r="Y833" s="6"/>
      <c r="Z833" s="6"/>
      <c r="AA833" s="6"/>
    </row>
    <row r="834" ht="15.75" customHeight="1">
      <c r="L834" s="12"/>
      <c r="O834" s="6"/>
      <c r="P834" s="6"/>
      <c r="Q834" s="6"/>
      <c r="R834" s="6"/>
      <c r="S834" s="6"/>
      <c r="T834" s="6"/>
      <c r="U834" s="6"/>
      <c r="V834" s="6"/>
      <c r="W834" s="6"/>
      <c r="X834" s="6"/>
      <c r="Y834" s="6"/>
      <c r="Z834" s="6"/>
      <c r="AA834" s="6"/>
    </row>
    <row r="835" ht="15.75" customHeight="1">
      <c r="L835" s="12"/>
      <c r="O835" s="6"/>
      <c r="P835" s="6"/>
      <c r="Q835" s="6"/>
      <c r="R835" s="6"/>
      <c r="S835" s="6"/>
      <c r="T835" s="6"/>
      <c r="U835" s="6"/>
      <c r="V835" s="6"/>
      <c r="W835" s="6"/>
      <c r="X835" s="6"/>
      <c r="Y835" s="6"/>
      <c r="Z835" s="6"/>
      <c r="AA835" s="6"/>
    </row>
    <row r="836" ht="15.75" customHeight="1">
      <c r="L836" s="12"/>
      <c r="O836" s="6"/>
      <c r="P836" s="6"/>
      <c r="Q836" s="6"/>
      <c r="R836" s="6"/>
      <c r="S836" s="6"/>
      <c r="T836" s="6"/>
      <c r="U836" s="6"/>
      <c r="V836" s="6"/>
      <c r="W836" s="6"/>
      <c r="X836" s="6"/>
      <c r="Y836" s="6"/>
      <c r="Z836" s="6"/>
      <c r="AA836" s="6"/>
    </row>
    <row r="837" ht="15.75" customHeight="1">
      <c r="L837" s="12"/>
      <c r="O837" s="6"/>
      <c r="P837" s="6"/>
      <c r="Q837" s="6"/>
      <c r="R837" s="6"/>
      <c r="S837" s="6"/>
      <c r="T837" s="6"/>
      <c r="U837" s="6"/>
      <c r="V837" s="6"/>
      <c r="W837" s="6"/>
      <c r="X837" s="6"/>
      <c r="Y837" s="6"/>
      <c r="Z837" s="6"/>
      <c r="AA837" s="6"/>
    </row>
    <row r="838" ht="15.75" customHeight="1">
      <c r="L838" s="12"/>
      <c r="O838" s="6"/>
      <c r="P838" s="6"/>
      <c r="Q838" s="6"/>
      <c r="R838" s="6"/>
      <c r="S838" s="6"/>
      <c r="T838" s="6"/>
      <c r="U838" s="6"/>
      <c r="V838" s="6"/>
      <c r="W838" s="6"/>
      <c r="X838" s="6"/>
      <c r="Y838" s="6"/>
      <c r="Z838" s="6"/>
      <c r="AA838" s="6"/>
    </row>
    <row r="839" ht="15.75" customHeight="1">
      <c r="L839" s="12"/>
      <c r="O839" s="6"/>
      <c r="P839" s="6"/>
      <c r="Q839" s="6"/>
      <c r="R839" s="6"/>
      <c r="S839" s="6"/>
      <c r="T839" s="6"/>
      <c r="U839" s="6"/>
      <c r="V839" s="6"/>
      <c r="W839" s="6"/>
      <c r="X839" s="6"/>
      <c r="Y839" s="6"/>
      <c r="Z839" s="6"/>
      <c r="AA839" s="6"/>
    </row>
    <row r="840" ht="15.75" customHeight="1">
      <c r="L840" s="12"/>
      <c r="O840" s="6"/>
      <c r="P840" s="6"/>
      <c r="Q840" s="6"/>
      <c r="R840" s="6"/>
      <c r="S840" s="6"/>
      <c r="T840" s="6"/>
      <c r="U840" s="6"/>
      <c r="V840" s="6"/>
      <c r="W840" s="6"/>
      <c r="X840" s="6"/>
      <c r="Y840" s="6"/>
      <c r="Z840" s="6"/>
      <c r="AA840" s="6"/>
    </row>
    <row r="841" ht="15.75" customHeight="1">
      <c r="L841" s="12"/>
      <c r="O841" s="6"/>
      <c r="P841" s="6"/>
      <c r="Q841" s="6"/>
      <c r="R841" s="6"/>
      <c r="S841" s="6"/>
      <c r="T841" s="6"/>
      <c r="U841" s="6"/>
      <c r="V841" s="6"/>
      <c r="W841" s="6"/>
      <c r="X841" s="6"/>
      <c r="Y841" s="6"/>
      <c r="Z841" s="6"/>
      <c r="AA841" s="6"/>
    </row>
    <row r="842" ht="15.75" customHeight="1">
      <c r="L842" s="12"/>
      <c r="O842" s="6"/>
      <c r="P842" s="6"/>
      <c r="Q842" s="6"/>
      <c r="R842" s="6"/>
      <c r="S842" s="6"/>
      <c r="T842" s="6"/>
      <c r="U842" s="6"/>
      <c r="V842" s="6"/>
      <c r="W842" s="6"/>
      <c r="X842" s="6"/>
      <c r="Y842" s="6"/>
      <c r="Z842" s="6"/>
      <c r="AA842" s="6"/>
    </row>
    <row r="843" ht="15.75" customHeight="1">
      <c r="L843" s="12"/>
      <c r="O843" s="6"/>
      <c r="P843" s="6"/>
      <c r="Q843" s="6"/>
      <c r="R843" s="6"/>
      <c r="S843" s="6"/>
      <c r="T843" s="6"/>
      <c r="U843" s="6"/>
      <c r="V843" s="6"/>
      <c r="W843" s="6"/>
      <c r="X843" s="6"/>
      <c r="Y843" s="6"/>
      <c r="Z843" s="6"/>
      <c r="AA843" s="6"/>
    </row>
    <row r="844" ht="15.75" customHeight="1">
      <c r="L844" s="12"/>
      <c r="O844" s="6"/>
      <c r="P844" s="6"/>
      <c r="Q844" s="6"/>
      <c r="R844" s="6"/>
      <c r="S844" s="6"/>
      <c r="T844" s="6"/>
      <c r="U844" s="6"/>
      <c r="V844" s="6"/>
      <c r="W844" s="6"/>
      <c r="X844" s="6"/>
      <c r="Y844" s="6"/>
      <c r="Z844" s="6"/>
      <c r="AA844" s="6"/>
    </row>
    <row r="845" ht="15.75" customHeight="1">
      <c r="L845" s="12"/>
      <c r="O845" s="6"/>
      <c r="P845" s="6"/>
      <c r="Q845" s="6"/>
      <c r="R845" s="6"/>
      <c r="S845" s="6"/>
      <c r="T845" s="6"/>
      <c r="U845" s="6"/>
      <c r="V845" s="6"/>
      <c r="W845" s="6"/>
      <c r="X845" s="6"/>
      <c r="Y845" s="6"/>
      <c r="Z845" s="6"/>
      <c r="AA845" s="6"/>
    </row>
    <row r="846" ht="15.75" customHeight="1">
      <c r="L846" s="12"/>
      <c r="O846" s="6"/>
      <c r="P846" s="6"/>
      <c r="Q846" s="6"/>
      <c r="R846" s="6"/>
      <c r="S846" s="6"/>
      <c r="T846" s="6"/>
      <c r="U846" s="6"/>
      <c r="V846" s="6"/>
      <c r="W846" s="6"/>
      <c r="X846" s="6"/>
      <c r="Y846" s="6"/>
      <c r="Z846" s="6"/>
      <c r="AA846" s="6"/>
    </row>
    <row r="847" ht="15.75" customHeight="1">
      <c r="L847" s="12"/>
      <c r="O847" s="6"/>
      <c r="P847" s="6"/>
      <c r="Q847" s="6"/>
      <c r="R847" s="6"/>
      <c r="S847" s="6"/>
      <c r="T847" s="6"/>
      <c r="U847" s="6"/>
      <c r="V847" s="6"/>
      <c r="W847" s="6"/>
      <c r="X847" s="6"/>
      <c r="Y847" s="6"/>
      <c r="Z847" s="6"/>
      <c r="AA847" s="6"/>
    </row>
    <row r="848" ht="15.75" customHeight="1">
      <c r="L848" s="12"/>
      <c r="O848" s="6"/>
      <c r="P848" s="6"/>
      <c r="Q848" s="6"/>
      <c r="R848" s="6"/>
      <c r="S848" s="6"/>
      <c r="T848" s="6"/>
      <c r="U848" s="6"/>
      <c r="V848" s="6"/>
      <c r="W848" s="6"/>
      <c r="X848" s="6"/>
      <c r="Y848" s="6"/>
      <c r="Z848" s="6"/>
      <c r="AA848" s="6"/>
    </row>
    <row r="849" ht="15.75" customHeight="1">
      <c r="L849" s="12"/>
      <c r="O849" s="6"/>
      <c r="P849" s="6"/>
      <c r="Q849" s="6"/>
      <c r="R849" s="6"/>
      <c r="S849" s="6"/>
      <c r="T849" s="6"/>
      <c r="U849" s="6"/>
      <c r="V849" s="6"/>
      <c r="W849" s="6"/>
      <c r="X849" s="6"/>
      <c r="Y849" s="6"/>
      <c r="Z849" s="6"/>
      <c r="AA849" s="6"/>
    </row>
    <row r="850" ht="15.75" customHeight="1">
      <c r="L850" s="12"/>
      <c r="O850" s="6"/>
      <c r="P850" s="6"/>
      <c r="Q850" s="6"/>
      <c r="R850" s="6"/>
      <c r="S850" s="6"/>
      <c r="T850" s="6"/>
      <c r="U850" s="6"/>
      <c r="V850" s="6"/>
      <c r="W850" s="6"/>
      <c r="X850" s="6"/>
      <c r="Y850" s="6"/>
      <c r="Z850" s="6"/>
      <c r="AA850" s="6"/>
    </row>
    <row r="851" ht="15.75" customHeight="1">
      <c r="L851" s="12"/>
      <c r="O851" s="6"/>
      <c r="P851" s="6"/>
      <c r="Q851" s="6"/>
      <c r="R851" s="6"/>
      <c r="S851" s="6"/>
      <c r="T851" s="6"/>
      <c r="U851" s="6"/>
      <c r="V851" s="6"/>
      <c r="W851" s="6"/>
      <c r="X851" s="6"/>
      <c r="Y851" s="6"/>
      <c r="Z851" s="6"/>
      <c r="AA851" s="6"/>
    </row>
    <row r="852" ht="15.75" customHeight="1">
      <c r="L852" s="12"/>
      <c r="O852" s="6"/>
      <c r="P852" s="6"/>
      <c r="Q852" s="6"/>
      <c r="R852" s="6"/>
      <c r="S852" s="6"/>
      <c r="T852" s="6"/>
      <c r="U852" s="6"/>
      <c r="V852" s="6"/>
      <c r="W852" s="6"/>
      <c r="X852" s="6"/>
      <c r="Y852" s="6"/>
      <c r="Z852" s="6"/>
      <c r="AA852" s="6"/>
    </row>
    <row r="853" ht="15.75" customHeight="1">
      <c r="L853" s="12"/>
      <c r="O853" s="6"/>
      <c r="P853" s="6"/>
      <c r="Q853" s="6"/>
      <c r="R853" s="6"/>
      <c r="S853" s="6"/>
      <c r="T853" s="6"/>
      <c r="U853" s="6"/>
      <c r="V853" s="6"/>
      <c r="W853" s="6"/>
      <c r="X853" s="6"/>
      <c r="Y853" s="6"/>
      <c r="Z853" s="6"/>
      <c r="AA853" s="6"/>
    </row>
    <row r="854" ht="15.75" customHeight="1">
      <c r="L854" s="12"/>
      <c r="O854" s="6"/>
      <c r="P854" s="6"/>
      <c r="Q854" s="6"/>
      <c r="R854" s="6"/>
      <c r="S854" s="6"/>
      <c r="T854" s="6"/>
      <c r="U854" s="6"/>
      <c r="V854" s="6"/>
      <c r="W854" s="6"/>
      <c r="X854" s="6"/>
      <c r="Y854" s="6"/>
      <c r="Z854" s="6"/>
      <c r="AA854" s="6"/>
    </row>
    <row r="855" ht="15.75" customHeight="1">
      <c r="L855" s="12"/>
      <c r="O855" s="6"/>
      <c r="P855" s="6"/>
      <c r="Q855" s="6"/>
      <c r="R855" s="6"/>
      <c r="S855" s="6"/>
      <c r="T855" s="6"/>
      <c r="U855" s="6"/>
      <c r="V855" s="6"/>
      <c r="W855" s="6"/>
      <c r="X855" s="6"/>
      <c r="Y855" s="6"/>
      <c r="Z855" s="6"/>
      <c r="AA855" s="6"/>
    </row>
    <row r="856" ht="15.75" customHeight="1">
      <c r="L856" s="12"/>
      <c r="O856" s="6"/>
      <c r="P856" s="6"/>
      <c r="Q856" s="6"/>
      <c r="R856" s="6"/>
      <c r="S856" s="6"/>
      <c r="T856" s="6"/>
      <c r="U856" s="6"/>
      <c r="V856" s="6"/>
      <c r="W856" s="6"/>
      <c r="X856" s="6"/>
      <c r="Y856" s="6"/>
      <c r="Z856" s="6"/>
      <c r="AA856" s="6"/>
    </row>
    <row r="857" ht="15.75" customHeight="1">
      <c r="L857" s="12"/>
      <c r="O857" s="6"/>
      <c r="P857" s="6"/>
      <c r="Q857" s="6"/>
      <c r="R857" s="6"/>
      <c r="S857" s="6"/>
      <c r="T857" s="6"/>
      <c r="U857" s="6"/>
      <c r="V857" s="6"/>
      <c r="W857" s="6"/>
      <c r="X857" s="6"/>
      <c r="Y857" s="6"/>
      <c r="Z857" s="6"/>
      <c r="AA857" s="6"/>
    </row>
    <row r="858" ht="15.75" customHeight="1">
      <c r="L858" s="12"/>
      <c r="O858" s="6"/>
      <c r="P858" s="6"/>
      <c r="Q858" s="6"/>
      <c r="R858" s="6"/>
      <c r="S858" s="6"/>
      <c r="T858" s="6"/>
      <c r="U858" s="6"/>
      <c r="V858" s="6"/>
      <c r="W858" s="6"/>
      <c r="X858" s="6"/>
      <c r="Y858" s="6"/>
      <c r="Z858" s="6"/>
      <c r="AA858" s="6"/>
    </row>
    <row r="859" ht="15.75" customHeight="1">
      <c r="L859" s="12"/>
      <c r="O859" s="6"/>
      <c r="P859" s="6"/>
      <c r="Q859" s="6"/>
      <c r="R859" s="6"/>
      <c r="S859" s="6"/>
      <c r="T859" s="6"/>
      <c r="U859" s="6"/>
      <c r="V859" s="6"/>
      <c r="W859" s="6"/>
      <c r="X859" s="6"/>
      <c r="Y859" s="6"/>
      <c r="Z859" s="6"/>
      <c r="AA859" s="6"/>
    </row>
    <row r="860" ht="15.75" customHeight="1">
      <c r="L860" s="12"/>
      <c r="O860" s="6"/>
      <c r="P860" s="6"/>
      <c r="Q860" s="6"/>
      <c r="R860" s="6"/>
      <c r="S860" s="6"/>
      <c r="T860" s="6"/>
      <c r="U860" s="6"/>
      <c r="V860" s="6"/>
      <c r="W860" s="6"/>
      <c r="X860" s="6"/>
      <c r="Y860" s="6"/>
      <c r="Z860" s="6"/>
      <c r="AA860" s="6"/>
    </row>
    <row r="861" ht="15.75" customHeight="1">
      <c r="L861" s="12"/>
      <c r="O861" s="6"/>
      <c r="P861" s="6"/>
      <c r="Q861" s="6"/>
      <c r="R861" s="6"/>
      <c r="S861" s="6"/>
      <c r="T861" s="6"/>
      <c r="U861" s="6"/>
      <c r="V861" s="6"/>
      <c r="W861" s="6"/>
      <c r="X861" s="6"/>
      <c r="Y861" s="6"/>
      <c r="Z861" s="6"/>
      <c r="AA861" s="6"/>
    </row>
    <row r="862" ht="15.75" customHeight="1">
      <c r="L862" s="12"/>
      <c r="O862" s="6"/>
      <c r="P862" s="6"/>
      <c r="Q862" s="6"/>
      <c r="R862" s="6"/>
      <c r="S862" s="6"/>
      <c r="T862" s="6"/>
      <c r="U862" s="6"/>
      <c r="V862" s="6"/>
      <c r="W862" s="6"/>
      <c r="X862" s="6"/>
      <c r="Y862" s="6"/>
      <c r="Z862" s="6"/>
      <c r="AA862" s="6"/>
    </row>
    <row r="863" ht="15.75" customHeight="1">
      <c r="L863" s="12"/>
      <c r="O863" s="6"/>
      <c r="P863" s="6"/>
      <c r="Q863" s="6"/>
      <c r="R863" s="6"/>
      <c r="S863" s="6"/>
      <c r="T863" s="6"/>
      <c r="U863" s="6"/>
      <c r="V863" s="6"/>
      <c r="W863" s="6"/>
      <c r="X863" s="6"/>
      <c r="Y863" s="6"/>
      <c r="Z863" s="6"/>
      <c r="AA863" s="6"/>
    </row>
    <row r="864" ht="15.75" customHeight="1">
      <c r="L864" s="12"/>
      <c r="O864" s="6"/>
      <c r="P864" s="6"/>
      <c r="Q864" s="6"/>
      <c r="R864" s="6"/>
      <c r="S864" s="6"/>
      <c r="T864" s="6"/>
      <c r="U864" s="6"/>
      <c r="V864" s="6"/>
      <c r="W864" s="6"/>
      <c r="X864" s="6"/>
      <c r="Y864" s="6"/>
      <c r="Z864" s="6"/>
      <c r="AA864" s="6"/>
    </row>
    <row r="865" ht="15.75" customHeight="1">
      <c r="L865" s="12"/>
      <c r="O865" s="6"/>
      <c r="P865" s="6"/>
      <c r="Q865" s="6"/>
      <c r="R865" s="6"/>
      <c r="S865" s="6"/>
      <c r="T865" s="6"/>
      <c r="U865" s="6"/>
      <c r="V865" s="6"/>
      <c r="W865" s="6"/>
      <c r="X865" s="6"/>
      <c r="Y865" s="6"/>
      <c r="Z865" s="6"/>
      <c r="AA865" s="6"/>
    </row>
    <row r="866" ht="15.75" customHeight="1">
      <c r="L866" s="12"/>
      <c r="O866" s="6"/>
      <c r="P866" s="6"/>
      <c r="Q866" s="6"/>
      <c r="R866" s="6"/>
      <c r="S866" s="6"/>
      <c r="T866" s="6"/>
      <c r="U866" s="6"/>
      <c r="V866" s="6"/>
      <c r="W866" s="6"/>
      <c r="X866" s="6"/>
      <c r="Y866" s="6"/>
      <c r="Z866" s="6"/>
      <c r="AA866" s="6"/>
    </row>
    <row r="867" ht="15.75" customHeight="1">
      <c r="L867" s="12"/>
      <c r="O867" s="6"/>
      <c r="P867" s="6"/>
      <c r="Q867" s="6"/>
      <c r="R867" s="6"/>
      <c r="S867" s="6"/>
      <c r="T867" s="6"/>
      <c r="U867" s="6"/>
      <c r="V867" s="6"/>
      <c r="W867" s="6"/>
      <c r="X867" s="6"/>
      <c r="Y867" s="6"/>
      <c r="Z867" s="6"/>
      <c r="AA867" s="6"/>
    </row>
    <row r="868" ht="15.75" customHeight="1">
      <c r="L868" s="12"/>
      <c r="O868" s="6"/>
      <c r="P868" s="6"/>
      <c r="Q868" s="6"/>
      <c r="R868" s="6"/>
      <c r="S868" s="6"/>
      <c r="T868" s="6"/>
      <c r="U868" s="6"/>
      <c r="V868" s="6"/>
      <c r="W868" s="6"/>
      <c r="X868" s="6"/>
      <c r="Y868" s="6"/>
      <c r="Z868" s="6"/>
      <c r="AA868" s="6"/>
    </row>
    <row r="869" ht="15.75" customHeight="1">
      <c r="L869" s="12"/>
      <c r="O869" s="6"/>
      <c r="P869" s="6"/>
      <c r="Q869" s="6"/>
      <c r="R869" s="6"/>
      <c r="S869" s="6"/>
      <c r="T869" s="6"/>
      <c r="U869" s="6"/>
      <c r="V869" s="6"/>
      <c r="W869" s="6"/>
      <c r="X869" s="6"/>
      <c r="Y869" s="6"/>
      <c r="Z869" s="6"/>
      <c r="AA869" s="6"/>
    </row>
    <row r="870" ht="15.75" customHeight="1">
      <c r="L870" s="12"/>
      <c r="O870" s="6"/>
      <c r="P870" s="6"/>
      <c r="Q870" s="6"/>
      <c r="R870" s="6"/>
      <c r="S870" s="6"/>
      <c r="T870" s="6"/>
      <c r="U870" s="6"/>
      <c r="V870" s="6"/>
      <c r="W870" s="6"/>
      <c r="X870" s="6"/>
      <c r="Y870" s="6"/>
      <c r="Z870" s="6"/>
      <c r="AA870" s="6"/>
    </row>
    <row r="871" ht="15.75" customHeight="1">
      <c r="L871" s="12"/>
      <c r="O871" s="6"/>
      <c r="P871" s="6"/>
      <c r="Q871" s="6"/>
      <c r="R871" s="6"/>
      <c r="S871" s="6"/>
      <c r="T871" s="6"/>
      <c r="U871" s="6"/>
      <c r="V871" s="6"/>
      <c r="W871" s="6"/>
      <c r="X871" s="6"/>
      <c r="Y871" s="6"/>
      <c r="Z871" s="6"/>
      <c r="AA871" s="6"/>
    </row>
    <row r="872" ht="15.75" customHeight="1">
      <c r="L872" s="12"/>
      <c r="O872" s="6"/>
      <c r="P872" s="6"/>
      <c r="Q872" s="6"/>
      <c r="R872" s="6"/>
      <c r="S872" s="6"/>
      <c r="T872" s="6"/>
      <c r="U872" s="6"/>
      <c r="V872" s="6"/>
      <c r="W872" s="6"/>
      <c r="X872" s="6"/>
      <c r="Y872" s="6"/>
      <c r="Z872" s="6"/>
      <c r="AA872" s="6"/>
    </row>
    <row r="873" ht="15.75" customHeight="1">
      <c r="L873" s="12"/>
      <c r="O873" s="6"/>
      <c r="P873" s="6"/>
      <c r="Q873" s="6"/>
      <c r="R873" s="6"/>
      <c r="S873" s="6"/>
      <c r="T873" s="6"/>
      <c r="U873" s="6"/>
      <c r="V873" s="6"/>
      <c r="W873" s="6"/>
      <c r="X873" s="6"/>
      <c r="Y873" s="6"/>
      <c r="Z873" s="6"/>
      <c r="AA873" s="6"/>
    </row>
    <row r="874" ht="15.75" customHeight="1">
      <c r="L874" s="12"/>
      <c r="O874" s="6"/>
      <c r="P874" s="6"/>
      <c r="Q874" s="6"/>
      <c r="R874" s="6"/>
      <c r="S874" s="6"/>
      <c r="T874" s="6"/>
      <c r="U874" s="6"/>
      <c r="V874" s="6"/>
      <c r="W874" s="6"/>
      <c r="X874" s="6"/>
      <c r="Y874" s="6"/>
      <c r="Z874" s="6"/>
      <c r="AA874" s="6"/>
    </row>
    <row r="875" ht="15.75" customHeight="1">
      <c r="L875" s="12"/>
      <c r="O875" s="6"/>
      <c r="P875" s="6"/>
      <c r="Q875" s="6"/>
      <c r="R875" s="6"/>
      <c r="S875" s="6"/>
      <c r="T875" s="6"/>
      <c r="U875" s="6"/>
      <c r="V875" s="6"/>
      <c r="W875" s="6"/>
      <c r="X875" s="6"/>
      <c r="Y875" s="6"/>
      <c r="Z875" s="6"/>
      <c r="AA875" s="6"/>
    </row>
    <row r="876" ht="15.75" customHeight="1">
      <c r="L876" s="12"/>
      <c r="O876" s="6"/>
      <c r="P876" s="6"/>
      <c r="Q876" s="6"/>
      <c r="R876" s="6"/>
      <c r="S876" s="6"/>
      <c r="T876" s="6"/>
      <c r="U876" s="6"/>
      <c r="V876" s="6"/>
      <c r="W876" s="6"/>
      <c r="X876" s="6"/>
      <c r="Y876" s="6"/>
      <c r="Z876" s="6"/>
      <c r="AA876" s="6"/>
    </row>
    <row r="877" ht="15.75" customHeight="1">
      <c r="L877" s="12"/>
      <c r="O877" s="6"/>
      <c r="P877" s="6"/>
      <c r="Q877" s="6"/>
      <c r="R877" s="6"/>
      <c r="S877" s="6"/>
      <c r="T877" s="6"/>
      <c r="U877" s="6"/>
      <c r="V877" s="6"/>
      <c r="W877" s="6"/>
      <c r="X877" s="6"/>
      <c r="Y877" s="6"/>
      <c r="Z877" s="6"/>
      <c r="AA877" s="6"/>
    </row>
    <row r="878" ht="15.75" customHeight="1">
      <c r="L878" s="12"/>
      <c r="O878" s="6"/>
      <c r="P878" s="6"/>
      <c r="Q878" s="6"/>
      <c r="R878" s="6"/>
      <c r="S878" s="6"/>
      <c r="T878" s="6"/>
      <c r="U878" s="6"/>
      <c r="V878" s="6"/>
      <c r="W878" s="6"/>
      <c r="X878" s="6"/>
      <c r="Y878" s="6"/>
      <c r="Z878" s="6"/>
      <c r="AA878" s="6"/>
    </row>
    <row r="879" ht="15.75" customHeight="1">
      <c r="L879" s="12"/>
      <c r="O879" s="6"/>
      <c r="P879" s="6"/>
      <c r="Q879" s="6"/>
      <c r="R879" s="6"/>
      <c r="S879" s="6"/>
      <c r="T879" s="6"/>
      <c r="U879" s="6"/>
      <c r="V879" s="6"/>
      <c r="W879" s="6"/>
      <c r="X879" s="6"/>
      <c r="Y879" s="6"/>
      <c r="Z879" s="6"/>
      <c r="AA879" s="6"/>
    </row>
    <row r="880" ht="15.75" customHeight="1">
      <c r="L880" s="12"/>
      <c r="O880" s="6"/>
      <c r="P880" s="6"/>
      <c r="Q880" s="6"/>
      <c r="R880" s="6"/>
      <c r="S880" s="6"/>
      <c r="T880" s="6"/>
      <c r="U880" s="6"/>
      <c r="V880" s="6"/>
      <c r="W880" s="6"/>
      <c r="X880" s="6"/>
      <c r="Y880" s="6"/>
      <c r="Z880" s="6"/>
      <c r="AA880" s="6"/>
    </row>
    <row r="881" ht="15.75" customHeight="1">
      <c r="L881" s="12"/>
      <c r="O881" s="6"/>
      <c r="P881" s="6"/>
      <c r="Q881" s="6"/>
      <c r="R881" s="6"/>
      <c r="S881" s="6"/>
      <c r="T881" s="6"/>
      <c r="U881" s="6"/>
      <c r="V881" s="6"/>
      <c r="W881" s="6"/>
      <c r="X881" s="6"/>
      <c r="Y881" s="6"/>
      <c r="Z881" s="6"/>
      <c r="AA881" s="6"/>
    </row>
    <row r="882" ht="15.75" customHeight="1">
      <c r="L882" s="12"/>
      <c r="O882" s="6"/>
      <c r="P882" s="6"/>
      <c r="Q882" s="6"/>
      <c r="R882" s="6"/>
      <c r="S882" s="6"/>
      <c r="T882" s="6"/>
      <c r="U882" s="6"/>
      <c r="V882" s="6"/>
      <c r="W882" s="6"/>
      <c r="X882" s="6"/>
      <c r="Y882" s="6"/>
      <c r="Z882" s="6"/>
      <c r="AA882" s="6"/>
    </row>
    <row r="883" ht="15.75" customHeight="1">
      <c r="L883" s="12"/>
      <c r="O883" s="6"/>
      <c r="P883" s="6"/>
      <c r="Q883" s="6"/>
      <c r="R883" s="6"/>
      <c r="S883" s="6"/>
      <c r="T883" s="6"/>
      <c r="U883" s="6"/>
      <c r="V883" s="6"/>
      <c r="W883" s="6"/>
      <c r="X883" s="6"/>
      <c r="Y883" s="6"/>
      <c r="Z883" s="6"/>
      <c r="AA883" s="6"/>
    </row>
    <row r="884" ht="15.75" customHeight="1">
      <c r="L884" s="12"/>
      <c r="O884" s="6"/>
      <c r="P884" s="6"/>
      <c r="Q884" s="6"/>
      <c r="R884" s="6"/>
      <c r="S884" s="6"/>
      <c r="T884" s="6"/>
      <c r="U884" s="6"/>
      <c r="V884" s="6"/>
      <c r="W884" s="6"/>
      <c r="X884" s="6"/>
      <c r="Y884" s="6"/>
      <c r="Z884" s="6"/>
      <c r="AA884" s="6"/>
    </row>
    <row r="885" ht="15.75" customHeight="1">
      <c r="L885" s="12"/>
      <c r="O885" s="6"/>
      <c r="P885" s="6"/>
      <c r="Q885" s="6"/>
      <c r="R885" s="6"/>
      <c r="S885" s="6"/>
      <c r="T885" s="6"/>
      <c r="U885" s="6"/>
      <c r="V885" s="6"/>
      <c r="W885" s="6"/>
      <c r="X885" s="6"/>
      <c r="Y885" s="6"/>
      <c r="Z885" s="6"/>
      <c r="AA885" s="6"/>
    </row>
    <row r="886" ht="15.75" customHeight="1">
      <c r="L886" s="12"/>
      <c r="O886" s="6"/>
      <c r="P886" s="6"/>
      <c r="Q886" s="6"/>
      <c r="R886" s="6"/>
      <c r="S886" s="6"/>
      <c r="T886" s="6"/>
      <c r="U886" s="6"/>
      <c r="V886" s="6"/>
      <c r="W886" s="6"/>
      <c r="X886" s="6"/>
      <c r="Y886" s="6"/>
      <c r="Z886" s="6"/>
      <c r="AA886" s="6"/>
    </row>
    <row r="887" ht="15.75" customHeight="1">
      <c r="L887" s="12"/>
      <c r="O887" s="6"/>
      <c r="P887" s="6"/>
      <c r="Q887" s="6"/>
      <c r="R887" s="6"/>
      <c r="S887" s="6"/>
      <c r="T887" s="6"/>
      <c r="U887" s="6"/>
      <c r="V887" s="6"/>
      <c r="W887" s="6"/>
      <c r="X887" s="6"/>
      <c r="Y887" s="6"/>
      <c r="Z887" s="6"/>
      <c r="AA887" s="6"/>
    </row>
    <row r="888" ht="15.75" customHeight="1">
      <c r="L888" s="12"/>
      <c r="O888" s="6"/>
      <c r="P888" s="6"/>
      <c r="Q888" s="6"/>
      <c r="R888" s="6"/>
      <c r="S888" s="6"/>
      <c r="T888" s="6"/>
      <c r="U888" s="6"/>
      <c r="V888" s="6"/>
      <c r="W888" s="6"/>
      <c r="X888" s="6"/>
      <c r="Y888" s="6"/>
      <c r="Z888" s="6"/>
      <c r="AA888" s="6"/>
    </row>
    <row r="889" ht="15.75" customHeight="1">
      <c r="L889" s="12"/>
      <c r="O889" s="6"/>
      <c r="P889" s="6"/>
      <c r="Q889" s="6"/>
      <c r="R889" s="6"/>
      <c r="S889" s="6"/>
      <c r="T889" s="6"/>
      <c r="U889" s="6"/>
      <c r="V889" s="6"/>
      <c r="W889" s="6"/>
      <c r="X889" s="6"/>
      <c r="Y889" s="6"/>
      <c r="Z889" s="6"/>
      <c r="AA889" s="6"/>
    </row>
    <row r="890" ht="15.75" customHeight="1">
      <c r="L890" s="12"/>
      <c r="O890" s="6"/>
      <c r="P890" s="6"/>
      <c r="Q890" s="6"/>
      <c r="R890" s="6"/>
      <c r="S890" s="6"/>
      <c r="T890" s="6"/>
      <c r="U890" s="6"/>
      <c r="V890" s="6"/>
      <c r="W890" s="6"/>
      <c r="X890" s="6"/>
      <c r="Y890" s="6"/>
      <c r="Z890" s="6"/>
      <c r="AA890" s="6"/>
    </row>
    <row r="891" ht="15.75" customHeight="1">
      <c r="L891" s="12"/>
      <c r="O891" s="6"/>
      <c r="P891" s="6"/>
      <c r="Q891" s="6"/>
      <c r="R891" s="6"/>
      <c r="S891" s="6"/>
      <c r="T891" s="6"/>
      <c r="U891" s="6"/>
      <c r="V891" s="6"/>
      <c r="W891" s="6"/>
      <c r="X891" s="6"/>
      <c r="Y891" s="6"/>
      <c r="Z891" s="6"/>
      <c r="AA891" s="6"/>
    </row>
    <row r="892" ht="15.75" customHeight="1">
      <c r="L892" s="12"/>
      <c r="O892" s="6"/>
      <c r="P892" s="6"/>
      <c r="Q892" s="6"/>
      <c r="R892" s="6"/>
      <c r="S892" s="6"/>
      <c r="T892" s="6"/>
      <c r="U892" s="6"/>
      <c r="V892" s="6"/>
      <c r="W892" s="6"/>
      <c r="X892" s="6"/>
      <c r="Y892" s="6"/>
      <c r="Z892" s="6"/>
      <c r="AA892" s="6"/>
    </row>
    <row r="893" ht="15.75" customHeight="1">
      <c r="L893" s="12"/>
      <c r="O893" s="6"/>
      <c r="P893" s="6"/>
      <c r="Q893" s="6"/>
      <c r="R893" s="6"/>
      <c r="S893" s="6"/>
      <c r="T893" s="6"/>
      <c r="U893" s="6"/>
      <c r="V893" s="6"/>
      <c r="W893" s="6"/>
      <c r="X893" s="6"/>
      <c r="Y893" s="6"/>
      <c r="Z893" s="6"/>
      <c r="AA893" s="6"/>
    </row>
    <row r="894" ht="15.75" customHeight="1">
      <c r="L894" s="12"/>
      <c r="O894" s="6"/>
      <c r="P894" s="6"/>
      <c r="Q894" s="6"/>
      <c r="R894" s="6"/>
      <c r="S894" s="6"/>
      <c r="T894" s="6"/>
      <c r="U894" s="6"/>
      <c r="V894" s="6"/>
      <c r="W894" s="6"/>
      <c r="X894" s="6"/>
      <c r="Y894" s="6"/>
      <c r="Z894" s="6"/>
      <c r="AA894" s="6"/>
    </row>
    <row r="895" ht="15.75" customHeight="1">
      <c r="L895" s="12"/>
      <c r="O895" s="6"/>
      <c r="P895" s="6"/>
      <c r="Q895" s="6"/>
      <c r="R895" s="6"/>
      <c r="S895" s="6"/>
      <c r="T895" s="6"/>
      <c r="U895" s="6"/>
      <c r="V895" s="6"/>
      <c r="W895" s="6"/>
      <c r="X895" s="6"/>
      <c r="Y895" s="6"/>
      <c r="Z895" s="6"/>
      <c r="AA895" s="6"/>
    </row>
    <row r="896" ht="15.75" customHeight="1">
      <c r="L896" s="12"/>
      <c r="O896" s="6"/>
      <c r="P896" s="6"/>
      <c r="Q896" s="6"/>
      <c r="R896" s="6"/>
      <c r="S896" s="6"/>
      <c r="T896" s="6"/>
      <c r="U896" s="6"/>
      <c r="V896" s="6"/>
      <c r="W896" s="6"/>
      <c r="X896" s="6"/>
      <c r="Y896" s="6"/>
      <c r="Z896" s="6"/>
      <c r="AA896" s="6"/>
    </row>
    <row r="897" ht="15.75" customHeight="1">
      <c r="L897" s="12"/>
      <c r="O897" s="6"/>
      <c r="P897" s="6"/>
      <c r="Q897" s="6"/>
      <c r="R897" s="6"/>
      <c r="S897" s="6"/>
      <c r="T897" s="6"/>
      <c r="U897" s="6"/>
      <c r="V897" s="6"/>
      <c r="W897" s="6"/>
      <c r="X897" s="6"/>
      <c r="Y897" s="6"/>
      <c r="Z897" s="6"/>
      <c r="AA897" s="6"/>
    </row>
    <row r="898" ht="15.75" customHeight="1">
      <c r="L898" s="12"/>
      <c r="O898" s="6"/>
      <c r="P898" s="6"/>
      <c r="Q898" s="6"/>
      <c r="R898" s="6"/>
      <c r="S898" s="6"/>
      <c r="T898" s="6"/>
      <c r="U898" s="6"/>
      <c r="V898" s="6"/>
      <c r="W898" s="6"/>
      <c r="X898" s="6"/>
      <c r="Y898" s="6"/>
      <c r="Z898" s="6"/>
      <c r="AA898" s="6"/>
    </row>
    <row r="899" ht="15.75" customHeight="1">
      <c r="L899" s="12"/>
      <c r="O899" s="6"/>
      <c r="P899" s="6"/>
      <c r="Q899" s="6"/>
      <c r="R899" s="6"/>
      <c r="S899" s="6"/>
      <c r="T899" s="6"/>
      <c r="U899" s="6"/>
      <c r="V899" s="6"/>
      <c r="W899" s="6"/>
      <c r="X899" s="6"/>
      <c r="Y899" s="6"/>
      <c r="Z899" s="6"/>
      <c r="AA899" s="6"/>
    </row>
    <row r="900" ht="15.75" customHeight="1">
      <c r="L900" s="12"/>
      <c r="O900" s="6"/>
      <c r="P900" s="6"/>
      <c r="Q900" s="6"/>
      <c r="R900" s="6"/>
      <c r="S900" s="6"/>
      <c r="T900" s="6"/>
      <c r="U900" s="6"/>
      <c r="V900" s="6"/>
      <c r="W900" s="6"/>
      <c r="X900" s="6"/>
      <c r="Y900" s="6"/>
      <c r="Z900" s="6"/>
      <c r="AA900" s="6"/>
    </row>
    <row r="901" ht="15.75" customHeight="1">
      <c r="L901" s="12"/>
      <c r="O901" s="6"/>
      <c r="P901" s="6"/>
      <c r="Q901" s="6"/>
      <c r="R901" s="6"/>
      <c r="S901" s="6"/>
      <c r="T901" s="6"/>
      <c r="U901" s="6"/>
      <c r="V901" s="6"/>
      <c r="W901" s="6"/>
      <c r="X901" s="6"/>
      <c r="Y901" s="6"/>
      <c r="Z901" s="6"/>
      <c r="AA901" s="6"/>
    </row>
    <row r="902" ht="15.75" customHeight="1">
      <c r="L902" s="12"/>
      <c r="O902" s="6"/>
      <c r="P902" s="6"/>
      <c r="Q902" s="6"/>
      <c r="R902" s="6"/>
      <c r="S902" s="6"/>
      <c r="T902" s="6"/>
      <c r="U902" s="6"/>
      <c r="V902" s="6"/>
      <c r="W902" s="6"/>
      <c r="X902" s="6"/>
      <c r="Y902" s="6"/>
      <c r="Z902" s="6"/>
      <c r="AA902" s="6"/>
    </row>
    <row r="903" ht="15.75" customHeight="1">
      <c r="L903" s="12"/>
      <c r="O903" s="6"/>
      <c r="P903" s="6"/>
      <c r="Q903" s="6"/>
      <c r="R903" s="6"/>
      <c r="S903" s="6"/>
      <c r="T903" s="6"/>
      <c r="U903" s="6"/>
      <c r="V903" s="6"/>
      <c r="W903" s="6"/>
      <c r="X903" s="6"/>
      <c r="Y903" s="6"/>
      <c r="Z903" s="6"/>
      <c r="AA903" s="6"/>
    </row>
    <row r="904" ht="15.75" customHeight="1">
      <c r="L904" s="12"/>
      <c r="O904" s="6"/>
      <c r="P904" s="6"/>
      <c r="Q904" s="6"/>
      <c r="R904" s="6"/>
      <c r="S904" s="6"/>
      <c r="T904" s="6"/>
      <c r="U904" s="6"/>
      <c r="V904" s="6"/>
      <c r="W904" s="6"/>
      <c r="X904" s="6"/>
      <c r="Y904" s="6"/>
      <c r="Z904" s="6"/>
      <c r="AA904" s="6"/>
    </row>
    <row r="905" ht="15.75" customHeight="1">
      <c r="L905" s="12"/>
      <c r="O905" s="6"/>
      <c r="P905" s="6"/>
      <c r="Q905" s="6"/>
      <c r="R905" s="6"/>
      <c r="S905" s="6"/>
      <c r="T905" s="6"/>
      <c r="U905" s="6"/>
      <c r="V905" s="6"/>
      <c r="W905" s="6"/>
      <c r="X905" s="6"/>
      <c r="Y905" s="6"/>
      <c r="Z905" s="6"/>
      <c r="AA905" s="6"/>
    </row>
    <row r="906" ht="15.75" customHeight="1">
      <c r="L906" s="12"/>
      <c r="O906" s="6"/>
      <c r="P906" s="6"/>
      <c r="Q906" s="6"/>
      <c r="R906" s="6"/>
      <c r="S906" s="6"/>
      <c r="T906" s="6"/>
      <c r="U906" s="6"/>
      <c r="V906" s="6"/>
      <c r="W906" s="6"/>
      <c r="X906" s="6"/>
      <c r="Y906" s="6"/>
      <c r="Z906" s="6"/>
      <c r="AA906" s="6"/>
    </row>
    <row r="907" ht="15.75" customHeight="1">
      <c r="L907" s="12"/>
      <c r="O907" s="6"/>
      <c r="P907" s="6"/>
      <c r="Q907" s="6"/>
      <c r="R907" s="6"/>
      <c r="S907" s="6"/>
      <c r="T907" s="6"/>
      <c r="U907" s="6"/>
      <c r="V907" s="6"/>
      <c r="W907" s="6"/>
      <c r="X907" s="6"/>
      <c r="Y907" s="6"/>
      <c r="Z907" s="6"/>
      <c r="AA907" s="6"/>
    </row>
    <row r="908" ht="15.75" customHeight="1">
      <c r="L908" s="12"/>
      <c r="O908" s="6"/>
      <c r="P908" s="6"/>
      <c r="Q908" s="6"/>
      <c r="R908" s="6"/>
      <c r="S908" s="6"/>
      <c r="T908" s="6"/>
      <c r="U908" s="6"/>
      <c r="V908" s="6"/>
      <c r="W908" s="6"/>
      <c r="X908" s="6"/>
      <c r="Y908" s="6"/>
      <c r="Z908" s="6"/>
      <c r="AA908" s="6"/>
    </row>
    <row r="909" ht="15.75" customHeight="1">
      <c r="L909" s="12"/>
      <c r="O909" s="6"/>
      <c r="P909" s="6"/>
      <c r="Q909" s="6"/>
      <c r="R909" s="6"/>
      <c r="S909" s="6"/>
      <c r="T909" s="6"/>
      <c r="U909" s="6"/>
      <c r="V909" s="6"/>
      <c r="W909" s="6"/>
      <c r="X909" s="6"/>
      <c r="Y909" s="6"/>
      <c r="Z909" s="6"/>
      <c r="AA909" s="6"/>
    </row>
    <row r="910" ht="15.75" customHeight="1">
      <c r="L910" s="12"/>
      <c r="O910" s="6"/>
      <c r="P910" s="6"/>
      <c r="Q910" s="6"/>
      <c r="R910" s="6"/>
      <c r="S910" s="6"/>
      <c r="T910" s="6"/>
      <c r="U910" s="6"/>
      <c r="V910" s="6"/>
      <c r="W910" s="6"/>
      <c r="X910" s="6"/>
      <c r="Y910" s="6"/>
      <c r="Z910" s="6"/>
      <c r="AA910" s="6"/>
    </row>
    <row r="911" ht="15.75" customHeight="1">
      <c r="L911" s="12"/>
      <c r="O911" s="6"/>
      <c r="P911" s="6"/>
      <c r="Q911" s="6"/>
      <c r="R911" s="6"/>
      <c r="S911" s="6"/>
      <c r="T911" s="6"/>
      <c r="U911" s="6"/>
      <c r="V911" s="6"/>
      <c r="W911" s="6"/>
      <c r="X911" s="6"/>
      <c r="Y911" s="6"/>
      <c r="Z911" s="6"/>
      <c r="AA911" s="6"/>
    </row>
    <row r="912" ht="15.75" customHeight="1">
      <c r="L912" s="12"/>
      <c r="O912" s="6"/>
      <c r="P912" s="6"/>
      <c r="Q912" s="6"/>
      <c r="R912" s="6"/>
      <c r="S912" s="6"/>
      <c r="T912" s="6"/>
      <c r="U912" s="6"/>
      <c r="V912" s="6"/>
      <c r="W912" s="6"/>
      <c r="X912" s="6"/>
      <c r="Y912" s="6"/>
      <c r="Z912" s="6"/>
      <c r="AA912" s="6"/>
    </row>
    <row r="913" ht="15.75" customHeight="1">
      <c r="L913" s="12"/>
      <c r="O913" s="6"/>
      <c r="P913" s="6"/>
      <c r="Q913" s="6"/>
      <c r="R913" s="6"/>
      <c r="S913" s="6"/>
      <c r="T913" s="6"/>
      <c r="U913" s="6"/>
      <c r="V913" s="6"/>
      <c r="W913" s="6"/>
      <c r="X913" s="6"/>
      <c r="Y913" s="6"/>
      <c r="Z913" s="6"/>
      <c r="AA913" s="6"/>
    </row>
    <row r="914" ht="15.75" customHeight="1">
      <c r="L914" s="12"/>
      <c r="O914" s="6"/>
      <c r="P914" s="6"/>
      <c r="Q914" s="6"/>
      <c r="R914" s="6"/>
      <c r="S914" s="6"/>
      <c r="T914" s="6"/>
      <c r="U914" s="6"/>
      <c r="V914" s="6"/>
      <c r="W914" s="6"/>
      <c r="X914" s="6"/>
      <c r="Y914" s="6"/>
      <c r="Z914" s="6"/>
      <c r="AA914" s="6"/>
    </row>
    <row r="915" ht="15.75" customHeight="1">
      <c r="L915" s="12"/>
      <c r="O915" s="6"/>
      <c r="P915" s="6"/>
      <c r="Q915" s="6"/>
      <c r="R915" s="6"/>
      <c r="S915" s="6"/>
      <c r="T915" s="6"/>
      <c r="U915" s="6"/>
      <c r="V915" s="6"/>
      <c r="W915" s="6"/>
      <c r="X915" s="6"/>
      <c r="Y915" s="6"/>
      <c r="Z915" s="6"/>
      <c r="AA915" s="6"/>
    </row>
    <row r="916" ht="15.75" customHeight="1">
      <c r="L916" s="12"/>
      <c r="O916" s="6"/>
      <c r="P916" s="6"/>
      <c r="Q916" s="6"/>
      <c r="R916" s="6"/>
      <c r="S916" s="6"/>
      <c r="T916" s="6"/>
      <c r="U916" s="6"/>
      <c r="V916" s="6"/>
      <c r="W916" s="6"/>
      <c r="X916" s="6"/>
      <c r="Y916" s="6"/>
      <c r="Z916" s="6"/>
      <c r="AA916" s="6"/>
    </row>
    <row r="917" ht="15.75" customHeight="1">
      <c r="L917" s="12"/>
      <c r="O917" s="6"/>
      <c r="P917" s="6"/>
      <c r="Q917" s="6"/>
      <c r="R917" s="6"/>
      <c r="S917" s="6"/>
      <c r="T917" s="6"/>
      <c r="U917" s="6"/>
      <c r="V917" s="6"/>
      <c r="W917" s="6"/>
      <c r="X917" s="6"/>
      <c r="Y917" s="6"/>
      <c r="Z917" s="6"/>
      <c r="AA917" s="6"/>
    </row>
    <row r="918" ht="15.75" customHeight="1">
      <c r="L918" s="12"/>
      <c r="O918" s="6"/>
      <c r="P918" s="6"/>
      <c r="Q918" s="6"/>
      <c r="R918" s="6"/>
      <c r="S918" s="6"/>
      <c r="T918" s="6"/>
      <c r="U918" s="6"/>
      <c r="V918" s="6"/>
      <c r="W918" s="6"/>
      <c r="X918" s="6"/>
      <c r="Y918" s="6"/>
      <c r="Z918" s="6"/>
      <c r="AA918" s="6"/>
    </row>
    <row r="919" ht="15.75" customHeight="1">
      <c r="L919" s="12"/>
      <c r="O919" s="6"/>
      <c r="P919" s="6"/>
      <c r="Q919" s="6"/>
      <c r="R919" s="6"/>
      <c r="S919" s="6"/>
      <c r="T919" s="6"/>
      <c r="U919" s="6"/>
      <c r="V919" s="6"/>
      <c r="W919" s="6"/>
      <c r="X919" s="6"/>
      <c r="Y919" s="6"/>
      <c r="Z919" s="6"/>
      <c r="AA919" s="6"/>
    </row>
    <row r="920" ht="15.75" customHeight="1">
      <c r="L920" s="12"/>
      <c r="O920" s="6"/>
      <c r="P920" s="6"/>
      <c r="Q920" s="6"/>
      <c r="R920" s="6"/>
      <c r="S920" s="6"/>
      <c r="T920" s="6"/>
      <c r="U920" s="6"/>
      <c r="V920" s="6"/>
      <c r="W920" s="6"/>
      <c r="X920" s="6"/>
      <c r="Y920" s="6"/>
      <c r="Z920" s="6"/>
      <c r="AA920" s="6"/>
    </row>
    <row r="921" ht="15.75" customHeight="1">
      <c r="L921" s="12"/>
      <c r="O921" s="6"/>
      <c r="P921" s="6"/>
      <c r="Q921" s="6"/>
      <c r="R921" s="6"/>
      <c r="S921" s="6"/>
      <c r="T921" s="6"/>
      <c r="U921" s="6"/>
      <c r="V921" s="6"/>
      <c r="W921" s="6"/>
      <c r="X921" s="6"/>
      <c r="Y921" s="6"/>
      <c r="Z921" s="6"/>
      <c r="AA921" s="6"/>
    </row>
    <row r="922" ht="15.75" customHeight="1">
      <c r="L922" s="12"/>
      <c r="O922" s="6"/>
      <c r="P922" s="6"/>
      <c r="Q922" s="6"/>
      <c r="R922" s="6"/>
      <c r="S922" s="6"/>
      <c r="T922" s="6"/>
      <c r="U922" s="6"/>
      <c r="V922" s="6"/>
      <c r="W922" s="6"/>
      <c r="X922" s="6"/>
      <c r="Y922" s="6"/>
      <c r="Z922" s="6"/>
      <c r="AA922" s="6"/>
    </row>
    <row r="923" ht="15.75" customHeight="1">
      <c r="L923" s="12"/>
      <c r="O923" s="6"/>
      <c r="P923" s="6"/>
      <c r="Q923" s="6"/>
      <c r="R923" s="6"/>
      <c r="S923" s="6"/>
      <c r="T923" s="6"/>
      <c r="U923" s="6"/>
      <c r="V923" s="6"/>
      <c r="W923" s="6"/>
      <c r="X923" s="6"/>
      <c r="Y923" s="6"/>
      <c r="Z923" s="6"/>
      <c r="AA923" s="6"/>
    </row>
    <row r="924" ht="15.75" customHeight="1">
      <c r="L924" s="12"/>
      <c r="O924" s="6"/>
      <c r="P924" s="6"/>
      <c r="Q924" s="6"/>
      <c r="R924" s="6"/>
      <c r="S924" s="6"/>
      <c r="T924" s="6"/>
      <c r="U924" s="6"/>
      <c r="V924" s="6"/>
      <c r="W924" s="6"/>
      <c r="X924" s="6"/>
      <c r="Y924" s="6"/>
      <c r="Z924" s="6"/>
      <c r="AA924" s="6"/>
    </row>
    <row r="925" ht="15.75" customHeight="1">
      <c r="L925" s="12"/>
      <c r="O925" s="6"/>
      <c r="P925" s="6"/>
      <c r="Q925" s="6"/>
      <c r="R925" s="6"/>
      <c r="S925" s="6"/>
      <c r="T925" s="6"/>
      <c r="U925" s="6"/>
      <c r="V925" s="6"/>
      <c r="W925" s="6"/>
      <c r="X925" s="6"/>
      <c r="Y925" s="6"/>
      <c r="Z925" s="6"/>
      <c r="AA925" s="6"/>
    </row>
    <row r="926" ht="15.75" customHeight="1">
      <c r="L926" s="12"/>
      <c r="O926" s="6"/>
      <c r="P926" s="6"/>
      <c r="Q926" s="6"/>
      <c r="R926" s="6"/>
      <c r="S926" s="6"/>
      <c r="T926" s="6"/>
      <c r="U926" s="6"/>
      <c r="V926" s="6"/>
      <c r="W926" s="6"/>
      <c r="X926" s="6"/>
      <c r="Y926" s="6"/>
      <c r="Z926" s="6"/>
      <c r="AA926" s="6"/>
    </row>
    <row r="927" ht="15.75" customHeight="1">
      <c r="L927" s="12"/>
      <c r="O927" s="6"/>
      <c r="P927" s="6"/>
      <c r="Q927" s="6"/>
      <c r="R927" s="6"/>
      <c r="S927" s="6"/>
      <c r="T927" s="6"/>
      <c r="U927" s="6"/>
      <c r="V927" s="6"/>
      <c r="W927" s="6"/>
      <c r="X927" s="6"/>
      <c r="Y927" s="6"/>
      <c r="Z927" s="6"/>
      <c r="AA927" s="6"/>
    </row>
    <row r="928" ht="15.75" customHeight="1">
      <c r="L928" s="12"/>
      <c r="O928" s="6"/>
      <c r="P928" s="6"/>
      <c r="Q928" s="6"/>
      <c r="R928" s="6"/>
      <c r="S928" s="6"/>
      <c r="T928" s="6"/>
      <c r="U928" s="6"/>
      <c r="V928" s="6"/>
      <c r="W928" s="6"/>
      <c r="X928" s="6"/>
      <c r="Y928" s="6"/>
      <c r="Z928" s="6"/>
      <c r="AA928" s="6"/>
    </row>
    <row r="929" ht="15.75" customHeight="1">
      <c r="L929" s="12"/>
      <c r="O929" s="6"/>
      <c r="P929" s="6"/>
      <c r="Q929" s="6"/>
      <c r="R929" s="6"/>
      <c r="S929" s="6"/>
      <c r="T929" s="6"/>
      <c r="U929" s="6"/>
      <c r="V929" s="6"/>
      <c r="W929" s="6"/>
      <c r="X929" s="6"/>
      <c r="Y929" s="6"/>
      <c r="Z929" s="6"/>
      <c r="AA929" s="6"/>
    </row>
    <row r="930" ht="15.75" customHeight="1">
      <c r="L930" s="12"/>
      <c r="O930" s="6"/>
      <c r="P930" s="6"/>
      <c r="Q930" s="6"/>
      <c r="R930" s="6"/>
      <c r="S930" s="6"/>
      <c r="T930" s="6"/>
      <c r="U930" s="6"/>
      <c r="V930" s="6"/>
      <c r="W930" s="6"/>
      <c r="X930" s="6"/>
      <c r="Y930" s="6"/>
      <c r="Z930" s="6"/>
      <c r="AA930" s="6"/>
    </row>
    <row r="931" ht="15.75" customHeight="1">
      <c r="L931" s="12"/>
      <c r="O931" s="6"/>
      <c r="P931" s="6"/>
      <c r="Q931" s="6"/>
      <c r="R931" s="6"/>
      <c r="S931" s="6"/>
      <c r="T931" s="6"/>
      <c r="U931" s="6"/>
      <c r="V931" s="6"/>
      <c r="W931" s="6"/>
      <c r="X931" s="6"/>
      <c r="Y931" s="6"/>
      <c r="Z931" s="6"/>
      <c r="AA931" s="6"/>
    </row>
    <row r="932" ht="15.75" customHeight="1">
      <c r="L932" s="12"/>
      <c r="O932" s="6"/>
      <c r="P932" s="6"/>
      <c r="Q932" s="6"/>
      <c r="R932" s="6"/>
      <c r="S932" s="6"/>
      <c r="T932" s="6"/>
      <c r="U932" s="6"/>
      <c r="V932" s="6"/>
      <c r="W932" s="6"/>
      <c r="X932" s="6"/>
      <c r="Y932" s="6"/>
      <c r="Z932" s="6"/>
      <c r="AA932" s="6"/>
    </row>
    <row r="933" ht="15.75" customHeight="1">
      <c r="L933" s="12"/>
      <c r="O933" s="6"/>
      <c r="P933" s="6"/>
      <c r="Q933" s="6"/>
      <c r="R933" s="6"/>
      <c r="S933" s="6"/>
      <c r="T933" s="6"/>
      <c r="U933" s="6"/>
      <c r="V933" s="6"/>
      <c r="W933" s="6"/>
      <c r="X933" s="6"/>
      <c r="Y933" s="6"/>
      <c r="Z933" s="6"/>
      <c r="AA933" s="6"/>
    </row>
    <row r="934" ht="15.75" customHeight="1">
      <c r="L934" s="12"/>
      <c r="O934" s="6"/>
      <c r="P934" s="6"/>
      <c r="Q934" s="6"/>
      <c r="R934" s="6"/>
      <c r="S934" s="6"/>
      <c r="T934" s="6"/>
      <c r="U934" s="6"/>
      <c r="V934" s="6"/>
      <c r="W934" s="6"/>
      <c r="X934" s="6"/>
      <c r="Y934" s="6"/>
      <c r="Z934" s="6"/>
      <c r="AA934" s="6"/>
    </row>
    <row r="935" ht="15.75" customHeight="1">
      <c r="L935" s="12"/>
      <c r="O935" s="6"/>
      <c r="P935" s="6"/>
      <c r="Q935" s="6"/>
      <c r="R935" s="6"/>
      <c r="S935" s="6"/>
      <c r="T935" s="6"/>
      <c r="U935" s="6"/>
      <c r="V935" s="6"/>
      <c r="W935" s="6"/>
      <c r="X935" s="6"/>
      <c r="Y935" s="6"/>
      <c r="Z935" s="6"/>
      <c r="AA935" s="6"/>
    </row>
    <row r="936" ht="15.75" customHeight="1">
      <c r="L936" s="12"/>
      <c r="O936" s="6"/>
      <c r="P936" s="6"/>
      <c r="Q936" s="6"/>
      <c r="R936" s="6"/>
      <c r="S936" s="6"/>
      <c r="T936" s="6"/>
      <c r="U936" s="6"/>
      <c r="V936" s="6"/>
      <c r="W936" s="6"/>
      <c r="X936" s="6"/>
      <c r="Y936" s="6"/>
      <c r="Z936" s="6"/>
      <c r="AA936" s="6"/>
    </row>
    <row r="937" ht="15.75" customHeight="1">
      <c r="L937" s="12"/>
      <c r="O937" s="6"/>
      <c r="P937" s="6"/>
      <c r="Q937" s="6"/>
      <c r="R937" s="6"/>
      <c r="S937" s="6"/>
      <c r="T937" s="6"/>
      <c r="U937" s="6"/>
      <c r="V937" s="6"/>
      <c r="W937" s="6"/>
      <c r="X937" s="6"/>
      <c r="Y937" s="6"/>
      <c r="Z937" s="6"/>
      <c r="AA937" s="6"/>
    </row>
    <row r="938" ht="15.75" customHeight="1">
      <c r="L938" s="12"/>
      <c r="O938" s="6"/>
      <c r="P938" s="6"/>
      <c r="Q938" s="6"/>
      <c r="R938" s="6"/>
      <c r="S938" s="6"/>
      <c r="T938" s="6"/>
      <c r="U938" s="6"/>
      <c r="V938" s="6"/>
      <c r="W938" s="6"/>
      <c r="X938" s="6"/>
      <c r="Y938" s="6"/>
      <c r="Z938" s="6"/>
      <c r="AA938" s="6"/>
    </row>
    <row r="939" ht="15.75" customHeight="1">
      <c r="L939" s="12"/>
      <c r="O939" s="6"/>
      <c r="P939" s="6"/>
      <c r="Q939" s="6"/>
      <c r="R939" s="6"/>
      <c r="S939" s="6"/>
      <c r="T939" s="6"/>
      <c r="U939" s="6"/>
      <c r="V939" s="6"/>
      <c r="W939" s="6"/>
      <c r="X939" s="6"/>
      <c r="Y939" s="6"/>
      <c r="Z939" s="6"/>
      <c r="AA939" s="6"/>
    </row>
    <row r="940" ht="15.75" customHeight="1">
      <c r="L940" s="12"/>
      <c r="O940" s="6"/>
      <c r="P940" s="6"/>
      <c r="Q940" s="6"/>
      <c r="R940" s="6"/>
      <c r="S940" s="6"/>
      <c r="T940" s="6"/>
      <c r="U940" s="6"/>
      <c r="V940" s="6"/>
      <c r="W940" s="6"/>
      <c r="X940" s="6"/>
      <c r="Y940" s="6"/>
      <c r="Z940" s="6"/>
      <c r="AA940" s="6"/>
    </row>
    <row r="941" ht="15.75" customHeight="1">
      <c r="L941" s="12"/>
      <c r="O941" s="6"/>
      <c r="P941" s="6"/>
      <c r="Q941" s="6"/>
      <c r="R941" s="6"/>
      <c r="S941" s="6"/>
      <c r="T941" s="6"/>
      <c r="U941" s="6"/>
      <c r="V941" s="6"/>
      <c r="W941" s="6"/>
      <c r="X941" s="6"/>
      <c r="Y941" s="6"/>
      <c r="Z941" s="6"/>
      <c r="AA941" s="6"/>
    </row>
    <row r="942" ht="15.75" customHeight="1">
      <c r="L942" s="12"/>
      <c r="O942" s="6"/>
      <c r="P942" s="6"/>
      <c r="Q942" s="6"/>
      <c r="R942" s="6"/>
      <c r="S942" s="6"/>
      <c r="T942" s="6"/>
      <c r="U942" s="6"/>
      <c r="V942" s="6"/>
      <c r="W942" s="6"/>
      <c r="X942" s="6"/>
      <c r="Y942" s="6"/>
      <c r="Z942" s="6"/>
      <c r="AA942" s="6"/>
    </row>
    <row r="943" ht="15.75" customHeight="1">
      <c r="L943" s="12"/>
      <c r="O943" s="6"/>
      <c r="P943" s="6"/>
      <c r="Q943" s="6"/>
      <c r="R943" s="6"/>
      <c r="S943" s="6"/>
      <c r="T943" s="6"/>
      <c r="U943" s="6"/>
      <c r="V943" s="6"/>
      <c r="W943" s="6"/>
      <c r="X943" s="6"/>
      <c r="Y943" s="6"/>
      <c r="Z943" s="6"/>
      <c r="AA943" s="6"/>
    </row>
    <row r="944" ht="15.75" customHeight="1">
      <c r="L944" s="12"/>
      <c r="O944" s="6"/>
      <c r="P944" s="6"/>
      <c r="Q944" s="6"/>
      <c r="R944" s="6"/>
      <c r="S944" s="6"/>
      <c r="T944" s="6"/>
      <c r="U944" s="6"/>
      <c r="V944" s="6"/>
      <c r="W944" s="6"/>
      <c r="X944" s="6"/>
      <c r="Y944" s="6"/>
      <c r="Z944" s="6"/>
      <c r="AA944" s="6"/>
    </row>
    <row r="945" ht="15.75" customHeight="1">
      <c r="L945" s="12"/>
      <c r="O945" s="6"/>
      <c r="P945" s="6"/>
      <c r="Q945" s="6"/>
      <c r="R945" s="6"/>
      <c r="S945" s="6"/>
      <c r="T945" s="6"/>
      <c r="U945" s="6"/>
      <c r="V945" s="6"/>
      <c r="W945" s="6"/>
      <c r="X945" s="6"/>
      <c r="Y945" s="6"/>
      <c r="Z945" s="6"/>
      <c r="AA945" s="6"/>
    </row>
    <row r="946" ht="15.75" customHeight="1">
      <c r="L946" s="12"/>
      <c r="O946" s="6"/>
      <c r="P946" s="6"/>
      <c r="Q946" s="6"/>
      <c r="R946" s="6"/>
      <c r="S946" s="6"/>
      <c r="T946" s="6"/>
      <c r="U946" s="6"/>
      <c r="V946" s="6"/>
      <c r="W946" s="6"/>
      <c r="X946" s="6"/>
      <c r="Y946" s="6"/>
      <c r="Z946" s="6"/>
      <c r="AA946" s="6"/>
    </row>
    <row r="947" ht="15.75" customHeight="1">
      <c r="L947" s="12"/>
      <c r="O947" s="6"/>
      <c r="P947" s="6"/>
      <c r="Q947" s="6"/>
      <c r="R947" s="6"/>
      <c r="S947" s="6"/>
      <c r="T947" s="6"/>
      <c r="U947" s="6"/>
      <c r="V947" s="6"/>
      <c r="W947" s="6"/>
      <c r="X947" s="6"/>
      <c r="Y947" s="6"/>
      <c r="Z947" s="6"/>
      <c r="AA947" s="6"/>
    </row>
    <row r="948" ht="15.75" customHeight="1">
      <c r="L948" s="12"/>
      <c r="O948" s="6"/>
      <c r="P948" s="6"/>
      <c r="Q948" s="6"/>
      <c r="R948" s="6"/>
      <c r="S948" s="6"/>
      <c r="T948" s="6"/>
      <c r="U948" s="6"/>
      <c r="V948" s="6"/>
      <c r="W948" s="6"/>
      <c r="X948" s="6"/>
      <c r="Y948" s="6"/>
      <c r="Z948" s="6"/>
      <c r="AA948" s="6"/>
    </row>
    <row r="949" ht="15.75" customHeight="1">
      <c r="L949" s="12"/>
      <c r="O949" s="6"/>
      <c r="P949" s="6"/>
      <c r="Q949" s="6"/>
      <c r="R949" s="6"/>
      <c r="S949" s="6"/>
      <c r="T949" s="6"/>
      <c r="U949" s="6"/>
      <c r="V949" s="6"/>
      <c r="W949" s="6"/>
      <c r="X949" s="6"/>
      <c r="Y949" s="6"/>
      <c r="Z949" s="6"/>
      <c r="AA949" s="6"/>
    </row>
    <row r="950" ht="15.75" customHeight="1">
      <c r="L950" s="12"/>
      <c r="O950" s="6"/>
      <c r="P950" s="6"/>
      <c r="Q950" s="6"/>
      <c r="R950" s="6"/>
      <c r="S950" s="6"/>
      <c r="T950" s="6"/>
      <c r="U950" s="6"/>
      <c r="V950" s="6"/>
      <c r="W950" s="6"/>
      <c r="X950" s="6"/>
      <c r="Y950" s="6"/>
      <c r="Z950" s="6"/>
      <c r="AA950" s="6"/>
    </row>
    <row r="951" ht="15.75" customHeight="1">
      <c r="L951" s="12"/>
      <c r="O951" s="6"/>
      <c r="P951" s="6"/>
      <c r="Q951" s="6"/>
      <c r="R951" s="6"/>
      <c r="S951" s="6"/>
      <c r="T951" s="6"/>
      <c r="U951" s="6"/>
      <c r="V951" s="6"/>
      <c r="W951" s="6"/>
      <c r="X951" s="6"/>
      <c r="Y951" s="6"/>
      <c r="Z951" s="6"/>
      <c r="AA951" s="6"/>
    </row>
    <row r="952" ht="15.75" customHeight="1">
      <c r="L952" s="12"/>
      <c r="O952" s="6"/>
      <c r="P952" s="6"/>
      <c r="Q952" s="6"/>
      <c r="R952" s="6"/>
      <c r="S952" s="6"/>
      <c r="T952" s="6"/>
      <c r="U952" s="6"/>
      <c r="V952" s="6"/>
      <c r="W952" s="6"/>
      <c r="X952" s="6"/>
      <c r="Y952" s="6"/>
      <c r="Z952" s="6"/>
      <c r="AA952" s="6"/>
    </row>
    <row r="953" ht="15.75" customHeight="1">
      <c r="L953" s="12"/>
      <c r="O953" s="6"/>
      <c r="P953" s="6"/>
      <c r="Q953" s="6"/>
      <c r="R953" s="6"/>
      <c r="S953" s="6"/>
      <c r="T953" s="6"/>
      <c r="U953" s="6"/>
      <c r="V953" s="6"/>
      <c r="W953" s="6"/>
      <c r="X953" s="6"/>
      <c r="Y953" s="6"/>
      <c r="Z953" s="6"/>
      <c r="AA953" s="6"/>
    </row>
    <row r="954" ht="15.75" customHeight="1">
      <c r="L954" s="12"/>
      <c r="O954" s="6"/>
      <c r="P954" s="6"/>
      <c r="Q954" s="6"/>
      <c r="R954" s="6"/>
      <c r="S954" s="6"/>
      <c r="T954" s="6"/>
      <c r="U954" s="6"/>
      <c r="V954" s="6"/>
      <c r="W954" s="6"/>
      <c r="X954" s="6"/>
      <c r="Y954" s="6"/>
      <c r="Z954" s="6"/>
      <c r="AA954" s="6"/>
    </row>
    <row r="955" ht="15.75" customHeight="1">
      <c r="L955" s="12"/>
      <c r="O955" s="6"/>
      <c r="P955" s="6"/>
      <c r="Q955" s="6"/>
      <c r="R955" s="6"/>
      <c r="S955" s="6"/>
      <c r="T955" s="6"/>
      <c r="U955" s="6"/>
      <c r="V955" s="6"/>
      <c r="W955" s="6"/>
      <c r="X955" s="6"/>
      <c r="Y955" s="6"/>
      <c r="Z955" s="6"/>
      <c r="AA955" s="6"/>
    </row>
    <row r="956" ht="15.75" customHeight="1">
      <c r="L956" s="12"/>
      <c r="O956" s="6"/>
      <c r="P956" s="6"/>
      <c r="Q956" s="6"/>
      <c r="R956" s="6"/>
      <c r="S956" s="6"/>
      <c r="T956" s="6"/>
      <c r="U956" s="6"/>
      <c r="V956" s="6"/>
      <c r="W956" s="6"/>
      <c r="X956" s="6"/>
      <c r="Y956" s="6"/>
      <c r="Z956" s="6"/>
      <c r="AA956" s="6"/>
    </row>
    <row r="957" ht="15.75" customHeight="1">
      <c r="L957" s="12"/>
      <c r="O957" s="6"/>
      <c r="P957" s="6"/>
      <c r="Q957" s="6"/>
      <c r="R957" s="6"/>
      <c r="S957" s="6"/>
      <c r="T957" s="6"/>
      <c r="U957" s="6"/>
      <c r="V957" s="6"/>
      <c r="W957" s="6"/>
      <c r="X957" s="6"/>
      <c r="Y957" s="6"/>
      <c r="Z957" s="6"/>
      <c r="AA957" s="6"/>
    </row>
    <row r="958" ht="15.75" customHeight="1">
      <c r="L958" s="12"/>
      <c r="O958" s="6"/>
      <c r="P958" s="6"/>
      <c r="Q958" s="6"/>
      <c r="R958" s="6"/>
      <c r="S958" s="6"/>
      <c r="T958" s="6"/>
      <c r="U958" s="6"/>
      <c r="V958" s="6"/>
      <c r="W958" s="6"/>
      <c r="X958" s="6"/>
      <c r="Y958" s="6"/>
      <c r="Z958" s="6"/>
      <c r="AA958" s="6"/>
    </row>
    <row r="959" ht="15.75" customHeight="1">
      <c r="L959" s="12"/>
      <c r="O959" s="6"/>
      <c r="P959" s="6"/>
      <c r="Q959" s="6"/>
      <c r="R959" s="6"/>
      <c r="S959" s="6"/>
      <c r="T959" s="6"/>
      <c r="U959" s="6"/>
      <c r="V959" s="6"/>
      <c r="W959" s="6"/>
      <c r="X959" s="6"/>
      <c r="Y959" s="6"/>
      <c r="Z959" s="6"/>
      <c r="AA959" s="6"/>
    </row>
    <row r="960" ht="15.75" customHeight="1">
      <c r="L960" s="12"/>
      <c r="O960" s="6"/>
      <c r="P960" s="6"/>
      <c r="Q960" s="6"/>
      <c r="R960" s="6"/>
      <c r="S960" s="6"/>
      <c r="T960" s="6"/>
      <c r="U960" s="6"/>
      <c r="V960" s="6"/>
      <c r="W960" s="6"/>
      <c r="X960" s="6"/>
      <c r="Y960" s="6"/>
      <c r="Z960" s="6"/>
      <c r="AA960" s="6"/>
    </row>
    <row r="961" ht="15.75" customHeight="1">
      <c r="L961" s="12"/>
      <c r="O961" s="6"/>
      <c r="P961" s="6"/>
      <c r="Q961" s="6"/>
      <c r="R961" s="6"/>
      <c r="S961" s="6"/>
      <c r="T961" s="6"/>
      <c r="U961" s="6"/>
      <c r="V961" s="6"/>
      <c r="W961" s="6"/>
      <c r="X961" s="6"/>
      <c r="Y961" s="6"/>
      <c r="Z961" s="6"/>
      <c r="AA961" s="6"/>
    </row>
    <row r="962" ht="15.75" customHeight="1">
      <c r="L962" s="12"/>
      <c r="O962" s="6"/>
      <c r="P962" s="6"/>
      <c r="Q962" s="6"/>
      <c r="R962" s="6"/>
      <c r="S962" s="6"/>
      <c r="T962" s="6"/>
      <c r="U962" s="6"/>
      <c r="V962" s="6"/>
      <c r="W962" s="6"/>
      <c r="X962" s="6"/>
      <c r="Y962" s="6"/>
      <c r="Z962" s="6"/>
      <c r="AA962" s="6"/>
    </row>
    <row r="963" ht="15.75" customHeight="1">
      <c r="L963" s="12"/>
      <c r="O963" s="6"/>
      <c r="P963" s="6"/>
      <c r="Q963" s="6"/>
      <c r="R963" s="6"/>
      <c r="S963" s="6"/>
      <c r="T963" s="6"/>
      <c r="U963" s="6"/>
      <c r="V963" s="6"/>
      <c r="W963" s="6"/>
      <c r="X963" s="6"/>
      <c r="Y963" s="6"/>
      <c r="Z963" s="6"/>
      <c r="AA963" s="6"/>
    </row>
    <row r="964" ht="15.75" customHeight="1">
      <c r="L964" s="12"/>
      <c r="O964" s="6"/>
      <c r="P964" s="6"/>
      <c r="Q964" s="6"/>
      <c r="R964" s="6"/>
      <c r="S964" s="6"/>
      <c r="T964" s="6"/>
      <c r="U964" s="6"/>
      <c r="V964" s="6"/>
      <c r="W964" s="6"/>
      <c r="X964" s="6"/>
      <c r="Y964" s="6"/>
      <c r="Z964" s="6"/>
      <c r="AA964" s="6"/>
    </row>
    <row r="965" ht="15.75" customHeight="1">
      <c r="L965" s="12"/>
      <c r="O965" s="6"/>
      <c r="P965" s="6"/>
      <c r="Q965" s="6"/>
      <c r="R965" s="6"/>
      <c r="S965" s="6"/>
      <c r="T965" s="6"/>
      <c r="U965" s="6"/>
      <c r="V965" s="6"/>
      <c r="W965" s="6"/>
      <c r="X965" s="6"/>
      <c r="Y965" s="6"/>
      <c r="Z965" s="6"/>
      <c r="AA965" s="6"/>
    </row>
    <row r="966" ht="15.75" customHeight="1">
      <c r="L966" s="12"/>
      <c r="O966" s="6"/>
      <c r="P966" s="6"/>
      <c r="Q966" s="6"/>
      <c r="R966" s="6"/>
      <c r="S966" s="6"/>
      <c r="T966" s="6"/>
      <c r="U966" s="6"/>
      <c r="V966" s="6"/>
      <c r="W966" s="6"/>
      <c r="X966" s="6"/>
      <c r="Y966" s="6"/>
      <c r="Z966" s="6"/>
      <c r="AA966" s="6"/>
    </row>
    <row r="967" ht="15.75" customHeight="1">
      <c r="L967" s="12"/>
      <c r="O967" s="6"/>
      <c r="P967" s="6"/>
      <c r="Q967" s="6"/>
      <c r="R967" s="6"/>
      <c r="S967" s="6"/>
      <c r="T967" s="6"/>
      <c r="U967" s="6"/>
      <c r="V967" s="6"/>
      <c r="W967" s="6"/>
      <c r="X967" s="6"/>
      <c r="Y967" s="6"/>
      <c r="Z967" s="6"/>
      <c r="AA967" s="6"/>
    </row>
    <row r="968" ht="15.75" customHeight="1">
      <c r="L968" s="12"/>
      <c r="O968" s="6"/>
      <c r="P968" s="6"/>
      <c r="Q968" s="6"/>
      <c r="R968" s="6"/>
      <c r="S968" s="6"/>
      <c r="T968" s="6"/>
      <c r="U968" s="6"/>
      <c r="V968" s="6"/>
      <c r="W968" s="6"/>
      <c r="X968" s="6"/>
      <c r="Y968" s="6"/>
      <c r="Z968" s="6"/>
      <c r="AA968" s="6"/>
    </row>
    <row r="969" ht="15.75" customHeight="1">
      <c r="L969" s="12"/>
      <c r="O969" s="6"/>
      <c r="P969" s="6"/>
      <c r="Q969" s="6"/>
      <c r="R969" s="6"/>
      <c r="S969" s="6"/>
      <c r="T969" s="6"/>
      <c r="U969" s="6"/>
      <c r="V969" s="6"/>
      <c r="W969" s="6"/>
      <c r="X969" s="6"/>
      <c r="Y969" s="6"/>
      <c r="Z969" s="6"/>
      <c r="AA969" s="6"/>
    </row>
    <row r="970" ht="15.75" customHeight="1">
      <c r="L970" s="12"/>
      <c r="O970" s="6"/>
      <c r="P970" s="6"/>
      <c r="Q970" s="6"/>
      <c r="R970" s="6"/>
      <c r="S970" s="6"/>
      <c r="T970" s="6"/>
      <c r="U970" s="6"/>
      <c r="V970" s="6"/>
      <c r="W970" s="6"/>
      <c r="X970" s="6"/>
      <c r="Y970" s="6"/>
      <c r="Z970" s="6"/>
      <c r="AA970" s="6"/>
    </row>
    <row r="971" ht="15.75" customHeight="1">
      <c r="L971" s="12"/>
      <c r="O971" s="6"/>
      <c r="P971" s="6"/>
      <c r="Q971" s="6"/>
      <c r="R971" s="6"/>
      <c r="S971" s="6"/>
      <c r="T971" s="6"/>
      <c r="U971" s="6"/>
      <c r="V971" s="6"/>
      <c r="W971" s="6"/>
      <c r="X971" s="6"/>
      <c r="Y971" s="6"/>
      <c r="Z971" s="6"/>
      <c r="AA971" s="6"/>
    </row>
    <row r="972" ht="15.75" customHeight="1">
      <c r="L972" s="12"/>
      <c r="O972" s="6"/>
      <c r="P972" s="6"/>
      <c r="Q972" s="6"/>
      <c r="R972" s="6"/>
      <c r="S972" s="6"/>
      <c r="T972" s="6"/>
      <c r="U972" s="6"/>
      <c r="V972" s="6"/>
      <c r="W972" s="6"/>
      <c r="X972" s="6"/>
      <c r="Y972" s="6"/>
      <c r="Z972" s="6"/>
      <c r="AA972" s="6"/>
    </row>
    <row r="973" ht="15.75" customHeight="1">
      <c r="L973" s="12"/>
      <c r="O973" s="6"/>
      <c r="P973" s="6"/>
      <c r="Q973" s="6"/>
      <c r="R973" s="6"/>
      <c r="S973" s="6"/>
      <c r="T973" s="6"/>
      <c r="U973" s="6"/>
      <c r="V973" s="6"/>
      <c r="W973" s="6"/>
      <c r="X973" s="6"/>
      <c r="Y973" s="6"/>
      <c r="Z973" s="6"/>
      <c r="AA973" s="6"/>
    </row>
    <row r="974" ht="15.75" customHeight="1">
      <c r="L974" s="12"/>
      <c r="O974" s="6"/>
      <c r="P974" s="6"/>
      <c r="Q974" s="6"/>
      <c r="R974" s="6"/>
      <c r="S974" s="6"/>
      <c r="T974" s="6"/>
      <c r="U974" s="6"/>
      <c r="V974" s="6"/>
      <c r="W974" s="6"/>
      <c r="X974" s="6"/>
      <c r="Y974" s="6"/>
      <c r="Z974" s="6"/>
      <c r="AA974" s="6"/>
    </row>
    <row r="975" ht="15.75" customHeight="1">
      <c r="L975" s="12"/>
      <c r="O975" s="6"/>
      <c r="P975" s="6"/>
      <c r="Q975" s="6"/>
      <c r="R975" s="6"/>
      <c r="S975" s="6"/>
      <c r="T975" s="6"/>
      <c r="U975" s="6"/>
      <c r="V975" s="6"/>
      <c r="W975" s="6"/>
      <c r="X975" s="6"/>
      <c r="Y975" s="6"/>
      <c r="Z975" s="6"/>
      <c r="AA975" s="6"/>
    </row>
    <row r="976" ht="15.75" customHeight="1">
      <c r="L976" s="12"/>
      <c r="O976" s="6"/>
      <c r="P976" s="6"/>
      <c r="Q976" s="6"/>
      <c r="R976" s="6"/>
      <c r="S976" s="6"/>
      <c r="T976" s="6"/>
      <c r="U976" s="6"/>
      <c r="V976" s="6"/>
      <c r="W976" s="6"/>
      <c r="X976" s="6"/>
      <c r="Y976" s="6"/>
      <c r="Z976" s="6"/>
      <c r="AA976" s="6"/>
    </row>
    <row r="977" ht="15.75" customHeight="1">
      <c r="L977" s="12"/>
      <c r="O977" s="6"/>
      <c r="P977" s="6"/>
      <c r="Q977" s="6"/>
      <c r="R977" s="6"/>
      <c r="S977" s="6"/>
      <c r="T977" s="6"/>
      <c r="U977" s="6"/>
      <c r="V977" s="6"/>
      <c r="W977" s="6"/>
      <c r="X977" s="6"/>
      <c r="Y977" s="6"/>
      <c r="Z977" s="6"/>
      <c r="AA977" s="6"/>
    </row>
    <row r="978" ht="15.75" customHeight="1">
      <c r="L978" s="12"/>
      <c r="O978" s="6"/>
      <c r="P978" s="6"/>
      <c r="Q978" s="6"/>
      <c r="R978" s="6"/>
      <c r="S978" s="6"/>
      <c r="T978" s="6"/>
      <c r="U978" s="6"/>
      <c r="V978" s="6"/>
      <c r="W978" s="6"/>
      <c r="X978" s="6"/>
      <c r="Y978" s="6"/>
      <c r="Z978" s="6"/>
      <c r="AA978" s="6"/>
    </row>
    <row r="979" ht="15.75" customHeight="1">
      <c r="L979" s="12"/>
      <c r="O979" s="6"/>
      <c r="P979" s="6"/>
      <c r="Q979" s="6"/>
      <c r="R979" s="6"/>
      <c r="S979" s="6"/>
      <c r="T979" s="6"/>
      <c r="U979" s="6"/>
      <c r="V979" s="6"/>
      <c r="W979" s="6"/>
      <c r="X979" s="6"/>
      <c r="Y979" s="6"/>
      <c r="Z979" s="6"/>
      <c r="AA979" s="6"/>
    </row>
    <row r="980" ht="15.75" customHeight="1">
      <c r="L980" s="12"/>
      <c r="O980" s="6"/>
      <c r="P980" s="6"/>
      <c r="Q980" s="6"/>
      <c r="R980" s="6"/>
      <c r="S980" s="6"/>
      <c r="T980" s="6"/>
      <c r="U980" s="6"/>
      <c r="V980" s="6"/>
      <c r="W980" s="6"/>
      <c r="X980" s="6"/>
      <c r="Y980" s="6"/>
      <c r="Z980" s="6"/>
      <c r="AA980" s="6"/>
    </row>
    <row r="981" ht="15.75" customHeight="1">
      <c r="L981" s="12"/>
      <c r="O981" s="6"/>
      <c r="P981" s="6"/>
      <c r="Q981" s="6"/>
      <c r="R981" s="6"/>
      <c r="S981" s="6"/>
      <c r="T981" s="6"/>
      <c r="U981" s="6"/>
      <c r="V981" s="6"/>
      <c r="W981" s="6"/>
      <c r="X981" s="6"/>
      <c r="Y981" s="6"/>
      <c r="Z981" s="6"/>
      <c r="AA981" s="6"/>
    </row>
    <row r="982" ht="15.75" customHeight="1">
      <c r="L982" s="12"/>
      <c r="O982" s="6"/>
      <c r="P982" s="6"/>
      <c r="Q982" s="6"/>
      <c r="R982" s="6"/>
      <c r="S982" s="6"/>
      <c r="T982" s="6"/>
      <c r="U982" s="6"/>
      <c r="V982" s="6"/>
      <c r="W982" s="6"/>
      <c r="X982" s="6"/>
      <c r="Y982" s="6"/>
      <c r="Z982" s="6"/>
      <c r="AA982" s="6"/>
    </row>
    <row r="983" ht="15.75" customHeight="1">
      <c r="L983" s="12"/>
      <c r="O983" s="6"/>
      <c r="P983" s="6"/>
      <c r="Q983" s="6"/>
      <c r="R983" s="6"/>
      <c r="S983" s="6"/>
      <c r="T983" s="6"/>
      <c r="U983" s="6"/>
      <c r="V983" s="6"/>
      <c r="W983" s="6"/>
      <c r="X983" s="6"/>
      <c r="Y983" s="6"/>
      <c r="Z983" s="6"/>
      <c r="AA983" s="6"/>
    </row>
    <row r="984" ht="15.75" customHeight="1">
      <c r="L984" s="12"/>
      <c r="O984" s="6"/>
      <c r="P984" s="6"/>
      <c r="Q984" s="6"/>
      <c r="R984" s="6"/>
      <c r="S984" s="6"/>
      <c r="T984" s="6"/>
      <c r="U984" s="6"/>
      <c r="V984" s="6"/>
      <c r="W984" s="6"/>
      <c r="X984" s="6"/>
      <c r="Y984" s="6"/>
      <c r="Z984" s="6"/>
      <c r="AA984" s="6"/>
    </row>
    <row r="985" ht="15.75" customHeight="1">
      <c r="L985" s="12"/>
      <c r="O985" s="6"/>
      <c r="P985" s="6"/>
      <c r="Q985" s="6"/>
      <c r="R985" s="6"/>
      <c r="S985" s="6"/>
      <c r="T985" s="6"/>
      <c r="U985" s="6"/>
      <c r="V985" s="6"/>
      <c r="W985" s="6"/>
      <c r="X985" s="6"/>
      <c r="Y985" s="6"/>
      <c r="Z985" s="6"/>
      <c r="AA985" s="6"/>
    </row>
    <row r="986" ht="15.75" customHeight="1">
      <c r="L986" s="12"/>
      <c r="O986" s="6"/>
      <c r="P986" s="6"/>
      <c r="Q986" s="6"/>
      <c r="R986" s="6"/>
      <c r="S986" s="6"/>
      <c r="T986" s="6"/>
      <c r="U986" s="6"/>
      <c r="V986" s="6"/>
      <c r="W986" s="6"/>
      <c r="X986" s="6"/>
      <c r="Y986" s="6"/>
      <c r="Z986" s="6"/>
      <c r="AA986" s="6"/>
    </row>
    <row r="987" ht="15.75" customHeight="1">
      <c r="L987" s="12"/>
      <c r="O987" s="6"/>
      <c r="P987" s="6"/>
      <c r="Q987" s="6"/>
      <c r="R987" s="6"/>
      <c r="S987" s="6"/>
      <c r="T987" s="6"/>
      <c r="U987" s="6"/>
      <c r="V987" s="6"/>
      <c r="W987" s="6"/>
      <c r="X987" s="6"/>
      <c r="Y987" s="6"/>
      <c r="Z987" s="6"/>
      <c r="AA987" s="6"/>
    </row>
    <row r="988" ht="15.75" customHeight="1">
      <c r="L988" s="12"/>
      <c r="O988" s="6"/>
      <c r="P988" s="6"/>
      <c r="Q988" s="6"/>
      <c r="R988" s="6"/>
      <c r="S988" s="6"/>
      <c r="T988" s="6"/>
      <c r="U988" s="6"/>
      <c r="V988" s="6"/>
      <c r="W988" s="6"/>
      <c r="X988" s="6"/>
      <c r="Y988" s="6"/>
      <c r="Z988" s="6"/>
      <c r="AA988" s="6"/>
    </row>
    <row r="989" ht="15.75" customHeight="1">
      <c r="L989" s="12"/>
      <c r="O989" s="6"/>
      <c r="P989" s="6"/>
      <c r="Q989" s="6"/>
      <c r="R989" s="6"/>
      <c r="S989" s="6"/>
      <c r="T989" s="6"/>
      <c r="U989" s="6"/>
      <c r="V989" s="6"/>
      <c r="W989" s="6"/>
      <c r="X989" s="6"/>
      <c r="Y989" s="6"/>
      <c r="Z989" s="6"/>
      <c r="AA989" s="6"/>
    </row>
    <row r="990" ht="15.75" customHeight="1">
      <c r="L990" s="12"/>
      <c r="O990" s="6"/>
      <c r="P990" s="6"/>
      <c r="Q990" s="6"/>
      <c r="R990" s="6"/>
      <c r="S990" s="6"/>
      <c r="T990" s="6"/>
      <c r="U990" s="6"/>
      <c r="V990" s="6"/>
      <c r="W990" s="6"/>
      <c r="X990" s="6"/>
      <c r="Y990" s="6"/>
      <c r="Z990" s="6"/>
      <c r="AA990" s="6"/>
    </row>
    <row r="991" ht="15.75" customHeight="1">
      <c r="L991" s="12"/>
      <c r="O991" s="6"/>
      <c r="P991" s="6"/>
      <c r="Q991" s="6"/>
      <c r="R991" s="6"/>
      <c r="S991" s="6"/>
      <c r="T991" s="6"/>
      <c r="U991" s="6"/>
      <c r="V991" s="6"/>
      <c r="W991" s="6"/>
      <c r="X991" s="6"/>
      <c r="Y991" s="6"/>
      <c r="Z991" s="6"/>
      <c r="AA991" s="6"/>
    </row>
    <row r="992" ht="15.75" customHeight="1">
      <c r="L992" s="12"/>
      <c r="O992" s="6"/>
      <c r="P992" s="6"/>
      <c r="Q992" s="6"/>
      <c r="R992" s="6"/>
      <c r="S992" s="6"/>
      <c r="T992" s="6"/>
      <c r="U992" s="6"/>
      <c r="V992" s="6"/>
      <c r="W992" s="6"/>
      <c r="X992" s="6"/>
      <c r="Y992" s="6"/>
      <c r="Z992" s="6"/>
      <c r="AA992" s="6"/>
    </row>
    <row r="993" ht="15.75" customHeight="1">
      <c r="L993" s="12"/>
      <c r="O993" s="6"/>
      <c r="P993" s="6"/>
      <c r="Q993" s="6"/>
      <c r="R993" s="6"/>
      <c r="S993" s="6"/>
      <c r="T993" s="6"/>
      <c r="U993" s="6"/>
      <c r="V993" s="6"/>
      <c r="W993" s="6"/>
      <c r="X993" s="6"/>
      <c r="Y993" s="6"/>
      <c r="Z993" s="6"/>
      <c r="AA993" s="6"/>
    </row>
    <row r="994" ht="15.75" customHeight="1">
      <c r="L994" s="12"/>
      <c r="O994" s="6"/>
      <c r="P994" s="6"/>
      <c r="Q994" s="6"/>
      <c r="R994" s="6"/>
      <c r="S994" s="6"/>
      <c r="T994" s="6"/>
      <c r="U994" s="6"/>
      <c r="V994" s="6"/>
      <c r="W994" s="6"/>
      <c r="X994" s="6"/>
      <c r="Y994" s="6"/>
      <c r="Z994" s="6"/>
      <c r="AA994" s="6"/>
    </row>
    <row r="995" ht="15.75" customHeight="1">
      <c r="L995" s="12"/>
      <c r="O995" s="6"/>
      <c r="P995" s="6"/>
      <c r="Q995" s="6"/>
      <c r="R995" s="6"/>
      <c r="S995" s="6"/>
      <c r="T995" s="6"/>
      <c r="U995" s="6"/>
      <c r="V995" s="6"/>
      <c r="W995" s="6"/>
      <c r="X995" s="6"/>
      <c r="Y995" s="6"/>
      <c r="Z995" s="6"/>
      <c r="AA995" s="6"/>
    </row>
    <row r="996" ht="15.75" customHeight="1">
      <c r="L996" s="12"/>
      <c r="O996" s="6"/>
      <c r="P996" s="6"/>
      <c r="Q996" s="6"/>
      <c r="R996" s="6"/>
      <c r="S996" s="6"/>
      <c r="T996" s="6"/>
      <c r="U996" s="6"/>
      <c r="V996" s="6"/>
      <c r="W996" s="6"/>
      <c r="X996" s="6"/>
      <c r="Y996" s="6"/>
      <c r="Z996" s="6"/>
      <c r="AA996" s="6"/>
    </row>
    <row r="997" ht="15.75" customHeight="1">
      <c r="L997" s="12"/>
      <c r="O997" s="6"/>
      <c r="P997" s="6"/>
      <c r="Q997" s="6"/>
      <c r="R997" s="6"/>
      <c r="S997" s="6"/>
      <c r="T997" s="6"/>
      <c r="U997" s="6"/>
      <c r="V997" s="6"/>
      <c r="W997" s="6"/>
      <c r="X997" s="6"/>
      <c r="Y997" s="6"/>
      <c r="Z997" s="6"/>
      <c r="AA997" s="6"/>
    </row>
    <row r="998" ht="15.75" customHeight="1">
      <c r="L998" s="12"/>
      <c r="O998" s="6"/>
      <c r="P998" s="6"/>
      <c r="Q998" s="6"/>
      <c r="R998" s="6"/>
      <c r="S998" s="6"/>
      <c r="T998" s="6"/>
      <c r="U998" s="6"/>
      <c r="V998" s="6"/>
      <c r="W998" s="6"/>
      <c r="X998" s="6"/>
      <c r="Y998" s="6"/>
      <c r="Z998" s="6"/>
      <c r="AA998" s="6"/>
    </row>
    <row r="999" ht="15.75" customHeight="1">
      <c r="L999" s="12"/>
      <c r="O999" s="6"/>
      <c r="P999" s="6"/>
      <c r="Q999" s="6"/>
      <c r="R999" s="6"/>
      <c r="S999" s="6"/>
      <c r="T999" s="6"/>
      <c r="U999" s="6"/>
      <c r="V999" s="6"/>
      <c r="W999" s="6"/>
      <c r="X999" s="6"/>
      <c r="Y999" s="6"/>
      <c r="Z999" s="6"/>
      <c r="AA999" s="6"/>
    </row>
    <row r="1000" ht="15.75" customHeight="1">
      <c r="L1000" s="12"/>
      <c r="O1000" s="6"/>
      <c r="P1000" s="6"/>
      <c r="Q1000" s="6"/>
      <c r="R1000" s="6"/>
      <c r="S1000" s="6"/>
      <c r="T1000" s="6"/>
      <c r="U1000" s="6"/>
      <c r="V1000" s="6"/>
      <c r="W1000" s="6"/>
      <c r="X1000" s="6"/>
      <c r="Y1000" s="6"/>
      <c r="Z1000" s="6"/>
      <c r="AA1000" s="6"/>
    </row>
  </sheetData>
  <autoFilter ref="$B$1:$H$220"/>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4.43"/>
    <col customWidth="1" min="3" max="3" width="59.43"/>
    <col customWidth="1" min="4" max="5" width="77.0"/>
    <col customWidth="1" min="6" max="6" width="14.43"/>
    <col customWidth="1" min="7" max="7" width="40.29"/>
    <col customWidth="1" min="11" max="11" width="20.0"/>
    <col customWidth="1" min="13" max="13" width="27.43"/>
    <col customWidth="1" min="14" max="14" width="33.0"/>
    <col customWidth="1" min="18" max="18" width="41.71"/>
  </cols>
  <sheetData>
    <row r="1" ht="15.75" customHeight="1">
      <c r="A1" s="2" t="s">
        <v>1</v>
      </c>
      <c r="B1" s="2" t="s">
        <v>2</v>
      </c>
      <c r="C1" s="2" t="s">
        <v>3</v>
      </c>
      <c r="D1" s="2" t="s">
        <v>4</v>
      </c>
      <c r="E1" s="2" t="s">
        <v>5</v>
      </c>
      <c r="F1" s="3" t="s">
        <v>6</v>
      </c>
      <c r="G1" s="3" t="s">
        <v>7</v>
      </c>
      <c r="H1" s="2" t="s">
        <v>8</v>
      </c>
      <c r="I1" s="3" t="s">
        <v>9</v>
      </c>
      <c r="J1" s="3" t="s">
        <v>10</v>
      </c>
      <c r="K1" s="3" t="s">
        <v>11</v>
      </c>
      <c r="L1" s="4" t="s">
        <v>12</v>
      </c>
      <c r="M1" s="4" t="s">
        <v>13</v>
      </c>
      <c r="N1" s="5" t="s">
        <v>14</v>
      </c>
      <c r="O1" s="5" t="s">
        <v>15</v>
      </c>
      <c r="P1" s="5" t="s">
        <v>16</v>
      </c>
      <c r="Q1" s="5" t="s">
        <v>17</v>
      </c>
      <c r="R1" s="5" t="s">
        <v>18</v>
      </c>
      <c r="S1" s="12"/>
      <c r="T1" s="12"/>
      <c r="U1" s="12"/>
      <c r="V1" s="12"/>
      <c r="W1" s="12"/>
      <c r="X1" s="12"/>
      <c r="Y1" s="12"/>
      <c r="Z1" s="12"/>
    </row>
    <row r="2" ht="15.75" customHeight="1">
      <c r="A2" s="13" t="s">
        <v>19</v>
      </c>
      <c r="B2" s="13" t="s">
        <v>20</v>
      </c>
      <c r="C2" s="13" t="s">
        <v>21</v>
      </c>
      <c r="D2" s="11" t="s">
        <v>22</v>
      </c>
      <c r="E2" s="14" t="s">
        <v>23</v>
      </c>
      <c r="F2" s="11" t="s">
        <v>22</v>
      </c>
      <c r="G2" s="13" t="s">
        <v>24</v>
      </c>
      <c r="H2" s="13" t="s">
        <v>25</v>
      </c>
      <c r="I2" s="11">
        <v>1954.0</v>
      </c>
      <c r="J2" s="13">
        <v>1990.0</v>
      </c>
      <c r="K2" s="11" t="s">
        <v>26</v>
      </c>
      <c r="L2" s="12"/>
      <c r="M2" s="11" t="s">
        <v>27</v>
      </c>
      <c r="N2" s="11" t="s">
        <v>28</v>
      </c>
      <c r="O2" s="11" t="s">
        <v>29</v>
      </c>
      <c r="P2" s="11" t="s">
        <v>30</v>
      </c>
      <c r="Q2" s="11" t="s">
        <v>31</v>
      </c>
      <c r="R2" s="11" t="s">
        <v>32</v>
      </c>
      <c r="S2" s="12"/>
      <c r="T2" s="12"/>
      <c r="U2" s="12"/>
      <c r="V2" s="12"/>
      <c r="W2" s="12"/>
      <c r="X2" s="12"/>
      <c r="Y2" s="12"/>
      <c r="Z2" s="12"/>
    </row>
    <row r="3" ht="15.75" customHeight="1">
      <c r="A3" s="13" t="s">
        <v>33</v>
      </c>
      <c r="B3" s="13" t="s">
        <v>34</v>
      </c>
      <c r="C3" s="13" t="s">
        <v>35</v>
      </c>
      <c r="D3" s="11" t="s">
        <v>36</v>
      </c>
      <c r="E3" s="11" t="s">
        <v>37</v>
      </c>
      <c r="F3" s="11" t="s">
        <v>22</v>
      </c>
      <c r="G3" s="13" t="s">
        <v>24</v>
      </c>
      <c r="H3" s="13" t="s">
        <v>25</v>
      </c>
      <c r="I3" s="13">
        <v>1962.0</v>
      </c>
      <c r="J3" s="13">
        <v>1989.0</v>
      </c>
      <c r="K3" s="15" t="s">
        <v>38</v>
      </c>
      <c r="L3" s="12"/>
      <c r="M3" s="11" t="s">
        <v>39</v>
      </c>
      <c r="N3" s="11" t="s">
        <v>40</v>
      </c>
      <c r="O3" s="15" t="s">
        <v>41</v>
      </c>
      <c r="P3" s="12"/>
      <c r="Q3" s="12"/>
      <c r="R3" s="12"/>
      <c r="S3" s="12"/>
      <c r="T3" s="12"/>
      <c r="U3" s="12"/>
      <c r="V3" s="12"/>
      <c r="W3" s="12"/>
      <c r="X3" s="12"/>
      <c r="Y3" s="12"/>
      <c r="Z3" s="12"/>
    </row>
    <row r="4" ht="15.75" customHeight="1">
      <c r="A4" s="13" t="s">
        <v>42</v>
      </c>
      <c r="B4" s="13" t="s">
        <v>43</v>
      </c>
      <c r="C4" s="13" t="s">
        <v>44</v>
      </c>
      <c r="D4" s="11" t="s">
        <v>36</v>
      </c>
      <c r="E4" s="11" t="s">
        <v>45</v>
      </c>
      <c r="F4" s="11" t="s">
        <v>22</v>
      </c>
      <c r="G4" s="13" t="s">
        <v>24</v>
      </c>
      <c r="H4" s="13" t="s">
        <v>25</v>
      </c>
      <c r="I4" s="13">
        <v>1960.0</v>
      </c>
      <c r="J4" s="13">
        <v>1989.0</v>
      </c>
      <c r="K4" s="16" t="s">
        <v>46</v>
      </c>
      <c r="L4" s="12"/>
      <c r="M4" s="11" t="s">
        <v>39</v>
      </c>
      <c r="N4" s="11" t="s">
        <v>47</v>
      </c>
      <c r="O4" s="17" t="s">
        <v>48</v>
      </c>
      <c r="P4" s="12"/>
      <c r="Q4" s="12"/>
      <c r="R4" s="12"/>
      <c r="S4" s="12"/>
      <c r="T4" s="12"/>
      <c r="U4" s="12"/>
      <c r="V4" s="12"/>
      <c r="W4" s="12"/>
      <c r="X4" s="12"/>
      <c r="Y4" s="12"/>
      <c r="Z4" s="12"/>
    </row>
    <row r="5" ht="15.75" customHeight="1">
      <c r="A5" s="13" t="s">
        <v>49</v>
      </c>
      <c r="B5" s="13" t="s">
        <v>50</v>
      </c>
      <c r="C5" s="13" t="s">
        <v>51</v>
      </c>
      <c r="D5" s="11" t="s">
        <v>22</v>
      </c>
      <c r="E5" s="11" t="s">
        <v>52</v>
      </c>
      <c r="F5" s="11" t="s">
        <v>22</v>
      </c>
      <c r="G5" s="13" t="s">
        <v>24</v>
      </c>
      <c r="H5" s="13" t="s">
        <v>25</v>
      </c>
      <c r="I5" s="13">
        <v>1988.0</v>
      </c>
      <c r="J5" s="13">
        <v>1989.0</v>
      </c>
      <c r="K5" s="16" t="s">
        <v>53</v>
      </c>
      <c r="L5" s="12"/>
      <c r="M5" s="11" t="s">
        <v>54</v>
      </c>
      <c r="N5" s="16" t="s">
        <v>55</v>
      </c>
      <c r="O5" s="11" t="s">
        <v>53</v>
      </c>
      <c r="P5" s="11" t="s">
        <v>56</v>
      </c>
      <c r="Q5" s="11" t="s">
        <v>57</v>
      </c>
      <c r="R5" s="17" t="s">
        <v>53</v>
      </c>
      <c r="S5" s="12"/>
      <c r="T5" s="12"/>
      <c r="U5" s="12"/>
      <c r="V5" s="12"/>
      <c r="W5" s="12"/>
      <c r="X5" s="12"/>
      <c r="Y5" s="12"/>
      <c r="Z5" s="12"/>
    </row>
    <row r="6" ht="15.75" customHeight="1">
      <c r="A6" s="13" t="s">
        <v>58</v>
      </c>
      <c r="B6" s="13" t="s">
        <v>59</v>
      </c>
      <c r="C6" s="13" t="s">
        <v>60</v>
      </c>
      <c r="D6" s="11" t="s">
        <v>36</v>
      </c>
      <c r="E6" s="11" t="s">
        <v>61</v>
      </c>
      <c r="F6" s="11" t="s">
        <v>22</v>
      </c>
      <c r="G6" s="13" t="s">
        <v>24</v>
      </c>
      <c r="H6" s="13" t="s">
        <v>25</v>
      </c>
      <c r="I6" s="13">
        <v>1955.0</v>
      </c>
      <c r="J6" s="13">
        <v>1989.0</v>
      </c>
      <c r="K6" s="16" t="s">
        <v>62</v>
      </c>
      <c r="L6" s="12"/>
      <c r="M6" s="11" t="s">
        <v>39</v>
      </c>
      <c r="N6" s="11" t="s">
        <v>63</v>
      </c>
      <c r="O6" s="17" t="s">
        <v>64</v>
      </c>
      <c r="P6" s="11" t="s">
        <v>27</v>
      </c>
      <c r="Q6" s="11" t="s">
        <v>65</v>
      </c>
      <c r="R6" s="17" t="s">
        <v>64</v>
      </c>
      <c r="S6" s="12"/>
      <c r="T6" s="12"/>
      <c r="U6" s="12"/>
      <c r="V6" s="12"/>
      <c r="W6" s="12"/>
      <c r="X6" s="12"/>
      <c r="Y6" s="12"/>
      <c r="Z6" s="12"/>
    </row>
    <row r="7" ht="15.75" customHeight="1">
      <c r="A7" s="13" t="s">
        <v>66</v>
      </c>
      <c r="B7" s="13" t="s">
        <v>67</v>
      </c>
      <c r="C7" s="13" t="s">
        <v>68</v>
      </c>
      <c r="D7" s="11" t="s">
        <v>36</v>
      </c>
      <c r="E7" s="11" t="s">
        <v>69</v>
      </c>
      <c r="F7" s="11" t="s">
        <v>22</v>
      </c>
      <c r="G7" s="13" t="s">
        <v>24</v>
      </c>
      <c r="H7" s="13" t="s">
        <v>25</v>
      </c>
      <c r="I7" s="13">
        <v>1985.0</v>
      </c>
      <c r="J7" s="13">
        <v>1989.0</v>
      </c>
      <c r="K7" s="16" t="s">
        <v>70</v>
      </c>
      <c r="L7" s="12"/>
      <c r="M7" s="12"/>
      <c r="N7" s="12"/>
      <c r="O7" s="12"/>
      <c r="P7" s="12"/>
      <c r="Q7" s="12"/>
      <c r="R7" s="12"/>
      <c r="S7" s="12"/>
      <c r="T7" s="12"/>
      <c r="U7" s="12"/>
      <c r="V7" s="12"/>
      <c r="W7" s="12"/>
      <c r="X7" s="12"/>
      <c r="Y7" s="12"/>
      <c r="Z7" s="12"/>
    </row>
    <row r="8" ht="15.75" customHeight="1">
      <c r="A8" s="13" t="s">
        <v>71</v>
      </c>
      <c r="B8" s="13" t="s">
        <v>72</v>
      </c>
      <c r="C8" s="13" t="s">
        <v>73</v>
      </c>
      <c r="D8" s="11" t="s">
        <v>36</v>
      </c>
      <c r="E8" s="11" t="s">
        <v>74</v>
      </c>
      <c r="F8" s="11" t="s">
        <v>22</v>
      </c>
      <c r="G8" s="13" t="s">
        <v>24</v>
      </c>
      <c r="H8" s="13" t="s">
        <v>75</v>
      </c>
      <c r="I8" s="13">
        <v>1962.0</v>
      </c>
      <c r="J8" s="12"/>
      <c r="K8" s="11" t="s">
        <v>76</v>
      </c>
      <c r="L8" s="12"/>
      <c r="M8" s="12"/>
      <c r="N8" s="12"/>
      <c r="O8" s="12"/>
      <c r="P8" s="12"/>
      <c r="Q8" s="12"/>
      <c r="R8" s="12"/>
      <c r="S8" s="12"/>
      <c r="T8" s="12"/>
      <c r="U8" s="12"/>
      <c r="V8" s="12"/>
      <c r="W8" s="12"/>
      <c r="X8" s="12"/>
      <c r="Y8" s="12"/>
      <c r="Z8" s="12"/>
    </row>
    <row r="9" ht="15.75" customHeight="1">
      <c r="A9" s="13" t="s">
        <v>77</v>
      </c>
      <c r="B9" s="13" t="s">
        <v>78</v>
      </c>
      <c r="C9" s="11" t="s">
        <v>79</v>
      </c>
      <c r="D9" s="11" t="s">
        <v>36</v>
      </c>
      <c r="E9" s="11" t="s">
        <v>80</v>
      </c>
      <c r="F9" s="11" t="s">
        <v>22</v>
      </c>
      <c r="G9" s="13" t="s">
        <v>24</v>
      </c>
      <c r="H9" s="13" t="s">
        <v>75</v>
      </c>
      <c r="I9" s="13">
        <v>1954.0</v>
      </c>
      <c r="J9" s="12"/>
      <c r="K9" s="18" t="s">
        <v>81</v>
      </c>
      <c r="L9" s="12"/>
      <c r="M9" s="12"/>
      <c r="N9" s="12"/>
      <c r="O9" s="12"/>
      <c r="P9" s="12"/>
      <c r="Q9" s="12"/>
      <c r="R9" s="12"/>
      <c r="S9" s="12"/>
      <c r="T9" s="12"/>
      <c r="U9" s="12"/>
      <c r="V9" s="12"/>
      <c r="W9" s="12"/>
      <c r="X9" s="12"/>
      <c r="Y9" s="12"/>
      <c r="Z9" s="12"/>
    </row>
    <row r="10" ht="15.75" customHeight="1">
      <c r="A10" s="13" t="s">
        <v>82</v>
      </c>
      <c r="B10" s="13" t="s">
        <v>83</v>
      </c>
      <c r="C10" s="13" t="s">
        <v>84</v>
      </c>
      <c r="D10" s="11" t="s">
        <v>22</v>
      </c>
      <c r="E10" s="11" t="s">
        <v>85</v>
      </c>
      <c r="F10" s="11" t="s">
        <v>22</v>
      </c>
      <c r="G10" s="13" t="s">
        <v>24</v>
      </c>
      <c r="H10" s="13" t="s">
        <v>25</v>
      </c>
      <c r="I10" s="13">
        <v>1952.0</v>
      </c>
      <c r="J10" s="13">
        <v>1989.0</v>
      </c>
      <c r="K10" s="16" t="s">
        <v>86</v>
      </c>
      <c r="L10" s="12"/>
      <c r="M10" s="11" t="s">
        <v>30</v>
      </c>
      <c r="N10" s="11" t="s">
        <v>65</v>
      </c>
      <c r="O10" s="11" t="s">
        <v>87</v>
      </c>
      <c r="P10" s="11" t="s">
        <v>88</v>
      </c>
      <c r="Q10" s="11" t="s">
        <v>89</v>
      </c>
      <c r="R10" s="17" t="s">
        <v>87</v>
      </c>
      <c r="S10" s="12"/>
      <c r="T10" s="12"/>
      <c r="U10" s="12"/>
      <c r="V10" s="12"/>
      <c r="W10" s="12"/>
      <c r="X10" s="12"/>
      <c r="Y10" s="12"/>
      <c r="Z10" s="12"/>
    </row>
    <row r="11" ht="15.75" customHeight="1">
      <c r="A11" s="13" t="s">
        <v>90</v>
      </c>
      <c r="B11" s="13" t="s">
        <v>91</v>
      </c>
      <c r="C11" s="13" t="s">
        <v>92</v>
      </c>
      <c r="D11" s="11" t="s">
        <v>36</v>
      </c>
      <c r="E11" s="11" t="s">
        <v>93</v>
      </c>
      <c r="F11" s="11" t="s">
        <v>22</v>
      </c>
      <c r="G11" s="13" t="s">
        <v>24</v>
      </c>
      <c r="H11" s="13" t="s">
        <v>25</v>
      </c>
      <c r="I11" s="13">
        <v>1954.0</v>
      </c>
      <c r="J11" s="13">
        <v>1989.0</v>
      </c>
      <c r="K11" s="11" t="s">
        <v>94</v>
      </c>
      <c r="L11" s="12"/>
      <c r="M11" s="11" t="s">
        <v>27</v>
      </c>
      <c r="N11" s="11" t="s">
        <v>95</v>
      </c>
      <c r="O11" s="17" t="s">
        <v>48</v>
      </c>
      <c r="P11" s="11" t="s">
        <v>96</v>
      </c>
      <c r="Q11" s="11" t="s">
        <v>97</v>
      </c>
      <c r="R11" s="17" t="s">
        <v>48</v>
      </c>
      <c r="S11" s="12"/>
      <c r="T11" s="12"/>
      <c r="U11" s="12"/>
      <c r="V11" s="12"/>
      <c r="W11" s="12"/>
      <c r="X11" s="12"/>
      <c r="Y11" s="12"/>
      <c r="Z11" s="12"/>
    </row>
    <row r="12" ht="15.75" customHeight="1">
      <c r="A12" s="13" t="s">
        <v>98</v>
      </c>
      <c r="B12" s="13" t="s">
        <v>99</v>
      </c>
      <c r="C12" s="11" t="s">
        <v>100</v>
      </c>
      <c r="D12" s="11" t="s">
        <v>22</v>
      </c>
      <c r="E12" s="11" t="s">
        <v>101</v>
      </c>
      <c r="F12" s="11" t="s">
        <v>22</v>
      </c>
      <c r="G12" s="13" t="s">
        <v>24</v>
      </c>
      <c r="H12" s="13" t="s">
        <v>25</v>
      </c>
      <c r="I12" s="13">
        <v>1951.0</v>
      </c>
      <c r="J12" s="13">
        <v>1989.0</v>
      </c>
      <c r="K12" s="16" t="s">
        <v>102</v>
      </c>
      <c r="L12" s="12"/>
      <c r="M12" s="11" t="s">
        <v>39</v>
      </c>
      <c r="N12" s="11" t="s">
        <v>103</v>
      </c>
      <c r="O12" s="17" t="s">
        <v>104</v>
      </c>
      <c r="P12" s="11" t="s">
        <v>27</v>
      </c>
      <c r="Q12" s="11" t="s">
        <v>105</v>
      </c>
      <c r="R12" s="11" t="s">
        <v>104</v>
      </c>
      <c r="S12" s="12"/>
      <c r="T12" s="12"/>
      <c r="U12" s="12"/>
      <c r="V12" s="12"/>
      <c r="W12" s="12"/>
      <c r="X12" s="12"/>
      <c r="Y12" s="12"/>
      <c r="Z12" s="12"/>
    </row>
    <row r="13" ht="15.75" customHeight="1">
      <c r="A13" s="13" t="s">
        <v>106</v>
      </c>
      <c r="B13" s="13" t="s">
        <v>107</v>
      </c>
      <c r="C13" s="11" t="s">
        <v>108</v>
      </c>
      <c r="D13" s="11" t="s">
        <v>22</v>
      </c>
      <c r="E13" s="11" t="s">
        <v>109</v>
      </c>
      <c r="F13" s="11" t="s">
        <v>22</v>
      </c>
      <c r="G13" s="13" t="s">
        <v>24</v>
      </c>
      <c r="H13" s="13" t="s">
        <v>25</v>
      </c>
      <c r="I13" s="13">
        <v>1960.0</v>
      </c>
      <c r="J13" s="13">
        <v>1989.0</v>
      </c>
      <c r="K13" s="19" t="s">
        <v>110</v>
      </c>
      <c r="L13" s="12"/>
      <c r="M13" s="12"/>
      <c r="N13" s="12"/>
      <c r="O13" s="12"/>
      <c r="P13" s="12"/>
      <c r="Q13" s="12"/>
      <c r="R13" s="12"/>
      <c r="S13" s="12"/>
      <c r="T13" s="12"/>
      <c r="U13" s="12"/>
      <c r="V13" s="12"/>
      <c r="W13" s="12"/>
      <c r="X13" s="12"/>
      <c r="Y13" s="12"/>
      <c r="Z13" s="12"/>
    </row>
    <row r="14" ht="15.75" customHeight="1">
      <c r="A14" s="13" t="s">
        <v>111</v>
      </c>
      <c r="B14" s="13" t="s">
        <v>112</v>
      </c>
      <c r="C14" s="13" t="s">
        <v>113</v>
      </c>
      <c r="D14" s="11" t="s">
        <v>22</v>
      </c>
      <c r="E14" s="13" t="s">
        <v>114</v>
      </c>
      <c r="F14" s="11" t="s">
        <v>22</v>
      </c>
      <c r="G14" s="13" t="s">
        <v>24</v>
      </c>
      <c r="H14" s="13" t="s">
        <v>75</v>
      </c>
      <c r="I14" s="13">
        <v>1962.0</v>
      </c>
      <c r="J14" s="12"/>
      <c r="K14" s="16" t="s">
        <v>115</v>
      </c>
      <c r="L14" s="12"/>
      <c r="M14" s="12"/>
      <c r="N14" s="12"/>
      <c r="O14" s="12"/>
      <c r="P14" s="12"/>
      <c r="Q14" s="12"/>
      <c r="R14" s="12"/>
      <c r="S14" s="12"/>
      <c r="T14" s="12"/>
      <c r="U14" s="12"/>
      <c r="V14" s="12"/>
      <c r="W14" s="12"/>
      <c r="X14" s="12"/>
      <c r="Y14" s="12"/>
      <c r="Z14" s="12"/>
    </row>
    <row r="15" ht="15.75" customHeight="1">
      <c r="A15" s="13" t="s">
        <v>116</v>
      </c>
      <c r="B15" s="13" t="s">
        <v>117</v>
      </c>
      <c r="C15" s="11" t="s">
        <v>118</v>
      </c>
      <c r="D15" s="11" t="s">
        <v>22</v>
      </c>
      <c r="E15" s="13" t="s">
        <v>119</v>
      </c>
      <c r="F15" s="11" t="s">
        <v>22</v>
      </c>
      <c r="G15" s="13" t="s">
        <v>24</v>
      </c>
      <c r="H15" s="13" t="s">
        <v>75</v>
      </c>
      <c r="I15" s="13">
        <v>1908.0</v>
      </c>
      <c r="J15" s="12"/>
      <c r="K15" s="20" t="s">
        <v>120</v>
      </c>
      <c r="L15" s="12"/>
      <c r="M15" s="12"/>
      <c r="N15" s="12"/>
      <c r="O15" s="12"/>
      <c r="P15" s="12"/>
      <c r="Q15" s="12"/>
      <c r="R15" s="12"/>
      <c r="S15" s="12"/>
      <c r="T15" s="12"/>
      <c r="U15" s="12"/>
      <c r="V15" s="12"/>
      <c r="W15" s="12"/>
      <c r="X15" s="12"/>
      <c r="Y15" s="12"/>
      <c r="Z15" s="12"/>
    </row>
    <row r="16" ht="15.75" customHeight="1">
      <c r="A16" s="13" t="s">
        <v>121</v>
      </c>
      <c r="B16" s="13" t="s">
        <v>122</v>
      </c>
      <c r="C16" s="11" t="s">
        <v>123</v>
      </c>
      <c r="D16" s="11" t="s">
        <v>22</v>
      </c>
      <c r="E16" s="13" t="s">
        <v>124</v>
      </c>
      <c r="F16" s="11" t="s">
        <v>22</v>
      </c>
      <c r="G16" s="13" t="s">
        <v>24</v>
      </c>
      <c r="H16" s="13" t="s">
        <v>25</v>
      </c>
      <c r="I16" s="13" t="s">
        <v>125</v>
      </c>
      <c r="J16" s="12"/>
      <c r="K16" s="21" t="s">
        <v>126</v>
      </c>
      <c r="L16" s="12"/>
      <c r="M16" s="12"/>
      <c r="N16" s="12"/>
      <c r="O16" s="12"/>
      <c r="P16" s="12"/>
      <c r="Q16" s="12"/>
      <c r="R16" s="12"/>
      <c r="S16" s="12"/>
      <c r="T16" s="12"/>
      <c r="U16" s="12"/>
      <c r="V16" s="12"/>
      <c r="W16" s="12"/>
      <c r="X16" s="12"/>
      <c r="Y16" s="12"/>
      <c r="Z16" s="12"/>
    </row>
    <row r="17" ht="15.75" customHeight="1">
      <c r="A17" s="13" t="s">
        <v>127</v>
      </c>
      <c r="B17" s="13" t="s">
        <v>128</v>
      </c>
      <c r="C17" s="11" t="s">
        <v>129</v>
      </c>
      <c r="D17" s="11" t="s">
        <v>36</v>
      </c>
      <c r="E17" s="13" t="s">
        <v>130</v>
      </c>
      <c r="F17" s="11" t="s">
        <v>22</v>
      </c>
      <c r="G17" s="13" t="s">
        <v>24</v>
      </c>
      <c r="H17" s="13" t="s">
        <v>25</v>
      </c>
      <c r="I17" s="11" t="s">
        <v>131</v>
      </c>
      <c r="J17" s="13">
        <v>1989.0</v>
      </c>
      <c r="K17" s="16" t="s">
        <v>132</v>
      </c>
      <c r="L17" s="12"/>
      <c r="M17" s="12"/>
      <c r="N17" s="12"/>
      <c r="O17" s="12"/>
      <c r="P17" s="12"/>
      <c r="Q17" s="12"/>
      <c r="R17" s="12"/>
      <c r="S17" s="12"/>
      <c r="T17" s="12"/>
      <c r="U17" s="12"/>
      <c r="V17" s="12"/>
      <c r="W17" s="12"/>
      <c r="X17" s="12"/>
      <c r="Y17" s="12"/>
      <c r="Z17" s="12"/>
    </row>
    <row r="18" ht="15.75" customHeight="1">
      <c r="A18" s="13" t="s">
        <v>133</v>
      </c>
      <c r="B18" s="13" t="s">
        <v>134</v>
      </c>
      <c r="C18" s="11" t="s">
        <v>135</v>
      </c>
      <c r="D18" s="11" t="s">
        <v>36</v>
      </c>
      <c r="E18" s="13" t="s">
        <v>136</v>
      </c>
      <c r="F18" s="11" t="s">
        <v>22</v>
      </c>
      <c r="G18" s="13" t="s">
        <v>24</v>
      </c>
      <c r="H18" s="13" t="s">
        <v>25</v>
      </c>
      <c r="I18" s="13" t="s">
        <v>131</v>
      </c>
      <c r="J18" s="13">
        <v>1989.0</v>
      </c>
      <c r="K18" s="16" t="s">
        <v>137</v>
      </c>
      <c r="L18" s="12"/>
      <c r="M18" s="12"/>
      <c r="N18" s="12"/>
      <c r="O18" s="12"/>
      <c r="P18" s="12"/>
      <c r="Q18" s="12"/>
      <c r="R18" s="12"/>
      <c r="S18" s="12"/>
      <c r="T18" s="12"/>
      <c r="U18" s="12"/>
      <c r="V18" s="12"/>
      <c r="W18" s="12"/>
      <c r="X18" s="12"/>
      <c r="Y18" s="12"/>
      <c r="Z18" s="12"/>
    </row>
    <row r="19" ht="15.75" customHeight="1">
      <c r="A19" s="13" t="s">
        <v>138</v>
      </c>
      <c r="B19" s="13" t="s">
        <v>139</v>
      </c>
      <c r="C19" s="11" t="s">
        <v>140</v>
      </c>
      <c r="D19" s="11" t="s">
        <v>36</v>
      </c>
      <c r="E19" s="11" t="s">
        <v>141</v>
      </c>
      <c r="F19" s="11" t="s">
        <v>22</v>
      </c>
      <c r="G19" s="13" t="s">
        <v>24</v>
      </c>
      <c r="H19" s="13" t="s">
        <v>25</v>
      </c>
      <c r="I19" s="13">
        <v>1955.0</v>
      </c>
      <c r="J19" s="13">
        <v>1989.0</v>
      </c>
      <c r="K19" s="16" t="s">
        <v>142</v>
      </c>
      <c r="L19" s="12"/>
      <c r="M19" s="12"/>
      <c r="N19" s="12"/>
      <c r="O19" s="12"/>
      <c r="P19" s="12"/>
      <c r="Q19" s="12"/>
      <c r="R19" s="12"/>
      <c r="S19" s="12"/>
      <c r="T19" s="12"/>
      <c r="U19" s="12"/>
      <c r="V19" s="12"/>
      <c r="W19" s="12"/>
      <c r="X19" s="12"/>
      <c r="Y19" s="12"/>
      <c r="Z19" s="12"/>
    </row>
    <row r="20" ht="15.75" customHeight="1">
      <c r="A20" s="13" t="s">
        <v>143</v>
      </c>
      <c r="B20" s="13" t="s">
        <v>144</v>
      </c>
      <c r="C20" s="11" t="s">
        <v>145</v>
      </c>
      <c r="D20" s="11" t="s">
        <v>36</v>
      </c>
      <c r="E20" s="11" t="s">
        <v>146</v>
      </c>
      <c r="F20" s="11" t="s">
        <v>22</v>
      </c>
      <c r="G20" s="13" t="s">
        <v>24</v>
      </c>
      <c r="H20" s="13" t="s">
        <v>25</v>
      </c>
      <c r="I20" s="13">
        <v>1952.0</v>
      </c>
      <c r="J20" s="13">
        <v>1989.0</v>
      </c>
      <c r="K20" s="16" t="s">
        <v>147</v>
      </c>
      <c r="L20" s="12"/>
      <c r="M20" s="12"/>
      <c r="N20" s="12"/>
      <c r="O20" s="12"/>
      <c r="P20" s="12"/>
      <c r="Q20" s="12"/>
      <c r="R20" s="12"/>
      <c r="S20" s="12"/>
      <c r="T20" s="12"/>
      <c r="U20" s="12"/>
      <c r="V20" s="12"/>
      <c r="W20" s="12"/>
      <c r="X20" s="12"/>
      <c r="Y20" s="12"/>
      <c r="Z20" s="12"/>
    </row>
    <row r="21" ht="15.75" customHeight="1">
      <c r="A21" s="13" t="s">
        <v>148</v>
      </c>
      <c r="B21" s="13" t="s">
        <v>149</v>
      </c>
      <c r="C21" s="11" t="s">
        <v>150</v>
      </c>
      <c r="D21" s="11" t="s">
        <v>36</v>
      </c>
      <c r="E21" s="11" t="s">
        <v>151</v>
      </c>
      <c r="F21" s="11" t="s">
        <v>22</v>
      </c>
      <c r="G21" s="13" t="s">
        <v>24</v>
      </c>
      <c r="H21" s="13" t="s">
        <v>25</v>
      </c>
      <c r="I21" s="13">
        <v>1971.0</v>
      </c>
      <c r="J21" s="13">
        <v>1989.0</v>
      </c>
      <c r="K21" s="16" t="s">
        <v>152</v>
      </c>
      <c r="L21" s="11"/>
      <c r="M21" s="22" t="s">
        <v>39</v>
      </c>
      <c r="N21" s="22" t="s">
        <v>153</v>
      </c>
      <c r="O21" s="17" t="s">
        <v>154</v>
      </c>
      <c r="P21" s="12"/>
      <c r="Q21" s="12"/>
      <c r="R21" s="12"/>
      <c r="S21" s="12"/>
      <c r="T21" s="12"/>
      <c r="U21" s="12"/>
      <c r="V21" s="12"/>
      <c r="W21" s="12"/>
      <c r="X21" s="12"/>
      <c r="Y21" s="12"/>
      <c r="Z21" s="12"/>
    </row>
    <row r="22" ht="15.75" customHeight="1">
      <c r="A22" s="13" t="s">
        <v>155</v>
      </c>
      <c r="B22" s="13" t="s">
        <v>156</v>
      </c>
      <c r="C22" s="11" t="s">
        <v>157</v>
      </c>
      <c r="D22" s="11" t="s">
        <v>36</v>
      </c>
      <c r="E22" s="11" t="s">
        <v>158</v>
      </c>
      <c r="F22" s="11" t="s">
        <v>22</v>
      </c>
      <c r="G22" s="13" t="s">
        <v>24</v>
      </c>
      <c r="H22" s="13" t="s">
        <v>25</v>
      </c>
      <c r="I22" s="13" t="s">
        <v>131</v>
      </c>
      <c r="J22" s="13" t="s">
        <v>131</v>
      </c>
      <c r="K22" s="16" t="s">
        <v>159</v>
      </c>
      <c r="L22" s="12"/>
      <c r="M22" s="12"/>
      <c r="N22" s="12"/>
      <c r="O22" s="12"/>
      <c r="P22" s="12"/>
      <c r="Q22" s="12"/>
      <c r="R22" s="12"/>
      <c r="S22" s="12"/>
      <c r="T22" s="12"/>
      <c r="U22" s="12"/>
      <c r="V22" s="12"/>
      <c r="W22" s="12"/>
      <c r="X22" s="12"/>
      <c r="Y22" s="12"/>
      <c r="Z22" s="12"/>
    </row>
    <row r="23" ht="15.75" customHeight="1">
      <c r="A23" s="13" t="s">
        <v>160</v>
      </c>
      <c r="B23" s="13" t="s">
        <v>161</v>
      </c>
      <c r="C23" s="11" t="s">
        <v>162</v>
      </c>
      <c r="D23" s="11" t="s">
        <v>36</v>
      </c>
      <c r="E23" s="11" t="s">
        <v>163</v>
      </c>
      <c r="F23" s="11" t="s">
        <v>22</v>
      </c>
      <c r="G23" s="13" t="s">
        <v>24</v>
      </c>
      <c r="H23" s="13" t="s">
        <v>25</v>
      </c>
      <c r="I23" s="13">
        <v>1966.0</v>
      </c>
      <c r="J23" s="13" t="s">
        <v>131</v>
      </c>
      <c r="K23" s="16" t="s">
        <v>164</v>
      </c>
      <c r="L23" s="12"/>
      <c r="M23" s="12"/>
      <c r="N23" s="12"/>
      <c r="O23" s="12"/>
      <c r="P23" s="12"/>
      <c r="Q23" s="12"/>
      <c r="R23" s="12"/>
      <c r="S23" s="12"/>
      <c r="T23" s="12"/>
      <c r="U23" s="12"/>
      <c r="V23" s="12"/>
      <c r="W23" s="12"/>
      <c r="X23" s="12"/>
      <c r="Y23" s="12"/>
      <c r="Z23" s="12"/>
    </row>
    <row r="24" ht="15.75" customHeight="1">
      <c r="A24" s="13" t="s">
        <v>165</v>
      </c>
      <c r="B24" s="13" t="s">
        <v>166</v>
      </c>
      <c r="C24" s="13" t="s">
        <v>167</v>
      </c>
      <c r="D24" s="11" t="s">
        <v>36</v>
      </c>
      <c r="E24" s="13" t="s">
        <v>168</v>
      </c>
      <c r="F24" s="11" t="s">
        <v>22</v>
      </c>
      <c r="G24" s="13" t="s">
        <v>24</v>
      </c>
      <c r="H24" s="13" t="s">
        <v>25</v>
      </c>
      <c r="I24" s="13">
        <v>1951.0</v>
      </c>
      <c r="J24" s="13" t="s">
        <v>131</v>
      </c>
      <c r="K24" s="17" t="s">
        <v>169</v>
      </c>
      <c r="L24" s="12"/>
      <c r="M24" s="12"/>
      <c r="N24" s="12"/>
      <c r="O24" s="12"/>
      <c r="P24" s="12"/>
      <c r="Q24" s="12"/>
      <c r="R24" s="12"/>
      <c r="S24" s="12"/>
      <c r="T24" s="12"/>
      <c r="U24" s="12"/>
      <c r="V24" s="12"/>
      <c r="W24" s="12"/>
      <c r="X24" s="12"/>
      <c r="Y24" s="12"/>
      <c r="Z24" s="12"/>
    </row>
    <row r="25" ht="15.75" customHeight="1">
      <c r="A25" s="13" t="s">
        <v>170</v>
      </c>
      <c r="B25" s="13" t="s">
        <v>171</v>
      </c>
      <c r="C25" s="11" t="s">
        <v>172</v>
      </c>
      <c r="D25" s="11" t="s">
        <v>22</v>
      </c>
      <c r="E25" s="11" t="s">
        <v>173</v>
      </c>
      <c r="F25" s="11" t="s">
        <v>22</v>
      </c>
      <c r="G25" s="13" t="s">
        <v>24</v>
      </c>
      <c r="H25" s="13" t="s">
        <v>25</v>
      </c>
      <c r="I25" s="13">
        <v>1951.0</v>
      </c>
      <c r="J25" s="13">
        <v>1989.0</v>
      </c>
      <c r="K25" s="17" t="s">
        <v>174</v>
      </c>
      <c r="L25" s="11"/>
      <c r="M25" s="11" t="s">
        <v>39</v>
      </c>
      <c r="N25" s="17" t="s">
        <v>175</v>
      </c>
      <c r="O25" s="11" t="s">
        <v>176</v>
      </c>
      <c r="P25" s="11" t="s">
        <v>27</v>
      </c>
      <c r="Q25" s="17" t="s">
        <v>89</v>
      </c>
      <c r="R25" s="11" t="s">
        <v>176</v>
      </c>
      <c r="S25" s="12"/>
      <c r="T25" s="12"/>
      <c r="U25" s="12"/>
      <c r="V25" s="12"/>
      <c r="W25" s="12"/>
      <c r="X25" s="12"/>
      <c r="Y25" s="12"/>
      <c r="Z25" s="12"/>
    </row>
    <row r="26" ht="15.75" customHeight="1">
      <c r="A26" s="13" t="s">
        <v>177</v>
      </c>
      <c r="B26" s="13" t="s">
        <v>178</v>
      </c>
      <c r="C26" s="11" t="s">
        <v>179</v>
      </c>
      <c r="D26" s="11" t="s">
        <v>22</v>
      </c>
      <c r="E26" s="13" t="s">
        <v>180</v>
      </c>
      <c r="F26" s="11" t="s">
        <v>22</v>
      </c>
      <c r="G26" s="13" t="s">
        <v>24</v>
      </c>
      <c r="H26" s="13" t="s">
        <v>25</v>
      </c>
      <c r="I26" s="13">
        <v>1950.0</v>
      </c>
      <c r="J26" s="13">
        <v>1974.0</v>
      </c>
      <c r="K26" s="11" t="s">
        <v>181</v>
      </c>
      <c r="L26" s="12"/>
      <c r="M26" s="12"/>
      <c r="N26" s="12"/>
      <c r="O26" s="12"/>
      <c r="P26" s="12"/>
      <c r="Q26" s="12"/>
      <c r="R26" s="12"/>
      <c r="S26" s="12"/>
      <c r="T26" s="12"/>
      <c r="U26" s="12"/>
      <c r="V26" s="12"/>
      <c r="W26" s="12"/>
      <c r="X26" s="12"/>
      <c r="Y26" s="12"/>
      <c r="Z26" s="12"/>
    </row>
    <row r="27" ht="15.75" customHeight="1">
      <c r="A27" s="13" t="s">
        <v>182</v>
      </c>
      <c r="B27" s="13" t="s">
        <v>183</v>
      </c>
      <c r="C27" s="11" t="s">
        <v>184</v>
      </c>
      <c r="D27" s="11" t="s">
        <v>22</v>
      </c>
      <c r="E27" s="11" t="s">
        <v>185</v>
      </c>
      <c r="F27" s="11" t="s">
        <v>22</v>
      </c>
      <c r="G27" s="13" t="s">
        <v>24</v>
      </c>
      <c r="H27" s="13" t="s">
        <v>25</v>
      </c>
      <c r="I27" s="13">
        <v>1952.0</v>
      </c>
      <c r="J27" s="13" t="s">
        <v>131</v>
      </c>
      <c r="K27" s="17" t="s">
        <v>186</v>
      </c>
      <c r="L27" s="12"/>
      <c r="M27" s="11" t="s">
        <v>39</v>
      </c>
      <c r="N27" s="11" t="s">
        <v>187</v>
      </c>
      <c r="O27" s="11" t="s">
        <v>186</v>
      </c>
      <c r="P27" s="11" t="s">
        <v>27</v>
      </c>
      <c r="Q27" s="11" t="s">
        <v>188</v>
      </c>
      <c r="R27" s="17" t="s">
        <v>186</v>
      </c>
      <c r="S27" s="12"/>
      <c r="T27" s="12"/>
      <c r="U27" s="12"/>
      <c r="V27" s="12"/>
      <c r="W27" s="12"/>
      <c r="X27" s="12"/>
      <c r="Y27" s="12"/>
      <c r="Z27" s="12"/>
    </row>
    <row r="28" ht="15.75" customHeight="1">
      <c r="A28" s="13" t="s">
        <v>189</v>
      </c>
      <c r="B28" s="13" t="s">
        <v>190</v>
      </c>
      <c r="C28" s="13" t="s">
        <v>191</v>
      </c>
      <c r="D28" s="11" t="s">
        <v>36</v>
      </c>
      <c r="E28" s="13" t="s">
        <v>192</v>
      </c>
      <c r="F28" s="11" t="s">
        <v>22</v>
      </c>
      <c r="G28" s="13" t="s">
        <v>24</v>
      </c>
      <c r="H28" s="13" t="s">
        <v>25</v>
      </c>
      <c r="I28" s="13">
        <v>1958.0</v>
      </c>
      <c r="J28" s="13">
        <v>1989.0</v>
      </c>
      <c r="K28" s="17" t="s">
        <v>193</v>
      </c>
      <c r="L28" s="12"/>
      <c r="M28" s="12"/>
      <c r="N28" s="12"/>
      <c r="O28" s="12"/>
      <c r="P28" s="12"/>
      <c r="Q28" s="12"/>
      <c r="R28" s="12"/>
      <c r="S28" s="12"/>
      <c r="T28" s="12"/>
      <c r="U28" s="12"/>
      <c r="V28" s="12"/>
      <c r="W28" s="12"/>
      <c r="X28" s="12"/>
      <c r="Y28" s="12"/>
      <c r="Z28" s="12"/>
    </row>
    <row r="29" ht="15.75" customHeight="1">
      <c r="A29" s="13" t="s">
        <v>194</v>
      </c>
      <c r="B29" s="13" t="s">
        <v>195</v>
      </c>
      <c r="C29" s="11" t="s">
        <v>196</v>
      </c>
      <c r="D29" s="11" t="s">
        <v>36</v>
      </c>
      <c r="E29" s="11" t="s">
        <v>197</v>
      </c>
      <c r="F29" s="11" t="s">
        <v>22</v>
      </c>
      <c r="G29" s="13" t="s">
        <v>24</v>
      </c>
      <c r="H29" s="13" t="s">
        <v>75</v>
      </c>
      <c r="I29" s="13" t="s">
        <v>131</v>
      </c>
      <c r="J29" s="12"/>
      <c r="K29" s="17" t="s">
        <v>198</v>
      </c>
      <c r="L29" s="11"/>
      <c r="M29" s="17" t="s">
        <v>39</v>
      </c>
      <c r="N29" s="17" t="s">
        <v>199</v>
      </c>
      <c r="O29" s="17" t="s">
        <v>200</v>
      </c>
      <c r="P29" s="12"/>
      <c r="Q29" s="12"/>
      <c r="R29" s="12"/>
      <c r="S29" s="12"/>
      <c r="T29" s="12"/>
      <c r="U29" s="12"/>
      <c r="V29" s="12"/>
      <c r="W29" s="12"/>
      <c r="X29" s="12"/>
      <c r="Y29" s="12"/>
      <c r="Z29" s="12"/>
    </row>
    <row r="30" ht="15.75" customHeight="1">
      <c r="A30" s="13" t="s">
        <v>201</v>
      </c>
      <c r="B30" s="13" t="s">
        <v>202</v>
      </c>
      <c r="C30" s="11" t="s">
        <v>203</v>
      </c>
      <c r="D30" s="11" t="s">
        <v>36</v>
      </c>
      <c r="E30" s="13" t="s">
        <v>204</v>
      </c>
      <c r="F30" s="11" t="s">
        <v>22</v>
      </c>
      <c r="G30" s="13" t="s">
        <v>24</v>
      </c>
      <c r="H30" s="13" t="s">
        <v>25</v>
      </c>
      <c r="I30" s="13">
        <v>1978.0</v>
      </c>
      <c r="J30" s="13">
        <v>1989.0</v>
      </c>
      <c r="K30" s="17" t="s">
        <v>205</v>
      </c>
      <c r="L30" s="12"/>
      <c r="M30" s="12"/>
      <c r="N30" s="12"/>
      <c r="O30" s="12"/>
      <c r="P30" s="12"/>
      <c r="Q30" s="12"/>
      <c r="R30" s="12"/>
      <c r="S30" s="12"/>
      <c r="T30" s="12"/>
      <c r="U30" s="12"/>
      <c r="V30" s="12"/>
      <c r="W30" s="12"/>
      <c r="X30" s="12"/>
      <c r="Y30" s="12"/>
      <c r="Z30" s="12"/>
    </row>
    <row r="31" ht="15.75" customHeight="1">
      <c r="A31" s="13" t="s">
        <v>206</v>
      </c>
      <c r="B31" s="13" t="s">
        <v>207</v>
      </c>
      <c r="C31" s="11" t="s">
        <v>208</v>
      </c>
      <c r="D31" s="11" t="s">
        <v>36</v>
      </c>
      <c r="E31" s="11" t="s">
        <v>209</v>
      </c>
      <c r="F31" s="11" t="s">
        <v>22</v>
      </c>
      <c r="G31" s="13" t="s">
        <v>24</v>
      </c>
      <c r="H31" s="13" t="s">
        <v>75</v>
      </c>
      <c r="I31" s="13">
        <v>1958.0</v>
      </c>
      <c r="J31" s="12"/>
      <c r="K31" s="11" t="s">
        <v>210</v>
      </c>
      <c r="L31" s="12"/>
      <c r="M31" s="11" t="s">
        <v>39</v>
      </c>
      <c r="N31" s="11" t="s">
        <v>211</v>
      </c>
      <c r="O31" s="17" t="s">
        <v>212</v>
      </c>
      <c r="P31" s="12"/>
      <c r="Q31" s="12"/>
      <c r="R31" s="12"/>
      <c r="S31" s="12"/>
      <c r="T31" s="12"/>
      <c r="U31" s="12"/>
      <c r="V31" s="12"/>
      <c r="W31" s="12"/>
      <c r="X31" s="12"/>
      <c r="Y31" s="12"/>
      <c r="Z31" s="12"/>
    </row>
    <row r="32" ht="15.75" customHeight="1">
      <c r="A32" s="13" t="s">
        <v>213</v>
      </c>
      <c r="B32" s="13" t="s">
        <v>214</v>
      </c>
      <c r="C32" s="11" t="s">
        <v>215</v>
      </c>
      <c r="D32" s="11" t="s">
        <v>36</v>
      </c>
      <c r="E32" s="11" t="s">
        <v>216</v>
      </c>
      <c r="F32" s="11" t="s">
        <v>22</v>
      </c>
      <c r="G32" s="13" t="s">
        <v>24</v>
      </c>
      <c r="H32" s="13" t="s">
        <v>75</v>
      </c>
      <c r="I32" s="13">
        <v>1952.0</v>
      </c>
      <c r="J32" s="12"/>
      <c r="K32" s="11" t="s">
        <v>217</v>
      </c>
      <c r="L32" s="12"/>
      <c r="M32" s="11" t="s">
        <v>39</v>
      </c>
      <c r="N32" s="11" t="s">
        <v>153</v>
      </c>
      <c r="O32" s="11" t="s">
        <v>218</v>
      </c>
      <c r="P32" s="11" t="s">
        <v>27</v>
      </c>
      <c r="Q32" s="11" t="s">
        <v>188</v>
      </c>
      <c r="R32" s="17" t="s">
        <v>218</v>
      </c>
      <c r="S32" s="12"/>
      <c r="T32" s="12"/>
      <c r="U32" s="12"/>
      <c r="V32" s="12"/>
      <c r="W32" s="12"/>
      <c r="X32" s="12"/>
      <c r="Y32" s="12"/>
      <c r="Z32" s="12"/>
    </row>
    <row r="33" ht="15.75" customHeight="1">
      <c r="A33" s="13" t="s">
        <v>219</v>
      </c>
      <c r="B33" s="13" t="s">
        <v>220</v>
      </c>
      <c r="C33" s="13" t="s">
        <v>221</v>
      </c>
      <c r="D33" s="11" t="s">
        <v>36</v>
      </c>
      <c r="E33" s="11" t="s">
        <v>222</v>
      </c>
      <c r="F33" s="11" t="s">
        <v>22</v>
      </c>
      <c r="G33" s="13" t="s">
        <v>24</v>
      </c>
      <c r="H33" s="13" t="s">
        <v>75</v>
      </c>
      <c r="I33" s="13" t="s">
        <v>131</v>
      </c>
      <c r="J33" s="12"/>
      <c r="K33" s="11" t="s">
        <v>132</v>
      </c>
      <c r="L33" s="12"/>
      <c r="M33" s="12"/>
      <c r="N33" s="12"/>
      <c r="O33" s="12"/>
      <c r="P33" s="12"/>
      <c r="Q33" s="12"/>
      <c r="R33" s="12"/>
      <c r="S33" s="12"/>
      <c r="T33" s="12"/>
      <c r="U33" s="12"/>
      <c r="V33" s="12"/>
      <c r="W33" s="12"/>
      <c r="X33" s="12"/>
      <c r="Y33" s="12"/>
      <c r="Z33" s="12"/>
    </row>
    <row r="34" ht="15.75" customHeight="1">
      <c r="A34" s="13" t="s">
        <v>223</v>
      </c>
      <c r="B34" s="13" t="s">
        <v>224</v>
      </c>
      <c r="C34" s="13" t="s">
        <v>225</v>
      </c>
      <c r="D34" s="11" t="s">
        <v>36</v>
      </c>
      <c r="E34" s="11" t="s">
        <v>226</v>
      </c>
      <c r="F34" s="11" t="s">
        <v>22</v>
      </c>
      <c r="G34" s="13" t="s">
        <v>24</v>
      </c>
      <c r="H34" s="13" t="s">
        <v>75</v>
      </c>
      <c r="I34" s="13">
        <v>1958.0</v>
      </c>
      <c r="J34" s="12"/>
      <c r="K34" s="11" t="s">
        <v>227</v>
      </c>
      <c r="L34" s="12"/>
      <c r="M34" s="12"/>
      <c r="N34" s="12"/>
      <c r="O34" s="12"/>
      <c r="P34" s="12"/>
      <c r="Q34" s="12"/>
      <c r="R34" s="12"/>
      <c r="S34" s="12"/>
      <c r="T34" s="12"/>
      <c r="U34" s="12"/>
      <c r="V34" s="12"/>
      <c r="W34" s="12"/>
      <c r="X34" s="12"/>
      <c r="Y34" s="12"/>
      <c r="Z34" s="12"/>
    </row>
    <row r="35" ht="15.75" customHeight="1">
      <c r="A35" s="11" t="s">
        <v>228</v>
      </c>
      <c r="B35" s="11" t="s">
        <v>229</v>
      </c>
      <c r="C35" s="11" t="s">
        <v>230</v>
      </c>
      <c r="D35" s="11" t="s">
        <v>36</v>
      </c>
      <c r="E35" s="11" t="s">
        <v>231</v>
      </c>
      <c r="F35" s="11" t="s">
        <v>22</v>
      </c>
      <c r="G35" s="13" t="s">
        <v>24</v>
      </c>
      <c r="H35" s="11" t="s">
        <v>25</v>
      </c>
      <c r="I35" s="11">
        <v>1971.0</v>
      </c>
      <c r="J35" s="11" t="s">
        <v>232</v>
      </c>
      <c r="K35" s="11" t="s">
        <v>233</v>
      </c>
      <c r="L35" s="12"/>
      <c r="M35" s="11" t="s">
        <v>39</v>
      </c>
      <c r="N35" s="11" t="s">
        <v>234</v>
      </c>
      <c r="O35" s="11" t="s">
        <v>235</v>
      </c>
      <c r="P35" s="12"/>
      <c r="Q35" s="12"/>
      <c r="R35" s="12"/>
      <c r="S35" s="12"/>
      <c r="T35" s="12"/>
      <c r="U35" s="12"/>
      <c r="V35" s="12"/>
      <c r="W35" s="12"/>
      <c r="X35" s="12"/>
      <c r="Y35" s="12"/>
      <c r="Z35" s="12"/>
    </row>
    <row r="36" ht="15.75" customHeight="1">
      <c r="A36" s="12"/>
      <c r="B36" s="12"/>
      <c r="C36" s="11"/>
      <c r="D36" s="11"/>
      <c r="E36" s="12"/>
      <c r="F36" s="12"/>
      <c r="G36" s="12"/>
      <c r="H36" s="12"/>
      <c r="I36" s="12"/>
      <c r="J36" s="12"/>
      <c r="K36" s="12"/>
      <c r="L36" s="12"/>
      <c r="M36" s="12"/>
      <c r="N36" s="12"/>
      <c r="O36" s="12"/>
      <c r="P36" s="12"/>
      <c r="Q36" s="12"/>
      <c r="R36" s="12"/>
      <c r="S36" s="12"/>
      <c r="T36" s="12"/>
      <c r="U36" s="12"/>
      <c r="V36" s="12"/>
      <c r="W36" s="12"/>
      <c r="X36" s="12"/>
      <c r="Y36" s="12"/>
      <c r="Z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autoFilter ref="$A$1:$Z$35"/>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43.86"/>
    <col customWidth="1" min="4" max="6" width="14.43"/>
    <col customWidth="1" min="15" max="15" width="27.0"/>
    <col customWidth="1" min="16" max="16" width="23.57"/>
  </cols>
  <sheetData>
    <row r="1" ht="15.75" customHeight="1">
      <c r="A1" s="2" t="s">
        <v>1</v>
      </c>
      <c r="B1" s="2" t="s">
        <v>2</v>
      </c>
      <c r="C1" s="2" t="s">
        <v>3</v>
      </c>
      <c r="D1" s="2" t="s">
        <v>4</v>
      </c>
      <c r="E1" s="2" t="s">
        <v>5</v>
      </c>
      <c r="F1" s="3" t="s">
        <v>6</v>
      </c>
      <c r="G1" s="3" t="s">
        <v>7</v>
      </c>
      <c r="H1" s="2" t="s">
        <v>8</v>
      </c>
      <c r="I1" s="3" t="s">
        <v>9</v>
      </c>
      <c r="J1" s="3" t="s">
        <v>10</v>
      </c>
      <c r="K1" s="3" t="s">
        <v>11</v>
      </c>
      <c r="L1" s="4" t="s">
        <v>12</v>
      </c>
      <c r="M1" s="4" t="s">
        <v>13</v>
      </c>
      <c r="N1" s="5" t="s">
        <v>14</v>
      </c>
      <c r="O1" s="5" t="s">
        <v>15</v>
      </c>
      <c r="P1" s="5" t="s">
        <v>16</v>
      </c>
      <c r="Q1" s="5" t="s">
        <v>17</v>
      </c>
      <c r="R1" s="5" t="s">
        <v>18</v>
      </c>
      <c r="S1" s="6"/>
      <c r="T1" s="6"/>
      <c r="U1" s="6"/>
      <c r="V1" s="6"/>
      <c r="W1" s="6"/>
      <c r="X1" s="6"/>
      <c r="Y1" s="6"/>
    </row>
    <row r="2" ht="15.75" customHeight="1">
      <c r="A2" s="23" t="s">
        <v>236</v>
      </c>
      <c r="B2" s="23" t="s">
        <v>237</v>
      </c>
      <c r="C2" s="23" t="s">
        <v>238</v>
      </c>
      <c r="D2" s="24" t="s">
        <v>22</v>
      </c>
      <c r="E2" s="24" t="s">
        <v>239</v>
      </c>
      <c r="F2" s="24" t="s">
        <v>22</v>
      </c>
      <c r="G2" s="23" t="s">
        <v>240</v>
      </c>
      <c r="H2" s="23" t="s">
        <v>75</v>
      </c>
      <c r="I2" s="23">
        <v>1954.0</v>
      </c>
      <c r="J2" s="6"/>
      <c r="K2" s="24" t="s">
        <v>241</v>
      </c>
      <c r="L2" s="6"/>
      <c r="M2" s="24"/>
      <c r="N2" s="24"/>
      <c r="O2" s="6"/>
      <c r="P2" s="6"/>
      <c r="Q2" s="6"/>
      <c r="R2" s="6"/>
      <c r="S2" s="6"/>
      <c r="T2" s="6"/>
      <c r="U2" s="6"/>
      <c r="V2" s="6"/>
      <c r="W2" s="6"/>
      <c r="X2" s="6"/>
      <c r="Y2" s="6"/>
    </row>
    <row r="3" ht="15.75" customHeight="1">
      <c r="A3" s="23" t="s">
        <v>242</v>
      </c>
      <c r="B3" s="23" t="s">
        <v>243</v>
      </c>
      <c r="C3" s="23" t="s">
        <v>244</v>
      </c>
      <c r="D3" s="24" t="s">
        <v>36</v>
      </c>
      <c r="E3" s="24" t="s">
        <v>245</v>
      </c>
      <c r="F3" s="24" t="s">
        <v>36</v>
      </c>
      <c r="G3" s="23" t="s">
        <v>240</v>
      </c>
      <c r="H3" s="23" t="s">
        <v>25</v>
      </c>
      <c r="I3" s="23">
        <v>1971.0</v>
      </c>
      <c r="J3" s="23">
        <v>1989.0</v>
      </c>
      <c r="K3" s="25" t="s">
        <v>48</v>
      </c>
      <c r="L3" s="6"/>
      <c r="M3" s="24" t="s">
        <v>39</v>
      </c>
      <c r="N3" s="24" t="s">
        <v>153</v>
      </c>
      <c r="O3" s="26" t="s">
        <v>48</v>
      </c>
      <c r="P3" s="24" t="s">
        <v>27</v>
      </c>
      <c r="Q3" s="26" t="s">
        <v>188</v>
      </c>
      <c r="R3" s="26" t="s">
        <v>48</v>
      </c>
      <c r="S3" s="6"/>
      <c r="T3" s="6"/>
      <c r="U3" s="6"/>
      <c r="V3" s="6"/>
      <c r="W3" s="6"/>
      <c r="X3" s="6"/>
      <c r="Y3" s="6"/>
    </row>
    <row r="4" ht="15.75" customHeight="1">
      <c r="A4" s="23" t="s">
        <v>246</v>
      </c>
      <c r="B4" s="23" t="s">
        <v>247</v>
      </c>
      <c r="C4" s="23" t="s">
        <v>248</v>
      </c>
      <c r="D4" s="24" t="s">
        <v>22</v>
      </c>
      <c r="E4" s="24" t="s">
        <v>249</v>
      </c>
      <c r="F4" s="24" t="s">
        <v>22</v>
      </c>
      <c r="G4" s="23" t="s">
        <v>240</v>
      </c>
      <c r="H4" s="23" t="s">
        <v>25</v>
      </c>
      <c r="I4" s="23">
        <v>1978.0</v>
      </c>
      <c r="J4" s="23">
        <v>1989.0</v>
      </c>
      <c r="K4" s="25" t="s">
        <v>250</v>
      </c>
      <c r="L4" s="6"/>
      <c r="M4" s="24" t="s">
        <v>39</v>
      </c>
      <c r="N4" s="24" t="s">
        <v>251</v>
      </c>
      <c r="O4" s="24" t="s">
        <v>48</v>
      </c>
      <c r="P4" s="6"/>
      <c r="Q4" s="6"/>
      <c r="R4" s="6"/>
      <c r="S4" s="6"/>
      <c r="T4" s="6"/>
      <c r="U4" s="6"/>
      <c r="V4" s="6"/>
      <c r="W4" s="6"/>
      <c r="X4" s="6"/>
      <c r="Y4" s="6"/>
    </row>
    <row r="5" ht="15.75" customHeight="1">
      <c r="A5" s="23" t="s">
        <v>252</v>
      </c>
      <c r="B5" s="23" t="s">
        <v>253</v>
      </c>
      <c r="C5" s="23" t="s">
        <v>254</v>
      </c>
      <c r="D5" s="24" t="s">
        <v>22</v>
      </c>
      <c r="E5" s="24" t="s">
        <v>255</v>
      </c>
      <c r="F5" s="24" t="s">
        <v>22</v>
      </c>
      <c r="G5" s="23" t="s">
        <v>240</v>
      </c>
      <c r="H5" s="23" t="s">
        <v>25</v>
      </c>
      <c r="I5" s="23">
        <v>1961.0</v>
      </c>
      <c r="J5" s="23">
        <v>1989.0</v>
      </c>
      <c r="K5" s="26" t="s">
        <v>256</v>
      </c>
      <c r="L5" s="6"/>
      <c r="M5" s="24" t="s">
        <v>39</v>
      </c>
      <c r="N5" s="24" t="s">
        <v>251</v>
      </c>
      <c r="O5" s="26" t="s">
        <v>257</v>
      </c>
      <c r="P5" s="24" t="s">
        <v>96</v>
      </c>
      <c r="Q5" s="26" t="s">
        <v>257</v>
      </c>
      <c r="R5" s="6"/>
      <c r="S5" s="6"/>
      <c r="T5" s="6"/>
      <c r="U5" s="6"/>
      <c r="V5" s="6"/>
      <c r="W5" s="6"/>
      <c r="X5" s="6"/>
      <c r="Y5" s="6"/>
    </row>
    <row r="6" ht="15.75" customHeight="1">
      <c r="A6" s="23" t="s">
        <v>258</v>
      </c>
      <c r="B6" s="23" t="s">
        <v>259</v>
      </c>
      <c r="C6" s="24" t="s">
        <v>260</v>
      </c>
      <c r="D6" s="24" t="s">
        <v>22</v>
      </c>
      <c r="E6" s="24" t="s">
        <v>261</v>
      </c>
      <c r="F6" s="24" t="s">
        <v>22</v>
      </c>
      <c r="G6" s="23" t="s">
        <v>240</v>
      </c>
      <c r="H6" s="23" t="s">
        <v>25</v>
      </c>
      <c r="I6" s="23">
        <v>1974.0</v>
      </c>
      <c r="J6" s="23">
        <v>1989.0</v>
      </c>
      <c r="K6" s="26" t="s">
        <v>262</v>
      </c>
      <c r="L6" s="6"/>
      <c r="M6" s="24" t="s">
        <v>39</v>
      </c>
      <c r="N6" s="24" t="s">
        <v>188</v>
      </c>
      <c r="O6" s="26" t="s">
        <v>48</v>
      </c>
      <c r="P6" s="24" t="s">
        <v>27</v>
      </c>
      <c r="Q6" s="6"/>
      <c r="R6" s="26" t="s">
        <v>48</v>
      </c>
      <c r="S6" s="6"/>
      <c r="T6" s="6"/>
      <c r="U6" s="6"/>
      <c r="V6" s="6"/>
      <c r="W6" s="6"/>
      <c r="X6" s="6"/>
      <c r="Y6" s="6"/>
    </row>
    <row r="7" ht="15.75" customHeight="1">
      <c r="A7" s="23" t="s">
        <v>263</v>
      </c>
      <c r="B7" s="23" t="s">
        <v>264</v>
      </c>
      <c r="C7" s="24" t="s">
        <v>265</v>
      </c>
      <c r="D7" s="24" t="s">
        <v>36</v>
      </c>
      <c r="E7" s="24" t="s">
        <v>266</v>
      </c>
      <c r="F7" s="24" t="s">
        <v>36</v>
      </c>
      <c r="G7" s="23" t="s">
        <v>240</v>
      </c>
      <c r="H7" s="23" t="s">
        <v>25</v>
      </c>
      <c r="I7" s="23">
        <v>1981.0</v>
      </c>
      <c r="J7" s="23">
        <v>1989.0</v>
      </c>
      <c r="K7" s="24" t="s">
        <v>267</v>
      </c>
      <c r="L7" s="6"/>
      <c r="M7" s="6"/>
      <c r="N7" s="6"/>
      <c r="O7" s="6"/>
      <c r="P7" s="6"/>
      <c r="Q7" s="6"/>
      <c r="R7" s="6"/>
      <c r="S7" s="6"/>
      <c r="T7" s="6"/>
      <c r="U7" s="6"/>
      <c r="V7" s="6"/>
      <c r="W7" s="6"/>
      <c r="X7" s="6"/>
      <c r="Y7" s="6"/>
    </row>
    <row r="8" ht="15.75" customHeight="1">
      <c r="A8" s="23" t="s">
        <v>268</v>
      </c>
      <c r="B8" s="23" t="s">
        <v>269</v>
      </c>
      <c r="C8" s="23" t="s">
        <v>270</v>
      </c>
      <c r="D8" s="24" t="s">
        <v>22</v>
      </c>
      <c r="E8" s="24" t="s">
        <v>271</v>
      </c>
      <c r="F8" s="24" t="s">
        <v>22</v>
      </c>
      <c r="G8" s="23" t="s">
        <v>240</v>
      </c>
      <c r="H8" s="23" t="s">
        <v>25</v>
      </c>
      <c r="I8" s="23">
        <v>1959.0</v>
      </c>
      <c r="J8" s="23">
        <v>1989.0</v>
      </c>
      <c r="K8" s="24" t="s">
        <v>272</v>
      </c>
      <c r="L8" s="6"/>
      <c r="M8" s="24" t="s">
        <v>39</v>
      </c>
      <c r="N8" s="24" t="s">
        <v>251</v>
      </c>
      <c r="O8" s="26" t="s">
        <v>273</v>
      </c>
      <c r="P8" s="24" t="s">
        <v>96</v>
      </c>
      <c r="Q8" s="24" t="s">
        <v>274</v>
      </c>
      <c r="R8" s="26" t="s">
        <v>273</v>
      </c>
      <c r="S8" s="6"/>
      <c r="T8" s="6"/>
      <c r="U8" s="6"/>
      <c r="V8" s="6"/>
      <c r="W8" s="6"/>
      <c r="X8" s="6"/>
      <c r="Y8" s="6"/>
    </row>
    <row r="9" ht="15.75" customHeight="1">
      <c r="A9" s="23" t="s">
        <v>275</v>
      </c>
      <c r="B9" s="23" t="s">
        <v>276</v>
      </c>
      <c r="C9" s="23" t="s">
        <v>277</v>
      </c>
      <c r="D9" s="24" t="s">
        <v>36</v>
      </c>
      <c r="E9" s="24" t="s">
        <v>278</v>
      </c>
      <c r="F9" s="24" t="s">
        <v>36</v>
      </c>
      <c r="G9" s="23" t="s">
        <v>240</v>
      </c>
      <c r="H9" s="23" t="s">
        <v>25</v>
      </c>
      <c r="I9" s="23">
        <v>1975.0</v>
      </c>
      <c r="J9" s="23">
        <v>1989.0</v>
      </c>
      <c r="K9" s="24" t="s">
        <v>279</v>
      </c>
      <c r="L9" s="6"/>
      <c r="M9" s="6"/>
      <c r="N9" s="6"/>
      <c r="O9" s="6"/>
      <c r="P9" s="6"/>
      <c r="Q9" s="6"/>
      <c r="R9" s="6"/>
      <c r="S9" s="6"/>
      <c r="T9" s="6"/>
      <c r="U9" s="6"/>
      <c r="V9" s="6"/>
      <c r="W9" s="6"/>
      <c r="X9" s="6"/>
      <c r="Y9" s="6"/>
    </row>
    <row r="10" ht="15.75" customHeight="1">
      <c r="A10" s="23" t="s">
        <v>280</v>
      </c>
      <c r="B10" s="23" t="s">
        <v>281</v>
      </c>
      <c r="C10" s="23" t="s">
        <v>282</v>
      </c>
      <c r="D10" s="24" t="s">
        <v>22</v>
      </c>
      <c r="E10" s="24" t="s">
        <v>283</v>
      </c>
      <c r="F10" s="24" t="s">
        <v>22</v>
      </c>
      <c r="G10" s="23" t="s">
        <v>240</v>
      </c>
      <c r="H10" s="23" t="s">
        <v>25</v>
      </c>
      <c r="I10" s="23">
        <v>1979.0</v>
      </c>
      <c r="J10" s="23">
        <v>1989.0</v>
      </c>
      <c r="K10" s="26" t="s">
        <v>284</v>
      </c>
      <c r="L10" s="6"/>
      <c r="M10" s="24" t="s">
        <v>39</v>
      </c>
      <c r="N10" s="24" t="s">
        <v>175</v>
      </c>
      <c r="O10" s="26" t="s">
        <v>48</v>
      </c>
      <c r="P10" s="24" t="s">
        <v>27</v>
      </c>
      <c r="Q10" s="24" t="s">
        <v>65</v>
      </c>
      <c r="R10" s="26" t="s">
        <v>48</v>
      </c>
      <c r="S10" s="6"/>
      <c r="T10" s="6"/>
      <c r="U10" s="6"/>
      <c r="V10" s="6"/>
      <c r="W10" s="6"/>
      <c r="X10" s="6"/>
      <c r="Y10" s="6"/>
    </row>
    <row r="11" ht="15.75" customHeight="1">
      <c r="A11" s="23" t="s">
        <v>285</v>
      </c>
      <c r="B11" s="23" t="s">
        <v>286</v>
      </c>
      <c r="C11" s="24" t="s">
        <v>287</v>
      </c>
      <c r="D11" s="23" t="s">
        <v>288</v>
      </c>
      <c r="E11" s="24" t="s">
        <v>289</v>
      </c>
      <c r="F11" s="24" t="s">
        <v>22</v>
      </c>
      <c r="G11" s="23" t="s">
        <v>240</v>
      </c>
      <c r="H11" s="23" t="s">
        <v>25</v>
      </c>
      <c r="I11" s="23" t="s">
        <v>131</v>
      </c>
      <c r="J11" s="23">
        <v>1989.0</v>
      </c>
      <c r="K11" s="24" t="s">
        <v>290</v>
      </c>
      <c r="L11" s="6"/>
      <c r="M11" s="6"/>
      <c r="N11" s="6"/>
      <c r="O11" s="6"/>
      <c r="P11" s="6"/>
      <c r="Q11" s="6"/>
      <c r="R11" s="6"/>
      <c r="S11" s="6"/>
      <c r="T11" s="6"/>
      <c r="U11" s="6"/>
      <c r="V11" s="6"/>
      <c r="W11" s="6"/>
      <c r="X11" s="6"/>
      <c r="Y11" s="6"/>
    </row>
    <row r="12" ht="15.75" customHeight="1">
      <c r="A12" s="23" t="s">
        <v>291</v>
      </c>
      <c r="B12" s="23" t="s">
        <v>292</v>
      </c>
      <c r="C12" s="24" t="s">
        <v>293</v>
      </c>
      <c r="D12" s="23" t="s">
        <v>288</v>
      </c>
      <c r="E12" s="23" t="s">
        <v>294</v>
      </c>
      <c r="F12" s="24" t="s">
        <v>22</v>
      </c>
      <c r="G12" s="23" t="s">
        <v>240</v>
      </c>
      <c r="H12" s="23" t="s">
        <v>25</v>
      </c>
      <c r="I12" s="23">
        <v>1985.0</v>
      </c>
      <c r="J12" s="23">
        <v>1989.0</v>
      </c>
      <c r="K12" s="24" t="s">
        <v>295</v>
      </c>
      <c r="L12" s="6"/>
      <c r="M12" s="6"/>
      <c r="N12" s="6"/>
      <c r="O12" s="6"/>
      <c r="P12" s="6"/>
      <c r="Q12" s="6"/>
      <c r="R12" s="6"/>
      <c r="S12" s="6"/>
      <c r="T12" s="6"/>
      <c r="U12" s="6"/>
      <c r="V12" s="6"/>
      <c r="W12" s="6"/>
      <c r="X12" s="6"/>
      <c r="Y12" s="6"/>
    </row>
    <row r="13" ht="15.75" customHeight="1">
      <c r="A13" s="23" t="s">
        <v>296</v>
      </c>
      <c r="B13" s="23" t="s">
        <v>297</v>
      </c>
      <c r="C13" s="24" t="s">
        <v>298</v>
      </c>
      <c r="D13" s="24" t="s">
        <v>22</v>
      </c>
      <c r="E13" s="24" t="s">
        <v>299</v>
      </c>
      <c r="F13" s="24" t="s">
        <v>22</v>
      </c>
      <c r="G13" s="23" t="s">
        <v>240</v>
      </c>
      <c r="H13" s="23" t="s">
        <v>25</v>
      </c>
      <c r="I13" s="24">
        <v>1953.0</v>
      </c>
      <c r="J13" s="23">
        <v>1989.0</v>
      </c>
      <c r="K13" s="24" t="s">
        <v>300</v>
      </c>
      <c r="L13" s="6"/>
      <c r="M13" s="24" t="s">
        <v>301</v>
      </c>
      <c r="N13" s="24" t="s">
        <v>302</v>
      </c>
      <c r="O13" s="24" t="s">
        <v>303</v>
      </c>
      <c r="P13" s="24" t="s">
        <v>304</v>
      </c>
      <c r="Q13" s="24" t="s">
        <v>305</v>
      </c>
      <c r="R13" s="24" t="s">
        <v>303</v>
      </c>
      <c r="S13" s="6"/>
      <c r="T13" s="6"/>
      <c r="U13" s="6"/>
      <c r="V13" s="6"/>
      <c r="W13" s="6"/>
      <c r="X13" s="6"/>
      <c r="Y13" s="6"/>
    </row>
    <row r="14" ht="15.75" customHeight="1">
      <c r="A14" s="23" t="s">
        <v>306</v>
      </c>
      <c r="B14" s="23" t="s">
        <v>307</v>
      </c>
      <c r="C14" s="23" t="s">
        <v>308</v>
      </c>
      <c r="D14" s="24" t="s">
        <v>36</v>
      </c>
      <c r="E14" s="24" t="s">
        <v>309</v>
      </c>
      <c r="F14" s="24" t="s">
        <v>36</v>
      </c>
      <c r="G14" s="23" t="s">
        <v>240</v>
      </c>
      <c r="H14" s="23" t="s">
        <v>75</v>
      </c>
      <c r="I14" s="23">
        <v>1933.0</v>
      </c>
      <c r="J14" s="6"/>
      <c r="K14" s="26" t="s">
        <v>310</v>
      </c>
      <c r="L14" s="6"/>
      <c r="M14" s="24" t="s">
        <v>311</v>
      </c>
      <c r="N14" s="24" t="s">
        <v>312</v>
      </c>
      <c r="O14" s="27" t="s">
        <v>313</v>
      </c>
      <c r="P14" s="24" t="s">
        <v>314</v>
      </c>
      <c r="Q14" s="24" t="s">
        <v>315</v>
      </c>
      <c r="R14" s="24" t="s">
        <v>316</v>
      </c>
      <c r="S14" s="6"/>
      <c r="T14" s="6"/>
      <c r="U14" s="6"/>
      <c r="V14" s="6"/>
      <c r="W14" s="6"/>
      <c r="X14" s="6"/>
      <c r="Y14" s="6"/>
    </row>
    <row r="15" ht="15.75" customHeight="1">
      <c r="A15" s="23" t="s">
        <v>317</v>
      </c>
      <c r="B15" s="23" t="s">
        <v>318</v>
      </c>
      <c r="C15" s="24" t="s">
        <v>319</v>
      </c>
      <c r="D15" s="24" t="s">
        <v>36</v>
      </c>
      <c r="E15" s="23" t="s">
        <v>320</v>
      </c>
      <c r="F15" s="24" t="s">
        <v>36</v>
      </c>
      <c r="G15" s="23" t="s">
        <v>240</v>
      </c>
      <c r="H15" s="23" t="s">
        <v>131</v>
      </c>
      <c r="I15" s="23" t="s">
        <v>131</v>
      </c>
      <c r="J15" s="23" t="s">
        <v>131</v>
      </c>
      <c r="K15" s="26" t="s">
        <v>321</v>
      </c>
      <c r="L15" s="6"/>
      <c r="M15" s="6"/>
      <c r="N15" s="6"/>
      <c r="O15" s="6"/>
      <c r="P15" s="6"/>
      <c r="Q15" s="6"/>
      <c r="R15" s="6"/>
      <c r="S15" s="6"/>
      <c r="T15" s="6"/>
      <c r="U15" s="6"/>
      <c r="V15" s="6"/>
      <c r="W15" s="6"/>
      <c r="X15" s="6"/>
      <c r="Y15" s="6"/>
    </row>
    <row r="16" ht="15.75" customHeight="1">
      <c r="A16" s="23" t="s">
        <v>322</v>
      </c>
      <c r="B16" s="23" t="s">
        <v>323</v>
      </c>
      <c r="C16" s="24" t="s">
        <v>324</v>
      </c>
      <c r="D16" s="24" t="s">
        <v>22</v>
      </c>
      <c r="E16" s="24" t="s">
        <v>325</v>
      </c>
      <c r="F16" s="24" t="s">
        <v>22</v>
      </c>
      <c r="G16" s="23" t="s">
        <v>240</v>
      </c>
      <c r="H16" s="23" t="s">
        <v>25</v>
      </c>
      <c r="I16" s="23" t="s">
        <v>131</v>
      </c>
      <c r="J16" s="23" t="s">
        <v>131</v>
      </c>
      <c r="K16" s="24" t="s">
        <v>326</v>
      </c>
      <c r="L16" s="6"/>
      <c r="M16" s="6"/>
      <c r="N16" s="6"/>
      <c r="O16" s="6"/>
      <c r="P16" s="6"/>
      <c r="Q16" s="6"/>
      <c r="R16" s="6"/>
      <c r="S16" s="6"/>
      <c r="T16" s="6"/>
      <c r="U16" s="6"/>
      <c r="V16" s="6"/>
      <c r="W16" s="6"/>
      <c r="X16" s="6"/>
      <c r="Y16" s="6"/>
    </row>
    <row r="17" ht="15.75" customHeight="1">
      <c r="A17" s="23" t="s">
        <v>327</v>
      </c>
      <c r="B17" s="23" t="s">
        <v>328</v>
      </c>
      <c r="C17" s="24" t="s">
        <v>329</v>
      </c>
      <c r="D17" s="24" t="s">
        <v>22</v>
      </c>
      <c r="E17" s="24" t="s">
        <v>330</v>
      </c>
      <c r="F17" s="24" t="s">
        <v>22</v>
      </c>
      <c r="G17" s="23" t="s">
        <v>240</v>
      </c>
      <c r="H17" s="23" t="s">
        <v>25</v>
      </c>
      <c r="I17" s="23">
        <v>1965.0</v>
      </c>
      <c r="J17" s="23" t="s">
        <v>131</v>
      </c>
      <c r="K17" s="24" t="s">
        <v>331</v>
      </c>
      <c r="L17" s="6"/>
      <c r="M17" s="6"/>
      <c r="N17" s="6"/>
      <c r="O17" s="6"/>
      <c r="P17" s="6"/>
      <c r="Q17" s="6"/>
      <c r="R17" s="6"/>
      <c r="S17" s="6"/>
      <c r="T17" s="6"/>
      <c r="U17" s="6"/>
      <c r="V17" s="6"/>
      <c r="W17" s="6"/>
      <c r="X17" s="6"/>
      <c r="Y17" s="6"/>
    </row>
    <row r="18" ht="15.75" customHeight="1">
      <c r="A18" s="23" t="s">
        <v>332</v>
      </c>
      <c r="B18" s="23" t="s">
        <v>333</v>
      </c>
      <c r="C18" s="23" t="s">
        <v>334</v>
      </c>
      <c r="D18" s="24" t="s">
        <v>22</v>
      </c>
      <c r="E18" s="24" t="s">
        <v>335</v>
      </c>
      <c r="F18" s="24" t="s">
        <v>22</v>
      </c>
      <c r="G18" s="23" t="s">
        <v>240</v>
      </c>
      <c r="H18" s="23" t="s">
        <v>75</v>
      </c>
      <c r="I18" s="23" t="s">
        <v>131</v>
      </c>
      <c r="J18" s="6"/>
      <c r="K18" s="26" t="s">
        <v>331</v>
      </c>
      <c r="L18" s="6"/>
      <c r="M18" s="6"/>
      <c r="N18" s="6"/>
      <c r="O18" s="6"/>
      <c r="P18" s="6"/>
      <c r="Q18" s="6"/>
      <c r="R18" s="6"/>
      <c r="S18" s="6"/>
      <c r="T18" s="6"/>
      <c r="U18" s="6"/>
      <c r="V18" s="6"/>
      <c r="W18" s="6"/>
      <c r="X18" s="6"/>
      <c r="Y18" s="6"/>
    </row>
    <row r="19" ht="15.75" customHeight="1">
      <c r="A19" s="23" t="s">
        <v>336</v>
      </c>
      <c r="B19" s="23" t="s">
        <v>337</v>
      </c>
      <c r="C19" s="24" t="s">
        <v>338</v>
      </c>
      <c r="D19" s="24" t="s">
        <v>22</v>
      </c>
      <c r="E19" s="24" t="s">
        <v>339</v>
      </c>
      <c r="F19" s="24" t="s">
        <v>22</v>
      </c>
      <c r="G19" s="23" t="s">
        <v>240</v>
      </c>
      <c r="H19" s="23" t="s">
        <v>25</v>
      </c>
      <c r="I19" s="23">
        <v>1960.0</v>
      </c>
      <c r="J19" s="23" t="s">
        <v>131</v>
      </c>
      <c r="K19" s="26" t="s">
        <v>340</v>
      </c>
      <c r="L19" s="6"/>
      <c r="M19" s="6"/>
      <c r="N19" s="6"/>
      <c r="O19" s="6"/>
      <c r="P19" s="6"/>
      <c r="Q19" s="6"/>
      <c r="R19" s="6"/>
      <c r="S19" s="6"/>
      <c r="T19" s="6"/>
      <c r="U19" s="6"/>
      <c r="V19" s="6"/>
      <c r="W19" s="6"/>
      <c r="X19" s="6"/>
      <c r="Y19" s="6"/>
    </row>
    <row r="20" ht="15.75" customHeight="1">
      <c r="A20" s="23" t="s">
        <v>341</v>
      </c>
      <c r="B20" s="23" t="s">
        <v>342</v>
      </c>
      <c r="C20" s="24" t="s">
        <v>343</v>
      </c>
      <c r="D20" s="24" t="s">
        <v>36</v>
      </c>
      <c r="E20" s="23" t="s">
        <v>344</v>
      </c>
      <c r="F20" s="24" t="s">
        <v>36</v>
      </c>
      <c r="G20" s="23" t="s">
        <v>240</v>
      </c>
      <c r="H20" s="23" t="s">
        <v>25</v>
      </c>
      <c r="I20" s="23" t="s">
        <v>131</v>
      </c>
      <c r="J20" s="23">
        <v>1989.0</v>
      </c>
      <c r="K20" s="26" t="s">
        <v>345</v>
      </c>
      <c r="L20" s="6"/>
      <c r="M20" s="6"/>
      <c r="N20" s="6"/>
      <c r="O20" s="6"/>
      <c r="P20" s="6"/>
      <c r="Q20" s="6"/>
      <c r="R20" s="6"/>
      <c r="S20" s="6"/>
      <c r="T20" s="6"/>
      <c r="U20" s="6"/>
      <c r="V20" s="6"/>
      <c r="W20" s="6"/>
      <c r="X20" s="6"/>
      <c r="Y20" s="6"/>
    </row>
    <row r="21" ht="15.75" customHeight="1">
      <c r="A21" s="23" t="s">
        <v>346</v>
      </c>
      <c r="B21" s="23" t="s">
        <v>347</v>
      </c>
      <c r="C21" s="23" t="s">
        <v>348</v>
      </c>
      <c r="D21" s="24" t="s">
        <v>22</v>
      </c>
      <c r="E21" s="24" t="s">
        <v>349</v>
      </c>
      <c r="F21" s="24" t="s">
        <v>22</v>
      </c>
      <c r="G21" s="23" t="s">
        <v>240</v>
      </c>
      <c r="H21" s="23" t="s">
        <v>25</v>
      </c>
      <c r="I21" s="23">
        <v>1961.0</v>
      </c>
      <c r="J21" s="23">
        <v>1989.0</v>
      </c>
      <c r="K21" s="24" t="s">
        <v>350</v>
      </c>
      <c r="L21" s="6"/>
      <c r="M21" s="24" t="s">
        <v>39</v>
      </c>
      <c r="N21" s="24" t="s">
        <v>351</v>
      </c>
      <c r="O21" s="26" t="s">
        <v>48</v>
      </c>
      <c r="P21" s="24" t="s">
        <v>352</v>
      </c>
      <c r="Q21" s="24" t="s">
        <v>353</v>
      </c>
      <c r="R21" s="24" t="s">
        <v>48</v>
      </c>
      <c r="S21" s="6"/>
      <c r="T21" s="6"/>
      <c r="U21" s="6"/>
      <c r="V21" s="6"/>
      <c r="W21" s="6"/>
      <c r="X21" s="6"/>
      <c r="Y21" s="6"/>
    </row>
    <row r="22" ht="15.75" customHeight="1">
      <c r="A22" s="23" t="s">
        <v>354</v>
      </c>
      <c r="B22" s="23" t="s">
        <v>355</v>
      </c>
      <c r="C22" s="23" t="s">
        <v>356</v>
      </c>
      <c r="D22" s="24" t="s">
        <v>22</v>
      </c>
      <c r="E22" s="23" t="s">
        <v>357</v>
      </c>
      <c r="F22" s="24" t="s">
        <v>22</v>
      </c>
      <c r="G22" s="23" t="s">
        <v>240</v>
      </c>
      <c r="H22" s="23" t="s">
        <v>25</v>
      </c>
      <c r="I22" s="23">
        <v>1975.0</v>
      </c>
      <c r="J22" s="23">
        <v>1989.0</v>
      </c>
      <c r="K22" s="24" t="s">
        <v>358</v>
      </c>
      <c r="L22" s="6"/>
      <c r="M22" s="24" t="s">
        <v>39</v>
      </c>
      <c r="N22" s="24" t="s">
        <v>188</v>
      </c>
      <c r="O22" s="26" t="s">
        <v>48</v>
      </c>
      <c r="P22" s="6"/>
      <c r="Q22" s="6"/>
      <c r="R22" s="6"/>
      <c r="S22" s="6"/>
      <c r="T22" s="6"/>
      <c r="U22" s="6"/>
      <c r="V22" s="6"/>
      <c r="W22" s="6"/>
      <c r="X22" s="6"/>
      <c r="Y22" s="6"/>
    </row>
    <row r="23" ht="15.75" customHeight="1">
      <c r="A23" s="23" t="s">
        <v>359</v>
      </c>
      <c r="B23" s="23" t="s">
        <v>360</v>
      </c>
      <c r="C23" s="24" t="s">
        <v>361</v>
      </c>
      <c r="D23" s="24" t="s">
        <v>22</v>
      </c>
      <c r="E23" s="24" t="s">
        <v>362</v>
      </c>
      <c r="F23" s="24" t="s">
        <v>22</v>
      </c>
      <c r="G23" s="23" t="s">
        <v>240</v>
      </c>
      <c r="H23" s="23" t="s">
        <v>25</v>
      </c>
      <c r="I23" s="23">
        <v>1961.0</v>
      </c>
      <c r="J23" s="23">
        <v>1989.0</v>
      </c>
      <c r="K23" s="26" t="s">
        <v>363</v>
      </c>
      <c r="L23" s="6"/>
      <c r="M23" s="24" t="s">
        <v>39</v>
      </c>
      <c r="N23" s="24" t="s">
        <v>251</v>
      </c>
      <c r="O23" s="24" t="s">
        <v>364</v>
      </c>
      <c r="P23" s="24" t="s">
        <v>27</v>
      </c>
      <c r="Q23" s="24" t="s">
        <v>188</v>
      </c>
      <c r="R23" s="26" t="s">
        <v>364</v>
      </c>
      <c r="S23" s="6"/>
      <c r="T23" s="6"/>
      <c r="U23" s="6"/>
      <c r="V23" s="6"/>
      <c r="W23" s="6"/>
      <c r="X23" s="6"/>
      <c r="Y23" s="6"/>
    </row>
    <row r="24" ht="15.75" customHeight="1">
      <c r="A24" s="23" t="s">
        <v>365</v>
      </c>
      <c r="B24" s="23" t="s">
        <v>366</v>
      </c>
      <c r="C24" s="24" t="s">
        <v>367</v>
      </c>
      <c r="D24" s="24" t="s">
        <v>22</v>
      </c>
      <c r="E24" s="24" t="s">
        <v>368</v>
      </c>
      <c r="F24" s="24" t="s">
        <v>22</v>
      </c>
      <c r="G24" s="23" t="s">
        <v>240</v>
      </c>
      <c r="H24" s="23" t="s">
        <v>25</v>
      </c>
      <c r="I24" s="23">
        <v>1957.0</v>
      </c>
      <c r="J24" s="23">
        <v>1989.0</v>
      </c>
      <c r="K24" s="24" t="s">
        <v>369</v>
      </c>
      <c r="L24" s="6"/>
      <c r="M24" s="24" t="s">
        <v>39</v>
      </c>
      <c r="N24" s="24" t="s">
        <v>47</v>
      </c>
      <c r="O24" s="26" t="s">
        <v>370</v>
      </c>
      <c r="P24" s="6"/>
      <c r="Q24" s="6"/>
      <c r="R24" s="6"/>
      <c r="S24" s="6"/>
      <c r="T24" s="6"/>
      <c r="U24" s="6"/>
      <c r="V24" s="6"/>
      <c r="W24" s="6"/>
      <c r="X24" s="6"/>
      <c r="Y24" s="6"/>
    </row>
    <row r="25" ht="15.75" customHeight="1">
      <c r="A25" s="23" t="s">
        <v>371</v>
      </c>
      <c r="B25" s="23" t="s">
        <v>372</v>
      </c>
      <c r="C25" s="28" t="s">
        <v>373</v>
      </c>
      <c r="D25" s="24" t="s">
        <v>22</v>
      </c>
      <c r="E25" s="24" t="s">
        <v>374</v>
      </c>
      <c r="F25" s="24" t="s">
        <v>22</v>
      </c>
      <c r="G25" s="23" t="s">
        <v>240</v>
      </c>
      <c r="H25" s="23" t="s">
        <v>75</v>
      </c>
      <c r="I25" s="23">
        <v>1955.0</v>
      </c>
      <c r="J25" s="6"/>
      <c r="K25" s="24" t="s">
        <v>375</v>
      </c>
      <c r="L25" s="6"/>
      <c r="M25" s="24" t="s">
        <v>39</v>
      </c>
      <c r="N25" s="24" t="s">
        <v>175</v>
      </c>
      <c r="O25" s="26" t="s">
        <v>376</v>
      </c>
      <c r="P25" s="24" t="s">
        <v>27</v>
      </c>
      <c r="Q25" s="24" t="s">
        <v>305</v>
      </c>
      <c r="R25" s="24" t="s">
        <v>377</v>
      </c>
      <c r="S25" s="6"/>
      <c r="T25" s="6"/>
      <c r="U25" s="6"/>
      <c r="V25" s="6"/>
      <c r="W25" s="6"/>
      <c r="X25" s="6"/>
      <c r="Y25" s="6"/>
    </row>
    <row r="26" ht="15.75" customHeight="1">
      <c r="A26" s="23" t="s">
        <v>378</v>
      </c>
      <c r="B26" s="23" t="s">
        <v>379</v>
      </c>
      <c r="C26" s="24" t="s">
        <v>380</v>
      </c>
      <c r="D26" s="23" t="s">
        <v>381</v>
      </c>
      <c r="E26" s="24" t="s">
        <v>382</v>
      </c>
      <c r="F26" s="24" t="s">
        <v>22</v>
      </c>
      <c r="G26" s="23" t="s">
        <v>240</v>
      </c>
      <c r="H26" s="23" t="s">
        <v>25</v>
      </c>
      <c r="I26" s="23">
        <v>1962.0</v>
      </c>
      <c r="J26" s="23">
        <v>1989.0</v>
      </c>
      <c r="K26" s="24" t="s">
        <v>383</v>
      </c>
      <c r="L26" s="6"/>
      <c r="M26" s="6"/>
      <c r="N26" s="6"/>
      <c r="O26" s="6"/>
      <c r="P26" s="6"/>
      <c r="Q26" s="6"/>
      <c r="R26" s="6"/>
      <c r="S26" s="6"/>
      <c r="T26" s="6"/>
      <c r="U26" s="6"/>
      <c r="V26" s="6"/>
      <c r="W26" s="6"/>
      <c r="X26" s="6"/>
      <c r="Y26" s="6"/>
    </row>
    <row r="27" ht="15.75" customHeight="1">
      <c r="A27" s="23" t="s">
        <v>384</v>
      </c>
      <c r="B27" s="23" t="s">
        <v>385</v>
      </c>
      <c r="C27" s="24" t="s">
        <v>386</v>
      </c>
      <c r="D27" s="24" t="s">
        <v>36</v>
      </c>
      <c r="E27" s="24" t="s">
        <v>387</v>
      </c>
      <c r="F27" s="24" t="s">
        <v>36</v>
      </c>
      <c r="G27" s="23" t="s">
        <v>240</v>
      </c>
      <c r="H27" s="23" t="s">
        <v>25</v>
      </c>
      <c r="I27" s="23">
        <v>1960.0</v>
      </c>
      <c r="J27" s="6"/>
      <c r="K27" s="24" t="s">
        <v>388</v>
      </c>
      <c r="L27" s="6"/>
      <c r="M27" s="6"/>
      <c r="N27" s="6"/>
      <c r="O27" s="6"/>
      <c r="P27" s="6"/>
      <c r="Q27" s="6"/>
      <c r="R27" s="6"/>
      <c r="S27" s="6"/>
      <c r="T27" s="6"/>
      <c r="U27" s="6"/>
      <c r="V27" s="6"/>
      <c r="W27" s="6"/>
      <c r="X27" s="6"/>
      <c r="Y27" s="6"/>
    </row>
    <row r="28" ht="15.75" customHeight="1">
      <c r="A28" s="23" t="s">
        <v>389</v>
      </c>
      <c r="B28" s="23" t="s">
        <v>390</v>
      </c>
      <c r="C28" s="23" t="s">
        <v>391</v>
      </c>
      <c r="D28" s="24" t="s">
        <v>22</v>
      </c>
      <c r="E28" s="24" t="s">
        <v>392</v>
      </c>
      <c r="F28" s="24" t="s">
        <v>22</v>
      </c>
      <c r="G28" s="23" t="s">
        <v>240</v>
      </c>
      <c r="H28" s="23" t="s">
        <v>25</v>
      </c>
      <c r="I28" s="23">
        <v>1975.0</v>
      </c>
      <c r="J28" s="23">
        <v>1989.0</v>
      </c>
      <c r="K28" s="24" t="s">
        <v>48</v>
      </c>
      <c r="L28" s="6"/>
      <c r="M28" s="24" t="s">
        <v>39</v>
      </c>
      <c r="N28" s="24" t="s">
        <v>188</v>
      </c>
      <c r="O28" s="26" t="s">
        <v>48</v>
      </c>
      <c r="P28" s="6"/>
      <c r="Q28" s="6"/>
      <c r="R28" s="6"/>
      <c r="S28" s="6"/>
      <c r="T28" s="6"/>
      <c r="U28" s="6"/>
      <c r="V28" s="6"/>
      <c r="W28" s="6"/>
      <c r="X28" s="6"/>
      <c r="Y28" s="6"/>
    </row>
    <row r="29" ht="15.75" customHeight="1">
      <c r="A29" s="23" t="s">
        <v>393</v>
      </c>
      <c r="B29" s="23" t="s">
        <v>394</v>
      </c>
      <c r="C29" s="24" t="s">
        <v>395</v>
      </c>
      <c r="D29" s="23" t="s">
        <v>381</v>
      </c>
      <c r="E29" s="24" t="s">
        <v>396</v>
      </c>
      <c r="F29" s="24" t="s">
        <v>22</v>
      </c>
      <c r="G29" s="23" t="s">
        <v>240</v>
      </c>
      <c r="H29" s="23" t="s">
        <v>25</v>
      </c>
      <c r="I29" s="23">
        <v>1975.0</v>
      </c>
      <c r="J29" s="23">
        <v>1989.0</v>
      </c>
      <c r="K29" s="24" t="s">
        <v>397</v>
      </c>
      <c r="L29" s="6"/>
      <c r="M29" s="6"/>
      <c r="N29" s="6"/>
      <c r="O29" s="6"/>
      <c r="P29" s="6"/>
      <c r="Q29" s="6"/>
      <c r="R29" s="6"/>
      <c r="S29" s="6"/>
      <c r="T29" s="6"/>
      <c r="U29" s="6"/>
      <c r="V29" s="6"/>
      <c r="W29" s="6"/>
      <c r="X29" s="6"/>
      <c r="Y29" s="6"/>
    </row>
    <row r="30" ht="15.75" customHeight="1">
      <c r="A30" s="23" t="s">
        <v>398</v>
      </c>
      <c r="B30" s="23" t="s">
        <v>399</v>
      </c>
      <c r="C30" s="23" t="s">
        <v>400</v>
      </c>
      <c r="D30" s="24" t="s">
        <v>22</v>
      </c>
      <c r="E30" s="24" t="s">
        <v>401</v>
      </c>
      <c r="F30" s="24" t="s">
        <v>22</v>
      </c>
      <c r="G30" s="23" t="s">
        <v>240</v>
      </c>
      <c r="H30" s="23" t="s">
        <v>25</v>
      </c>
      <c r="I30" s="23">
        <v>1975.0</v>
      </c>
      <c r="J30" s="23">
        <v>1989.0</v>
      </c>
      <c r="K30" s="24" t="s">
        <v>402</v>
      </c>
      <c r="L30" s="6"/>
      <c r="M30" s="6"/>
      <c r="N30" s="6"/>
      <c r="O30" s="6"/>
      <c r="P30" s="6"/>
      <c r="Q30" s="6"/>
      <c r="R30" s="6"/>
      <c r="S30" s="6"/>
      <c r="T30" s="6"/>
      <c r="U30" s="6"/>
      <c r="V30" s="6"/>
      <c r="W30" s="6"/>
      <c r="X30" s="6"/>
      <c r="Y30" s="6"/>
    </row>
    <row r="31" ht="15.75" customHeight="1">
      <c r="A31" s="23" t="s">
        <v>403</v>
      </c>
      <c r="B31" s="23" t="s">
        <v>404</v>
      </c>
      <c r="C31" s="23" t="s">
        <v>405</v>
      </c>
      <c r="D31" s="24" t="s">
        <v>22</v>
      </c>
      <c r="E31" s="24" t="s">
        <v>406</v>
      </c>
      <c r="F31" s="24" t="s">
        <v>22</v>
      </c>
      <c r="G31" s="23" t="s">
        <v>240</v>
      </c>
      <c r="H31" s="23" t="s">
        <v>25</v>
      </c>
      <c r="I31" s="23">
        <v>1979.0</v>
      </c>
      <c r="J31" s="23">
        <v>1989.0</v>
      </c>
      <c r="K31" s="24" t="s">
        <v>407</v>
      </c>
      <c r="L31" s="6"/>
      <c r="M31" s="6"/>
      <c r="N31" s="6"/>
      <c r="O31" s="6"/>
      <c r="P31" s="6"/>
      <c r="Q31" s="6"/>
      <c r="R31" s="6"/>
      <c r="S31" s="6"/>
      <c r="T31" s="6"/>
      <c r="U31" s="6"/>
      <c r="V31" s="6"/>
      <c r="W31" s="6"/>
      <c r="X31" s="6"/>
      <c r="Y31" s="6"/>
    </row>
    <row r="32" ht="15.75" customHeight="1">
      <c r="A32" s="6"/>
      <c r="B32" s="6"/>
      <c r="C32" s="6"/>
      <c r="D32" s="6"/>
      <c r="E32" s="6"/>
      <c r="F32" s="6"/>
      <c r="G32" s="6"/>
      <c r="H32" s="6"/>
      <c r="I32" s="6"/>
      <c r="J32" s="6"/>
      <c r="K32" s="6"/>
      <c r="L32" s="6"/>
      <c r="M32" s="6"/>
      <c r="N32" s="6"/>
      <c r="O32" s="6"/>
      <c r="P32" s="6"/>
      <c r="Q32" s="6"/>
      <c r="R32" s="6"/>
      <c r="S32" s="6"/>
      <c r="T32" s="6"/>
      <c r="U32" s="6"/>
      <c r="V32" s="6"/>
      <c r="W32" s="6"/>
      <c r="X32" s="6"/>
      <c r="Y32" s="6"/>
    </row>
    <row r="33" ht="15.75" customHeight="1">
      <c r="A33" s="6"/>
      <c r="B33" s="6"/>
      <c r="C33" s="6"/>
      <c r="D33" s="6"/>
      <c r="E33" s="6"/>
      <c r="F33" s="6"/>
      <c r="G33" s="6"/>
      <c r="H33" s="6"/>
      <c r="I33" s="6"/>
      <c r="J33" s="6"/>
      <c r="K33" s="6"/>
      <c r="L33" s="6"/>
      <c r="M33" s="6"/>
      <c r="N33" s="6"/>
      <c r="O33" s="6"/>
      <c r="P33" s="6"/>
      <c r="Q33" s="6"/>
      <c r="R33" s="6"/>
      <c r="S33" s="6"/>
      <c r="T33" s="6"/>
      <c r="U33" s="6"/>
      <c r="V33" s="6"/>
      <c r="W33" s="6"/>
      <c r="X33" s="6"/>
      <c r="Y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row>
    <row r="35" ht="15.75" customHeight="1">
      <c r="A35" s="6"/>
      <c r="B35" s="6"/>
      <c r="C35" s="6"/>
      <c r="D35" s="6"/>
      <c r="E35" s="6"/>
      <c r="F35" s="6"/>
      <c r="G35" s="6"/>
      <c r="H35" s="6"/>
      <c r="I35" s="6"/>
      <c r="J35" s="6"/>
      <c r="K35" s="6"/>
      <c r="L35" s="6"/>
      <c r="M35" s="6"/>
      <c r="N35" s="6"/>
      <c r="O35" s="6"/>
      <c r="P35" s="6"/>
      <c r="Q35" s="6"/>
      <c r="R35" s="6"/>
      <c r="S35" s="6"/>
      <c r="T35" s="6"/>
      <c r="U35" s="6"/>
      <c r="V35" s="6"/>
      <c r="W35" s="6"/>
      <c r="X35" s="6"/>
      <c r="Y35" s="6"/>
    </row>
    <row r="36" ht="15.75" customHeight="1">
      <c r="A36" s="6"/>
      <c r="B36" s="6"/>
      <c r="C36" s="23"/>
      <c r="D36" s="23"/>
      <c r="E36" s="23"/>
      <c r="F36" s="6"/>
      <c r="G36" s="6"/>
      <c r="H36" s="6"/>
      <c r="I36" s="6"/>
      <c r="J36" s="6"/>
      <c r="K36" s="6"/>
      <c r="L36" s="6"/>
      <c r="M36" s="6"/>
      <c r="N36" s="6"/>
      <c r="O36" s="6"/>
      <c r="P36" s="6"/>
      <c r="Q36" s="6"/>
      <c r="R36" s="6"/>
      <c r="S36" s="6"/>
      <c r="T36" s="6"/>
      <c r="U36" s="6"/>
      <c r="V36" s="6"/>
      <c r="W36" s="6"/>
      <c r="X36" s="6"/>
      <c r="Y36" s="6"/>
    </row>
    <row r="37" ht="15.75" customHeight="1">
      <c r="A37" s="6"/>
      <c r="B37" s="6"/>
      <c r="C37" s="23"/>
      <c r="D37" s="23"/>
      <c r="E37" s="23"/>
      <c r="F37" s="6"/>
      <c r="G37" s="6"/>
      <c r="H37" s="6"/>
      <c r="I37" s="6"/>
      <c r="J37" s="6"/>
      <c r="K37" s="6"/>
      <c r="L37" s="6"/>
      <c r="M37" s="6"/>
      <c r="N37" s="6"/>
      <c r="O37" s="6"/>
      <c r="P37" s="6"/>
      <c r="Q37" s="6"/>
      <c r="R37" s="6"/>
      <c r="S37" s="6"/>
      <c r="T37" s="6"/>
      <c r="U37" s="6"/>
      <c r="V37" s="6"/>
      <c r="W37" s="6"/>
      <c r="X37" s="6"/>
      <c r="Y37" s="6"/>
    </row>
    <row r="38" ht="15.75" customHeight="1">
      <c r="A38" s="6"/>
      <c r="B38" s="6"/>
      <c r="C38" s="23"/>
      <c r="D38" s="23"/>
      <c r="E38" s="23"/>
      <c r="F38" s="6"/>
      <c r="G38" s="6"/>
      <c r="H38" s="6"/>
      <c r="I38" s="6"/>
      <c r="J38" s="6"/>
      <c r="K38" s="6"/>
      <c r="L38" s="6"/>
      <c r="M38" s="6"/>
      <c r="N38" s="6"/>
      <c r="O38" s="6"/>
      <c r="P38" s="6"/>
      <c r="Q38" s="6"/>
      <c r="R38" s="6"/>
      <c r="S38" s="6"/>
      <c r="T38" s="6"/>
      <c r="U38" s="6"/>
      <c r="V38" s="6"/>
      <c r="W38" s="6"/>
      <c r="X38" s="6"/>
      <c r="Y38" s="6"/>
    </row>
    <row r="39" ht="15.75" customHeight="1">
      <c r="A39" s="6"/>
      <c r="B39" s="6"/>
      <c r="C39" s="23"/>
      <c r="D39" s="23"/>
      <c r="E39" s="23"/>
      <c r="F39" s="6"/>
      <c r="G39" s="6"/>
      <c r="H39" s="6"/>
      <c r="I39" s="6"/>
      <c r="J39" s="6"/>
      <c r="K39" s="6"/>
      <c r="L39" s="6"/>
      <c r="M39" s="6"/>
      <c r="N39" s="6"/>
      <c r="O39" s="6"/>
      <c r="P39" s="6"/>
      <c r="Q39" s="6"/>
      <c r="R39" s="6"/>
      <c r="S39" s="6"/>
      <c r="T39" s="6"/>
      <c r="U39" s="6"/>
      <c r="V39" s="6"/>
      <c r="W39" s="6"/>
      <c r="X39" s="6"/>
      <c r="Y39" s="6"/>
    </row>
    <row r="40" ht="15.75" customHeight="1">
      <c r="A40" s="6"/>
      <c r="B40" s="6"/>
      <c r="C40" s="23"/>
      <c r="D40" s="23"/>
      <c r="E40" s="23"/>
      <c r="F40" s="6"/>
      <c r="G40" s="6"/>
      <c r="H40" s="6"/>
      <c r="I40" s="6"/>
      <c r="J40" s="6"/>
      <c r="K40" s="6"/>
      <c r="L40" s="6"/>
      <c r="M40" s="6"/>
      <c r="N40" s="6"/>
      <c r="O40" s="6"/>
      <c r="P40" s="6"/>
      <c r="Q40" s="6"/>
      <c r="R40" s="6"/>
      <c r="S40" s="6"/>
      <c r="T40" s="6"/>
      <c r="U40" s="6"/>
      <c r="V40" s="6"/>
      <c r="W40" s="6"/>
      <c r="X40" s="6"/>
      <c r="Y40" s="6"/>
    </row>
    <row r="41" ht="15.75" customHeight="1">
      <c r="A41" s="6"/>
      <c r="B41" s="6"/>
      <c r="C41" s="23"/>
      <c r="D41" s="23"/>
      <c r="E41" s="23"/>
      <c r="F41" s="6"/>
      <c r="G41" s="6"/>
      <c r="H41" s="6"/>
      <c r="I41" s="6"/>
      <c r="J41" s="6"/>
      <c r="K41" s="6"/>
      <c r="L41" s="6"/>
      <c r="M41" s="6"/>
      <c r="N41" s="6"/>
      <c r="O41" s="6"/>
      <c r="P41" s="6"/>
      <c r="Q41" s="6"/>
      <c r="R41" s="6"/>
      <c r="S41" s="6"/>
      <c r="T41" s="6"/>
      <c r="U41" s="6"/>
      <c r="V41" s="6"/>
      <c r="W41" s="6"/>
      <c r="X41" s="6"/>
      <c r="Y41" s="6"/>
    </row>
    <row r="42" ht="15.75" customHeight="1">
      <c r="A42" s="6"/>
      <c r="B42" s="6"/>
      <c r="C42" s="23"/>
      <c r="D42" s="23"/>
      <c r="E42" s="23"/>
      <c r="F42" s="6"/>
      <c r="G42" s="6"/>
      <c r="H42" s="6"/>
      <c r="I42" s="6"/>
      <c r="J42" s="6"/>
      <c r="K42" s="6"/>
      <c r="L42" s="6"/>
      <c r="M42" s="6"/>
      <c r="N42" s="6"/>
      <c r="O42" s="6"/>
      <c r="P42" s="6"/>
      <c r="Q42" s="6"/>
      <c r="R42" s="6"/>
      <c r="S42" s="6"/>
      <c r="T42" s="6"/>
      <c r="U42" s="6"/>
      <c r="V42" s="6"/>
      <c r="W42" s="6"/>
      <c r="X42" s="6"/>
      <c r="Y42" s="6"/>
    </row>
    <row r="43" ht="15.75" customHeight="1">
      <c r="A43" s="6"/>
      <c r="B43" s="6"/>
      <c r="C43" s="23"/>
      <c r="D43" s="23"/>
      <c r="E43" s="23"/>
      <c r="F43" s="6"/>
      <c r="G43" s="6"/>
      <c r="H43" s="6"/>
      <c r="I43" s="6"/>
      <c r="J43" s="6"/>
      <c r="K43" s="6"/>
      <c r="L43" s="6"/>
      <c r="M43" s="6"/>
      <c r="N43" s="6"/>
      <c r="O43" s="6"/>
      <c r="P43" s="6"/>
      <c r="Q43" s="6"/>
      <c r="R43" s="6"/>
      <c r="S43" s="6"/>
      <c r="T43" s="6"/>
      <c r="U43" s="6"/>
      <c r="V43" s="6"/>
      <c r="W43" s="6"/>
      <c r="X43" s="6"/>
      <c r="Y43" s="6"/>
    </row>
    <row r="44" ht="15.75" customHeight="1">
      <c r="A44" s="6"/>
      <c r="B44" s="6"/>
      <c r="C44" s="23"/>
      <c r="D44" s="23"/>
      <c r="E44" s="23"/>
      <c r="F44" s="6"/>
      <c r="G44" s="6"/>
      <c r="H44" s="6"/>
      <c r="I44" s="6"/>
      <c r="J44" s="6"/>
      <c r="K44" s="6"/>
      <c r="L44" s="6"/>
      <c r="M44" s="6"/>
      <c r="N44" s="6"/>
      <c r="O44" s="6"/>
      <c r="P44" s="6"/>
      <c r="Q44" s="6"/>
      <c r="R44" s="6"/>
      <c r="S44" s="6"/>
      <c r="T44" s="6"/>
      <c r="U44" s="6"/>
      <c r="V44" s="6"/>
      <c r="W44" s="6"/>
      <c r="X44" s="6"/>
      <c r="Y44" s="6"/>
    </row>
    <row r="45" ht="15.75" customHeight="1">
      <c r="A45" s="6"/>
      <c r="B45" s="6"/>
      <c r="C45" s="23"/>
      <c r="D45" s="23"/>
      <c r="E45" s="23"/>
      <c r="F45" s="6"/>
      <c r="G45" s="6"/>
      <c r="H45" s="6"/>
      <c r="I45" s="6"/>
      <c r="J45" s="6"/>
      <c r="K45" s="6"/>
      <c r="L45" s="6"/>
      <c r="M45" s="6"/>
      <c r="N45" s="6"/>
      <c r="O45" s="6"/>
      <c r="P45" s="6"/>
      <c r="Q45" s="6"/>
      <c r="R45" s="6"/>
      <c r="S45" s="6"/>
      <c r="T45" s="6"/>
      <c r="U45" s="6"/>
      <c r="V45" s="6"/>
      <c r="W45" s="6"/>
      <c r="X45" s="6"/>
      <c r="Y45" s="6"/>
    </row>
    <row r="46" ht="15.75" customHeight="1">
      <c r="A46" s="6"/>
      <c r="B46" s="6"/>
      <c r="C46" s="23"/>
      <c r="D46" s="23"/>
      <c r="E46" s="23"/>
      <c r="F46" s="6"/>
      <c r="G46" s="6"/>
      <c r="H46" s="6"/>
      <c r="I46" s="6"/>
      <c r="J46" s="6"/>
      <c r="K46" s="6"/>
      <c r="L46" s="6"/>
      <c r="M46" s="6"/>
      <c r="N46" s="6"/>
      <c r="O46" s="6"/>
      <c r="P46" s="6"/>
      <c r="Q46" s="6"/>
      <c r="R46" s="6"/>
      <c r="S46" s="6"/>
      <c r="T46" s="6"/>
      <c r="U46" s="6"/>
      <c r="V46" s="6"/>
      <c r="W46" s="6"/>
      <c r="X46" s="6"/>
      <c r="Y46" s="6"/>
    </row>
    <row r="47" ht="15.75" customHeight="1">
      <c r="A47" s="6"/>
      <c r="B47" s="6"/>
      <c r="C47" s="23"/>
      <c r="D47" s="23"/>
      <c r="E47" s="23"/>
      <c r="F47" s="6"/>
      <c r="G47" s="6"/>
      <c r="H47" s="6"/>
      <c r="I47" s="6"/>
      <c r="J47" s="6"/>
      <c r="K47" s="6"/>
      <c r="L47" s="6"/>
      <c r="M47" s="6"/>
      <c r="N47" s="6"/>
      <c r="O47" s="6"/>
      <c r="P47" s="6"/>
      <c r="Q47" s="6"/>
      <c r="R47" s="6"/>
      <c r="S47" s="6"/>
      <c r="T47" s="6"/>
      <c r="U47" s="6"/>
      <c r="V47" s="6"/>
      <c r="W47" s="6"/>
      <c r="X47" s="6"/>
      <c r="Y47" s="6"/>
    </row>
    <row r="48" ht="15.75" customHeight="1">
      <c r="A48" s="6"/>
      <c r="B48" s="6"/>
      <c r="C48" s="23"/>
      <c r="D48" s="23"/>
      <c r="E48" s="23"/>
      <c r="F48" s="6"/>
      <c r="G48" s="6"/>
      <c r="H48" s="6"/>
      <c r="I48" s="6"/>
      <c r="J48" s="6"/>
      <c r="K48" s="6"/>
      <c r="L48" s="6"/>
      <c r="M48" s="6"/>
      <c r="N48" s="6"/>
      <c r="O48" s="6"/>
      <c r="P48" s="6"/>
      <c r="Q48" s="6"/>
      <c r="R48" s="6"/>
      <c r="S48" s="6"/>
      <c r="T48" s="6"/>
      <c r="U48" s="6"/>
      <c r="V48" s="6"/>
      <c r="W48" s="6"/>
      <c r="X48" s="6"/>
      <c r="Y48" s="6"/>
    </row>
    <row r="49" ht="15.75" customHeight="1">
      <c r="A49" s="6"/>
      <c r="B49" s="6"/>
      <c r="C49" s="23"/>
      <c r="D49" s="23"/>
      <c r="E49" s="23"/>
      <c r="F49" s="6"/>
      <c r="G49" s="6"/>
      <c r="H49" s="6"/>
      <c r="I49" s="6"/>
      <c r="J49" s="6"/>
      <c r="K49" s="6"/>
      <c r="L49" s="6"/>
      <c r="M49" s="6"/>
      <c r="N49" s="6"/>
      <c r="O49" s="6"/>
      <c r="P49" s="6"/>
      <c r="Q49" s="6"/>
      <c r="R49" s="6"/>
      <c r="S49" s="6"/>
      <c r="T49" s="6"/>
      <c r="U49" s="6"/>
      <c r="V49" s="6"/>
      <c r="W49" s="6"/>
      <c r="X49" s="6"/>
      <c r="Y49" s="6"/>
    </row>
    <row r="50" ht="15.75" customHeight="1">
      <c r="A50" s="6"/>
      <c r="B50" s="6"/>
      <c r="C50" s="23"/>
      <c r="D50" s="23"/>
      <c r="E50" s="23"/>
      <c r="F50" s="6"/>
      <c r="G50" s="6"/>
      <c r="H50" s="6"/>
      <c r="I50" s="6"/>
      <c r="J50" s="6"/>
      <c r="K50" s="6"/>
      <c r="L50" s="6"/>
      <c r="M50" s="6"/>
      <c r="N50" s="6"/>
      <c r="O50" s="6"/>
      <c r="P50" s="6"/>
      <c r="Q50" s="6"/>
      <c r="R50" s="6"/>
      <c r="S50" s="6"/>
      <c r="T50" s="6"/>
      <c r="U50" s="6"/>
      <c r="V50" s="6"/>
      <c r="W50" s="6"/>
      <c r="X50" s="6"/>
      <c r="Y50" s="6"/>
    </row>
    <row r="51" ht="15.75" customHeight="1">
      <c r="A51" s="6"/>
      <c r="B51" s="6"/>
      <c r="C51" s="23"/>
      <c r="D51" s="23"/>
      <c r="E51" s="23"/>
      <c r="F51" s="6"/>
      <c r="G51" s="6"/>
      <c r="H51" s="6"/>
      <c r="I51" s="6"/>
      <c r="J51" s="6"/>
      <c r="K51" s="6"/>
      <c r="L51" s="6"/>
      <c r="M51" s="6"/>
      <c r="N51" s="6"/>
      <c r="O51" s="6"/>
      <c r="P51" s="6"/>
      <c r="Q51" s="6"/>
      <c r="R51" s="6"/>
      <c r="S51" s="6"/>
      <c r="T51" s="6"/>
      <c r="U51" s="6"/>
      <c r="V51" s="6"/>
      <c r="W51" s="6"/>
      <c r="X51" s="6"/>
      <c r="Y51" s="6"/>
    </row>
    <row r="52" ht="15.75" customHeight="1">
      <c r="A52" s="6"/>
      <c r="B52" s="6"/>
      <c r="C52" s="23"/>
      <c r="D52" s="23"/>
      <c r="E52" s="23"/>
      <c r="F52" s="6"/>
      <c r="G52" s="6"/>
      <c r="H52" s="6"/>
      <c r="I52" s="6"/>
      <c r="J52" s="6"/>
      <c r="K52" s="6"/>
      <c r="L52" s="6"/>
      <c r="M52" s="6"/>
      <c r="N52" s="6"/>
      <c r="O52" s="6"/>
      <c r="P52" s="6"/>
      <c r="Q52" s="6"/>
      <c r="R52" s="6"/>
      <c r="S52" s="6"/>
      <c r="T52" s="6"/>
      <c r="U52" s="6"/>
      <c r="V52" s="6"/>
      <c r="W52" s="6"/>
      <c r="X52" s="6"/>
      <c r="Y52" s="6"/>
    </row>
    <row r="53" ht="15.75" customHeight="1">
      <c r="A53" s="6"/>
      <c r="B53" s="6"/>
      <c r="C53" s="23"/>
      <c r="D53" s="23"/>
      <c r="E53" s="23"/>
      <c r="F53" s="6"/>
      <c r="G53" s="6"/>
      <c r="H53" s="6"/>
      <c r="I53" s="6"/>
      <c r="J53" s="6"/>
      <c r="K53" s="6"/>
      <c r="L53" s="6"/>
      <c r="M53" s="6"/>
      <c r="N53" s="6"/>
      <c r="O53" s="6"/>
      <c r="P53" s="6"/>
      <c r="Q53" s="6"/>
      <c r="R53" s="6"/>
      <c r="S53" s="6"/>
      <c r="T53" s="6"/>
      <c r="U53" s="6"/>
      <c r="V53" s="6"/>
      <c r="W53" s="6"/>
      <c r="X53" s="6"/>
      <c r="Y53" s="6"/>
    </row>
    <row r="54" ht="15.75" customHeight="1">
      <c r="A54" s="6"/>
      <c r="B54" s="6"/>
      <c r="C54" s="23"/>
      <c r="D54" s="23"/>
      <c r="E54" s="23"/>
      <c r="F54" s="6"/>
      <c r="G54" s="6"/>
      <c r="H54" s="6"/>
      <c r="I54" s="6"/>
      <c r="J54" s="6"/>
      <c r="K54" s="6"/>
      <c r="L54" s="6"/>
      <c r="M54" s="6"/>
      <c r="N54" s="6"/>
      <c r="O54" s="6"/>
      <c r="P54" s="6"/>
      <c r="Q54" s="6"/>
      <c r="R54" s="6"/>
      <c r="S54" s="6"/>
      <c r="T54" s="6"/>
      <c r="U54" s="6"/>
      <c r="V54" s="6"/>
      <c r="W54" s="6"/>
      <c r="X54" s="6"/>
      <c r="Y54" s="6"/>
    </row>
    <row r="55" ht="15.75" customHeight="1">
      <c r="A55" s="6"/>
      <c r="B55" s="6"/>
      <c r="C55" s="23"/>
      <c r="D55" s="23"/>
      <c r="E55" s="23"/>
      <c r="F55" s="6"/>
      <c r="G55" s="6"/>
      <c r="H55" s="6"/>
      <c r="I55" s="6"/>
      <c r="J55" s="6"/>
      <c r="K55" s="6"/>
      <c r="L55" s="6"/>
      <c r="M55" s="6"/>
      <c r="N55" s="6"/>
      <c r="O55" s="6"/>
      <c r="P55" s="6"/>
      <c r="Q55" s="6"/>
      <c r="R55" s="6"/>
      <c r="S55" s="6"/>
      <c r="T55" s="6"/>
      <c r="U55" s="6"/>
      <c r="V55" s="6"/>
      <c r="W55" s="6"/>
      <c r="X55" s="6"/>
      <c r="Y55" s="6"/>
    </row>
    <row r="56" ht="15.75" customHeight="1">
      <c r="A56" s="6"/>
      <c r="B56" s="6"/>
      <c r="C56" s="23"/>
      <c r="D56" s="23"/>
      <c r="E56" s="23"/>
      <c r="F56" s="6"/>
      <c r="G56" s="6"/>
      <c r="H56" s="6"/>
      <c r="I56" s="6"/>
      <c r="J56" s="6"/>
      <c r="K56" s="6"/>
      <c r="L56" s="6"/>
      <c r="M56" s="6"/>
      <c r="N56" s="6"/>
      <c r="O56" s="6"/>
      <c r="P56" s="6"/>
      <c r="Q56" s="6"/>
      <c r="R56" s="6"/>
      <c r="S56" s="6"/>
      <c r="T56" s="6"/>
      <c r="U56" s="6"/>
      <c r="V56" s="6"/>
      <c r="W56" s="6"/>
      <c r="X56" s="6"/>
      <c r="Y56" s="6"/>
    </row>
    <row r="57" ht="15.75" customHeight="1">
      <c r="A57" s="6"/>
      <c r="B57" s="6"/>
      <c r="C57" s="23"/>
      <c r="D57" s="23"/>
      <c r="E57" s="23"/>
      <c r="F57" s="6"/>
      <c r="G57" s="6"/>
      <c r="H57" s="6"/>
      <c r="I57" s="6"/>
      <c r="J57" s="6"/>
      <c r="K57" s="6"/>
      <c r="L57" s="6"/>
      <c r="M57" s="6"/>
      <c r="N57" s="6"/>
      <c r="O57" s="6"/>
      <c r="P57" s="6"/>
      <c r="Q57" s="6"/>
      <c r="R57" s="6"/>
      <c r="S57" s="6"/>
      <c r="T57" s="6"/>
      <c r="U57" s="6"/>
      <c r="V57" s="6"/>
      <c r="W57" s="6"/>
      <c r="X57" s="6"/>
      <c r="Y57" s="6"/>
    </row>
    <row r="58" ht="15.75" customHeight="1">
      <c r="A58" s="6"/>
      <c r="B58" s="6"/>
      <c r="C58" s="23"/>
      <c r="D58" s="23"/>
      <c r="E58" s="23"/>
      <c r="F58" s="6"/>
      <c r="G58" s="6"/>
      <c r="H58" s="6"/>
      <c r="I58" s="6"/>
      <c r="J58" s="6"/>
      <c r="K58" s="6"/>
      <c r="L58" s="6"/>
      <c r="M58" s="6"/>
      <c r="N58" s="6"/>
      <c r="O58" s="6"/>
      <c r="P58" s="6"/>
      <c r="Q58" s="6"/>
      <c r="R58" s="6"/>
      <c r="S58" s="6"/>
      <c r="T58" s="6"/>
      <c r="U58" s="6"/>
      <c r="V58" s="6"/>
      <c r="W58" s="6"/>
      <c r="X58" s="6"/>
      <c r="Y58" s="6"/>
    </row>
    <row r="59" ht="15.75" customHeight="1">
      <c r="A59" s="6"/>
      <c r="B59" s="6"/>
      <c r="C59" s="23"/>
      <c r="D59" s="23"/>
      <c r="E59" s="23"/>
      <c r="F59" s="6"/>
      <c r="G59" s="6"/>
      <c r="H59" s="6"/>
      <c r="I59" s="6"/>
      <c r="J59" s="6"/>
      <c r="K59" s="6"/>
      <c r="L59" s="6"/>
      <c r="M59" s="6"/>
      <c r="N59" s="6"/>
      <c r="O59" s="6"/>
      <c r="P59" s="6"/>
      <c r="Q59" s="6"/>
      <c r="R59" s="6"/>
      <c r="S59" s="6"/>
      <c r="T59" s="6"/>
      <c r="U59" s="6"/>
      <c r="V59" s="6"/>
      <c r="W59" s="6"/>
      <c r="X59" s="6"/>
      <c r="Y59" s="6"/>
    </row>
    <row r="60" ht="15.75" customHeight="1">
      <c r="A60" s="6"/>
      <c r="B60" s="6"/>
      <c r="C60" s="23"/>
      <c r="D60" s="23"/>
      <c r="E60" s="23"/>
      <c r="F60" s="6"/>
      <c r="G60" s="6"/>
      <c r="H60" s="6"/>
      <c r="I60" s="6"/>
      <c r="J60" s="6"/>
      <c r="K60" s="6"/>
      <c r="L60" s="6"/>
      <c r="M60" s="6"/>
      <c r="N60" s="6"/>
      <c r="O60" s="6"/>
      <c r="P60" s="6"/>
      <c r="Q60" s="6"/>
      <c r="R60" s="6"/>
      <c r="S60" s="6"/>
      <c r="T60" s="6"/>
      <c r="U60" s="6"/>
      <c r="V60" s="6"/>
      <c r="W60" s="6"/>
      <c r="X60" s="6"/>
      <c r="Y60" s="6"/>
    </row>
    <row r="61" ht="15.75" customHeight="1">
      <c r="A61" s="6"/>
      <c r="B61" s="6"/>
      <c r="C61" s="23"/>
      <c r="D61" s="23"/>
      <c r="E61" s="23"/>
      <c r="F61" s="6"/>
      <c r="G61" s="6"/>
      <c r="H61" s="6"/>
      <c r="I61" s="6"/>
      <c r="J61" s="6"/>
      <c r="K61" s="6"/>
      <c r="L61" s="6"/>
      <c r="M61" s="6"/>
      <c r="N61" s="6"/>
      <c r="O61" s="6"/>
      <c r="P61" s="6"/>
      <c r="Q61" s="6"/>
      <c r="R61" s="6"/>
      <c r="S61" s="6"/>
      <c r="T61" s="6"/>
      <c r="U61" s="6"/>
      <c r="V61" s="6"/>
      <c r="W61" s="6"/>
      <c r="X61" s="6"/>
      <c r="Y61" s="6"/>
    </row>
    <row r="62" ht="15.75" customHeight="1">
      <c r="A62" s="6"/>
      <c r="B62" s="6"/>
      <c r="C62" s="23"/>
      <c r="D62" s="23"/>
      <c r="E62" s="23"/>
      <c r="F62" s="6"/>
      <c r="G62" s="6"/>
      <c r="H62" s="6"/>
      <c r="I62" s="6"/>
      <c r="J62" s="6"/>
      <c r="K62" s="6"/>
      <c r="L62" s="6"/>
      <c r="M62" s="6"/>
      <c r="N62" s="6"/>
      <c r="O62" s="6"/>
      <c r="P62" s="6"/>
      <c r="Q62" s="6"/>
      <c r="R62" s="6"/>
      <c r="S62" s="6"/>
      <c r="T62" s="6"/>
      <c r="U62" s="6"/>
      <c r="V62" s="6"/>
      <c r="W62" s="6"/>
      <c r="X62" s="6"/>
      <c r="Y62" s="6"/>
    </row>
    <row r="63" ht="15.75" customHeight="1">
      <c r="A63" s="6"/>
      <c r="B63" s="6"/>
      <c r="C63" s="23"/>
      <c r="D63" s="23"/>
      <c r="E63" s="23"/>
      <c r="F63" s="6"/>
      <c r="G63" s="6"/>
      <c r="H63" s="6"/>
      <c r="I63" s="6"/>
      <c r="J63" s="6"/>
      <c r="K63" s="6"/>
      <c r="L63" s="6"/>
      <c r="M63" s="6"/>
      <c r="N63" s="6"/>
      <c r="O63" s="6"/>
      <c r="P63" s="6"/>
      <c r="Q63" s="6"/>
      <c r="R63" s="6"/>
      <c r="S63" s="6"/>
      <c r="T63" s="6"/>
      <c r="U63" s="6"/>
      <c r="V63" s="6"/>
      <c r="W63" s="6"/>
      <c r="X63" s="6"/>
      <c r="Y63" s="6"/>
    </row>
    <row r="64" ht="15.75" customHeight="1">
      <c r="A64" s="6"/>
      <c r="B64" s="6"/>
      <c r="C64" s="23"/>
      <c r="D64" s="23"/>
      <c r="E64" s="23"/>
      <c r="F64" s="6"/>
      <c r="G64" s="6"/>
      <c r="H64" s="6"/>
      <c r="I64" s="6"/>
      <c r="J64" s="6"/>
      <c r="K64" s="6"/>
      <c r="L64" s="6"/>
      <c r="M64" s="6"/>
      <c r="N64" s="6"/>
      <c r="O64" s="6"/>
      <c r="P64" s="6"/>
      <c r="Q64" s="6"/>
      <c r="R64" s="6"/>
      <c r="S64" s="6"/>
      <c r="T64" s="6"/>
      <c r="U64" s="6"/>
      <c r="V64" s="6"/>
      <c r="W64" s="6"/>
      <c r="X64" s="6"/>
      <c r="Y64" s="6"/>
    </row>
    <row r="65" ht="15.75" customHeight="1">
      <c r="A65" s="6"/>
      <c r="B65" s="6"/>
      <c r="C65" s="23"/>
      <c r="D65" s="23"/>
      <c r="E65" s="23"/>
      <c r="F65" s="6"/>
      <c r="G65" s="6"/>
      <c r="H65" s="6"/>
      <c r="I65" s="6"/>
      <c r="J65" s="6"/>
      <c r="K65" s="6"/>
      <c r="L65" s="6"/>
      <c r="M65" s="6"/>
      <c r="N65" s="6"/>
      <c r="O65" s="6"/>
      <c r="P65" s="6"/>
      <c r="Q65" s="6"/>
      <c r="R65" s="6"/>
      <c r="S65" s="6"/>
      <c r="T65" s="6"/>
      <c r="U65" s="6"/>
      <c r="V65" s="6"/>
      <c r="W65" s="6"/>
      <c r="X65" s="6"/>
      <c r="Y65" s="6"/>
    </row>
    <row r="66" ht="15.75" customHeight="1">
      <c r="A66" s="6"/>
      <c r="B66" s="6"/>
      <c r="C66" s="23"/>
      <c r="D66" s="23"/>
      <c r="E66" s="23"/>
      <c r="F66" s="6"/>
      <c r="G66" s="6"/>
      <c r="H66" s="6"/>
      <c r="I66" s="6"/>
      <c r="J66" s="6"/>
      <c r="K66" s="6"/>
      <c r="L66" s="6"/>
      <c r="M66" s="6"/>
      <c r="N66" s="6"/>
      <c r="O66" s="6"/>
      <c r="P66" s="6"/>
      <c r="Q66" s="6"/>
      <c r="R66" s="6"/>
      <c r="S66" s="6"/>
      <c r="T66" s="6"/>
      <c r="U66" s="6"/>
      <c r="V66" s="6"/>
      <c r="W66" s="6"/>
      <c r="X66" s="6"/>
      <c r="Y66" s="6"/>
    </row>
    <row r="67" ht="15.75" customHeight="1">
      <c r="A67" s="6"/>
      <c r="B67" s="6"/>
      <c r="C67" s="23"/>
      <c r="D67" s="23"/>
      <c r="E67" s="23"/>
      <c r="F67" s="6"/>
      <c r="G67" s="6"/>
      <c r="H67" s="6"/>
      <c r="I67" s="6"/>
      <c r="J67" s="6"/>
      <c r="K67" s="6"/>
      <c r="L67" s="6"/>
      <c r="M67" s="6"/>
      <c r="N67" s="6"/>
      <c r="O67" s="6"/>
      <c r="P67" s="6"/>
      <c r="Q67" s="6"/>
      <c r="R67" s="6"/>
      <c r="S67" s="6"/>
      <c r="T67" s="6"/>
      <c r="U67" s="6"/>
      <c r="V67" s="6"/>
      <c r="W67" s="6"/>
      <c r="X67" s="6"/>
      <c r="Y67" s="6"/>
    </row>
    <row r="68" ht="15.75" customHeight="1">
      <c r="A68" s="6"/>
      <c r="B68" s="6"/>
      <c r="C68" s="23"/>
      <c r="D68" s="23"/>
      <c r="E68" s="23"/>
      <c r="F68" s="6"/>
      <c r="G68" s="6"/>
      <c r="H68" s="6"/>
      <c r="I68" s="6"/>
      <c r="J68" s="6"/>
      <c r="K68" s="6"/>
      <c r="L68" s="6"/>
      <c r="M68" s="6"/>
      <c r="N68" s="6"/>
      <c r="O68" s="6"/>
      <c r="P68" s="6"/>
      <c r="Q68" s="6"/>
      <c r="R68" s="6"/>
      <c r="S68" s="6"/>
      <c r="T68" s="6"/>
      <c r="U68" s="6"/>
      <c r="V68" s="6"/>
      <c r="W68" s="6"/>
      <c r="X68" s="6"/>
      <c r="Y68" s="6"/>
    </row>
    <row r="69" ht="15.75" customHeight="1">
      <c r="A69" s="6"/>
      <c r="B69" s="6"/>
      <c r="C69" s="23"/>
      <c r="D69" s="23"/>
      <c r="E69" s="23"/>
      <c r="F69" s="6"/>
      <c r="G69" s="6"/>
      <c r="H69" s="6"/>
      <c r="I69" s="6"/>
      <c r="J69" s="6"/>
      <c r="K69" s="6"/>
      <c r="L69" s="6"/>
      <c r="M69" s="6"/>
      <c r="N69" s="6"/>
      <c r="O69" s="6"/>
      <c r="P69" s="6"/>
      <c r="Q69" s="6"/>
      <c r="R69" s="6"/>
      <c r="S69" s="6"/>
      <c r="T69" s="6"/>
      <c r="U69" s="6"/>
      <c r="V69" s="6"/>
      <c r="W69" s="6"/>
      <c r="X69" s="6"/>
      <c r="Y69" s="6"/>
    </row>
    <row r="70" ht="15.75" customHeight="1">
      <c r="A70" s="6"/>
      <c r="B70" s="6"/>
      <c r="C70" s="23"/>
      <c r="D70" s="23"/>
      <c r="E70" s="23"/>
      <c r="F70" s="6"/>
      <c r="G70" s="6"/>
      <c r="H70" s="6"/>
      <c r="I70" s="6"/>
      <c r="J70" s="6"/>
      <c r="K70" s="6"/>
      <c r="L70" s="6"/>
      <c r="M70" s="6"/>
      <c r="N70" s="6"/>
      <c r="O70" s="6"/>
      <c r="P70" s="6"/>
      <c r="Q70" s="6"/>
      <c r="R70" s="6"/>
      <c r="S70" s="6"/>
      <c r="T70" s="6"/>
      <c r="U70" s="6"/>
      <c r="V70" s="6"/>
      <c r="W70" s="6"/>
      <c r="X70" s="6"/>
      <c r="Y70" s="6"/>
    </row>
    <row r="71" ht="15.75" customHeight="1">
      <c r="A71" s="6"/>
      <c r="B71" s="6"/>
      <c r="C71" s="23"/>
      <c r="D71" s="23"/>
      <c r="E71" s="23"/>
      <c r="F71" s="6"/>
      <c r="G71" s="6"/>
      <c r="H71" s="6"/>
      <c r="I71" s="6"/>
      <c r="J71" s="6"/>
      <c r="K71" s="6"/>
      <c r="L71" s="6"/>
      <c r="M71" s="6"/>
      <c r="N71" s="6"/>
      <c r="O71" s="6"/>
      <c r="P71" s="6"/>
      <c r="Q71" s="6"/>
      <c r="R71" s="6"/>
      <c r="S71" s="6"/>
      <c r="T71" s="6"/>
      <c r="U71" s="6"/>
      <c r="V71" s="6"/>
      <c r="W71" s="6"/>
      <c r="X71" s="6"/>
      <c r="Y71" s="6"/>
    </row>
    <row r="72" ht="15.75" customHeight="1">
      <c r="A72" s="6"/>
      <c r="B72" s="6"/>
      <c r="C72" s="23"/>
      <c r="D72" s="23"/>
      <c r="E72" s="23"/>
      <c r="F72" s="6"/>
      <c r="G72" s="6"/>
      <c r="H72" s="6"/>
      <c r="I72" s="6"/>
      <c r="J72" s="6"/>
      <c r="K72" s="6"/>
      <c r="L72" s="6"/>
      <c r="M72" s="6"/>
      <c r="N72" s="6"/>
      <c r="O72" s="6"/>
      <c r="P72" s="6"/>
      <c r="Q72" s="6"/>
      <c r="R72" s="6"/>
      <c r="S72" s="6"/>
      <c r="T72" s="6"/>
      <c r="U72" s="6"/>
      <c r="V72" s="6"/>
      <c r="W72" s="6"/>
      <c r="X72" s="6"/>
      <c r="Y72" s="6"/>
    </row>
    <row r="73" ht="15.75" customHeight="1">
      <c r="A73" s="6"/>
      <c r="B73" s="6"/>
      <c r="C73" s="23"/>
      <c r="D73" s="23"/>
      <c r="E73" s="23"/>
      <c r="F73" s="6"/>
      <c r="G73" s="6"/>
      <c r="H73" s="6"/>
      <c r="I73" s="6"/>
      <c r="J73" s="6"/>
      <c r="K73" s="6"/>
      <c r="L73" s="6"/>
      <c r="M73" s="6"/>
      <c r="N73" s="6"/>
      <c r="O73" s="6"/>
      <c r="P73" s="6"/>
      <c r="Q73" s="6"/>
      <c r="R73" s="6"/>
      <c r="S73" s="6"/>
      <c r="T73" s="6"/>
      <c r="U73" s="6"/>
      <c r="V73" s="6"/>
      <c r="W73" s="6"/>
      <c r="X73" s="6"/>
      <c r="Y73" s="6"/>
    </row>
    <row r="74" ht="15.75" customHeight="1">
      <c r="A74" s="6"/>
      <c r="B74" s="6"/>
      <c r="C74" s="23"/>
      <c r="D74" s="23"/>
      <c r="E74" s="23"/>
      <c r="F74" s="6"/>
      <c r="G74" s="6"/>
      <c r="H74" s="6"/>
      <c r="I74" s="6"/>
      <c r="J74" s="6"/>
      <c r="K74" s="6"/>
      <c r="L74" s="6"/>
      <c r="M74" s="6"/>
      <c r="N74" s="6"/>
      <c r="O74" s="6"/>
      <c r="P74" s="6"/>
      <c r="Q74" s="6"/>
      <c r="R74" s="6"/>
      <c r="S74" s="6"/>
      <c r="T74" s="6"/>
      <c r="U74" s="6"/>
      <c r="V74" s="6"/>
      <c r="W74" s="6"/>
      <c r="X74" s="6"/>
      <c r="Y74" s="6"/>
    </row>
    <row r="75" ht="15.75" customHeight="1">
      <c r="A75" s="6"/>
      <c r="B75" s="6"/>
      <c r="C75" s="23"/>
      <c r="D75" s="23"/>
      <c r="E75" s="23"/>
      <c r="F75" s="6"/>
      <c r="G75" s="6"/>
      <c r="H75" s="6"/>
      <c r="I75" s="6"/>
      <c r="J75" s="6"/>
      <c r="K75" s="6"/>
      <c r="L75" s="6"/>
      <c r="M75" s="6"/>
      <c r="N75" s="6"/>
      <c r="O75" s="6"/>
      <c r="P75" s="6"/>
      <c r="Q75" s="6"/>
      <c r="R75" s="6"/>
      <c r="S75" s="6"/>
      <c r="T75" s="6"/>
      <c r="U75" s="6"/>
      <c r="V75" s="6"/>
      <c r="W75" s="6"/>
      <c r="X75" s="6"/>
      <c r="Y75" s="6"/>
    </row>
    <row r="76" ht="15.75" customHeight="1">
      <c r="A76" s="6"/>
      <c r="B76" s="6"/>
      <c r="C76" s="23"/>
      <c r="D76" s="23"/>
      <c r="E76" s="23"/>
      <c r="F76" s="6"/>
      <c r="G76" s="6"/>
      <c r="H76" s="6"/>
      <c r="I76" s="6"/>
      <c r="J76" s="6"/>
      <c r="K76" s="6"/>
      <c r="L76" s="6"/>
      <c r="M76" s="6"/>
      <c r="N76" s="6"/>
      <c r="O76" s="6"/>
      <c r="P76" s="6"/>
      <c r="Q76" s="6"/>
      <c r="R76" s="6"/>
      <c r="S76" s="6"/>
      <c r="T76" s="6"/>
      <c r="U76" s="6"/>
      <c r="V76" s="6"/>
      <c r="W76" s="6"/>
      <c r="X76" s="6"/>
      <c r="Y76" s="6"/>
    </row>
    <row r="77" ht="15.75" customHeight="1">
      <c r="A77" s="6"/>
      <c r="B77" s="6"/>
      <c r="C77" s="23"/>
      <c r="D77" s="23"/>
      <c r="E77" s="23"/>
      <c r="F77" s="6"/>
      <c r="G77" s="6"/>
      <c r="H77" s="6"/>
      <c r="I77" s="6"/>
      <c r="J77" s="6"/>
      <c r="K77" s="6"/>
      <c r="L77" s="6"/>
      <c r="M77" s="6"/>
      <c r="N77" s="6"/>
      <c r="O77" s="6"/>
      <c r="P77" s="6"/>
      <c r="Q77" s="6"/>
      <c r="R77" s="6"/>
      <c r="S77" s="6"/>
      <c r="T77" s="6"/>
      <c r="U77" s="6"/>
      <c r="V77" s="6"/>
      <c r="W77" s="6"/>
      <c r="X77" s="6"/>
      <c r="Y77" s="6"/>
    </row>
    <row r="78" ht="15.75" customHeight="1">
      <c r="A78" s="6"/>
      <c r="B78" s="6"/>
      <c r="C78" s="23"/>
      <c r="D78" s="23"/>
      <c r="E78" s="23"/>
      <c r="F78" s="6"/>
      <c r="G78" s="6"/>
      <c r="H78" s="6"/>
      <c r="I78" s="6"/>
      <c r="J78" s="6"/>
      <c r="K78" s="6"/>
      <c r="L78" s="6"/>
      <c r="M78" s="6"/>
      <c r="N78" s="6"/>
      <c r="O78" s="6"/>
      <c r="P78" s="6"/>
      <c r="Q78" s="6"/>
      <c r="R78" s="6"/>
      <c r="S78" s="6"/>
      <c r="T78" s="6"/>
      <c r="U78" s="6"/>
      <c r="V78" s="6"/>
      <c r="W78" s="6"/>
      <c r="X78" s="6"/>
      <c r="Y78" s="6"/>
    </row>
    <row r="79" ht="15.75" customHeight="1">
      <c r="A79" s="6"/>
      <c r="B79" s="6"/>
      <c r="C79" s="23"/>
      <c r="D79" s="23"/>
      <c r="E79" s="23"/>
      <c r="F79" s="6"/>
      <c r="G79" s="6"/>
      <c r="H79" s="6"/>
      <c r="I79" s="6"/>
      <c r="J79" s="6"/>
      <c r="K79" s="6"/>
      <c r="L79" s="6"/>
      <c r="M79" s="6"/>
      <c r="N79" s="6"/>
      <c r="O79" s="6"/>
      <c r="P79" s="6"/>
      <c r="Q79" s="6"/>
      <c r="R79" s="6"/>
      <c r="S79" s="6"/>
      <c r="T79" s="6"/>
      <c r="U79" s="6"/>
      <c r="V79" s="6"/>
      <c r="W79" s="6"/>
      <c r="X79" s="6"/>
      <c r="Y79" s="6"/>
    </row>
    <row r="80" ht="15.75" customHeight="1">
      <c r="A80" s="6"/>
      <c r="B80" s="6"/>
      <c r="C80" s="23"/>
      <c r="D80" s="23"/>
      <c r="E80" s="23"/>
      <c r="F80" s="6"/>
      <c r="G80" s="6"/>
      <c r="H80" s="6"/>
      <c r="I80" s="6"/>
      <c r="J80" s="6"/>
      <c r="K80" s="6"/>
      <c r="L80" s="6"/>
      <c r="M80" s="6"/>
      <c r="N80" s="6"/>
      <c r="O80" s="6"/>
      <c r="P80" s="6"/>
      <c r="Q80" s="6"/>
      <c r="R80" s="6"/>
      <c r="S80" s="6"/>
      <c r="T80" s="6"/>
      <c r="U80" s="6"/>
      <c r="V80" s="6"/>
      <c r="W80" s="6"/>
      <c r="X80" s="6"/>
      <c r="Y80" s="6"/>
    </row>
    <row r="81" ht="15.75" customHeight="1">
      <c r="A81" s="6"/>
      <c r="B81" s="6"/>
      <c r="C81" s="23"/>
      <c r="D81" s="23"/>
      <c r="E81" s="23"/>
      <c r="F81" s="6"/>
      <c r="G81" s="6"/>
      <c r="H81" s="6"/>
      <c r="I81" s="6"/>
      <c r="J81" s="6"/>
      <c r="K81" s="6"/>
      <c r="L81" s="6"/>
      <c r="M81" s="6"/>
      <c r="N81" s="6"/>
      <c r="O81" s="6"/>
      <c r="P81" s="6"/>
      <c r="Q81" s="6"/>
      <c r="R81" s="6"/>
      <c r="S81" s="6"/>
      <c r="T81" s="6"/>
      <c r="U81" s="6"/>
      <c r="V81" s="6"/>
      <c r="W81" s="6"/>
      <c r="X81" s="6"/>
      <c r="Y81" s="6"/>
    </row>
    <row r="82" ht="15.75" customHeight="1">
      <c r="A82" s="6"/>
      <c r="B82" s="6"/>
      <c r="C82" s="23"/>
      <c r="D82" s="23"/>
      <c r="E82" s="23"/>
      <c r="F82" s="6"/>
      <c r="G82" s="6"/>
      <c r="H82" s="6"/>
      <c r="I82" s="6"/>
      <c r="J82" s="6"/>
      <c r="K82" s="6"/>
      <c r="L82" s="6"/>
      <c r="M82" s="6"/>
      <c r="N82" s="6"/>
      <c r="O82" s="6"/>
      <c r="P82" s="6"/>
      <c r="Q82" s="6"/>
      <c r="R82" s="6"/>
      <c r="S82" s="6"/>
      <c r="T82" s="6"/>
      <c r="U82" s="6"/>
      <c r="V82" s="6"/>
      <c r="W82" s="6"/>
      <c r="X82" s="6"/>
      <c r="Y82" s="6"/>
    </row>
    <row r="83" ht="15.75" customHeight="1">
      <c r="A83" s="6"/>
      <c r="B83" s="6"/>
      <c r="C83" s="23"/>
      <c r="D83" s="23"/>
      <c r="E83" s="23"/>
      <c r="F83" s="6"/>
      <c r="G83" s="6"/>
      <c r="H83" s="6"/>
      <c r="I83" s="6"/>
      <c r="J83" s="6"/>
      <c r="K83" s="6"/>
      <c r="L83" s="6"/>
      <c r="M83" s="6"/>
      <c r="N83" s="6"/>
      <c r="O83" s="6"/>
      <c r="P83" s="6"/>
      <c r="Q83" s="6"/>
      <c r="R83" s="6"/>
      <c r="S83" s="6"/>
      <c r="T83" s="6"/>
      <c r="U83" s="6"/>
      <c r="V83" s="6"/>
      <c r="W83" s="6"/>
      <c r="X83" s="6"/>
      <c r="Y83" s="6"/>
    </row>
    <row r="84" ht="15.75" customHeight="1">
      <c r="A84" s="6"/>
      <c r="B84" s="6"/>
      <c r="C84" s="23"/>
      <c r="D84" s="23"/>
      <c r="E84" s="23"/>
      <c r="F84" s="6"/>
      <c r="G84" s="6"/>
      <c r="H84" s="6"/>
      <c r="I84" s="6"/>
      <c r="J84" s="6"/>
      <c r="K84" s="6"/>
      <c r="L84" s="6"/>
      <c r="M84" s="6"/>
      <c r="N84" s="6"/>
      <c r="O84" s="6"/>
      <c r="P84" s="6"/>
      <c r="Q84" s="6"/>
      <c r="R84" s="6"/>
      <c r="S84" s="6"/>
      <c r="T84" s="6"/>
      <c r="U84" s="6"/>
      <c r="V84" s="6"/>
      <c r="W84" s="6"/>
      <c r="X84" s="6"/>
      <c r="Y84" s="6"/>
    </row>
    <row r="85" ht="15.75" customHeight="1">
      <c r="A85" s="6"/>
      <c r="B85" s="6"/>
      <c r="C85" s="23"/>
      <c r="D85" s="23"/>
      <c r="E85" s="23"/>
      <c r="F85" s="6"/>
      <c r="G85" s="6"/>
      <c r="H85" s="6"/>
      <c r="I85" s="6"/>
      <c r="J85" s="6"/>
      <c r="K85" s="6"/>
      <c r="L85" s="6"/>
      <c r="M85" s="6"/>
      <c r="N85" s="6"/>
      <c r="O85" s="6"/>
      <c r="P85" s="6"/>
      <c r="Q85" s="6"/>
      <c r="R85" s="6"/>
      <c r="S85" s="6"/>
      <c r="T85" s="6"/>
      <c r="U85" s="6"/>
      <c r="V85" s="6"/>
      <c r="W85" s="6"/>
      <c r="X85" s="6"/>
      <c r="Y85" s="6"/>
    </row>
    <row r="86" ht="15.75" customHeight="1">
      <c r="A86" s="6"/>
      <c r="B86" s="6"/>
      <c r="C86" s="23"/>
      <c r="D86" s="23"/>
      <c r="E86" s="23"/>
      <c r="F86" s="6"/>
      <c r="G86" s="6"/>
      <c r="H86" s="6"/>
      <c r="I86" s="6"/>
      <c r="J86" s="6"/>
      <c r="K86" s="6"/>
      <c r="L86" s="6"/>
      <c r="M86" s="6"/>
      <c r="N86" s="6"/>
      <c r="O86" s="6"/>
      <c r="P86" s="6"/>
      <c r="Q86" s="6"/>
      <c r="R86" s="6"/>
      <c r="S86" s="6"/>
      <c r="T86" s="6"/>
      <c r="U86" s="6"/>
      <c r="V86" s="6"/>
      <c r="W86" s="6"/>
      <c r="X86" s="6"/>
      <c r="Y86" s="6"/>
    </row>
    <row r="87" ht="15.75" customHeight="1">
      <c r="A87" s="6"/>
      <c r="B87" s="6"/>
      <c r="C87" s="23"/>
      <c r="D87" s="23"/>
      <c r="E87" s="23"/>
      <c r="F87" s="6"/>
      <c r="G87" s="6"/>
      <c r="H87" s="6"/>
      <c r="I87" s="6"/>
      <c r="J87" s="6"/>
      <c r="K87" s="6"/>
      <c r="L87" s="6"/>
      <c r="M87" s="6"/>
      <c r="N87" s="6"/>
      <c r="O87" s="6"/>
      <c r="P87" s="6"/>
      <c r="Q87" s="6"/>
      <c r="R87" s="6"/>
      <c r="S87" s="6"/>
      <c r="T87" s="6"/>
      <c r="U87" s="6"/>
      <c r="V87" s="6"/>
      <c r="W87" s="6"/>
      <c r="X87" s="6"/>
      <c r="Y87" s="6"/>
    </row>
    <row r="88" ht="15.75" customHeight="1">
      <c r="A88" s="6"/>
      <c r="B88" s="6"/>
      <c r="C88" s="23"/>
      <c r="D88" s="23"/>
      <c r="E88" s="23"/>
      <c r="F88" s="6"/>
      <c r="G88" s="6"/>
      <c r="H88" s="6"/>
      <c r="I88" s="6"/>
      <c r="J88" s="6"/>
      <c r="K88" s="6"/>
      <c r="L88" s="6"/>
      <c r="M88" s="6"/>
      <c r="N88" s="6"/>
      <c r="O88" s="6"/>
      <c r="P88" s="6"/>
      <c r="Q88" s="6"/>
      <c r="R88" s="6"/>
      <c r="S88" s="6"/>
      <c r="T88" s="6"/>
      <c r="U88" s="6"/>
      <c r="V88" s="6"/>
      <c r="W88" s="6"/>
      <c r="X88" s="6"/>
      <c r="Y88" s="6"/>
    </row>
    <row r="89" ht="15.75" customHeight="1">
      <c r="A89" s="6"/>
      <c r="B89" s="6"/>
      <c r="C89" s="23"/>
      <c r="D89" s="23"/>
      <c r="E89" s="23"/>
      <c r="F89" s="6"/>
      <c r="G89" s="6"/>
      <c r="H89" s="6"/>
      <c r="I89" s="6"/>
      <c r="J89" s="6"/>
      <c r="K89" s="6"/>
      <c r="L89" s="6"/>
      <c r="M89" s="6"/>
      <c r="N89" s="6"/>
      <c r="O89" s="6"/>
      <c r="P89" s="6"/>
      <c r="Q89" s="6"/>
      <c r="R89" s="6"/>
      <c r="S89" s="6"/>
      <c r="T89" s="6"/>
      <c r="U89" s="6"/>
      <c r="V89" s="6"/>
      <c r="W89" s="6"/>
      <c r="X89" s="6"/>
      <c r="Y89" s="6"/>
    </row>
    <row r="90" ht="15.75" customHeight="1">
      <c r="A90" s="6"/>
      <c r="B90" s="6"/>
      <c r="C90" s="23"/>
      <c r="D90" s="23"/>
      <c r="E90" s="23"/>
      <c r="F90" s="6"/>
      <c r="G90" s="6"/>
      <c r="H90" s="6"/>
      <c r="I90" s="6"/>
      <c r="J90" s="6"/>
      <c r="K90" s="6"/>
      <c r="L90" s="6"/>
      <c r="M90" s="6"/>
      <c r="N90" s="6"/>
      <c r="O90" s="6"/>
      <c r="P90" s="6"/>
      <c r="Q90" s="6"/>
      <c r="R90" s="6"/>
      <c r="S90" s="6"/>
      <c r="T90" s="6"/>
      <c r="U90" s="6"/>
      <c r="V90" s="6"/>
      <c r="W90" s="6"/>
      <c r="X90" s="6"/>
      <c r="Y90" s="6"/>
    </row>
    <row r="91" ht="15.75" customHeight="1">
      <c r="A91" s="6"/>
      <c r="B91" s="6"/>
      <c r="C91" s="23"/>
      <c r="D91" s="23"/>
      <c r="E91" s="23"/>
      <c r="F91" s="6"/>
      <c r="G91" s="6"/>
      <c r="H91" s="6"/>
      <c r="I91" s="6"/>
      <c r="J91" s="6"/>
      <c r="K91" s="6"/>
      <c r="L91" s="6"/>
      <c r="M91" s="6"/>
      <c r="N91" s="6"/>
      <c r="O91" s="6"/>
      <c r="P91" s="6"/>
      <c r="Q91" s="6"/>
      <c r="R91" s="6"/>
      <c r="S91" s="6"/>
      <c r="T91" s="6"/>
      <c r="U91" s="6"/>
      <c r="V91" s="6"/>
      <c r="W91" s="6"/>
      <c r="X91" s="6"/>
      <c r="Y91" s="6"/>
    </row>
    <row r="92" ht="15.75" customHeight="1">
      <c r="A92" s="6"/>
      <c r="B92" s="6"/>
      <c r="C92" s="23"/>
      <c r="D92" s="23"/>
      <c r="E92" s="23"/>
      <c r="F92" s="6"/>
      <c r="G92" s="6"/>
      <c r="H92" s="6"/>
      <c r="I92" s="6"/>
      <c r="J92" s="6"/>
      <c r="K92" s="6"/>
      <c r="L92" s="6"/>
      <c r="M92" s="6"/>
      <c r="N92" s="6"/>
      <c r="O92" s="6"/>
      <c r="P92" s="6"/>
      <c r="Q92" s="6"/>
      <c r="R92" s="6"/>
      <c r="S92" s="6"/>
      <c r="T92" s="6"/>
      <c r="U92" s="6"/>
      <c r="V92" s="6"/>
      <c r="W92" s="6"/>
      <c r="X92" s="6"/>
      <c r="Y92" s="6"/>
    </row>
    <row r="93" ht="15.75" customHeight="1">
      <c r="A93" s="6"/>
      <c r="B93" s="6"/>
      <c r="C93" s="23"/>
      <c r="D93" s="23"/>
      <c r="E93" s="23"/>
      <c r="F93" s="6"/>
      <c r="G93" s="6"/>
      <c r="H93" s="6"/>
      <c r="I93" s="6"/>
      <c r="J93" s="6"/>
      <c r="K93" s="6"/>
      <c r="L93" s="6"/>
      <c r="M93" s="6"/>
      <c r="N93" s="6"/>
      <c r="O93" s="6"/>
      <c r="P93" s="6"/>
      <c r="Q93" s="6"/>
      <c r="R93" s="6"/>
      <c r="S93" s="6"/>
      <c r="T93" s="6"/>
      <c r="U93" s="6"/>
      <c r="V93" s="6"/>
      <c r="W93" s="6"/>
      <c r="X93" s="6"/>
      <c r="Y93" s="6"/>
    </row>
    <row r="94" ht="15.75" customHeight="1">
      <c r="A94" s="6"/>
      <c r="B94" s="6"/>
      <c r="C94" s="23"/>
      <c r="D94" s="23"/>
      <c r="E94" s="23"/>
      <c r="F94" s="6"/>
      <c r="G94" s="6"/>
      <c r="H94" s="6"/>
      <c r="I94" s="6"/>
      <c r="J94" s="6"/>
      <c r="K94" s="6"/>
      <c r="L94" s="6"/>
      <c r="M94" s="6"/>
      <c r="N94" s="6"/>
      <c r="O94" s="6"/>
      <c r="P94" s="6"/>
      <c r="Q94" s="6"/>
      <c r="R94" s="6"/>
      <c r="S94" s="6"/>
      <c r="T94" s="6"/>
      <c r="U94" s="6"/>
      <c r="V94" s="6"/>
      <c r="W94" s="6"/>
      <c r="X94" s="6"/>
      <c r="Y94" s="6"/>
    </row>
    <row r="95" ht="15.75" customHeight="1">
      <c r="A95" s="6"/>
      <c r="B95" s="6"/>
      <c r="C95" s="23"/>
      <c r="D95" s="23"/>
      <c r="E95" s="23"/>
      <c r="F95" s="6"/>
      <c r="G95" s="6"/>
      <c r="H95" s="6"/>
      <c r="I95" s="6"/>
      <c r="J95" s="6"/>
      <c r="K95" s="6"/>
      <c r="L95" s="6"/>
      <c r="M95" s="6"/>
      <c r="N95" s="6"/>
      <c r="O95" s="6"/>
      <c r="P95" s="6"/>
      <c r="Q95" s="6"/>
      <c r="R95" s="6"/>
      <c r="S95" s="6"/>
      <c r="T95" s="6"/>
      <c r="U95" s="6"/>
      <c r="V95" s="6"/>
      <c r="W95" s="6"/>
      <c r="X95" s="6"/>
      <c r="Y95" s="6"/>
    </row>
    <row r="96" ht="15.75" customHeight="1">
      <c r="A96" s="6"/>
      <c r="B96" s="6"/>
      <c r="C96" s="23"/>
      <c r="D96" s="23"/>
      <c r="E96" s="23"/>
      <c r="F96" s="6"/>
      <c r="G96" s="6"/>
      <c r="H96" s="6"/>
      <c r="I96" s="6"/>
      <c r="J96" s="6"/>
      <c r="K96" s="6"/>
      <c r="L96" s="6"/>
      <c r="M96" s="6"/>
      <c r="N96" s="6"/>
      <c r="O96" s="6"/>
      <c r="P96" s="6"/>
      <c r="Q96" s="6"/>
      <c r="R96" s="6"/>
      <c r="S96" s="6"/>
      <c r="T96" s="6"/>
      <c r="U96" s="6"/>
      <c r="V96" s="6"/>
      <c r="W96" s="6"/>
      <c r="X96" s="6"/>
      <c r="Y96" s="6"/>
    </row>
    <row r="97" ht="15.75" customHeight="1">
      <c r="A97" s="6"/>
      <c r="B97" s="6"/>
      <c r="C97" s="23"/>
      <c r="D97" s="23"/>
      <c r="E97" s="23"/>
      <c r="F97" s="6"/>
      <c r="G97" s="6"/>
      <c r="H97" s="6"/>
      <c r="I97" s="6"/>
      <c r="J97" s="6"/>
      <c r="K97" s="6"/>
      <c r="L97" s="6"/>
      <c r="M97" s="6"/>
      <c r="N97" s="6"/>
      <c r="O97" s="6"/>
      <c r="P97" s="6"/>
      <c r="Q97" s="6"/>
      <c r="R97" s="6"/>
      <c r="S97" s="6"/>
      <c r="T97" s="6"/>
      <c r="U97" s="6"/>
      <c r="V97" s="6"/>
      <c r="W97" s="6"/>
      <c r="X97" s="6"/>
      <c r="Y97" s="6"/>
    </row>
    <row r="98" ht="15.75" customHeight="1">
      <c r="A98" s="6"/>
      <c r="B98" s="6"/>
      <c r="C98" s="23"/>
      <c r="D98" s="23"/>
      <c r="E98" s="23"/>
      <c r="F98" s="6"/>
      <c r="G98" s="6"/>
      <c r="H98" s="6"/>
      <c r="I98" s="6"/>
      <c r="J98" s="6"/>
      <c r="K98" s="6"/>
      <c r="L98" s="6"/>
      <c r="M98" s="6"/>
      <c r="N98" s="6"/>
      <c r="O98" s="6"/>
      <c r="P98" s="6"/>
      <c r="Q98" s="6"/>
      <c r="R98" s="6"/>
      <c r="S98" s="6"/>
      <c r="T98" s="6"/>
      <c r="U98" s="6"/>
      <c r="V98" s="6"/>
      <c r="W98" s="6"/>
      <c r="X98" s="6"/>
      <c r="Y98" s="6"/>
    </row>
    <row r="99" ht="15.75" customHeight="1">
      <c r="A99" s="6"/>
      <c r="B99" s="6"/>
      <c r="C99" s="23"/>
      <c r="D99" s="23"/>
      <c r="E99" s="23"/>
      <c r="F99" s="6"/>
      <c r="G99" s="6"/>
      <c r="H99" s="6"/>
      <c r="I99" s="6"/>
      <c r="J99" s="6"/>
      <c r="K99" s="6"/>
      <c r="L99" s="6"/>
      <c r="M99" s="6"/>
      <c r="N99" s="6"/>
      <c r="O99" s="6"/>
      <c r="P99" s="6"/>
      <c r="Q99" s="6"/>
      <c r="R99" s="6"/>
      <c r="S99" s="6"/>
      <c r="T99" s="6"/>
      <c r="U99" s="6"/>
      <c r="V99" s="6"/>
      <c r="W99" s="6"/>
      <c r="X99" s="6"/>
      <c r="Y99" s="6"/>
    </row>
    <row r="100" ht="15.75" customHeight="1">
      <c r="A100" s="6"/>
      <c r="B100" s="6"/>
      <c r="C100" s="23"/>
      <c r="D100" s="23"/>
      <c r="E100" s="23"/>
      <c r="F100" s="6"/>
      <c r="G100" s="6"/>
      <c r="H100" s="6"/>
      <c r="I100" s="6"/>
      <c r="J100" s="6"/>
      <c r="K100" s="6"/>
      <c r="L100" s="6"/>
      <c r="M100" s="6"/>
      <c r="N100" s="6"/>
      <c r="O100" s="6"/>
      <c r="P100" s="6"/>
      <c r="Q100" s="6"/>
      <c r="R100" s="6"/>
      <c r="S100" s="6"/>
      <c r="T100" s="6"/>
      <c r="U100" s="6"/>
      <c r="V100" s="6"/>
      <c r="W100" s="6"/>
      <c r="X100" s="6"/>
      <c r="Y100" s="6"/>
    </row>
    <row r="101" ht="15.75" customHeight="1">
      <c r="A101" s="6"/>
      <c r="B101" s="6"/>
      <c r="C101" s="23"/>
      <c r="D101" s="23"/>
      <c r="E101" s="23"/>
      <c r="F101" s="6"/>
      <c r="G101" s="6"/>
      <c r="H101" s="6"/>
      <c r="I101" s="6"/>
      <c r="J101" s="6"/>
      <c r="K101" s="6"/>
      <c r="L101" s="6"/>
      <c r="M101" s="6"/>
      <c r="N101" s="6"/>
      <c r="O101" s="6"/>
      <c r="P101" s="6"/>
      <c r="Q101" s="6"/>
      <c r="R101" s="6"/>
      <c r="S101" s="6"/>
      <c r="T101" s="6"/>
      <c r="U101" s="6"/>
      <c r="V101" s="6"/>
      <c r="W101" s="6"/>
      <c r="X101" s="6"/>
      <c r="Y101" s="6"/>
    </row>
    <row r="102" ht="15.75" customHeight="1">
      <c r="A102" s="6"/>
      <c r="B102" s="6"/>
      <c r="C102" s="23"/>
      <c r="D102" s="23"/>
      <c r="E102" s="23"/>
      <c r="F102" s="6"/>
      <c r="G102" s="6"/>
      <c r="H102" s="6"/>
      <c r="I102" s="6"/>
      <c r="J102" s="6"/>
      <c r="K102" s="6"/>
      <c r="L102" s="6"/>
      <c r="M102" s="6"/>
      <c r="N102" s="6"/>
      <c r="O102" s="6"/>
      <c r="P102" s="6"/>
      <c r="Q102" s="6"/>
      <c r="R102" s="6"/>
      <c r="S102" s="6"/>
      <c r="T102" s="6"/>
      <c r="U102" s="6"/>
      <c r="V102" s="6"/>
      <c r="W102" s="6"/>
      <c r="X102" s="6"/>
      <c r="Y102" s="6"/>
    </row>
    <row r="103" ht="15.75" customHeight="1">
      <c r="A103" s="6"/>
      <c r="B103" s="6"/>
      <c r="C103" s="23"/>
      <c r="D103" s="23"/>
      <c r="E103" s="23"/>
      <c r="F103" s="6"/>
      <c r="G103" s="6"/>
      <c r="H103" s="6"/>
      <c r="I103" s="6"/>
      <c r="J103" s="6"/>
      <c r="K103" s="6"/>
      <c r="L103" s="6"/>
      <c r="M103" s="6"/>
      <c r="N103" s="6"/>
      <c r="O103" s="6"/>
      <c r="P103" s="6"/>
      <c r="Q103" s="6"/>
      <c r="R103" s="6"/>
      <c r="S103" s="6"/>
      <c r="T103" s="6"/>
      <c r="U103" s="6"/>
      <c r="V103" s="6"/>
      <c r="W103" s="6"/>
      <c r="X103" s="6"/>
      <c r="Y103" s="6"/>
    </row>
    <row r="104" ht="15.75" customHeight="1">
      <c r="A104" s="6"/>
      <c r="B104" s="6"/>
      <c r="C104" s="23"/>
      <c r="D104" s="23"/>
      <c r="E104" s="23"/>
      <c r="F104" s="6"/>
      <c r="G104" s="6"/>
      <c r="H104" s="6"/>
      <c r="I104" s="6"/>
      <c r="J104" s="6"/>
      <c r="K104" s="6"/>
      <c r="L104" s="6"/>
      <c r="M104" s="6"/>
      <c r="N104" s="6"/>
      <c r="O104" s="6"/>
      <c r="P104" s="6"/>
      <c r="Q104" s="6"/>
      <c r="R104" s="6"/>
      <c r="S104" s="6"/>
      <c r="T104" s="6"/>
      <c r="U104" s="6"/>
      <c r="V104" s="6"/>
      <c r="W104" s="6"/>
      <c r="X104" s="6"/>
      <c r="Y104" s="6"/>
    </row>
    <row r="105" ht="15.75" customHeight="1">
      <c r="A105" s="6"/>
      <c r="B105" s="6"/>
      <c r="C105" s="23"/>
      <c r="D105" s="23"/>
      <c r="E105" s="23"/>
      <c r="F105" s="6"/>
      <c r="G105" s="6"/>
      <c r="H105" s="6"/>
      <c r="I105" s="6"/>
      <c r="J105" s="6"/>
      <c r="K105" s="6"/>
      <c r="L105" s="6"/>
      <c r="M105" s="6"/>
      <c r="N105" s="6"/>
      <c r="O105" s="6"/>
      <c r="P105" s="6"/>
      <c r="Q105" s="6"/>
      <c r="R105" s="6"/>
      <c r="S105" s="6"/>
      <c r="T105" s="6"/>
      <c r="U105" s="6"/>
      <c r="V105" s="6"/>
      <c r="W105" s="6"/>
      <c r="X105" s="6"/>
      <c r="Y105" s="6"/>
    </row>
    <row r="106" ht="15.75" customHeight="1">
      <c r="A106" s="6"/>
      <c r="B106" s="6"/>
      <c r="C106" s="23"/>
      <c r="D106" s="23"/>
      <c r="E106" s="23"/>
      <c r="F106" s="6"/>
      <c r="G106" s="6"/>
      <c r="H106" s="6"/>
      <c r="I106" s="6"/>
      <c r="J106" s="6"/>
      <c r="K106" s="6"/>
      <c r="L106" s="6"/>
      <c r="M106" s="6"/>
      <c r="N106" s="6"/>
      <c r="O106" s="6"/>
      <c r="P106" s="6"/>
      <c r="Q106" s="6"/>
      <c r="R106" s="6"/>
      <c r="S106" s="6"/>
      <c r="T106" s="6"/>
      <c r="U106" s="6"/>
      <c r="V106" s="6"/>
      <c r="W106" s="6"/>
      <c r="X106" s="6"/>
      <c r="Y106" s="6"/>
    </row>
    <row r="107" ht="15.75" customHeight="1">
      <c r="A107" s="6"/>
      <c r="B107" s="6"/>
      <c r="C107" s="23"/>
      <c r="D107" s="23"/>
      <c r="E107" s="23"/>
      <c r="F107" s="6"/>
      <c r="G107" s="6"/>
      <c r="H107" s="6"/>
      <c r="I107" s="6"/>
      <c r="J107" s="6"/>
      <c r="K107" s="6"/>
      <c r="L107" s="6"/>
      <c r="M107" s="6"/>
      <c r="N107" s="6"/>
      <c r="O107" s="6"/>
      <c r="P107" s="6"/>
      <c r="Q107" s="6"/>
      <c r="R107" s="6"/>
      <c r="S107" s="6"/>
      <c r="T107" s="6"/>
      <c r="U107" s="6"/>
      <c r="V107" s="6"/>
      <c r="W107" s="6"/>
      <c r="X107" s="6"/>
      <c r="Y107" s="6"/>
    </row>
    <row r="108" ht="15.75" customHeight="1">
      <c r="A108" s="6"/>
      <c r="B108" s="6"/>
      <c r="C108" s="23"/>
      <c r="D108" s="23"/>
      <c r="E108" s="23"/>
      <c r="F108" s="6"/>
      <c r="G108" s="6"/>
      <c r="H108" s="6"/>
      <c r="I108" s="6"/>
      <c r="J108" s="6"/>
      <c r="K108" s="6"/>
      <c r="L108" s="6"/>
      <c r="M108" s="6"/>
      <c r="N108" s="6"/>
      <c r="O108" s="6"/>
      <c r="P108" s="6"/>
      <c r="Q108" s="6"/>
      <c r="R108" s="6"/>
      <c r="S108" s="6"/>
      <c r="T108" s="6"/>
      <c r="U108" s="6"/>
      <c r="V108" s="6"/>
      <c r="W108" s="6"/>
      <c r="X108" s="6"/>
      <c r="Y108" s="6"/>
    </row>
    <row r="109" ht="15.75" customHeight="1">
      <c r="A109" s="6"/>
      <c r="B109" s="6"/>
      <c r="C109" s="23"/>
      <c r="D109" s="23"/>
      <c r="E109" s="23"/>
      <c r="F109" s="6"/>
      <c r="G109" s="6"/>
      <c r="H109" s="6"/>
      <c r="I109" s="6"/>
      <c r="J109" s="6"/>
      <c r="K109" s="6"/>
      <c r="L109" s="6"/>
      <c r="M109" s="6"/>
      <c r="N109" s="6"/>
      <c r="O109" s="6"/>
      <c r="P109" s="6"/>
      <c r="Q109" s="6"/>
      <c r="R109" s="6"/>
      <c r="S109" s="6"/>
      <c r="T109" s="6"/>
      <c r="U109" s="6"/>
      <c r="V109" s="6"/>
      <c r="W109" s="6"/>
      <c r="X109" s="6"/>
      <c r="Y109" s="6"/>
    </row>
    <row r="110" ht="15.75" customHeight="1">
      <c r="A110" s="6"/>
      <c r="B110" s="6"/>
      <c r="C110" s="23"/>
      <c r="D110" s="23"/>
      <c r="E110" s="23"/>
      <c r="F110" s="6"/>
      <c r="G110" s="6"/>
      <c r="H110" s="6"/>
      <c r="I110" s="6"/>
      <c r="J110" s="6"/>
      <c r="K110" s="6"/>
      <c r="L110" s="6"/>
      <c r="M110" s="6"/>
      <c r="N110" s="6"/>
      <c r="O110" s="6"/>
      <c r="P110" s="6"/>
      <c r="Q110" s="6"/>
      <c r="R110" s="6"/>
      <c r="S110" s="6"/>
      <c r="T110" s="6"/>
      <c r="U110" s="6"/>
      <c r="V110" s="6"/>
      <c r="W110" s="6"/>
      <c r="X110" s="6"/>
      <c r="Y110" s="6"/>
    </row>
    <row r="111" ht="15.75" customHeight="1">
      <c r="A111" s="6"/>
      <c r="B111" s="6"/>
      <c r="C111" s="23"/>
      <c r="D111" s="23"/>
      <c r="E111" s="23"/>
      <c r="F111" s="6"/>
      <c r="G111" s="6"/>
      <c r="H111" s="6"/>
      <c r="I111" s="6"/>
      <c r="J111" s="6"/>
      <c r="K111" s="6"/>
      <c r="L111" s="6"/>
      <c r="M111" s="6"/>
      <c r="N111" s="6"/>
      <c r="O111" s="6"/>
      <c r="P111" s="6"/>
      <c r="Q111" s="6"/>
      <c r="R111" s="6"/>
      <c r="S111" s="6"/>
      <c r="T111" s="6"/>
      <c r="U111" s="6"/>
      <c r="V111" s="6"/>
      <c r="W111" s="6"/>
      <c r="X111" s="6"/>
      <c r="Y111" s="6"/>
    </row>
    <row r="112" ht="15.75" customHeight="1">
      <c r="A112" s="6"/>
      <c r="B112" s="6"/>
      <c r="C112" s="23"/>
      <c r="D112" s="23"/>
      <c r="E112" s="23"/>
      <c r="F112" s="6"/>
      <c r="G112" s="6"/>
      <c r="H112" s="6"/>
      <c r="I112" s="6"/>
      <c r="J112" s="6"/>
      <c r="K112" s="6"/>
      <c r="L112" s="6"/>
      <c r="M112" s="6"/>
      <c r="N112" s="6"/>
      <c r="O112" s="6"/>
      <c r="P112" s="6"/>
      <c r="Q112" s="6"/>
      <c r="R112" s="6"/>
      <c r="S112" s="6"/>
      <c r="T112" s="6"/>
      <c r="U112" s="6"/>
      <c r="V112" s="6"/>
      <c r="W112" s="6"/>
      <c r="X112" s="6"/>
      <c r="Y112" s="6"/>
    </row>
    <row r="113" ht="15.75" customHeight="1">
      <c r="A113" s="6"/>
      <c r="B113" s="6"/>
      <c r="C113" s="23"/>
      <c r="D113" s="23"/>
      <c r="E113" s="23"/>
      <c r="F113" s="6"/>
      <c r="G113" s="6"/>
      <c r="H113" s="6"/>
      <c r="I113" s="6"/>
      <c r="J113" s="6"/>
      <c r="K113" s="6"/>
      <c r="L113" s="6"/>
      <c r="M113" s="6"/>
      <c r="N113" s="6"/>
      <c r="O113" s="6"/>
      <c r="P113" s="6"/>
      <c r="Q113" s="6"/>
      <c r="R113" s="6"/>
      <c r="S113" s="6"/>
      <c r="T113" s="6"/>
      <c r="U113" s="6"/>
      <c r="V113" s="6"/>
      <c r="W113" s="6"/>
      <c r="X113" s="6"/>
      <c r="Y113" s="6"/>
    </row>
    <row r="114" ht="15.75" customHeight="1">
      <c r="A114" s="6"/>
      <c r="B114" s="6"/>
      <c r="C114" s="23"/>
      <c r="D114" s="23"/>
      <c r="E114" s="23"/>
      <c r="F114" s="6"/>
      <c r="G114" s="6"/>
      <c r="H114" s="6"/>
      <c r="I114" s="6"/>
      <c r="J114" s="6"/>
      <c r="K114" s="6"/>
      <c r="L114" s="6"/>
      <c r="M114" s="6"/>
      <c r="N114" s="6"/>
      <c r="O114" s="6"/>
      <c r="P114" s="6"/>
      <c r="Q114" s="6"/>
      <c r="R114" s="6"/>
      <c r="S114" s="6"/>
      <c r="T114" s="6"/>
      <c r="U114" s="6"/>
      <c r="V114" s="6"/>
      <c r="W114" s="6"/>
      <c r="X114" s="6"/>
      <c r="Y114" s="6"/>
    </row>
    <row r="115" ht="15.75" customHeight="1">
      <c r="A115" s="6"/>
      <c r="B115" s="6"/>
      <c r="C115" s="23"/>
      <c r="D115" s="23"/>
      <c r="E115" s="23"/>
      <c r="F115" s="6"/>
      <c r="G115" s="6"/>
      <c r="H115" s="6"/>
      <c r="I115" s="6"/>
      <c r="J115" s="6"/>
      <c r="K115" s="6"/>
      <c r="L115" s="6"/>
      <c r="M115" s="6"/>
      <c r="N115" s="6"/>
      <c r="O115" s="6"/>
      <c r="P115" s="6"/>
      <c r="Q115" s="6"/>
      <c r="R115" s="6"/>
      <c r="S115" s="6"/>
      <c r="T115" s="6"/>
      <c r="U115" s="6"/>
      <c r="V115" s="6"/>
      <c r="W115" s="6"/>
      <c r="X115" s="6"/>
      <c r="Y115" s="6"/>
    </row>
    <row r="116" ht="15.75" customHeight="1">
      <c r="A116" s="6"/>
      <c r="B116" s="6"/>
      <c r="C116" s="23"/>
      <c r="D116" s="23"/>
      <c r="E116" s="23"/>
      <c r="F116" s="6"/>
      <c r="G116" s="6"/>
      <c r="H116" s="6"/>
      <c r="I116" s="6"/>
      <c r="J116" s="6"/>
      <c r="K116" s="6"/>
      <c r="L116" s="6"/>
      <c r="M116" s="6"/>
      <c r="N116" s="6"/>
      <c r="O116" s="6"/>
      <c r="P116" s="6"/>
      <c r="Q116" s="6"/>
      <c r="R116" s="6"/>
      <c r="S116" s="6"/>
      <c r="T116" s="6"/>
      <c r="U116" s="6"/>
      <c r="V116" s="6"/>
      <c r="W116" s="6"/>
      <c r="X116" s="6"/>
      <c r="Y116" s="6"/>
    </row>
    <row r="117" ht="15.75" customHeight="1">
      <c r="A117" s="6"/>
      <c r="B117" s="6"/>
      <c r="C117" s="23"/>
      <c r="D117" s="23"/>
      <c r="E117" s="23"/>
      <c r="F117" s="6"/>
      <c r="G117" s="6"/>
      <c r="H117" s="6"/>
      <c r="I117" s="6"/>
      <c r="J117" s="6"/>
      <c r="K117" s="6"/>
      <c r="L117" s="6"/>
      <c r="M117" s="6"/>
      <c r="N117" s="6"/>
      <c r="O117" s="6"/>
      <c r="P117" s="6"/>
      <c r="Q117" s="6"/>
      <c r="R117" s="6"/>
      <c r="S117" s="6"/>
      <c r="T117" s="6"/>
      <c r="U117" s="6"/>
      <c r="V117" s="6"/>
      <c r="W117" s="6"/>
      <c r="X117" s="6"/>
      <c r="Y117" s="6"/>
    </row>
    <row r="118" ht="15.75" customHeight="1">
      <c r="A118" s="6"/>
      <c r="B118" s="6"/>
      <c r="C118" s="23"/>
      <c r="D118" s="23"/>
      <c r="E118" s="23"/>
      <c r="F118" s="6"/>
      <c r="G118" s="6"/>
      <c r="H118" s="6"/>
      <c r="I118" s="6"/>
      <c r="J118" s="6"/>
      <c r="K118" s="6"/>
      <c r="L118" s="6"/>
      <c r="M118" s="6"/>
      <c r="N118" s="6"/>
      <c r="O118" s="6"/>
      <c r="P118" s="6"/>
      <c r="Q118" s="6"/>
      <c r="R118" s="6"/>
      <c r="S118" s="6"/>
      <c r="T118" s="6"/>
      <c r="U118" s="6"/>
      <c r="V118" s="6"/>
      <c r="W118" s="6"/>
      <c r="X118" s="6"/>
      <c r="Y118" s="6"/>
    </row>
    <row r="119" ht="15.75" customHeight="1">
      <c r="A119" s="6"/>
      <c r="B119" s="6"/>
      <c r="C119" s="23"/>
      <c r="D119" s="23"/>
      <c r="E119" s="23"/>
      <c r="F119" s="6"/>
      <c r="G119" s="6"/>
      <c r="H119" s="6"/>
      <c r="I119" s="6"/>
      <c r="J119" s="6"/>
      <c r="K119" s="6"/>
      <c r="L119" s="6"/>
      <c r="M119" s="6"/>
      <c r="N119" s="6"/>
      <c r="O119" s="6"/>
      <c r="P119" s="6"/>
      <c r="Q119" s="6"/>
      <c r="R119" s="6"/>
      <c r="S119" s="6"/>
      <c r="T119" s="6"/>
      <c r="U119" s="6"/>
      <c r="V119" s="6"/>
      <c r="W119" s="6"/>
      <c r="X119" s="6"/>
      <c r="Y119" s="6"/>
    </row>
    <row r="120" ht="15.75" customHeight="1">
      <c r="A120" s="6"/>
      <c r="B120" s="6"/>
      <c r="C120" s="23"/>
      <c r="D120" s="23"/>
      <c r="E120" s="23"/>
      <c r="F120" s="6"/>
      <c r="G120" s="6"/>
      <c r="H120" s="6"/>
      <c r="I120" s="6"/>
      <c r="J120" s="6"/>
      <c r="K120" s="6"/>
      <c r="L120" s="6"/>
      <c r="M120" s="6"/>
      <c r="N120" s="6"/>
      <c r="O120" s="6"/>
      <c r="P120" s="6"/>
      <c r="Q120" s="6"/>
      <c r="R120" s="6"/>
      <c r="S120" s="6"/>
      <c r="T120" s="6"/>
      <c r="U120" s="6"/>
      <c r="V120" s="6"/>
      <c r="W120" s="6"/>
      <c r="X120" s="6"/>
      <c r="Y120" s="6"/>
    </row>
    <row r="121" ht="15.75" customHeight="1">
      <c r="A121" s="6"/>
      <c r="B121" s="6"/>
      <c r="C121" s="23"/>
      <c r="D121" s="23"/>
      <c r="E121" s="23"/>
      <c r="F121" s="6"/>
      <c r="G121" s="6"/>
      <c r="H121" s="6"/>
      <c r="I121" s="6"/>
      <c r="J121" s="6"/>
      <c r="K121" s="6"/>
      <c r="L121" s="6"/>
      <c r="M121" s="6"/>
      <c r="N121" s="6"/>
      <c r="O121" s="6"/>
      <c r="P121" s="6"/>
      <c r="Q121" s="6"/>
      <c r="R121" s="6"/>
      <c r="S121" s="6"/>
      <c r="T121" s="6"/>
      <c r="U121" s="6"/>
      <c r="V121" s="6"/>
      <c r="W121" s="6"/>
      <c r="X121" s="6"/>
      <c r="Y121" s="6"/>
    </row>
    <row r="122" ht="15.75" customHeight="1">
      <c r="A122" s="6"/>
      <c r="B122" s="6"/>
      <c r="C122" s="23"/>
      <c r="D122" s="23"/>
      <c r="E122" s="23"/>
      <c r="F122" s="6"/>
      <c r="G122" s="6"/>
      <c r="H122" s="6"/>
      <c r="I122" s="6"/>
      <c r="J122" s="6"/>
      <c r="K122" s="6"/>
      <c r="L122" s="6"/>
      <c r="M122" s="6"/>
      <c r="N122" s="6"/>
      <c r="O122" s="6"/>
      <c r="P122" s="6"/>
      <c r="Q122" s="6"/>
      <c r="R122" s="6"/>
      <c r="S122" s="6"/>
      <c r="T122" s="6"/>
      <c r="U122" s="6"/>
      <c r="V122" s="6"/>
      <c r="W122" s="6"/>
      <c r="X122" s="6"/>
      <c r="Y122" s="6"/>
    </row>
    <row r="123" ht="15.75" customHeight="1">
      <c r="A123" s="6"/>
      <c r="B123" s="6"/>
      <c r="C123" s="23"/>
      <c r="D123" s="23"/>
      <c r="E123" s="23"/>
      <c r="F123" s="6"/>
      <c r="G123" s="6"/>
      <c r="H123" s="6"/>
      <c r="I123" s="6"/>
      <c r="J123" s="6"/>
      <c r="K123" s="6"/>
      <c r="L123" s="6"/>
      <c r="M123" s="6"/>
      <c r="N123" s="6"/>
      <c r="O123" s="6"/>
      <c r="P123" s="6"/>
      <c r="Q123" s="6"/>
      <c r="R123" s="6"/>
      <c r="S123" s="6"/>
      <c r="T123" s="6"/>
      <c r="U123" s="6"/>
      <c r="V123" s="6"/>
      <c r="W123" s="6"/>
      <c r="X123" s="6"/>
      <c r="Y123" s="6"/>
    </row>
    <row r="124" ht="15.75" customHeight="1">
      <c r="A124" s="6"/>
      <c r="B124" s="6"/>
      <c r="C124" s="23"/>
      <c r="D124" s="23"/>
      <c r="E124" s="23"/>
      <c r="F124" s="6"/>
      <c r="G124" s="6"/>
      <c r="H124" s="6"/>
      <c r="I124" s="6"/>
      <c r="J124" s="6"/>
      <c r="K124" s="6"/>
      <c r="L124" s="6"/>
      <c r="M124" s="6"/>
      <c r="N124" s="6"/>
      <c r="O124" s="6"/>
      <c r="P124" s="6"/>
      <c r="Q124" s="6"/>
      <c r="R124" s="6"/>
      <c r="S124" s="6"/>
      <c r="T124" s="6"/>
      <c r="U124" s="6"/>
      <c r="V124" s="6"/>
      <c r="W124" s="6"/>
      <c r="X124" s="6"/>
      <c r="Y124" s="6"/>
    </row>
    <row r="125" ht="15.75" customHeight="1">
      <c r="A125" s="6"/>
      <c r="B125" s="6"/>
      <c r="C125" s="23"/>
      <c r="D125" s="23"/>
      <c r="E125" s="23"/>
      <c r="F125" s="6"/>
      <c r="G125" s="6"/>
      <c r="H125" s="6"/>
      <c r="I125" s="6"/>
      <c r="J125" s="6"/>
      <c r="K125" s="6"/>
      <c r="L125" s="6"/>
      <c r="M125" s="6"/>
      <c r="N125" s="6"/>
      <c r="O125" s="6"/>
      <c r="P125" s="6"/>
      <c r="Q125" s="6"/>
      <c r="R125" s="6"/>
      <c r="S125" s="6"/>
      <c r="T125" s="6"/>
      <c r="U125" s="6"/>
      <c r="V125" s="6"/>
      <c r="W125" s="6"/>
      <c r="X125" s="6"/>
      <c r="Y125" s="6"/>
    </row>
    <row r="126" ht="15.75" customHeight="1">
      <c r="A126" s="6"/>
      <c r="B126" s="6"/>
      <c r="C126" s="23"/>
      <c r="D126" s="23"/>
      <c r="E126" s="23"/>
      <c r="F126" s="6"/>
      <c r="G126" s="6"/>
      <c r="H126" s="6"/>
      <c r="I126" s="6"/>
      <c r="J126" s="6"/>
      <c r="K126" s="6"/>
      <c r="L126" s="6"/>
      <c r="M126" s="6"/>
      <c r="N126" s="6"/>
      <c r="O126" s="6"/>
      <c r="P126" s="6"/>
      <c r="Q126" s="6"/>
      <c r="R126" s="6"/>
      <c r="S126" s="6"/>
      <c r="T126" s="6"/>
      <c r="U126" s="6"/>
      <c r="V126" s="6"/>
      <c r="W126" s="6"/>
      <c r="X126" s="6"/>
      <c r="Y126" s="6"/>
    </row>
    <row r="127" ht="15.75" customHeight="1">
      <c r="A127" s="6"/>
      <c r="B127" s="6"/>
      <c r="C127" s="23"/>
      <c r="D127" s="23"/>
      <c r="E127" s="23"/>
      <c r="F127" s="6"/>
      <c r="G127" s="6"/>
      <c r="H127" s="6"/>
      <c r="I127" s="6"/>
      <c r="J127" s="6"/>
      <c r="K127" s="6"/>
      <c r="L127" s="6"/>
      <c r="M127" s="6"/>
      <c r="N127" s="6"/>
      <c r="O127" s="6"/>
      <c r="P127" s="6"/>
      <c r="Q127" s="6"/>
      <c r="R127" s="6"/>
      <c r="S127" s="6"/>
      <c r="T127" s="6"/>
      <c r="U127" s="6"/>
      <c r="V127" s="6"/>
      <c r="W127" s="6"/>
      <c r="X127" s="6"/>
      <c r="Y127" s="6"/>
    </row>
    <row r="128" ht="15.75" customHeight="1">
      <c r="A128" s="6"/>
      <c r="B128" s="6"/>
      <c r="C128" s="23"/>
      <c r="D128" s="23"/>
      <c r="E128" s="23"/>
      <c r="F128" s="6"/>
      <c r="G128" s="6"/>
      <c r="H128" s="6"/>
      <c r="I128" s="6"/>
      <c r="J128" s="6"/>
      <c r="K128" s="6"/>
      <c r="L128" s="6"/>
      <c r="M128" s="6"/>
      <c r="N128" s="6"/>
      <c r="O128" s="6"/>
      <c r="P128" s="6"/>
      <c r="Q128" s="6"/>
      <c r="R128" s="6"/>
      <c r="S128" s="6"/>
      <c r="T128" s="6"/>
      <c r="U128" s="6"/>
      <c r="V128" s="6"/>
      <c r="W128" s="6"/>
      <c r="X128" s="6"/>
      <c r="Y128" s="6"/>
    </row>
    <row r="129" ht="15.75" customHeight="1">
      <c r="A129" s="6"/>
      <c r="B129" s="6"/>
      <c r="C129" s="23"/>
      <c r="D129" s="23"/>
      <c r="E129" s="23"/>
      <c r="F129" s="6"/>
      <c r="G129" s="6"/>
      <c r="H129" s="6"/>
      <c r="I129" s="6"/>
      <c r="J129" s="6"/>
      <c r="K129" s="6"/>
      <c r="L129" s="6"/>
      <c r="M129" s="6"/>
      <c r="N129" s="6"/>
      <c r="O129" s="6"/>
      <c r="P129" s="6"/>
      <c r="Q129" s="6"/>
      <c r="R129" s="6"/>
      <c r="S129" s="6"/>
      <c r="T129" s="6"/>
      <c r="U129" s="6"/>
      <c r="V129" s="6"/>
      <c r="W129" s="6"/>
      <c r="X129" s="6"/>
      <c r="Y129" s="6"/>
    </row>
    <row r="130" ht="15.75" customHeight="1">
      <c r="A130" s="6"/>
      <c r="B130" s="6"/>
      <c r="C130" s="23"/>
      <c r="D130" s="23"/>
      <c r="E130" s="23"/>
      <c r="F130" s="6"/>
      <c r="G130" s="6"/>
      <c r="H130" s="6"/>
      <c r="I130" s="6"/>
      <c r="J130" s="6"/>
      <c r="K130" s="6"/>
      <c r="L130" s="6"/>
      <c r="M130" s="6"/>
      <c r="N130" s="6"/>
      <c r="O130" s="6"/>
      <c r="P130" s="6"/>
      <c r="Q130" s="6"/>
      <c r="R130" s="6"/>
      <c r="S130" s="6"/>
      <c r="T130" s="6"/>
      <c r="U130" s="6"/>
      <c r="V130" s="6"/>
      <c r="W130" s="6"/>
      <c r="X130" s="6"/>
      <c r="Y130" s="6"/>
    </row>
    <row r="131" ht="15.75" customHeight="1">
      <c r="A131" s="6"/>
      <c r="B131" s="6"/>
      <c r="C131" s="23"/>
      <c r="D131" s="23"/>
      <c r="E131" s="23"/>
      <c r="F131" s="6"/>
      <c r="G131" s="6"/>
      <c r="H131" s="6"/>
      <c r="I131" s="6"/>
      <c r="J131" s="6"/>
      <c r="K131" s="6"/>
      <c r="L131" s="6"/>
      <c r="M131" s="6"/>
      <c r="N131" s="6"/>
      <c r="O131" s="6"/>
      <c r="P131" s="6"/>
      <c r="Q131" s="6"/>
      <c r="R131" s="6"/>
      <c r="S131" s="6"/>
      <c r="T131" s="6"/>
      <c r="U131" s="6"/>
      <c r="V131" s="6"/>
      <c r="W131" s="6"/>
      <c r="X131" s="6"/>
      <c r="Y131" s="6"/>
    </row>
    <row r="132" ht="15.75" customHeight="1">
      <c r="A132" s="6"/>
      <c r="B132" s="6"/>
      <c r="C132" s="23"/>
      <c r="D132" s="23"/>
      <c r="E132" s="23"/>
      <c r="F132" s="6"/>
      <c r="G132" s="6"/>
      <c r="H132" s="6"/>
      <c r="I132" s="6"/>
      <c r="J132" s="6"/>
      <c r="K132" s="6"/>
      <c r="L132" s="6"/>
      <c r="M132" s="6"/>
      <c r="N132" s="6"/>
      <c r="O132" s="6"/>
      <c r="P132" s="6"/>
      <c r="Q132" s="6"/>
      <c r="R132" s="6"/>
      <c r="S132" s="6"/>
      <c r="T132" s="6"/>
      <c r="U132" s="6"/>
      <c r="V132" s="6"/>
      <c r="W132" s="6"/>
      <c r="X132" s="6"/>
      <c r="Y132" s="6"/>
    </row>
    <row r="133" ht="15.75" customHeight="1">
      <c r="A133" s="6"/>
      <c r="B133" s="6"/>
      <c r="C133" s="23"/>
      <c r="D133" s="23"/>
      <c r="E133" s="23"/>
      <c r="F133" s="6"/>
      <c r="G133" s="6"/>
      <c r="H133" s="6"/>
      <c r="I133" s="6"/>
      <c r="J133" s="6"/>
      <c r="K133" s="6"/>
      <c r="L133" s="6"/>
      <c r="M133" s="6"/>
      <c r="N133" s="6"/>
      <c r="O133" s="6"/>
      <c r="P133" s="6"/>
      <c r="Q133" s="6"/>
      <c r="R133" s="6"/>
      <c r="S133" s="6"/>
      <c r="T133" s="6"/>
      <c r="U133" s="6"/>
      <c r="V133" s="6"/>
      <c r="W133" s="6"/>
      <c r="X133" s="6"/>
      <c r="Y133" s="6"/>
    </row>
    <row r="134" ht="15.75" customHeight="1">
      <c r="A134" s="6"/>
      <c r="B134" s="6"/>
      <c r="C134" s="23"/>
      <c r="D134" s="23"/>
      <c r="E134" s="23"/>
      <c r="F134" s="6"/>
      <c r="G134" s="6"/>
      <c r="H134" s="6"/>
      <c r="I134" s="6"/>
      <c r="J134" s="6"/>
      <c r="K134" s="6"/>
      <c r="L134" s="6"/>
      <c r="M134" s="6"/>
      <c r="N134" s="6"/>
      <c r="O134" s="6"/>
      <c r="P134" s="6"/>
      <c r="Q134" s="6"/>
      <c r="R134" s="6"/>
      <c r="S134" s="6"/>
      <c r="T134" s="6"/>
      <c r="U134" s="6"/>
      <c r="V134" s="6"/>
      <c r="W134" s="6"/>
      <c r="X134" s="6"/>
      <c r="Y134" s="6"/>
    </row>
    <row r="135" ht="15.75" customHeight="1">
      <c r="A135" s="6"/>
      <c r="B135" s="6"/>
      <c r="C135" s="23"/>
      <c r="D135" s="23"/>
      <c r="E135" s="23"/>
      <c r="F135" s="6"/>
      <c r="G135" s="6"/>
      <c r="H135" s="6"/>
      <c r="I135" s="6"/>
      <c r="J135" s="6"/>
      <c r="K135" s="6"/>
      <c r="L135" s="6"/>
      <c r="M135" s="6"/>
      <c r="N135" s="6"/>
      <c r="O135" s="6"/>
      <c r="P135" s="6"/>
      <c r="Q135" s="6"/>
      <c r="R135" s="6"/>
      <c r="S135" s="6"/>
      <c r="T135" s="6"/>
      <c r="U135" s="6"/>
      <c r="V135" s="6"/>
      <c r="W135" s="6"/>
      <c r="X135" s="6"/>
      <c r="Y135" s="6"/>
    </row>
    <row r="136" ht="15.75" customHeight="1">
      <c r="A136" s="6"/>
      <c r="B136" s="6"/>
      <c r="C136" s="23"/>
      <c r="D136" s="23"/>
      <c r="E136" s="23"/>
      <c r="F136" s="6"/>
      <c r="G136" s="6"/>
      <c r="H136" s="6"/>
      <c r="I136" s="6"/>
      <c r="J136" s="6"/>
      <c r="K136" s="6"/>
      <c r="L136" s="6"/>
      <c r="M136" s="6"/>
      <c r="N136" s="6"/>
      <c r="O136" s="6"/>
      <c r="P136" s="6"/>
      <c r="Q136" s="6"/>
      <c r="R136" s="6"/>
      <c r="S136" s="6"/>
      <c r="T136" s="6"/>
      <c r="U136" s="6"/>
      <c r="V136" s="6"/>
      <c r="W136" s="6"/>
      <c r="X136" s="6"/>
      <c r="Y136" s="6"/>
    </row>
    <row r="137" ht="15.75" customHeight="1">
      <c r="A137" s="6"/>
      <c r="B137" s="6"/>
      <c r="C137" s="23"/>
      <c r="D137" s="23"/>
      <c r="E137" s="23"/>
      <c r="F137" s="6"/>
      <c r="G137" s="6"/>
      <c r="H137" s="6"/>
      <c r="I137" s="6"/>
      <c r="J137" s="6"/>
      <c r="K137" s="6"/>
      <c r="L137" s="6"/>
      <c r="M137" s="6"/>
      <c r="N137" s="6"/>
      <c r="O137" s="6"/>
      <c r="P137" s="6"/>
      <c r="Q137" s="6"/>
      <c r="R137" s="6"/>
      <c r="S137" s="6"/>
      <c r="T137" s="6"/>
      <c r="U137" s="6"/>
      <c r="V137" s="6"/>
      <c r="W137" s="6"/>
      <c r="X137" s="6"/>
      <c r="Y137" s="6"/>
    </row>
    <row r="138" ht="15.75" customHeight="1">
      <c r="A138" s="6"/>
      <c r="B138" s="6"/>
      <c r="C138" s="23"/>
      <c r="D138" s="23"/>
      <c r="E138" s="23"/>
      <c r="F138" s="6"/>
      <c r="G138" s="6"/>
      <c r="H138" s="6"/>
      <c r="I138" s="6"/>
      <c r="J138" s="6"/>
      <c r="K138" s="6"/>
      <c r="L138" s="6"/>
      <c r="M138" s="6"/>
      <c r="N138" s="6"/>
      <c r="O138" s="6"/>
      <c r="P138" s="6"/>
      <c r="Q138" s="6"/>
      <c r="R138" s="6"/>
      <c r="S138" s="6"/>
      <c r="T138" s="6"/>
      <c r="U138" s="6"/>
      <c r="V138" s="6"/>
      <c r="W138" s="6"/>
      <c r="X138" s="6"/>
      <c r="Y138" s="6"/>
    </row>
    <row r="139" ht="15.75" customHeight="1">
      <c r="A139" s="6"/>
      <c r="B139" s="6"/>
      <c r="C139" s="23"/>
      <c r="D139" s="23"/>
      <c r="E139" s="23"/>
      <c r="F139" s="6"/>
      <c r="G139" s="6"/>
      <c r="H139" s="6"/>
      <c r="I139" s="6"/>
      <c r="J139" s="6"/>
      <c r="K139" s="6"/>
      <c r="L139" s="6"/>
      <c r="M139" s="6"/>
      <c r="N139" s="6"/>
      <c r="O139" s="6"/>
      <c r="P139" s="6"/>
      <c r="Q139" s="6"/>
      <c r="R139" s="6"/>
      <c r="S139" s="6"/>
      <c r="T139" s="6"/>
      <c r="U139" s="6"/>
      <c r="V139" s="6"/>
      <c r="W139" s="6"/>
      <c r="X139" s="6"/>
      <c r="Y139" s="6"/>
    </row>
    <row r="140" ht="15.75" customHeight="1">
      <c r="A140" s="6"/>
      <c r="B140" s="6"/>
      <c r="C140" s="23"/>
      <c r="D140" s="23"/>
      <c r="E140" s="23"/>
      <c r="F140" s="6"/>
      <c r="G140" s="6"/>
      <c r="H140" s="6"/>
      <c r="I140" s="6"/>
      <c r="J140" s="6"/>
      <c r="K140" s="6"/>
      <c r="L140" s="6"/>
      <c r="M140" s="6"/>
      <c r="N140" s="6"/>
      <c r="O140" s="6"/>
      <c r="P140" s="6"/>
      <c r="Q140" s="6"/>
      <c r="R140" s="6"/>
      <c r="S140" s="6"/>
      <c r="T140" s="6"/>
      <c r="U140" s="6"/>
      <c r="V140" s="6"/>
      <c r="W140" s="6"/>
      <c r="X140" s="6"/>
      <c r="Y140" s="6"/>
    </row>
    <row r="141" ht="15.75" customHeight="1">
      <c r="A141" s="6"/>
      <c r="B141" s="6"/>
      <c r="C141" s="23"/>
      <c r="D141" s="23"/>
      <c r="E141" s="23"/>
      <c r="F141" s="6"/>
      <c r="G141" s="6"/>
      <c r="H141" s="6"/>
      <c r="I141" s="6"/>
      <c r="J141" s="6"/>
      <c r="K141" s="6"/>
      <c r="L141" s="6"/>
      <c r="M141" s="6"/>
      <c r="N141" s="6"/>
      <c r="O141" s="6"/>
      <c r="P141" s="6"/>
      <c r="Q141" s="6"/>
      <c r="R141" s="6"/>
      <c r="S141" s="6"/>
      <c r="T141" s="6"/>
      <c r="U141" s="6"/>
      <c r="V141" s="6"/>
      <c r="W141" s="6"/>
      <c r="X141" s="6"/>
      <c r="Y141" s="6"/>
    </row>
    <row r="142" ht="15.75" customHeight="1">
      <c r="A142" s="6"/>
      <c r="B142" s="6"/>
      <c r="C142" s="23"/>
      <c r="D142" s="23"/>
      <c r="E142" s="23"/>
      <c r="F142" s="6"/>
      <c r="G142" s="6"/>
      <c r="H142" s="6"/>
      <c r="I142" s="6"/>
      <c r="J142" s="6"/>
      <c r="K142" s="6"/>
      <c r="L142" s="6"/>
      <c r="M142" s="6"/>
      <c r="N142" s="6"/>
      <c r="O142" s="6"/>
      <c r="P142" s="6"/>
      <c r="Q142" s="6"/>
      <c r="R142" s="6"/>
      <c r="S142" s="6"/>
      <c r="T142" s="6"/>
      <c r="U142" s="6"/>
      <c r="V142" s="6"/>
      <c r="W142" s="6"/>
      <c r="X142" s="6"/>
      <c r="Y142" s="6"/>
    </row>
    <row r="143" ht="15.75" customHeight="1">
      <c r="A143" s="6"/>
      <c r="B143" s="6"/>
      <c r="C143" s="23"/>
      <c r="D143" s="23"/>
      <c r="E143" s="23"/>
      <c r="F143" s="6"/>
      <c r="G143" s="6"/>
      <c r="H143" s="6"/>
      <c r="I143" s="6"/>
      <c r="J143" s="6"/>
      <c r="K143" s="6"/>
      <c r="L143" s="6"/>
      <c r="M143" s="6"/>
      <c r="N143" s="6"/>
      <c r="O143" s="6"/>
      <c r="P143" s="6"/>
      <c r="Q143" s="6"/>
      <c r="R143" s="6"/>
      <c r="S143" s="6"/>
      <c r="T143" s="6"/>
      <c r="U143" s="6"/>
      <c r="V143" s="6"/>
      <c r="W143" s="6"/>
      <c r="X143" s="6"/>
      <c r="Y143" s="6"/>
    </row>
    <row r="144" ht="15.75" customHeight="1">
      <c r="A144" s="6"/>
      <c r="B144" s="6"/>
      <c r="C144" s="23"/>
      <c r="D144" s="23"/>
      <c r="E144" s="23"/>
      <c r="F144" s="6"/>
      <c r="G144" s="6"/>
      <c r="H144" s="6"/>
      <c r="I144" s="6"/>
      <c r="J144" s="6"/>
      <c r="K144" s="6"/>
      <c r="L144" s="6"/>
      <c r="M144" s="6"/>
      <c r="N144" s="6"/>
      <c r="O144" s="6"/>
      <c r="P144" s="6"/>
      <c r="Q144" s="6"/>
      <c r="R144" s="6"/>
      <c r="S144" s="6"/>
      <c r="T144" s="6"/>
      <c r="U144" s="6"/>
      <c r="V144" s="6"/>
      <c r="W144" s="6"/>
      <c r="X144" s="6"/>
      <c r="Y144" s="6"/>
    </row>
    <row r="145" ht="15.75" customHeight="1">
      <c r="A145" s="6"/>
      <c r="B145" s="6"/>
      <c r="C145" s="23"/>
      <c r="D145" s="23"/>
      <c r="E145" s="23"/>
      <c r="F145" s="6"/>
      <c r="G145" s="6"/>
      <c r="H145" s="6"/>
      <c r="I145" s="6"/>
      <c r="J145" s="6"/>
      <c r="K145" s="6"/>
      <c r="L145" s="6"/>
      <c r="M145" s="6"/>
      <c r="N145" s="6"/>
      <c r="O145" s="6"/>
      <c r="P145" s="6"/>
      <c r="Q145" s="6"/>
      <c r="R145" s="6"/>
      <c r="S145" s="6"/>
      <c r="T145" s="6"/>
      <c r="U145" s="6"/>
      <c r="V145" s="6"/>
      <c r="W145" s="6"/>
      <c r="X145" s="6"/>
      <c r="Y145" s="6"/>
    </row>
    <row r="146" ht="15.75" customHeight="1">
      <c r="A146" s="6"/>
      <c r="B146" s="6"/>
      <c r="C146" s="23"/>
      <c r="D146" s="23"/>
      <c r="E146" s="23"/>
      <c r="F146" s="6"/>
      <c r="G146" s="6"/>
      <c r="H146" s="6"/>
      <c r="I146" s="6"/>
      <c r="J146" s="6"/>
      <c r="K146" s="6"/>
      <c r="L146" s="6"/>
      <c r="M146" s="6"/>
      <c r="N146" s="6"/>
      <c r="O146" s="6"/>
      <c r="P146" s="6"/>
      <c r="Q146" s="6"/>
      <c r="R146" s="6"/>
      <c r="S146" s="6"/>
      <c r="T146" s="6"/>
      <c r="U146" s="6"/>
      <c r="V146" s="6"/>
      <c r="W146" s="6"/>
      <c r="X146" s="6"/>
      <c r="Y146" s="6"/>
    </row>
    <row r="147" ht="15.75" customHeight="1">
      <c r="A147" s="6"/>
      <c r="B147" s="6"/>
      <c r="C147" s="23"/>
      <c r="D147" s="23"/>
      <c r="E147" s="23"/>
      <c r="F147" s="6"/>
      <c r="G147" s="6"/>
      <c r="H147" s="6"/>
      <c r="I147" s="6"/>
      <c r="J147" s="6"/>
      <c r="K147" s="6"/>
      <c r="L147" s="6"/>
      <c r="M147" s="6"/>
      <c r="N147" s="6"/>
      <c r="O147" s="6"/>
      <c r="P147" s="6"/>
      <c r="Q147" s="6"/>
      <c r="R147" s="6"/>
      <c r="S147" s="6"/>
      <c r="T147" s="6"/>
      <c r="U147" s="6"/>
      <c r="V147" s="6"/>
      <c r="W147" s="6"/>
      <c r="X147" s="6"/>
      <c r="Y147" s="6"/>
    </row>
    <row r="148" ht="15.75" customHeight="1">
      <c r="A148" s="6"/>
      <c r="B148" s="6"/>
      <c r="C148" s="23"/>
      <c r="D148" s="23"/>
      <c r="E148" s="23"/>
      <c r="F148" s="6"/>
      <c r="G148" s="6"/>
      <c r="H148" s="6"/>
      <c r="I148" s="6"/>
      <c r="J148" s="6"/>
      <c r="K148" s="6"/>
      <c r="L148" s="6"/>
      <c r="M148" s="6"/>
      <c r="N148" s="6"/>
      <c r="O148" s="6"/>
      <c r="P148" s="6"/>
      <c r="Q148" s="6"/>
      <c r="R148" s="6"/>
      <c r="S148" s="6"/>
      <c r="T148" s="6"/>
      <c r="U148" s="6"/>
      <c r="V148" s="6"/>
      <c r="W148" s="6"/>
      <c r="X148" s="6"/>
      <c r="Y148" s="6"/>
    </row>
    <row r="149" ht="15.75" customHeight="1">
      <c r="A149" s="6"/>
      <c r="B149" s="6"/>
      <c r="C149" s="23"/>
      <c r="D149" s="23"/>
      <c r="E149" s="23"/>
      <c r="F149" s="6"/>
      <c r="G149" s="6"/>
      <c r="H149" s="6"/>
      <c r="I149" s="6"/>
      <c r="J149" s="6"/>
      <c r="K149" s="6"/>
      <c r="L149" s="6"/>
      <c r="M149" s="6"/>
      <c r="N149" s="6"/>
      <c r="O149" s="6"/>
      <c r="P149" s="6"/>
      <c r="Q149" s="6"/>
      <c r="R149" s="6"/>
      <c r="S149" s="6"/>
      <c r="T149" s="6"/>
      <c r="U149" s="6"/>
      <c r="V149" s="6"/>
      <c r="W149" s="6"/>
      <c r="X149" s="6"/>
      <c r="Y149" s="6"/>
    </row>
    <row r="150" ht="15.75" customHeight="1">
      <c r="A150" s="6"/>
      <c r="B150" s="6"/>
      <c r="C150" s="23"/>
      <c r="D150" s="23"/>
      <c r="E150" s="23"/>
      <c r="F150" s="6"/>
      <c r="G150" s="6"/>
      <c r="H150" s="6"/>
      <c r="I150" s="6"/>
      <c r="J150" s="6"/>
      <c r="K150" s="6"/>
      <c r="L150" s="6"/>
      <c r="M150" s="6"/>
      <c r="N150" s="6"/>
      <c r="O150" s="6"/>
      <c r="P150" s="6"/>
      <c r="Q150" s="6"/>
      <c r="R150" s="6"/>
      <c r="S150" s="6"/>
      <c r="T150" s="6"/>
      <c r="U150" s="6"/>
      <c r="V150" s="6"/>
      <c r="W150" s="6"/>
      <c r="X150" s="6"/>
      <c r="Y150" s="6"/>
    </row>
    <row r="151" ht="15.75" customHeight="1">
      <c r="A151" s="6"/>
      <c r="B151" s="6"/>
      <c r="C151" s="23"/>
      <c r="D151" s="23"/>
      <c r="E151" s="23"/>
      <c r="F151" s="6"/>
      <c r="G151" s="6"/>
      <c r="H151" s="6"/>
      <c r="I151" s="6"/>
      <c r="J151" s="6"/>
      <c r="K151" s="6"/>
      <c r="L151" s="6"/>
      <c r="M151" s="6"/>
      <c r="N151" s="6"/>
      <c r="O151" s="6"/>
      <c r="P151" s="6"/>
      <c r="Q151" s="6"/>
      <c r="R151" s="6"/>
      <c r="S151" s="6"/>
      <c r="T151" s="6"/>
      <c r="U151" s="6"/>
      <c r="V151" s="6"/>
      <c r="W151" s="6"/>
      <c r="X151" s="6"/>
      <c r="Y151" s="6"/>
    </row>
    <row r="152" ht="15.75" customHeight="1">
      <c r="A152" s="6"/>
      <c r="B152" s="6"/>
      <c r="C152" s="23"/>
      <c r="D152" s="23"/>
      <c r="E152" s="23"/>
      <c r="F152" s="6"/>
      <c r="G152" s="6"/>
      <c r="H152" s="6"/>
      <c r="I152" s="6"/>
      <c r="J152" s="6"/>
      <c r="K152" s="6"/>
      <c r="L152" s="6"/>
      <c r="M152" s="6"/>
      <c r="N152" s="6"/>
      <c r="O152" s="6"/>
      <c r="P152" s="6"/>
      <c r="Q152" s="6"/>
      <c r="R152" s="6"/>
      <c r="S152" s="6"/>
      <c r="T152" s="6"/>
      <c r="U152" s="6"/>
      <c r="V152" s="6"/>
      <c r="W152" s="6"/>
      <c r="X152" s="6"/>
      <c r="Y152" s="6"/>
    </row>
    <row r="153" ht="15.75" customHeight="1">
      <c r="A153" s="6"/>
      <c r="B153" s="6"/>
      <c r="C153" s="23"/>
      <c r="D153" s="23"/>
      <c r="E153" s="23"/>
      <c r="F153" s="6"/>
      <c r="G153" s="6"/>
      <c r="H153" s="6"/>
      <c r="I153" s="6"/>
      <c r="J153" s="6"/>
      <c r="K153" s="6"/>
      <c r="L153" s="6"/>
      <c r="M153" s="6"/>
      <c r="N153" s="6"/>
      <c r="O153" s="6"/>
      <c r="P153" s="6"/>
      <c r="Q153" s="6"/>
      <c r="R153" s="6"/>
      <c r="S153" s="6"/>
      <c r="T153" s="6"/>
      <c r="U153" s="6"/>
      <c r="V153" s="6"/>
      <c r="W153" s="6"/>
      <c r="X153" s="6"/>
      <c r="Y153" s="6"/>
    </row>
    <row r="154" ht="15.75" customHeight="1">
      <c r="A154" s="6"/>
      <c r="B154" s="6"/>
      <c r="C154" s="23"/>
      <c r="D154" s="23"/>
      <c r="E154" s="23"/>
      <c r="F154" s="6"/>
      <c r="G154" s="6"/>
      <c r="H154" s="6"/>
      <c r="I154" s="6"/>
      <c r="J154" s="6"/>
      <c r="K154" s="6"/>
      <c r="L154" s="6"/>
      <c r="M154" s="6"/>
      <c r="N154" s="6"/>
      <c r="O154" s="6"/>
      <c r="P154" s="6"/>
      <c r="Q154" s="6"/>
      <c r="R154" s="6"/>
      <c r="S154" s="6"/>
      <c r="T154" s="6"/>
      <c r="U154" s="6"/>
      <c r="V154" s="6"/>
      <c r="W154" s="6"/>
      <c r="X154" s="6"/>
      <c r="Y154" s="6"/>
    </row>
    <row r="155" ht="15.75" customHeight="1">
      <c r="A155" s="6"/>
      <c r="B155" s="6"/>
      <c r="C155" s="23"/>
      <c r="D155" s="23"/>
      <c r="E155" s="23"/>
      <c r="F155" s="6"/>
      <c r="G155" s="6"/>
      <c r="H155" s="6"/>
      <c r="I155" s="6"/>
      <c r="J155" s="6"/>
      <c r="K155" s="6"/>
      <c r="L155" s="6"/>
      <c r="M155" s="6"/>
      <c r="N155" s="6"/>
      <c r="O155" s="6"/>
      <c r="P155" s="6"/>
      <c r="Q155" s="6"/>
      <c r="R155" s="6"/>
      <c r="S155" s="6"/>
      <c r="T155" s="6"/>
      <c r="U155" s="6"/>
      <c r="V155" s="6"/>
      <c r="W155" s="6"/>
      <c r="X155" s="6"/>
      <c r="Y155" s="6"/>
    </row>
    <row r="156" ht="15.75" customHeight="1">
      <c r="A156" s="6"/>
      <c r="B156" s="6"/>
      <c r="C156" s="23"/>
      <c r="D156" s="23"/>
      <c r="E156" s="23"/>
      <c r="F156" s="6"/>
      <c r="G156" s="6"/>
      <c r="H156" s="6"/>
      <c r="I156" s="6"/>
      <c r="J156" s="6"/>
      <c r="K156" s="6"/>
      <c r="L156" s="6"/>
      <c r="M156" s="6"/>
      <c r="N156" s="6"/>
      <c r="O156" s="6"/>
      <c r="P156" s="6"/>
      <c r="Q156" s="6"/>
      <c r="R156" s="6"/>
      <c r="S156" s="6"/>
      <c r="T156" s="6"/>
      <c r="U156" s="6"/>
      <c r="V156" s="6"/>
      <c r="W156" s="6"/>
      <c r="X156" s="6"/>
      <c r="Y156" s="6"/>
    </row>
    <row r="157" ht="15.75" customHeight="1">
      <c r="A157" s="6"/>
      <c r="B157" s="6"/>
      <c r="C157" s="23"/>
      <c r="D157" s="23"/>
      <c r="E157" s="23"/>
      <c r="F157" s="6"/>
      <c r="G157" s="6"/>
      <c r="H157" s="6"/>
      <c r="I157" s="6"/>
      <c r="J157" s="6"/>
      <c r="K157" s="6"/>
      <c r="L157" s="6"/>
      <c r="M157" s="6"/>
      <c r="N157" s="6"/>
      <c r="O157" s="6"/>
      <c r="P157" s="6"/>
      <c r="Q157" s="6"/>
      <c r="R157" s="6"/>
      <c r="S157" s="6"/>
      <c r="T157" s="6"/>
      <c r="U157" s="6"/>
      <c r="V157" s="6"/>
      <c r="W157" s="6"/>
      <c r="X157" s="6"/>
      <c r="Y157" s="6"/>
    </row>
    <row r="158" ht="15.75" customHeight="1">
      <c r="A158" s="6"/>
      <c r="B158" s="6"/>
      <c r="C158" s="23"/>
      <c r="D158" s="23"/>
      <c r="E158" s="23"/>
      <c r="F158" s="6"/>
      <c r="G158" s="6"/>
      <c r="H158" s="6"/>
      <c r="I158" s="6"/>
      <c r="J158" s="6"/>
      <c r="K158" s="6"/>
      <c r="L158" s="6"/>
      <c r="M158" s="6"/>
      <c r="N158" s="6"/>
      <c r="O158" s="6"/>
      <c r="P158" s="6"/>
      <c r="Q158" s="6"/>
      <c r="R158" s="6"/>
      <c r="S158" s="6"/>
      <c r="T158" s="6"/>
      <c r="U158" s="6"/>
      <c r="V158" s="6"/>
      <c r="W158" s="6"/>
      <c r="X158" s="6"/>
      <c r="Y158" s="6"/>
    </row>
    <row r="159" ht="15.75" customHeight="1">
      <c r="A159" s="6"/>
      <c r="B159" s="6"/>
      <c r="C159" s="23"/>
      <c r="D159" s="23"/>
      <c r="E159" s="23"/>
      <c r="F159" s="6"/>
      <c r="G159" s="6"/>
      <c r="H159" s="6"/>
      <c r="I159" s="6"/>
      <c r="J159" s="6"/>
      <c r="K159" s="6"/>
      <c r="L159" s="6"/>
      <c r="M159" s="6"/>
      <c r="N159" s="6"/>
      <c r="O159" s="6"/>
      <c r="P159" s="6"/>
      <c r="Q159" s="6"/>
      <c r="R159" s="6"/>
      <c r="S159" s="6"/>
      <c r="T159" s="6"/>
      <c r="U159" s="6"/>
      <c r="V159" s="6"/>
      <c r="W159" s="6"/>
      <c r="X159" s="6"/>
      <c r="Y159" s="6"/>
    </row>
    <row r="160" ht="15.75" customHeight="1">
      <c r="A160" s="6"/>
      <c r="B160" s="6"/>
      <c r="C160" s="23"/>
      <c r="D160" s="23"/>
      <c r="E160" s="23"/>
      <c r="F160" s="6"/>
      <c r="G160" s="6"/>
      <c r="H160" s="6"/>
      <c r="I160" s="6"/>
      <c r="J160" s="6"/>
      <c r="K160" s="6"/>
      <c r="L160" s="6"/>
      <c r="M160" s="6"/>
      <c r="N160" s="6"/>
      <c r="O160" s="6"/>
      <c r="P160" s="6"/>
      <c r="Q160" s="6"/>
      <c r="R160" s="6"/>
      <c r="S160" s="6"/>
      <c r="T160" s="6"/>
      <c r="U160" s="6"/>
      <c r="V160" s="6"/>
      <c r="W160" s="6"/>
      <c r="X160" s="6"/>
      <c r="Y160" s="6"/>
    </row>
    <row r="161" ht="15.75" customHeight="1">
      <c r="A161" s="6"/>
      <c r="B161" s="6"/>
      <c r="C161" s="23"/>
      <c r="D161" s="23"/>
      <c r="E161" s="23"/>
      <c r="F161" s="6"/>
      <c r="G161" s="6"/>
      <c r="H161" s="6"/>
      <c r="I161" s="6"/>
      <c r="J161" s="6"/>
      <c r="K161" s="6"/>
      <c r="L161" s="6"/>
      <c r="M161" s="6"/>
      <c r="N161" s="6"/>
      <c r="O161" s="6"/>
      <c r="P161" s="6"/>
      <c r="Q161" s="6"/>
      <c r="R161" s="6"/>
      <c r="S161" s="6"/>
      <c r="T161" s="6"/>
      <c r="U161" s="6"/>
      <c r="V161" s="6"/>
      <c r="W161" s="6"/>
      <c r="X161" s="6"/>
      <c r="Y161" s="6"/>
    </row>
    <row r="162" ht="15.75" customHeight="1">
      <c r="A162" s="6"/>
      <c r="B162" s="6"/>
      <c r="C162" s="23"/>
      <c r="D162" s="23"/>
      <c r="E162" s="23"/>
      <c r="F162" s="6"/>
      <c r="G162" s="6"/>
      <c r="H162" s="6"/>
      <c r="I162" s="6"/>
      <c r="J162" s="6"/>
      <c r="K162" s="6"/>
      <c r="L162" s="6"/>
      <c r="M162" s="6"/>
      <c r="N162" s="6"/>
      <c r="O162" s="6"/>
      <c r="P162" s="6"/>
      <c r="Q162" s="6"/>
      <c r="R162" s="6"/>
      <c r="S162" s="6"/>
      <c r="T162" s="6"/>
      <c r="U162" s="6"/>
      <c r="V162" s="6"/>
      <c r="W162" s="6"/>
      <c r="X162" s="6"/>
      <c r="Y162" s="6"/>
    </row>
    <row r="163" ht="15.75" customHeight="1">
      <c r="A163" s="6"/>
      <c r="B163" s="6"/>
      <c r="C163" s="23"/>
      <c r="D163" s="23"/>
      <c r="E163" s="23"/>
      <c r="F163" s="6"/>
      <c r="G163" s="6"/>
      <c r="H163" s="6"/>
      <c r="I163" s="6"/>
      <c r="J163" s="6"/>
      <c r="K163" s="6"/>
      <c r="L163" s="6"/>
      <c r="M163" s="6"/>
      <c r="N163" s="6"/>
      <c r="O163" s="6"/>
      <c r="P163" s="6"/>
      <c r="Q163" s="6"/>
      <c r="R163" s="6"/>
      <c r="S163" s="6"/>
      <c r="T163" s="6"/>
      <c r="U163" s="6"/>
      <c r="V163" s="6"/>
      <c r="W163" s="6"/>
      <c r="X163" s="6"/>
      <c r="Y163" s="6"/>
    </row>
    <row r="164" ht="15.75" customHeight="1">
      <c r="A164" s="6"/>
      <c r="B164" s="6"/>
      <c r="C164" s="23"/>
      <c r="D164" s="23"/>
      <c r="E164" s="23"/>
      <c r="F164" s="6"/>
      <c r="G164" s="6"/>
      <c r="H164" s="6"/>
      <c r="I164" s="6"/>
      <c r="J164" s="6"/>
      <c r="K164" s="6"/>
      <c r="L164" s="6"/>
      <c r="M164" s="6"/>
      <c r="N164" s="6"/>
      <c r="O164" s="6"/>
      <c r="P164" s="6"/>
      <c r="Q164" s="6"/>
      <c r="R164" s="6"/>
      <c r="S164" s="6"/>
      <c r="T164" s="6"/>
      <c r="U164" s="6"/>
      <c r="V164" s="6"/>
      <c r="W164" s="6"/>
      <c r="X164" s="6"/>
      <c r="Y164" s="6"/>
    </row>
    <row r="165" ht="15.75" customHeight="1">
      <c r="A165" s="6"/>
      <c r="B165" s="6"/>
      <c r="C165" s="23"/>
      <c r="D165" s="23"/>
      <c r="E165" s="23"/>
      <c r="F165" s="6"/>
      <c r="G165" s="6"/>
      <c r="H165" s="6"/>
      <c r="I165" s="6"/>
      <c r="J165" s="6"/>
      <c r="K165" s="6"/>
      <c r="L165" s="6"/>
      <c r="M165" s="6"/>
      <c r="N165" s="6"/>
      <c r="O165" s="6"/>
      <c r="P165" s="6"/>
      <c r="Q165" s="6"/>
      <c r="R165" s="6"/>
      <c r="S165" s="6"/>
      <c r="T165" s="6"/>
      <c r="U165" s="6"/>
      <c r="V165" s="6"/>
      <c r="W165" s="6"/>
      <c r="X165" s="6"/>
      <c r="Y165" s="6"/>
    </row>
    <row r="166" ht="15.75" customHeight="1">
      <c r="A166" s="6"/>
      <c r="B166" s="6"/>
      <c r="C166" s="23"/>
      <c r="D166" s="23"/>
      <c r="E166" s="23"/>
      <c r="F166" s="6"/>
      <c r="G166" s="6"/>
      <c r="H166" s="6"/>
      <c r="I166" s="6"/>
      <c r="J166" s="6"/>
      <c r="K166" s="6"/>
      <c r="L166" s="6"/>
      <c r="M166" s="6"/>
      <c r="N166" s="6"/>
      <c r="O166" s="6"/>
      <c r="P166" s="6"/>
      <c r="Q166" s="6"/>
      <c r="R166" s="6"/>
      <c r="S166" s="6"/>
      <c r="T166" s="6"/>
      <c r="U166" s="6"/>
      <c r="V166" s="6"/>
      <c r="W166" s="6"/>
      <c r="X166" s="6"/>
      <c r="Y166" s="6"/>
    </row>
    <row r="167" ht="15.75" customHeight="1">
      <c r="A167" s="6"/>
      <c r="B167" s="6"/>
      <c r="C167" s="23"/>
      <c r="D167" s="23"/>
      <c r="E167" s="23"/>
      <c r="F167" s="6"/>
      <c r="G167" s="6"/>
      <c r="H167" s="6"/>
      <c r="I167" s="6"/>
      <c r="J167" s="6"/>
      <c r="K167" s="6"/>
      <c r="L167" s="6"/>
      <c r="M167" s="6"/>
      <c r="N167" s="6"/>
      <c r="O167" s="6"/>
      <c r="P167" s="6"/>
      <c r="Q167" s="6"/>
      <c r="R167" s="6"/>
      <c r="S167" s="6"/>
      <c r="T167" s="6"/>
      <c r="U167" s="6"/>
      <c r="V167" s="6"/>
      <c r="W167" s="6"/>
      <c r="X167" s="6"/>
      <c r="Y167" s="6"/>
    </row>
    <row r="168" ht="15.75" customHeight="1">
      <c r="A168" s="6"/>
      <c r="B168" s="6"/>
      <c r="C168" s="23"/>
      <c r="D168" s="23"/>
      <c r="E168" s="23"/>
      <c r="F168" s="6"/>
      <c r="G168" s="6"/>
      <c r="H168" s="6"/>
      <c r="I168" s="6"/>
      <c r="J168" s="6"/>
      <c r="K168" s="6"/>
      <c r="L168" s="6"/>
      <c r="M168" s="6"/>
      <c r="N168" s="6"/>
      <c r="O168" s="6"/>
      <c r="P168" s="6"/>
      <c r="Q168" s="6"/>
      <c r="R168" s="6"/>
      <c r="S168" s="6"/>
      <c r="T168" s="6"/>
      <c r="U168" s="6"/>
      <c r="V168" s="6"/>
      <c r="W168" s="6"/>
      <c r="X168" s="6"/>
      <c r="Y168" s="6"/>
    </row>
    <row r="169" ht="15.75" customHeight="1">
      <c r="A169" s="6"/>
      <c r="B169" s="6"/>
      <c r="C169" s="23"/>
      <c r="D169" s="23"/>
      <c r="E169" s="23"/>
      <c r="F169" s="6"/>
      <c r="G169" s="6"/>
      <c r="H169" s="6"/>
      <c r="I169" s="6"/>
      <c r="J169" s="6"/>
      <c r="K169" s="6"/>
      <c r="L169" s="6"/>
      <c r="M169" s="6"/>
      <c r="N169" s="6"/>
      <c r="O169" s="6"/>
      <c r="P169" s="6"/>
      <c r="Q169" s="6"/>
      <c r="R169" s="6"/>
      <c r="S169" s="6"/>
      <c r="T169" s="6"/>
      <c r="U169" s="6"/>
      <c r="V169" s="6"/>
      <c r="W169" s="6"/>
      <c r="X169" s="6"/>
      <c r="Y169" s="6"/>
    </row>
    <row r="170" ht="15.75" customHeight="1">
      <c r="A170" s="6"/>
      <c r="B170" s="6"/>
      <c r="C170" s="23"/>
      <c r="D170" s="23"/>
      <c r="E170" s="23"/>
      <c r="F170" s="6"/>
      <c r="G170" s="6"/>
      <c r="H170" s="6"/>
      <c r="I170" s="6"/>
      <c r="J170" s="6"/>
      <c r="K170" s="6"/>
      <c r="L170" s="6"/>
      <c r="M170" s="6"/>
      <c r="N170" s="6"/>
      <c r="O170" s="6"/>
      <c r="P170" s="6"/>
      <c r="Q170" s="6"/>
      <c r="R170" s="6"/>
      <c r="S170" s="6"/>
      <c r="T170" s="6"/>
      <c r="U170" s="6"/>
      <c r="V170" s="6"/>
      <c r="W170" s="6"/>
      <c r="X170" s="6"/>
      <c r="Y170" s="6"/>
    </row>
    <row r="171" ht="15.75" customHeight="1">
      <c r="A171" s="6"/>
      <c r="B171" s="6"/>
      <c r="C171" s="23"/>
      <c r="D171" s="23"/>
      <c r="E171" s="23"/>
      <c r="F171" s="6"/>
      <c r="G171" s="6"/>
      <c r="H171" s="6"/>
      <c r="I171" s="6"/>
      <c r="J171" s="6"/>
      <c r="K171" s="6"/>
      <c r="L171" s="6"/>
      <c r="M171" s="6"/>
      <c r="N171" s="6"/>
      <c r="O171" s="6"/>
      <c r="P171" s="6"/>
      <c r="Q171" s="6"/>
      <c r="R171" s="6"/>
      <c r="S171" s="6"/>
      <c r="T171" s="6"/>
      <c r="U171" s="6"/>
      <c r="V171" s="6"/>
      <c r="W171" s="6"/>
      <c r="X171" s="6"/>
      <c r="Y171" s="6"/>
    </row>
    <row r="172" ht="15.75" customHeight="1">
      <c r="A172" s="6"/>
      <c r="B172" s="6"/>
      <c r="C172" s="23"/>
      <c r="D172" s="23"/>
      <c r="E172" s="23"/>
      <c r="F172" s="6"/>
      <c r="G172" s="6"/>
      <c r="H172" s="6"/>
      <c r="I172" s="6"/>
      <c r="J172" s="6"/>
      <c r="K172" s="6"/>
      <c r="L172" s="6"/>
      <c r="M172" s="6"/>
      <c r="N172" s="6"/>
      <c r="O172" s="6"/>
      <c r="P172" s="6"/>
      <c r="Q172" s="6"/>
      <c r="R172" s="6"/>
      <c r="S172" s="6"/>
      <c r="T172" s="6"/>
      <c r="U172" s="6"/>
      <c r="V172" s="6"/>
      <c r="W172" s="6"/>
      <c r="X172" s="6"/>
      <c r="Y172" s="6"/>
    </row>
    <row r="173" ht="15.75" customHeight="1">
      <c r="A173" s="6"/>
      <c r="B173" s="6"/>
      <c r="C173" s="23"/>
      <c r="D173" s="23"/>
      <c r="E173" s="23"/>
      <c r="F173" s="6"/>
      <c r="G173" s="6"/>
      <c r="H173" s="6"/>
      <c r="I173" s="6"/>
      <c r="J173" s="6"/>
      <c r="K173" s="6"/>
      <c r="L173" s="6"/>
      <c r="M173" s="6"/>
      <c r="N173" s="6"/>
      <c r="O173" s="6"/>
      <c r="P173" s="6"/>
      <c r="Q173" s="6"/>
      <c r="R173" s="6"/>
      <c r="S173" s="6"/>
      <c r="T173" s="6"/>
      <c r="U173" s="6"/>
      <c r="V173" s="6"/>
      <c r="W173" s="6"/>
      <c r="X173" s="6"/>
      <c r="Y173" s="6"/>
    </row>
    <row r="174" ht="15.75" customHeight="1">
      <c r="A174" s="6"/>
      <c r="B174" s="6"/>
      <c r="C174" s="23"/>
      <c r="D174" s="23"/>
      <c r="E174" s="23"/>
      <c r="F174" s="6"/>
      <c r="G174" s="6"/>
      <c r="H174" s="6"/>
      <c r="I174" s="6"/>
      <c r="J174" s="6"/>
      <c r="K174" s="6"/>
      <c r="L174" s="6"/>
      <c r="M174" s="6"/>
      <c r="N174" s="6"/>
      <c r="O174" s="6"/>
      <c r="P174" s="6"/>
      <c r="Q174" s="6"/>
      <c r="R174" s="6"/>
      <c r="S174" s="6"/>
      <c r="T174" s="6"/>
      <c r="U174" s="6"/>
      <c r="V174" s="6"/>
      <c r="W174" s="6"/>
      <c r="X174" s="6"/>
      <c r="Y174" s="6"/>
    </row>
    <row r="175" ht="15.75" customHeight="1">
      <c r="A175" s="6"/>
      <c r="B175" s="6"/>
      <c r="C175" s="23"/>
      <c r="D175" s="23"/>
      <c r="E175" s="23"/>
      <c r="F175" s="6"/>
      <c r="G175" s="6"/>
      <c r="H175" s="6"/>
      <c r="I175" s="6"/>
      <c r="J175" s="6"/>
      <c r="K175" s="6"/>
      <c r="L175" s="6"/>
      <c r="M175" s="6"/>
      <c r="N175" s="6"/>
      <c r="O175" s="6"/>
      <c r="P175" s="6"/>
      <c r="Q175" s="6"/>
      <c r="R175" s="6"/>
      <c r="S175" s="6"/>
      <c r="T175" s="6"/>
      <c r="U175" s="6"/>
      <c r="V175" s="6"/>
      <c r="W175" s="6"/>
      <c r="X175" s="6"/>
      <c r="Y175" s="6"/>
    </row>
    <row r="176" ht="15.75" customHeight="1">
      <c r="A176" s="6"/>
      <c r="B176" s="6"/>
      <c r="C176" s="23"/>
      <c r="D176" s="23"/>
      <c r="E176" s="23"/>
      <c r="F176" s="6"/>
      <c r="G176" s="6"/>
      <c r="H176" s="6"/>
      <c r="I176" s="6"/>
      <c r="J176" s="6"/>
      <c r="K176" s="6"/>
      <c r="L176" s="6"/>
      <c r="M176" s="6"/>
      <c r="N176" s="6"/>
      <c r="O176" s="6"/>
      <c r="P176" s="6"/>
      <c r="Q176" s="6"/>
      <c r="R176" s="6"/>
      <c r="S176" s="6"/>
      <c r="T176" s="6"/>
      <c r="U176" s="6"/>
      <c r="V176" s="6"/>
      <c r="W176" s="6"/>
      <c r="X176" s="6"/>
      <c r="Y176" s="6"/>
    </row>
    <row r="177" ht="15.75" customHeight="1">
      <c r="A177" s="6"/>
      <c r="B177" s="6"/>
      <c r="C177" s="23"/>
      <c r="D177" s="23"/>
      <c r="E177" s="23"/>
      <c r="F177" s="6"/>
      <c r="G177" s="6"/>
      <c r="H177" s="6"/>
      <c r="I177" s="6"/>
      <c r="J177" s="6"/>
      <c r="K177" s="6"/>
      <c r="L177" s="6"/>
      <c r="M177" s="6"/>
      <c r="N177" s="6"/>
      <c r="O177" s="6"/>
      <c r="P177" s="6"/>
      <c r="Q177" s="6"/>
      <c r="R177" s="6"/>
      <c r="S177" s="6"/>
      <c r="T177" s="6"/>
      <c r="U177" s="6"/>
      <c r="V177" s="6"/>
      <c r="W177" s="6"/>
      <c r="X177" s="6"/>
      <c r="Y177" s="6"/>
    </row>
    <row r="178" ht="15.75" customHeight="1">
      <c r="A178" s="6"/>
      <c r="B178" s="6"/>
      <c r="C178" s="23"/>
      <c r="D178" s="23"/>
      <c r="E178" s="23"/>
      <c r="F178" s="6"/>
      <c r="G178" s="6"/>
      <c r="H178" s="6"/>
      <c r="I178" s="6"/>
      <c r="J178" s="6"/>
      <c r="K178" s="6"/>
      <c r="L178" s="6"/>
      <c r="M178" s="6"/>
      <c r="N178" s="6"/>
      <c r="O178" s="6"/>
      <c r="P178" s="6"/>
      <c r="Q178" s="6"/>
      <c r="R178" s="6"/>
      <c r="S178" s="6"/>
      <c r="T178" s="6"/>
      <c r="U178" s="6"/>
      <c r="V178" s="6"/>
      <c r="W178" s="6"/>
      <c r="X178" s="6"/>
      <c r="Y178" s="6"/>
    </row>
    <row r="179" ht="15.75" customHeight="1">
      <c r="A179" s="6"/>
      <c r="B179" s="6"/>
      <c r="C179" s="23"/>
      <c r="D179" s="23"/>
      <c r="E179" s="23"/>
      <c r="F179" s="6"/>
      <c r="G179" s="6"/>
      <c r="H179" s="6"/>
      <c r="I179" s="6"/>
      <c r="J179" s="6"/>
      <c r="K179" s="6"/>
      <c r="L179" s="6"/>
      <c r="M179" s="6"/>
      <c r="N179" s="6"/>
      <c r="O179" s="6"/>
      <c r="P179" s="6"/>
      <c r="Q179" s="6"/>
      <c r="R179" s="6"/>
      <c r="S179" s="6"/>
      <c r="T179" s="6"/>
      <c r="U179" s="6"/>
      <c r="V179" s="6"/>
      <c r="W179" s="6"/>
      <c r="X179" s="6"/>
      <c r="Y179" s="6"/>
    </row>
    <row r="180" ht="15.75" customHeight="1">
      <c r="A180" s="6"/>
      <c r="B180" s="6"/>
      <c r="C180" s="23"/>
      <c r="D180" s="23"/>
      <c r="E180" s="23"/>
      <c r="F180" s="6"/>
      <c r="G180" s="6"/>
      <c r="H180" s="6"/>
      <c r="I180" s="6"/>
      <c r="J180" s="6"/>
      <c r="K180" s="6"/>
      <c r="L180" s="6"/>
      <c r="M180" s="6"/>
      <c r="N180" s="6"/>
      <c r="O180" s="6"/>
      <c r="P180" s="6"/>
      <c r="Q180" s="6"/>
      <c r="R180" s="6"/>
      <c r="S180" s="6"/>
      <c r="T180" s="6"/>
      <c r="U180" s="6"/>
      <c r="V180" s="6"/>
      <c r="W180" s="6"/>
      <c r="X180" s="6"/>
      <c r="Y180" s="6"/>
    </row>
    <row r="181" ht="15.75" customHeight="1">
      <c r="A181" s="6"/>
      <c r="B181" s="6"/>
      <c r="C181" s="23"/>
      <c r="D181" s="23"/>
      <c r="E181" s="23"/>
      <c r="F181" s="6"/>
      <c r="G181" s="6"/>
      <c r="H181" s="6"/>
      <c r="I181" s="6"/>
      <c r="J181" s="6"/>
      <c r="K181" s="6"/>
      <c r="L181" s="6"/>
      <c r="M181" s="6"/>
      <c r="N181" s="6"/>
      <c r="O181" s="6"/>
      <c r="P181" s="6"/>
      <c r="Q181" s="6"/>
      <c r="R181" s="6"/>
      <c r="S181" s="6"/>
      <c r="T181" s="6"/>
      <c r="U181" s="6"/>
      <c r="V181" s="6"/>
      <c r="W181" s="6"/>
      <c r="X181" s="6"/>
      <c r="Y181" s="6"/>
    </row>
    <row r="182" ht="15.75" customHeight="1">
      <c r="A182" s="6"/>
      <c r="B182" s="6"/>
      <c r="C182" s="23"/>
      <c r="D182" s="23"/>
      <c r="E182" s="23"/>
      <c r="F182" s="6"/>
      <c r="G182" s="6"/>
      <c r="H182" s="6"/>
      <c r="I182" s="6"/>
      <c r="J182" s="6"/>
      <c r="K182" s="6"/>
      <c r="L182" s="6"/>
      <c r="M182" s="6"/>
      <c r="N182" s="6"/>
      <c r="O182" s="6"/>
      <c r="P182" s="6"/>
      <c r="Q182" s="6"/>
      <c r="R182" s="6"/>
      <c r="S182" s="6"/>
      <c r="T182" s="6"/>
      <c r="U182" s="6"/>
      <c r="V182" s="6"/>
      <c r="W182" s="6"/>
      <c r="X182" s="6"/>
      <c r="Y182" s="6"/>
    </row>
    <row r="183" ht="15.75" customHeight="1">
      <c r="A183" s="6"/>
      <c r="B183" s="6"/>
      <c r="C183" s="23"/>
      <c r="D183" s="23"/>
      <c r="E183" s="23"/>
      <c r="F183" s="6"/>
      <c r="G183" s="6"/>
      <c r="H183" s="6"/>
      <c r="I183" s="6"/>
      <c r="J183" s="6"/>
      <c r="K183" s="6"/>
      <c r="L183" s="6"/>
      <c r="M183" s="6"/>
      <c r="N183" s="6"/>
      <c r="O183" s="6"/>
      <c r="P183" s="6"/>
      <c r="Q183" s="6"/>
      <c r="R183" s="6"/>
      <c r="S183" s="6"/>
      <c r="T183" s="6"/>
      <c r="U183" s="6"/>
      <c r="V183" s="6"/>
      <c r="W183" s="6"/>
      <c r="X183" s="6"/>
      <c r="Y183" s="6"/>
    </row>
    <row r="184" ht="15.75" customHeight="1">
      <c r="A184" s="6"/>
      <c r="B184" s="6"/>
      <c r="C184" s="23"/>
      <c r="D184" s="23"/>
      <c r="E184" s="23"/>
      <c r="F184" s="6"/>
      <c r="G184" s="6"/>
      <c r="H184" s="6"/>
      <c r="I184" s="6"/>
      <c r="J184" s="6"/>
      <c r="K184" s="6"/>
      <c r="L184" s="6"/>
      <c r="M184" s="6"/>
      <c r="N184" s="6"/>
      <c r="O184" s="6"/>
      <c r="P184" s="6"/>
      <c r="Q184" s="6"/>
      <c r="R184" s="6"/>
      <c r="S184" s="6"/>
      <c r="T184" s="6"/>
      <c r="U184" s="6"/>
      <c r="V184" s="6"/>
      <c r="W184" s="6"/>
      <c r="X184" s="6"/>
      <c r="Y184" s="6"/>
    </row>
    <row r="185" ht="15.75" customHeight="1">
      <c r="A185" s="6"/>
      <c r="B185" s="6"/>
      <c r="C185" s="23"/>
      <c r="D185" s="23"/>
      <c r="E185" s="23"/>
      <c r="F185" s="6"/>
      <c r="G185" s="6"/>
      <c r="H185" s="6"/>
      <c r="I185" s="6"/>
      <c r="J185" s="6"/>
      <c r="K185" s="6"/>
      <c r="L185" s="6"/>
      <c r="M185" s="6"/>
      <c r="N185" s="6"/>
      <c r="O185" s="6"/>
      <c r="P185" s="6"/>
      <c r="Q185" s="6"/>
      <c r="R185" s="6"/>
      <c r="S185" s="6"/>
      <c r="T185" s="6"/>
      <c r="U185" s="6"/>
      <c r="V185" s="6"/>
      <c r="W185" s="6"/>
      <c r="X185" s="6"/>
      <c r="Y185" s="6"/>
    </row>
    <row r="186" ht="15.75" customHeight="1">
      <c r="A186" s="6"/>
      <c r="B186" s="6"/>
      <c r="C186" s="23"/>
      <c r="D186" s="23"/>
      <c r="E186" s="23"/>
      <c r="F186" s="6"/>
      <c r="G186" s="6"/>
      <c r="H186" s="6"/>
      <c r="I186" s="6"/>
      <c r="J186" s="6"/>
      <c r="K186" s="6"/>
      <c r="L186" s="6"/>
      <c r="M186" s="6"/>
      <c r="N186" s="6"/>
      <c r="O186" s="6"/>
      <c r="P186" s="6"/>
      <c r="Q186" s="6"/>
      <c r="R186" s="6"/>
      <c r="S186" s="6"/>
      <c r="T186" s="6"/>
      <c r="U186" s="6"/>
      <c r="V186" s="6"/>
      <c r="W186" s="6"/>
      <c r="X186" s="6"/>
      <c r="Y186" s="6"/>
    </row>
    <row r="187" ht="15.75" customHeight="1">
      <c r="A187" s="6"/>
      <c r="B187" s="6"/>
      <c r="C187" s="23"/>
      <c r="D187" s="23"/>
      <c r="E187" s="23"/>
      <c r="F187" s="6"/>
      <c r="G187" s="6"/>
      <c r="H187" s="6"/>
      <c r="I187" s="6"/>
      <c r="J187" s="6"/>
      <c r="K187" s="6"/>
      <c r="L187" s="6"/>
      <c r="M187" s="6"/>
      <c r="N187" s="6"/>
      <c r="O187" s="6"/>
      <c r="P187" s="6"/>
      <c r="Q187" s="6"/>
      <c r="R187" s="6"/>
      <c r="S187" s="6"/>
      <c r="T187" s="6"/>
      <c r="U187" s="6"/>
      <c r="V187" s="6"/>
      <c r="W187" s="6"/>
      <c r="X187" s="6"/>
      <c r="Y187" s="6"/>
    </row>
    <row r="188" ht="15.75" customHeight="1">
      <c r="A188" s="6"/>
      <c r="B188" s="6"/>
      <c r="C188" s="23"/>
      <c r="D188" s="23"/>
      <c r="E188" s="23"/>
      <c r="F188" s="6"/>
      <c r="G188" s="6"/>
      <c r="H188" s="6"/>
      <c r="I188" s="6"/>
      <c r="J188" s="6"/>
      <c r="K188" s="6"/>
      <c r="L188" s="6"/>
      <c r="M188" s="6"/>
      <c r="N188" s="6"/>
      <c r="O188" s="6"/>
      <c r="P188" s="6"/>
      <c r="Q188" s="6"/>
      <c r="R188" s="6"/>
      <c r="S188" s="6"/>
      <c r="T188" s="6"/>
      <c r="U188" s="6"/>
      <c r="V188" s="6"/>
      <c r="W188" s="6"/>
      <c r="X188" s="6"/>
      <c r="Y188" s="6"/>
    </row>
    <row r="189" ht="15.75" customHeight="1">
      <c r="A189" s="6"/>
      <c r="B189" s="6"/>
      <c r="C189" s="23"/>
      <c r="D189" s="23"/>
      <c r="E189" s="23"/>
      <c r="F189" s="6"/>
      <c r="G189" s="6"/>
      <c r="H189" s="6"/>
      <c r="I189" s="6"/>
      <c r="J189" s="6"/>
      <c r="K189" s="6"/>
      <c r="L189" s="6"/>
      <c r="M189" s="6"/>
      <c r="N189" s="6"/>
      <c r="O189" s="6"/>
      <c r="P189" s="6"/>
      <c r="Q189" s="6"/>
      <c r="R189" s="6"/>
      <c r="S189" s="6"/>
      <c r="T189" s="6"/>
      <c r="U189" s="6"/>
      <c r="V189" s="6"/>
      <c r="W189" s="6"/>
      <c r="X189" s="6"/>
      <c r="Y189" s="6"/>
    </row>
    <row r="190" ht="15.75" customHeight="1">
      <c r="A190" s="6"/>
      <c r="B190" s="6"/>
      <c r="C190" s="23"/>
      <c r="D190" s="23"/>
      <c r="E190" s="23"/>
      <c r="F190" s="6"/>
      <c r="G190" s="6"/>
      <c r="H190" s="6"/>
      <c r="I190" s="6"/>
      <c r="J190" s="6"/>
      <c r="K190" s="6"/>
      <c r="L190" s="6"/>
      <c r="M190" s="6"/>
      <c r="N190" s="6"/>
      <c r="O190" s="6"/>
      <c r="P190" s="6"/>
      <c r="Q190" s="6"/>
      <c r="R190" s="6"/>
      <c r="S190" s="6"/>
      <c r="T190" s="6"/>
      <c r="U190" s="6"/>
      <c r="V190" s="6"/>
      <c r="W190" s="6"/>
      <c r="X190" s="6"/>
      <c r="Y190" s="6"/>
    </row>
    <row r="191" ht="15.75" customHeight="1">
      <c r="A191" s="6"/>
      <c r="B191" s="6"/>
      <c r="C191" s="23"/>
      <c r="D191" s="23"/>
      <c r="E191" s="23"/>
      <c r="F191" s="6"/>
      <c r="G191" s="6"/>
      <c r="H191" s="6"/>
      <c r="I191" s="6"/>
      <c r="J191" s="6"/>
      <c r="K191" s="6"/>
      <c r="L191" s="6"/>
      <c r="M191" s="6"/>
      <c r="N191" s="6"/>
      <c r="O191" s="6"/>
      <c r="P191" s="6"/>
      <c r="Q191" s="6"/>
      <c r="R191" s="6"/>
      <c r="S191" s="6"/>
      <c r="T191" s="6"/>
      <c r="U191" s="6"/>
      <c r="V191" s="6"/>
      <c r="W191" s="6"/>
      <c r="X191" s="6"/>
      <c r="Y191" s="6"/>
    </row>
    <row r="192" ht="15.75" customHeight="1">
      <c r="A192" s="6"/>
      <c r="B192" s="6"/>
      <c r="C192" s="23"/>
      <c r="D192" s="23"/>
      <c r="E192" s="23"/>
      <c r="F192" s="6"/>
      <c r="G192" s="6"/>
      <c r="H192" s="6"/>
      <c r="I192" s="6"/>
      <c r="J192" s="6"/>
      <c r="K192" s="6"/>
      <c r="L192" s="6"/>
      <c r="M192" s="6"/>
      <c r="N192" s="6"/>
      <c r="O192" s="6"/>
      <c r="P192" s="6"/>
      <c r="Q192" s="6"/>
      <c r="R192" s="6"/>
      <c r="S192" s="6"/>
      <c r="T192" s="6"/>
      <c r="U192" s="6"/>
      <c r="V192" s="6"/>
      <c r="W192" s="6"/>
      <c r="X192" s="6"/>
      <c r="Y192" s="6"/>
    </row>
    <row r="193" ht="15.75" customHeight="1">
      <c r="A193" s="6"/>
      <c r="B193" s="6"/>
      <c r="C193" s="23"/>
      <c r="D193" s="23"/>
      <c r="E193" s="23"/>
      <c r="F193" s="6"/>
      <c r="G193" s="6"/>
      <c r="H193" s="6"/>
      <c r="I193" s="6"/>
      <c r="J193" s="6"/>
      <c r="K193" s="6"/>
      <c r="L193" s="6"/>
      <c r="M193" s="6"/>
      <c r="N193" s="6"/>
      <c r="O193" s="6"/>
      <c r="P193" s="6"/>
      <c r="Q193" s="6"/>
      <c r="R193" s="6"/>
      <c r="S193" s="6"/>
      <c r="T193" s="6"/>
      <c r="U193" s="6"/>
      <c r="V193" s="6"/>
      <c r="W193" s="6"/>
      <c r="X193" s="6"/>
      <c r="Y193" s="6"/>
    </row>
    <row r="194" ht="15.75" customHeight="1">
      <c r="A194" s="6"/>
      <c r="B194" s="6"/>
      <c r="C194" s="23"/>
      <c r="D194" s="23"/>
      <c r="E194" s="23"/>
      <c r="F194" s="6"/>
      <c r="G194" s="6"/>
      <c r="H194" s="6"/>
      <c r="I194" s="6"/>
      <c r="J194" s="6"/>
      <c r="K194" s="6"/>
      <c r="L194" s="6"/>
      <c r="M194" s="6"/>
      <c r="N194" s="6"/>
      <c r="O194" s="6"/>
      <c r="P194" s="6"/>
      <c r="Q194" s="6"/>
      <c r="R194" s="6"/>
      <c r="S194" s="6"/>
      <c r="T194" s="6"/>
      <c r="U194" s="6"/>
      <c r="V194" s="6"/>
      <c r="W194" s="6"/>
      <c r="X194" s="6"/>
      <c r="Y194" s="6"/>
    </row>
    <row r="195" ht="15.75" customHeight="1">
      <c r="A195" s="6"/>
      <c r="B195" s="6"/>
      <c r="C195" s="23"/>
      <c r="D195" s="23"/>
      <c r="E195" s="23"/>
      <c r="F195" s="6"/>
      <c r="G195" s="6"/>
      <c r="H195" s="6"/>
      <c r="I195" s="6"/>
      <c r="J195" s="6"/>
      <c r="K195" s="6"/>
      <c r="L195" s="6"/>
      <c r="M195" s="6"/>
      <c r="N195" s="6"/>
      <c r="O195" s="6"/>
      <c r="P195" s="6"/>
      <c r="Q195" s="6"/>
      <c r="R195" s="6"/>
      <c r="S195" s="6"/>
      <c r="T195" s="6"/>
      <c r="U195" s="6"/>
      <c r="V195" s="6"/>
      <c r="W195" s="6"/>
      <c r="X195" s="6"/>
      <c r="Y195" s="6"/>
    </row>
    <row r="196" ht="15.75" customHeight="1">
      <c r="A196" s="6"/>
      <c r="B196" s="6"/>
      <c r="C196" s="23"/>
      <c r="D196" s="23"/>
      <c r="E196" s="23"/>
      <c r="F196" s="6"/>
      <c r="G196" s="6"/>
      <c r="H196" s="6"/>
      <c r="I196" s="6"/>
      <c r="J196" s="6"/>
      <c r="K196" s="6"/>
      <c r="L196" s="6"/>
      <c r="M196" s="6"/>
      <c r="N196" s="6"/>
      <c r="O196" s="6"/>
      <c r="P196" s="6"/>
      <c r="Q196" s="6"/>
      <c r="R196" s="6"/>
      <c r="S196" s="6"/>
      <c r="T196" s="6"/>
      <c r="U196" s="6"/>
      <c r="V196" s="6"/>
      <c r="W196" s="6"/>
      <c r="X196" s="6"/>
      <c r="Y196" s="6"/>
    </row>
    <row r="197" ht="15.75" customHeight="1">
      <c r="A197" s="6"/>
      <c r="B197" s="6"/>
      <c r="C197" s="23"/>
      <c r="D197" s="23"/>
      <c r="E197" s="23"/>
      <c r="F197" s="6"/>
      <c r="G197" s="6"/>
      <c r="H197" s="6"/>
      <c r="I197" s="6"/>
      <c r="J197" s="6"/>
      <c r="K197" s="6"/>
      <c r="L197" s="6"/>
      <c r="M197" s="6"/>
      <c r="N197" s="6"/>
      <c r="O197" s="6"/>
      <c r="P197" s="6"/>
      <c r="Q197" s="6"/>
      <c r="R197" s="6"/>
      <c r="S197" s="6"/>
      <c r="T197" s="6"/>
      <c r="U197" s="6"/>
      <c r="V197" s="6"/>
      <c r="W197" s="6"/>
      <c r="X197" s="6"/>
      <c r="Y197" s="6"/>
    </row>
    <row r="198" ht="15.75" customHeight="1">
      <c r="A198" s="6"/>
      <c r="B198" s="6"/>
      <c r="C198" s="23"/>
      <c r="D198" s="23"/>
      <c r="E198" s="23"/>
      <c r="F198" s="6"/>
      <c r="G198" s="6"/>
      <c r="H198" s="6"/>
      <c r="I198" s="6"/>
      <c r="J198" s="6"/>
      <c r="K198" s="6"/>
      <c r="L198" s="6"/>
      <c r="M198" s="6"/>
      <c r="N198" s="6"/>
      <c r="O198" s="6"/>
      <c r="P198" s="6"/>
      <c r="Q198" s="6"/>
      <c r="R198" s="6"/>
      <c r="S198" s="6"/>
      <c r="T198" s="6"/>
      <c r="U198" s="6"/>
      <c r="V198" s="6"/>
      <c r="W198" s="6"/>
      <c r="X198" s="6"/>
      <c r="Y198" s="6"/>
    </row>
    <row r="199" ht="15.75" customHeight="1">
      <c r="A199" s="6"/>
      <c r="B199" s="6"/>
      <c r="C199" s="23"/>
      <c r="D199" s="23"/>
      <c r="E199" s="23"/>
      <c r="F199" s="6"/>
      <c r="G199" s="6"/>
      <c r="H199" s="6"/>
      <c r="I199" s="6"/>
      <c r="J199" s="6"/>
      <c r="K199" s="6"/>
      <c r="L199" s="6"/>
      <c r="M199" s="6"/>
      <c r="N199" s="6"/>
      <c r="O199" s="6"/>
      <c r="P199" s="6"/>
      <c r="Q199" s="6"/>
      <c r="R199" s="6"/>
      <c r="S199" s="6"/>
      <c r="T199" s="6"/>
      <c r="U199" s="6"/>
      <c r="V199" s="6"/>
      <c r="W199" s="6"/>
      <c r="X199" s="6"/>
      <c r="Y199" s="6"/>
    </row>
    <row r="200" ht="15.75" customHeight="1">
      <c r="A200" s="6"/>
      <c r="B200" s="6"/>
      <c r="C200" s="23"/>
      <c r="D200" s="23"/>
      <c r="E200" s="23"/>
      <c r="F200" s="6"/>
      <c r="G200" s="6"/>
      <c r="H200" s="6"/>
      <c r="I200" s="6"/>
      <c r="J200" s="6"/>
      <c r="K200" s="6"/>
      <c r="L200" s="6"/>
      <c r="M200" s="6"/>
      <c r="N200" s="6"/>
      <c r="O200" s="6"/>
      <c r="P200" s="6"/>
      <c r="Q200" s="6"/>
      <c r="R200" s="6"/>
      <c r="S200" s="6"/>
      <c r="T200" s="6"/>
      <c r="U200" s="6"/>
      <c r="V200" s="6"/>
      <c r="W200" s="6"/>
      <c r="X200" s="6"/>
      <c r="Y200" s="6"/>
    </row>
    <row r="201" ht="15.75" customHeight="1">
      <c r="A201" s="6"/>
      <c r="B201" s="6"/>
      <c r="C201" s="23"/>
      <c r="D201" s="23"/>
      <c r="E201" s="23"/>
      <c r="F201" s="6"/>
      <c r="G201" s="6"/>
      <c r="H201" s="6"/>
      <c r="I201" s="6"/>
      <c r="J201" s="6"/>
      <c r="K201" s="6"/>
      <c r="L201" s="6"/>
      <c r="M201" s="6"/>
      <c r="N201" s="6"/>
      <c r="O201" s="6"/>
      <c r="P201" s="6"/>
      <c r="Q201" s="6"/>
      <c r="R201" s="6"/>
      <c r="S201" s="6"/>
      <c r="T201" s="6"/>
      <c r="U201" s="6"/>
      <c r="V201" s="6"/>
      <c r="W201" s="6"/>
      <c r="X201" s="6"/>
      <c r="Y201" s="6"/>
    </row>
    <row r="202" ht="15.75" customHeight="1">
      <c r="A202" s="6"/>
      <c r="B202" s="6"/>
      <c r="C202" s="23"/>
      <c r="D202" s="23"/>
      <c r="E202" s="23"/>
      <c r="F202" s="6"/>
      <c r="G202" s="6"/>
      <c r="H202" s="6"/>
      <c r="I202" s="6"/>
      <c r="J202" s="6"/>
      <c r="K202" s="6"/>
      <c r="L202" s="6"/>
      <c r="M202" s="6"/>
      <c r="N202" s="6"/>
      <c r="O202" s="6"/>
      <c r="P202" s="6"/>
      <c r="Q202" s="6"/>
      <c r="R202" s="6"/>
      <c r="S202" s="6"/>
      <c r="T202" s="6"/>
      <c r="U202" s="6"/>
      <c r="V202" s="6"/>
      <c r="W202" s="6"/>
      <c r="X202" s="6"/>
      <c r="Y202" s="6"/>
    </row>
    <row r="203" ht="15.75" customHeight="1">
      <c r="A203" s="6"/>
      <c r="B203" s="6"/>
      <c r="C203" s="23"/>
      <c r="D203" s="23"/>
      <c r="E203" s="23"/>
      <c r="F203" s="6"/>
      <c r="G203" s="6"/>
      <c r="H203" s="6"/>
      <c r="I203" s="6"/>
      <c r="J203" s="6"/>
      <c r="K203" s="6"/>
      <c r="L203" s="6"/>
      <c r="M203" s="6"/>
      <c r="N203" s="6"/>
      <c r="O203" s="6"/>
      <c r="P203" s="6"/>
      <c r="Q203" s="6"/>
      <c r="R203" s="6"/>
      <c r="S203" s="6"/>
      <c r="T203" s="6"/>
      <c r="U203" s="6"/>
      <c r="V203" s="6"/>
      <c r="W203" s="6"/>
      <c r="X203" s="6"/>
      <c r="Y203" s="6"/>
    </row>
    <row r="204" ht="15.75" customHeight="1">
      <c r="A204" s="6"/>
      <c r="B204" s="6"/>
      <c r="C204" s="23"/>
      <c r="D204" s="23"/>
      <c r="E204" s="23"/>
      <c r="F204" s="6"/>
      <c r="G204" s="6"/>
      <c r="H204" s="6"/>
      <c r="I204" s="6"/>
      <c r="J204" s="6"/>
      <c r="K204" s="6"/>
      <c r="L204" s="6"/>
      <c r="M204" s="6"/>
      <c r="N204" s="6"/>
      <c r="O204" s="6"/>
      <c r="P204" s="6"/>
      <c r="Q204" s="6"/>
      <c r="R204" s="6"/>
      <c r="S204" s="6"/>
      <c r="T204" s="6"/>
      <c r="U204" s="6"/>
      <c r="V204" s="6"/>
      <c r="W204" s="6"/>
      <c r="X204" s="6"/>
      <c r="Y204" s="6"/>
    </row>
    <row r="205" ht="15.75" customHeight="1">
      <c r="A205" s="6"/>
      <c r="B205" s="6"/>
      <c r="C205" s="23"/>
      <c r="D205" s="23"/>
      <c r="E205" s="23"/>
      <c r="F205" s="6"/>
      <c r="G205" s="6"/>
      <c r="H205" s="6"/>
      <c r="I205" s="6"/>
      <c r="J205" s="6"/>
      <c r="K205" s="6"/>
      <c r="L205" s="6"/>
      <c r="M205" s="6"/>
      <c r="N205" s="6"/>
      <c r="O205" s="6"/>
      <c r="P205" s="6"/>
      <c r="Q205" s="6"/>
      <c r="R205" s="6"/>
      <c r="S205" s="6"/>
      <c r="T205" s="6"/>
      <c r="U205" s="6"/>
      <c r="V205" s="6"/>
      <c r="W205" s="6"/>
      <c r="X205" s="6"/>
      <c r="Y205" s="6"/>
    </row>
    <row r="206" ht="15.75" customHeight="1">
      <c r="A206" s="6"/>
      <c r="B206" s="6"/>
      <c r="C206" s="23"/>
      <c r="D206" s="23"/>
      <c r="E206" s="23"/>
      <c r="F206" s="6"/>
      <c r="G206" s="6"/>
      <c r="H206" s="6"/>
      <c r="I206" s="6"/>
      <c r="J206" s="6"/>
      <c r="K206" s="6"/>
      <c r="L206" s="6"/>
      <c r="M206" s="6"/>
      <c r="N206" s="6"/>
      <c r="O206" s="6"/>
      <c r="P206" s="6"/>
      <c r="Q206" s="6"/>
      <c r="R206" s="6"/>
      <c r="S206" s="6"/>
      <c r="T206" s="6"/>
      <c r="U206" s="6"/>
      <c r="V206" s="6"/>
      <c r="W206" s="6"/>
      <c r="X206" s="6"/>
      <c r="Y206" s="6"/>
    </row>
    <row r="207" ht="15.75" customHeight="1">
      <c r="A207" s="6"/>
      <c r="B207" s="6"/>
      <c r="C207" s="23"/>
      <c r="D207" s="23"/>
      <c r="E207" s="23"/>
      <c r="F207" s="6"/>
      <c r="G207" s="6"/>
      <c r="H207" s="6"/>
      <c r="I207" s="6"/>
      <c r="J207" s="6"/>
      <c r="K207" s="6"/>
      <c r="L207" s="6"/>
      <c r="M207" s="6"/>
      <c r="N207" s="6"/>
      <c r="O207" s="6"/>
      <c r="P207" s="6"/>
      <c r="Q207" s="6"/>
      <c r="R207" s="6"/>
      <c r="S207" s="6"/>
      <c r="T207" s="6"/>
      <c r="U207" s="6"/>
      <c r="V207" s="6"/>
      <c r="W207" s="6"/>
      <c r="X207" s="6"/>
      <c r="Y207" s="6"/>
    </row>
    <row r="208" ht="15.75" customHeight="1">
      <c r="A208" s="6"/>
      <c r="B208" s="6"/>
      <c r="C208" s="23"/>
      <c r="D208" s="23"/>
      <c r="E208" s="23"/>
      <c r="F208" s="6"/>
      <c r="G208" s="6"/>
      <c r="H208" s="6"/>
      <c r="I208" s="6"/>
      <c r="J208" s="6"/>
      <c r="K208" s="6"/>
      <c r="L208" s="6"/>
      <c r="M208" s="6"/>
      <c r="N208" s="6"/>
      <c r="O208" s="6"/>
      <c r="P208" s="6"/>
      <c r="Q208" s="6"/>
      <c r="R208" s="6"/>
      <c r="S208" s="6"/>
      <c r="T208" s="6"/>
      <c r="U208" s="6"/>
      <c r="V208" s="6"/>
      <c r="W208" s="6"/>
      <c r="X208" s="6"/>
      <c r="Y208" s="6"/>
    </row>
    <row r="209" ht="15.75" customHeight="1">
      <c r="A209" s="6"/>
      <c r="B209" s="6"/>
      <c r="C209" s="23"/>
      <c r="D209" s="23"/>
      <c r="E209" s="23"/>
      <c r="F209" s="6"/>
      <c r="G209" s="6"/>
      <c r="H209" s="6"/>
      <c r="I209" s="6"/>
      <c r="J209" s="6"/>
      <c r="K209" s="6"/>
      <c r="L209" s="6"/>
      <c r="M209" s="6"/>
      <c r="N209" s="6"/>
      <c r="O209" s="6"/>
      <c r="P209" s="6"/>
      <c r="Q209" s="6"/>
      <c r="R209" s="6"/>
      <c r="S209" s="6"/>
      <c r="T209" s="6"/>
      <c r="U209" s="6"/>
      <c r="V209" s="6"/>
      <c r="W209" s="6"/>
      <c r="X209" s="6"/>
      <c r="Y209" s="6"/>
    </row>
    <row r="210" ht="15.75" customHeight="1">
      <c r="A210" s="6"/>
      <c r="B210" s="6"/>
      <c r="C210" s="23"/>
      <c r="D210" s="23"/>
      <c r="E210" s="23"/>
      <c r="F210" s="6"/>
      <c r="G210" s="6"/>
      <c r="H210" s="6"/>
      <c r="I210" s="6"/>
      <c r="J210" s="6"/>
      <c r="K210" s="6"/>
      <c r="L210" s="6"/>
      <c r="M210" s="6"/>
      <c r="N210" s="6"/>
      <c r="O210" s="6"/>
      <c r="P210" s="6"/>
      <c r="Q210" s="6"/>
      <c r="R210" s="6"/>
      <c r="S210" s="6"/>
      <c r="T210" s="6"/>
      <c r="U210" s="6"/>
      <c r="V210" s="6"/>
      <c r="W210" s="6"/>
      <c r="X210" s="6"/>
      <c r="Y210" s="6"/>
    </row>
    <row r="211" ht="15.75" customHeight="1">
      <c r="A211" s="6"/>
      <c r="B211" s="6"/>
      <c r="C211" s="23"/>
      <c r="D211" s="23"/>
      <c r="E211" s="23"/>
      <c r="F211" s="6"/>
      <c r="G211" s="6"/>
      <c r="H211" s="6"/>
      <c r="I211" s="6"/>
      <c r="J211" s="6"/>
      <c r="K211" s="6"/>
      <c r="L211" s="6"/>
      <c r="M211" s="6"/>
      <c r="N211" s="6"/>
      <c r="O211" s="6"/>
      <c r="P211" s="6"/>
      <c r="Q211" s="6"/>
      <c r="R211" s="6"/>
      <c r="S211" s="6"/>
      <c r="T211" s="6"/>
      <c r="U211" s="6"/>
      <c r="V211" s="6"/>
      <c r="W211" s="6"/>
      <c r="X211" s="6"/>
      <c r="Y211" s="6"/>
    </row>
    <row r="212" ht="15.75" customHeight="1">
      <c r="A212" s="6"/>
      <c r="B212" s="6"/>
      <c r="C212" s="23"/>
      <c r="D212" s="23"/>
      <c r="E212" s="23"/>
      <c r="F212" s="6"/>
      <c r="G212" s="6"/>
      <c r="H212" s="6"/>
      <c r="I212" s="6"/>
      <c r="J212" s="6"/>
      <c r="K212" s="6"/>
      <c r="L212" s="6"/>
      <c r="M212" s="6"/>
      <c r="N212" s="6"/>
      <c r="O212" s="6"/>
      <c r="P212" s="6"/>
      <c r="Q212" s="6"/>
      <c r="R212" s="6"/>
      <c r="S212" s="6"/>
      <c r="T212" s="6"/>
      <c r="U212" s="6"/>
      <c r="V212" s="6"/>
      <c r="W212" s="6"/>
      <c r="X212" s="6"/>
      <c r="Y212" s="6"/>
    </row>
    <row r="213" ht="15.75" customHeight="1">
      <c r="A213" s="6"/>
      <c r="B213" s="6"/>
      <c r="C213" s="23"/>
      <c r="D213" s="23"/>
      <c r="E213" s="23"/>
      <c r="F213" s="6"/>
      <c r="G213" s="6"/>
      <c r="H213" s="6"/>
      <c r="I213" s="6"/>
      <c r="J213" s="6"/>
      <c r="K213" s="6"/>
      <c r="L213" s="6"/>
      <c r="M213" s="6"/>
      <c r="N213" s="6"/>
      <c r="O213" s="6"/>
      <c r="P213" s="6"/>
      <c r="Q213" s="6"/>
      <c r="R213" s="6"/>
      <c r="S213" s="6"/>
      <c r="T213" s="6"/>
      <c r="U213" s="6"/>
      <c r="V213" s="6"/>
      <c r="W213" s="6"/>
      <c r="X213" s="6"/>
      <c r="Y213" s="6"/>
    </row>
    <row r="214" ht="15.75" customHeight="1">
      <c r="A214" s="6"/>
      <c r="B214" s="6"/>
      <c r="C214" s="23"/>
      <c r="D214" s="23"/>
      <c r="E214" s="23"/>
      <c r="F214" s="6"/>
      <c r="G214" s="6"/>
      <c r="H214" s="6"/>
      <c r="I214" s="6"/>
      <c r="J214" s="6"/>
      <c r="K214" s="6"/>
      <c r="L214" s="6"/>
      <c r="M214" s="6"/>
      <c r="N214" s="6"/>
      <c r="O214" s="6"/>
      <c r="P214" s="6"/>
      <c r="Q214" s="6"/>
      <c r="R214" s="6"/>
      <c r="S214" s="6"/>
      <c r="T214" s="6"/>
      <c r="U214" s="6"/>
      <c r="V214" s="6"/>
      <c r="W214" s="6"/>
      <c r="X214" s="6"/>
      <c r="Y214" s="6"/>
    </row>
    <row r="215" ht="15.75" customHeight="1">
      <c r="A215" s="6"/>
      <c r="B215" s="6"/>
      <c r="C215" s="23"/>
      <c r="D215" s="23"/>
      <c r="E215" s="23"/>
      <c r="F215" s="6"/>
      <c r="G215" s="6"/>
      <c r="H215" s="6"/>
      <c r="I215" s="6"/>
      <c r="J215" s="6"/>
      <c r="K215" s="6"/>
      <c r="L215" s="6"/>
      <c r="M215" s="6"/>
      <c r="N215" s="6"/>
      <c r="O215" s="6"/>
      <c r="P215" s="6"/>
      <c r="Q215" s="6"/>
      <c r="R215" s="6"/>
      <c r="S215" s="6"/>
      <c r="T215" s="6"/>
      <c r="U215" s="6"/>
      <c r="V215" s="6"/>
      <c r="W215" s="6"/>
      <c r="X215" s="6"/>
      <c r="Y215" s="6"/>
    </row>
    <row r="216" ht="15.75" customHeight="1">
      <c r="A216" s="6"/>
      <c r="B216" s="6"/>
      <c r="C216" s="23"/>
      <c r="D216" s="23"/>
      <c r="E216" s="23"/>
      <c r="F216" s="6"/>
      <c r="G216" s="6"/>
      <c r="H216" s="6"/>
      <c r="I216" s="6"/>
      <c r="J216" s="6"/>
      <c r="K216" s="6"/>
      <c r="L216" s="6"/>
      <c r="M216" s="6"/>
      <c r="N216" s="6"/>
      <c r="O216" s="6"/>
      <c r="P216" s="6"/>
      <c r="Q216" s="6"/>
      <c r="R216" s="6"/>
      <c r="S216" s="6"/>
      <c r="T216" s="6"/>
      <c r="U216" s="6"/>
      <c r="V216" s="6"/>
      <c r="W216" s="6"/>
      <c r="X216" s="6"/>
      <c r="Y216" s="6"/>
    </row>
    <row r="217" ht="15.75" customHeight="1">
      <c r="A217" s="6"/>
      <c r="B217" s="6"/>
      <c r="C217" s="23"/>
      <c r="D217" s="23"/>
      <c r="E217" s="23"/>
      <c r="F217" s="6"/>
      <c r="G217" s="6"/>
      <c r="H217" s="6"/>
      <c r="I217" s="6"/>
      <c r="J217" s="6"/>
      <c r="K217" s="6"/>
      <c r="L217" s="6"/>
      <c r="M217" s="6"/>
      <c r="N217" s="6"/>
      <c r="O217" s="6"/>
      <c r="P217" s="6"/>
      <c r="Q217" s="6"/>
      <c r="R217" s="6"/>
      <c r="S217" s="6"/>
      <c r="T217" s="6"/>
      <c r="U217" s="6"/>
      <c r="V217" s="6"/>
      <c r="W217" s="6"/>
      <c r="X217" s="6"/>
      <c r="Y217" s="6"/>
    </row>
    <row r="218" ht="15.75" customHeight="1">
      <c r="A218" s="6"/>
      <c r="B218" s="6"/>
      <c r="C218" s="23"/>
      <c r="D218" s="23"/>
      <c r="E218" s="23"/>
      <c r="F218" s="6"/>
      <c r="G218" s="6"/>
      <c r="H218" s="6"/>
      <c r="I218" s="6"/>
      <c r="J218" s="6"/>
      <c r="K218" s="6"/>
      <c r="L218" s="6"/>
      <c r="M218" s="6"/>
      <c r="N218" s="6"/>
      <c r="O218" s="6"/>
      <c r="P218" s="6"/>
      <c r="Q218" s="6"/>
      <c r="R218" s="6"/>
      <c r="S218" s="6"/>
      <c r="T218" s="6"/>
      <c r="U218" s="6"/>
      <c r="V218" s="6"/>
      <c r="W218" s="6"/>
      <c r="X218" s="6"/>
      <c r="Y218" s="6"/>
    </row>
    <row r="219" ht="15.75" customHeight="1">
      <c r="A219" s="6"/>
      <c r="B219" s="6"/>
      <c r="C219" s="23"/>
      <c r="D219" s="23"/>
      <c r="E219" s="23"/>
      <c r="F219" s="6"/>
      <c r="G219" s="6"/>
      <c r="H219" s="6"/>
      <c r="I219" s="6"/>
      <c r="J219" s="6"/>
      <c r="K219" s="6"/>
      <c r="L219" s="6"/>
      <c r="M219" s="6"/>
      <c r="N219" s="6"/>
      <c r="O219" s="6"/>
      <c r="P219" s="6"/>
      <c r="Q219" s="6"/>
      <c r="R219" s="6"/>
      <c r="S219" s="6"/>
      <c r="T219" s="6"/>
      <c r="U219" s="6"/>
      <c r="V219" s="6"/>
      <c r="W219" s="6"/>
      <c r="X219" s="6"/>
      <c r="Y219" s="6"/>
    </row>
    <row r="220" ht="15.75" customHeight="1">
      <c r="A220" s="6"/>
      <c r="B220" s="6"/>
      <c r="C220" s="23"/>
      <c r="D220" s="23"/>
      <c r="E220" s="23"/>
      <c r="F220" s="6"/>
      <c r="G220" s="6"/>
      <c r="H220" s="6"/>
      <c r="I220" s="6"/>
      <c r="J220" s="6"/>
      <c r="K220" s="6"/>
      <c r="L220" s="6"/>
      <c r="M220" s="6"/>
      <c r="N220" s="6"/>
      <c r="O220" s="6"/>
      <c r="P220" s="6"/>
      <c r="Q220" s="6"/>
      <c r="R220" s="6"/>
      <c r="S220" s="6"/>
      <c r="T220" s="6"/>
      <c r="U220" s="6"/>
      <c r="V220" s="6"/>
      <c r="W220" s="6"/>
      <c r="X220" s="6"/>
      <c r="Y220" s="6"/>
    </row>
    <row r="221" ht="15.75" customHeight="1">
      <c r="A221" s="6"/>
      <c r="B221" s="6"/>
      <c r="C221" s="23"/>
      <c r="D221" s="23"/>
      <c r="E221" s="23"/>
      <c r="F221" s="6"/>
      <c r="G221" s="6"/>
      <c r="H221" s="6"/>
      <c r="I221" s="6"/>
      <c r="J221" s="6"/>
      <c r="K221" s="6"/>
      <c r="L221" s="6"/>
      <c r="M221" s="6"/>
      <c r="N221" s="6"/>
      <c r="O221" s="6"/>
      <c r="P221" s="6"/>
      <c r="Q221" s="6"/>
      <c r="R221" s="6"/>
      <c r="S221" s="6"/>
      <c r="T221" s="6"/>
      <c r="U221" s="6"/>
      <c r="V221" s="6"/>
      <c r="W221" s="6"/>
      <c r="X221" s="6"/>
      <c r="Y221" s="6"/>
    </row>
    <row r="222" ht="15.75" customHeight="1">
      <c r="A222" s="6"/>
      <c r="B222" s="6"/>
      <c r="C222" s="23"/>
      <c r="D222" s="23"/>
      <c r="E222" s="23"/>
      <c r="F222" s="6"/>
      <c r="G222" s="6"/>
      <c r="H222" s="6"/>
      <c r="I222" s="6"/>
      <c r="J222" s="6"/>
      <c r="K222" s="6"/>
      <c r="L222" s="6"/>
      <c r="M222" s="6"/>
      <c r="N222" s="6"/>
      <c r="O222" s="6"/>
      <c r="P222" s="6"/>
      <c r="Q222" s="6"/>
      <c r="R222" s="6"/>
      <c r="S222" s="6"/>
      <c r="T222" s="6"/>
      <c r="U222" s="6"/>
      <c r="V222" s="6"/>
      <c r="W222" s="6"/>
      <c r="X222" s="6"/>
      <c r="Y222" s="6"/>
    </row>
    <row r="223" ht="15.75" customHeight="1">
      <c r="A223" s="6"/>
      <c r="B223" s="6"/>
      <c r="C223" s="23"/>
      <c r="D223" s="23"/>
      <c r="E223" s="23"/>
      <c r="F223" s="6"/>
      <c r="G223" s="6"/>
      <c r="H223" s="6"/>
      <c r="I223" s="6"/>
      <c r="J223" s="6"/>
      <c r="K223" s="6"/>
      <c r="L223" s="6"/>
      <c r="M223" s="6"/>
      <c r="N223" s="6"/>
      <c r="O223" s="6"/>
      <c r="P223" s="6"/>
      <c r="Q223" s="6"/>
      <c r="R223" s="6"/>
      <c r="S223" s="6"/>
      <c r="T223" s="6"/>
      <c r="U223" s="6"/>
      <c r="V223" s="6"/>
      <c r="W223" s="6"/>
      <c r="X223" s="6"/>
      <c r="Y223" s="6"/>
    </row>
    <row r="224" ht="15.75" customHeight="1">
      <c r="A224" s="6"/>
      <c r="B224" s="6"/>
      <c r="C224" s="23"/>
      <c r="D224" s="23"/>
      <c r="E224" s="23"/>
      <c r="F224" s="6"/>
      <c r="G224" s="6"/>
      <c r="H224" s="6"/>
      <c r="I224" s="6"/>
      <c r="J224" s="6"/>
      <c r="K224" s="6"/>
      <c r="L224" s="6"/>
      <c r="M224" s="6"/>
      <c r="N224" s="6"/>
      <c r="O224" s="6"/>
      <c r="P224" s="6"/>
      <c r="Q224" s="6"/>
      <c r="R224" s="6"/>
      <c r="S224" s="6"/>
      <c r="T224" s="6"/>
      <c r="U224" s="6"/>
      <c r="V224" s="6"/>
      <c r="W224" s="6"/>
      <c r="X224" s="6"/>
      <c r="Y224" s="6"/>
    </row>
    <row r="225" ht="15.75" customHeight="1">
      <c r="A225" s="6"/>
      <c r="B225" s="6"/>
      <c r="C225" s="23"/>
      <c r="D225" s="23"/>
      <c r="E225" s="23"/>
      <c r="F225" s="6"/>
      <c r="G225" s="6"/>
      <c r="H225" s="6"/>
      <c r="I225" s="6"/>
      <c r="J225" s="6"/>
      <c r="K225" s="6"/>
      <c r="L225" s="6"/>
      <c r="M225" s="6"/>
      <c r="N225" s="6"/>
      <c r="O225" s="6"/>
      <c r="P225" s="6"/>
      <c r="Q225" s="6"/>
      <c r="R225" s="6"/>
      <c r="S225" s="6"/>
      <c r="T225" s="6"/>
      <c r="U225" s="6"/>
      <c r="V225" s="6"/>
      <c r="W225" s="6"/>
      <c r="X225" s="6"/>
      <c r="Y225" s="6"/>
    </row>
    <row r="226" ht="15.75" customHeight="1">
      <c r="A226" s="6"/>
      <c r="B226" s="6"/>
      <c r="C226" s="23"/>
      <c r="D226" s="23"/>
      <c r="E226" s="23"/>
      <c r="F226" s="6"/>
      <c r="G226" s="6"/>
      <c r="H226" s="6"/>
      <c r="I226" s="6"/>
      <c r="J226" s="6"/>
      <c r="K226" s="6"/>
      <c r="L226" s="6"/>
      <c r="M226" s="6"/>
      <c r="N226" s="6"/>
      <c r="O226" s="6"/>
      <c r="P226" s="6"/>
      <c r="Q226" s="6"/>
      <c r="R226" s="6"/>
      <c r="S226" s="6"/>
      <c r="T226" s="6"/>
      <c r="U226" s="6"/>
      <c r="V226" s="6"/>
      <c r="W226" s="6"/>
      <c r="X226" s="6"/>
      <c r="Y226" s="6"/>
    </row>
    <row r="227" ht="15.75" customHeight="1">
      <c r="A227" s="6"/>
      <c r="B227" s="6"/>
      <c r="C227" s="23"/>
      <c r="D227" s="23"/>
      <c r="E227" s="23"/>
      <c r="F227" s="6"/>
      <c r="G227" s="6"/>
      <c r="H227" s="6"/>
      <c r="I227" s="6"/>
      <c r="J227" s="6"/>
      <c r="K227" s="6"/>
      <c r="L227" s="6"/>
      <c r="M227" s="6"/>
      <c r="N227" s="6"/>
      <c r="O227" s="6"/>
      <c r="P227" s="6"/>
      <c r="Q227" s="6"/>
      <c r="R227" s="6"/>
      <c r="S227" s="6"/>
      <c r="T227" s="6"/>
      <c r="U227" s="6"/>
      <c r="V227" s="6"/>
      <c r="W227" s="6"/>
      <c r="X227" s="6"/>
      <c r="Y227" s="6"/>
    </row>
    <row r="228" ht="15.75" customHeight="1">
      <c r="A228" s="6"/>
      <c r="B228" s="6"/>
      <c r="C228" s="23"/>
      <c r="D228" s="23"/>
      <c r="E228" s="23"/>
      <c r="F228" s="6"/>
      <c r="G228" s="6"/>
      <c r="H228" s="6"/>
      <c r="I228" s="6"/>
      <c r="J228" s="6"/>
      <c r="K228" s="6"/>
      <c r="L228" s="6"/>
      <c r="M228" s="6"/>
      <c r="N228" s="6"/>
      <c r="O228" s="6"/>
      <c r="P228" s="6"/>
      <c r="Q228" s="6"/>
      <c r="R228" s="6"/>
      <c r="S228" s="6"/>
      <c r="T228" s="6"/>
      <c r="U228" s="6"/>
      <c r="V228" s="6"/>
      <c r="W228" s="6"/>
      <c r="X228" s="6"/>
      <c r="Y228" s="6"/>
    </row>
    <row r="229" ht="15.75" customHeight="1">
      <c r="A229" s="6"/>
      <c r="B229" s="6"/>
      <c r="C229" s="23"/>
      <c r="D229" s="23"/>
      <c r="E229" s="23"/>
      <c r="F229" s="6"/>
      <c r="G229" s="6"/>
      <c r="H229" s="6"/>
      <c r="I229" s="6"/>
      <c r="J229" s="6"/>
      <c r="K229" s="6"/>
      <c r="L229" s="6"/>
      <c r="M229" s="6"/>
      <c r="N229" s="6"/>
      <c r="O229" s="6"/>
      <c r="P229" s="6"/>
      <c r="Q229" s="6"/>
      <c r="R229" s="6"/>
      <c r="S229" s="6"/>
      <c r="T229" s="6"/>
      <c r="U229" s="6"/>
      <c r="V229" s="6"/>
      <c r="W229" s="6"/>
      <c r="X229" s="6"/>
      <c r="Y229" s="6"/>
    </row>
    <row r="230" ht="15.75" customHeight="1">
      <c r="A230" s="6"/>
      <c r="B230" s="6"/>
      <c r="C230" s="23"/>
      <c r="D230" s="23"/>
      <c r="E230" s="23"/>
      <c r="F230" s="6"/>
      <c r="G230" s="6"/>
      <c r="H230" s="6"/>
      <c r="I230" s="6"/>
      <c r="J230" s="6"/>
      <c r="K230" s="6"/>
      <c r="L230" s="6"/>
      <c r="M230" s="6"/>
      <c r="N230" s="6"/>
      <c r="O230" s="6"/>
      <c r="P230" s="6"/>
      <c r="Q230" s="6"/>
      <c r="R230" s="6"/>
      <c r="S230" s="6"/>
      <c r="T230" s="6"/>
      <c r="U230" s="6"/>
      <c r="V230" s="6"/>
      <c r="W230" s="6"/>
      <c r="X230" s="6"/>
      <c r="Y230" s="6"/>
    </row>
    <row r="231" ht="15.75" customHeight="1">
      <c r="A231" s="6"/>
      <c r="B231" s="6"/>
      <c r="C231" s="23"/>
      <c r="D231" s="23"/>
      <c r="E231" s="23"/>
      <c r="F231" s="6"/>
      <c r="G231" s="6"/>
      <c r="H231" s="6"/>
      <c r="I231" s="6"/>
      <c r="J231" s="6"/>
      <c r="K231" s="6"/>
      <c r="L231" s="6"/>
      <c r="M231" s="6"/>
      <c r="N231" s="6"/>
      <c r="O231" s="6"/>
      <c r="P231" s="6"/>
      <c r="Q231" s="6"/>
      <c r="R231" s="6"/>
      <c r="S231" s="6"/>
      <c r="T231" s="6"/>
      <c r="U231" s="6"/>
      <c r="V231" s="6"/>
      <c r="W231" s="6"/>
      <c r="X231" s="6"/>
      <c r="Y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row>
  </sheetData>
  <autoFilter ref="$A$1:$AA$31"/>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4" width="14.43"/>
    <col customWidth="1" min="5" max="5" width="19.57"/>
    <col customWidth="1" min="6" max="6" width="14.43"/>
    <col customWidth="1" min="18" max="18" width="48.29"/>
  </cols>
  <sheetData>
    <row r="1" ht="15.75" customHeight="1">
      <c r="A1" s="2" t="s">
        <v>1</v>
      </c>
      <c r="B1" s="2" t="s">
        <v>2</v>
      </c>
      <c r="C1" s="2" t="s">
        <v>3</v>
      </c>
      <c r="D1" s="2" t="s">
        <v>4</v>
      </c>
      <c r="E1" s="2" t="s">
        <v>5</v>
      </c>
      <c r="F1" s="3" t="s">
        <v>6</v>
      </c>
      <c r="G1" s="3" t="s">
        <v>7</v>
      </c>
      <c r="H1" s="2" t="s">
        <v>8</v>
      </c>
      <c r="I1" s="3" t="s">
        <v>9</v>
      </c>
      <c r="J1" s="3" t="s">
        <v>10</v>
      </c>
      <c r="K1" s="3" t="s">
        <v>11</v>
      </c>
      <c r="L1" s="4" t="s">
        <v>12</v>
      </c>
      <c r="M1" s="4" t="s">
        <v>13</v>
      </c>
      <c r="N1" s="5" t="s">
        <v>14</v>
      </c>
      <c r="O1" s="5" t="s">
        <v>15</v>
      </c>
      <c r="P1" s="5" t="s">
        <v>16</v>
      </c>
      <c r="Q1" s="5" t="s">
        <v>17</v>
      </c>
      <c r="R1" s="5" t="s">
        <v>18</v>
      </c>
      <c r="S1" s="12"/>
      <c r="T1" s="12"/>
      <c r="U1" s="12"/>
      <c r="V1" s="12"/>
      <c r="W1" s="12"/>
      <c r="X1" s="12"/>
      <c r="Y1" s="12"/>
      <c r="Z1" s="12"/>
    </row>
    <row r="2" ht="15.75" customHeight="1">
      <c r="A2" s="13" t="s">
        <v>408</v>
      </c>
      <c r="B2" s="13" t="s">
        <v>409</v>
      </c>
      <c r="C2" s="11" t="s">
        <v>410</v>
      </c>
      <c r="D2" s="11" t="s">
        <v>36</v>
      </c>
      <c r="E2" s="11" t="s">
        <v>411</v>
      </c>
      <c r="F2" s="11" t="s">
        <v>36</v>
      </c>
      <c r="G2" s="13" t="s">
        <v>412</v>
      </c>
      <c r="H2" s="13" t="s">
        <v>75</v>
      </c>
      <c r="I2" s="13">
        <v>1975.0</v>
      </c>
      <c r="J2" s="12"/>
      <c r="K2" s="11" t="s">
        <v>413</v>
      </c>
      <c r="L2" s="12"/>
      <c r="M2" s="12"/>
      <c r="N2" s="12"/>
      <c r="O2" s="12"/>
      <c r="P2" s="12"/>
      <c r="Q2" s="12"/>
      <c r="R2" s="12"/>
      <c r="S2" s="12"/>
      <c r="T2" s="12"/>
      <c r="U2" s="12"/>
      <c r="V2" s="12"/>
      <c r="W2" s="12"/>
      <c r="X2" s="12"/>
      <c r="Y2" s="12"/>
      <c r="Z2" s="12"/>
    </row>
    <row r="3" ht="15.75" customHeight="1">
      <c r="A3" s="13" t="s">
        <v>414</v>
      </c>
      <c r="B3" s="13" t="s">
        <v>415</v>
      </c>
      <c r="C3" s="13" t="s">
        <v>416</v>
      </c>
      <c r="D3" s="11" t="s">
        <v>36</v>
      </c>
      <c r="E3" s="13" t="s">
        <v>417</v>
      </c>
      <c r="F3" s="11" t="s">
        <v>36</v>
      </c>
      <c r="G3" s="13" t="s">
        <v>412</v>
      </c>
      <c r="H3" s="13" t="s">
        <v>75</v>
      </c>
      <c r="I3" s="13">
        <v>1985.0</v>
      </c>
      <c r="J3" s="12"/>
      <c r="K3" s="11" t="s">
        <v>418</v>
      </c>
      <c r="L3" s="12"/>
      <c r="M3" s="12"/>
      <c r="N3" s="12"/>
      <c r="O3" s="12"/>
      <c r="P3" s="12"/>
      <c r="Q3" s="12"/>
      <c r="R3" s="12"/>
      <c r="S3" s="12"/>
      <c r="T3" s="12"/>
      <c r="U3" s="12"/>
      <c r="V3" s="12"/>
      <c r="W3" s="12"/>
      <c r="X3" s="12"/>
      <c r="Y3" s="12"/>
      <c r="Z3" s="12"/>
    </row>
    <row r="4" ht="15.75" customHeight="1">
      <c r="A4" s="13" t="s">
        <v>419</v>
      </c>
      <c r="B4" s="13" t="s">
        <v>420</v>
      </c>
      <c r="C4" s="13" t="s">
        <v>421</v>
      </c>
      <c r="D4" s="11" t="s">
        <v>36</v>
      </c>
      <c r="E4" s="11" t="s">
        <v>422</v>
      </c>
      <c r="F4" s="11" t="s">
        <v>36</v>
      </c>
      <c r="G4" s="13" t="s">
        <v>412</v>
      </c>
      <c r="H4" s="13" t="s">
        <v>75</v>
      </c>
      <c r="I4" s="13">
        <v>1975.0</v>
      </c>
      <c r="J4" s="12"/>
      <c r="K4" s="11" t="s">
        <v>423</v>
      </c>
      <c r="L4" s="12"/>
      <c r="M4" s="11" t="s">
        <v>424</v>
      </c>
      <c r="N4" s="11" t="s">
        <v>425</v>
      </c>
      <c r="O4" s="17" t="s">
        <v>423</v>
      </c>
      <c r="P4" s="12"/>
      <c r="Q4" s="12"/>
      <c r="R4" s="12"/>
      <c r="S4" s="12"/>
      <c r="T4" s="12"/>
      <c r="U4" s="12"/>
      <c r="V4" s="12"/>
      <c r="W4" s="12"/>
      <c r="X4" s="12"/>
      <c r="Y4" s="12"/>
      <c r="Z4" s="12"/>
    </row>
    <row r="5" ht="15.75" customHeight="1">
      <c r="A5" s="13" t="s">
        <v>426</v>
      </c>
      <c r="B5" s="13" t="s">
        <v>427</v>
      </c>
      <c r="C5" s="11" t="s">
        <v>428</v>
      </c>
      <c r="D5" s="11" t="s">
        <v>36</v>
      </c>
      <c r="E5" s="11" t="s">
        <v>429</v>
      </c>
      <c r="F5" s="11" t="s">
        <v>36</v>
      </c>
      <c r="G5" s="13" t="s">
        <v>412</v>
      </c>
      <c r="H5" s="13" t="s">
        <v>25</v>
      </c>
      <c r="I5" s="13">
        <v>1980.0</v>
      </c>
      <c r="J5" s="13">
        <v>1990.0</v>
      </c>
      <c r="K5" s="11" t="s">
        <v>430</v>
      </c>
      <c r="L5" s="12"/>
      <c r="M5" s="12"/>
      <c r="N5" s="12"/>
      <c r="O5" s="12"/>
      <c r="P5" s="12"/>
      <c r="Q5" s="12"/>
      <c r="R5" s="12"/>
      <c r="S5" s="12"/>
      <c r="T5" s="12"/>
      <c r="U5" s="12"/>
      <c r="V5" s="12"/>
      <c r="W5" s="12"/>
      <c r="X5" s="12"/>
      <c r="Y5" s="12"/>
      <c r="Z5" s="12"/>
    </row>
    <row r="6" ht="15.75" customHeight="1">
      <c r="A6" s="13" t="s">
        <v>431</v>
      </c>
      <c r="B6" s="13" t="s">
        <v>432</v>
      </c>
      <c r="C6" s="13" t="s">
        <v>433</v>
      </c>
      <c r="D6" s="11" t="s">
        <v>36</v>
      </c>
      <c r="E6" s="11" t="s">
        <v>434</v>
      </c>
      <c r="F6" s="11" t="s">
        <v>36</v>
      </c>
      <c r="G6" s="13" t="s">
        <v>412</v>
      </c>
      <c r="H6" s="13" t="s">
        <v>75</v>
      </c>
      <c r="I6" s="13">
        <v>1980.0</v>
      </c>
      <c r="J6" s="12"/>
      <c r="K6" s="11" t="s">
        <v>435</v>
      </c>
      <c r="L6" s="12"/>
      <c r="M6" s="11" t="s">
        <v>436</v>
      </c>
      <c r="N6" s="11" t="s">
        <v>437</v>
      </c>
      <c r="O6" s="17" t="s">
        <v>438</v>
      </c>
      <c r="P6" s="11" t="s">
        <v>39</v>
      </c>
      <c r="Q6" s="12"/>
      <c r="R6" s="17" t="s">
        <v>48</v>
      </c>
      <c r="S6" s="12"/>
      <c r="T6" s="12"/>
      <c r="U6" s="12"/>
      <c r="V6" s="12"/>
      <c r="W6" s="12"/>
      <c r="X6" s="12"/>
      <c r="Y6" s="12"/>
      <c r="Z6" s="12"/>
    </row>
    <row r="7" ht="15.75" customHeight="1">
      <c r="A7" s="13" t="s">
        <v>439</v>
      </c>
      <c r="B7" s="13" t="s">
        <v>440</v>
      </c>
      <c r="C7" s="11" t="s">
        <v>441</v>
      </c>
      <c r="D7" s="11" t="s">
        <v>22</v>
      </c>
      <c r="E7" s="11" t="s">
        <v>442</v>
      </c>
      <c r="F7" s="11" t="s">
        <v>22</v>
      </c>
      <c r="G7" s="13" t="s">
        <v>412</v>
      </c>
      <c r="H7" s="13" t="s">
        <v>75</v>
      </c>
      <c r="I7" s="13">
        <v>1953.0</v>
      </c>
      <c r="J7" s="12"/>
      <c r="K7" s="17" t="s">
        <v>443</v>
      </c>
      <c r="L7" s="12"/>
      <c r="M7" s="11" t="s">
        <v>39</v>
      </c>
      <c r="N7" s="11" t="s">
        <v>251</v>
      </c>
      <c r="O7" s="11" t="s">
        <v>29</v>
      </c>
      <c r="P7" s="11" t="s">
        <v>27</v>
      </c>
      <c r="Q7" s="11" t="s">
        <v>188</v>
      </c>
      <c r="R7" s="17" t="s">
        <v>29</v>
      </c>
      <c r="S7" s="12"/>
      <c r="T7" s="12"/>
      <c r="U7" s="12"/>
      <c r="V7" s="12"/>
      <c r="W7" s="12"/>
      <c r="X7" s="12"/>
      <c r="Y7" s="12"/>
      <c r="Z7" s="12"/>
    </row>
    <row r="8" ht="15.75" customHeight="1">
      <c r="A8" s="13" t="s">
        <v>444</v>
      </c>
      <c r="B8" s="13" t="s">
        <v>445</v>
      </c>
      <c r="C8" s="11" t="s">
        <v>446</v>
      </c>
      <c r="D8" s="11" t="s">
        <v>36</v>
      </c>
      <c r="E8" s="11" t="s">
        <v>447</v>
      </c>
      <c r="F8" s="11" t="s">
        <v>36</v>
      </c>
      <c r="G8" s="13" t="s">
        <v>412</v>
      </c>
      <c r="H8" s="13" t="s">
        <v>448</v>
      </c>
      <c r="I8" s="13">
        <v>1981.0</v>
      </c>
      <c r="J8" s="13" t="s">
        <v>131</v>
      </c>
      <c r="K8" s="11" t="s">
        <v>449</v>
      </c>
      <c r="L8" s="12"/>
      <c r="M8" s="11" t="s">
        <v>450</v>
      </c>
      <c r="N8" s="11" t="s">
        <v>188</v>
      </c>
      <c r="O8" s="17" t="s">
        <v>451</v>
      </c>
      <c r="P8" s="12"/>
      <c r="Q8" s="12"/>
      <c r="R8" s="12"/>
      <c r="S8" s="12"/>
      <c r="T8" s="12"/>
      <c r="U8" s="12"/>
      <c r="V8" s="12"/>
      <c r="W8" s="12"/>
      <c r="X8" s="12"/>
      <c r="Y8" s="12"/>
      <c r="Z8" s="12"/>
    </row>
    <row r="9" ht="15.75" customHeight="1">
      <c r="A9" s="13" t="s">
        <v>452</v>
      </c>
      <c r="B9" s="13" t="s">
        <v>453</v>
      </c>
      <c r="C9" s="11" t="s">
        <v>454</v>
      </c>
      <c r="D9" s="11" t="s">
        <v>22</v>
      </c>
      <c r="E9" s="11" t="s">
        <v>455</v>
      </c>
      <c r="F9" s="11" t="s">
        <v>22</v>
      </c>
      <c r="G9" s="13" t="s">
        <v>412</v>
      </c>
      <c r="H9" s="13" t="s">
        <v>25</v>
      </c>
      <c r="I9" s="13">
        <v>1970.0</v>
      </c>
      <c r="J9" s="13">
        <v>1989.0</v>
      </c>
      <c r="K9" s="11" t="s">
        <v>48</v>
      </c>
      <c r="L9" s="12"/>
      <c r="M9" s="11" t="s">
        <v>39</v>
      </c>
      <c r="N9" s="11" t="s">
        <v>305</v>
      </c>
      <c r="O9" s="11" t="s">
        <v>48</v>
      </c>
      <c r="P9" s="12"/>
      <c r="Q9" s="12"/>
      <c r="R9" s="12"/>
      <c r="S9" s="12"/>
      <c r="T9" s="12"/>
      <c r="U9" s="12"/>
      <c r="V9" s="12"/>
      <c r="W9" s="12"/>
      <c r="X9" s="12"/>
      <c r="Y9" s="12"/>
      <c r="Z9" s="12"/>
    </row>
    <row r="10" ht="15.75" customHeight="1">
      <c r="A10" s="13" t="s">
        <v>456</v>
      </c>
      <c r="B10" s="13" t="s">
        <v>457</v>
      </c>
      <c r="C10" s="13" t="s">
        <v>458</v>
      </c>
      <c r="D10" s="11" t="s">
        <v>36</v>
      </c>
      <c r="E10" s="11" t="s">
        <v>459</v>
      </c>
      <c r="F10" s="11" t="s">
        <v>36</v>
      </c>
      <c r="G10" s="13" t="s">
        <v>412</v>
      </c>
      <c r="H10" s="13" t="s">
        <v>75</v>
      </c>
      <c r="I10" s="13">
        <v>1954.0</v>
      </c>
      <c r="J10" s="12"/>
      <c r="K10" s="11" t="s">
        <v>460</v>
      </c>
      <c r="L10" s="12"/>
      <c r="M10" s="12"/>
      <c r="N10" s="12"/>
      <c r="O10" s="12"/>
      <c r="P10" s="12"/>
      <c r="Q10" s="12"/>
      <c r="R10" s="12"/>
      <c r="S10" s="12"/>
      <c r="T10" s="12"/>
      <c r="U10" s="12"/>
      <c r="V10" s="12"/>
      <c r="W10" s="12"/>
      <c r="X10" s="12"/>
      <c r="Y10" s="12"/>
      <c r="Z10" s="12"/>
    </row>
    <row r="11" ht="15.75" customHeight="1">
      <c r="A11" s="13" t="s">
        <v>461</v>
      </c>
      <c r="B11" s="13" t="s">
        <v>462</v>
      </c>
      <c r="C11" s="13" t="s">
        <v>463</v>
      </c>
      <c r="D11" s="11" t="s">
        <v>36</v>
      </c>
      <c r="E11" s="11" t="s">
        <v>464</v>
      </c>
      <c r="F11" s="11" t="s">
        <v>36</v>
      </c>
      <c r="G11" s="13" t="s">
        <v>412</v>
      </c>
      <c r="H11" s="13" t="s">
        <v>75</v>
      </c>
      <c r="I11" s="13">
        <v>1948.0</v>
      </c>
      <c r="J11" s="12"/>
      <c r="K11" s="11" t="s">
        <v>465</v>
      </c>
      <c r="L11" s="12"/>
      <c r="M11" s="11" t="s">
        <v>466</v>
      </c>
      <c r="N11" s="12"/>
      <c r="O11" s="17" t="s">
        <v>467</v>
      </c>
      <c r="P11" s="12"/>
      <c r="Q11" s="12"/>
      <c r="R11" s="12"/>
      <c r="S11" s="12"/>
      <c r="T11" s="12"/>
      <c r="U11" s="12"/>
      <c r="V11" s="12"/>
      <c r="W11" s="12"/>
      <c r="X11" s="12"/>
      <c r="Y11" s="12"/>
      <c r="Z11" s="12"/>
    </row>
    <row r="12" ht="15.75" customHeight="1">
      <c r="A12" s="13" t="s">
        <v>468</v>
      </c>
      <c r="B12" s="13" t="s">
        <v>469</v>
      </c>
      <c r="C12" s="11" t="s">
        <v>470</v>
      </c>
      <c r="D12" s="11" t="s">
        <v>36</v>
      </c>
      <c r="E12" s="11" t="s">
        <v>471</v>
      </c>
      <c r="F12" s="11" t="s">
        <v>36</v>
      </c>
      <c r="G12" s="13" t="s">
        <v>412</v>
      </c>
      <c r="H12" s="13" t="s">
        <v>25</v>
      </c>
      <c r="I12" s="13">
        <v>1965.0</v>
      </c>
      <c r="J12" s="13">
        <v>1989.0</v>
      </c>
      <c r="K12" s="11" t="s">
        <v>295</v>
      </c>
      <c r="L12" s="12"/>
      <c r="M12" s="12"/>
      <c r="N12" s="12"/>
      <c r="O12" s="12"/>
      <c r="P12" s="12"/>
      <c r="Q12" s="12"/>
      <c r="R12" s="12"/>
      <c r="S12" s="12"/>
      <c r="T12" s="12"/>
      <c r="U12" s="12"/>
      <c r="V12" s="12"/>
      <c r="W12" s="12"/>
      <c r="X12" s="12"/>
      <c r="Y12" s="12"/>
      <c r="Z12" s="12"/>
    </row>
    <row r="13" ht="15.75" customHeight="1">
      <c r="A13" s="13" t="s">
        <v>472</v>
      </c>
      <c r="B13" s="13" t="s">
        <v>473</v>
      </c>
      <c r="C13" s="11" t="s">
        <v>474</v>
      </c>
      <c r="D13" s="11" t="s">
        <v>36</v>
      </c>
      <c r="E13" s="11" t="s">
        <v>475</v>
      </c>
      <c r="F13" s="11" t="s">
        <v>36</v>
      </c>
      <c r="G13" s="13" t="s">
        <v>412</v>
      </c>
      <c r="H13" s="13" t="s">
        <v>75</v>
      </c>
      <c r="I13" s="13">
        <v>1948.0</v>
      </c>
      <c r="J13" s="12"/>
      <c r="K13" s="11" t="s">
        <v>476</v>
      </c>
      <c r="L13" s="12"/>
      <c r="M13" s="11" t="s">
        <v>39</v>
      </c>
      <c r="N13" s="11" t="s">
        <v>477</v>
      </c>
      <c r="O13" s="11" t="s">
        <v>478</v>
      </c>
      <c r="P13" s="11" t="s">
        <v>27</v>
      </c>
      <c r="Q13" s="11" t="s">
        <v>153</v>
      </c>
      <c r="R13" s="17" t="s">
        <v>478</v>
      </c>
      <c r="S13" s="12"/>
      <c r="T13" s="12"/>
      <c r="U13" s="12"/>
      <c r="V13" s="12"/>
      <c r="W13" s="12"/>
      <c r="X13" s="12"/>
      <c r="Y13" s="12"/>
      <c r="Z13" s="12"/>
    </row>
    <row r="14" ht="15.75" customHeight="1">
      <c r="A14" s="13" t="s">
        <v>479</v>
      </c>
      <c r="B14" s="13" t="s">
        <v>480</v>
      </c>
      <c r="C14" s="13" t="s">
        <v>481</v>
      </c>
      <c r="D14" s="11" t="s">
        <v>36</v>
      </c>
      <c r="E14" s="11" t="s">
        <v>482</v>
      </c>
      <c r="F14" s="11" t="s">
        <v>36</v>
      </c>
      <c r="G14" s="13" t="s">
        <v>412</v>
      </c>
      <c r="H14" s="13" t="s">
        <v>75</v>
      </c>
      <c r="I14" s="13">
        <v>1981.0</v>
      </c>
      <c r="J14" s="12"/>
      <c r="K14" s="11" t="s">
        <v>48</v>
      </c>
      <c r="L14" s="12"/>
      <c r="M14" s="11" t="s">
        <v>39</v>
      </c>
      <c r="N14" s="11" t="s">
        <v>153</v>
      </c>
      <c r="O14" s="17" t="s">
        <v>48</v>
      </c>
      <c r="P14" s="12"/>
      <c r="Q14" s="12"/>
      <c r="R14" s="12"/>
      <c r="S14" s="12"/>
      <c r="T14" s="12"/>
      <c r="U14" s="12"/>
      <c r="V14" s="12"/>
      <c r="W14" s="12"/>
      <c r="X14" s="12"/>
      <c r="Y14" s="12"/>
      <c r="Z14" s="12"/>
    </row>
    <row r="15" ht="15.75" customHeight="1">
      <c r="A15" s="13" t="s">
        <v>483</v>
      </c>
      <c r="B15" s="13" t="s">
        <v>484</v>
      </c>
      <c r="C15" s="11" t="s">
        <v>485</v>
      </c>
      <c r="D15" s="11" t="s">
        <v>22</v>
      </c>
      <c r="E15" s="11" t="s">
        <v>486</v>
      </c>
      <c r="F15" s="11" t="s">
        <v>22</v>
      </c>
      <c r="G15" s="13" t="s">
        <v>412</v>
      </c>
      <c r="H15" s="13" t="s">
        <v>75</v>
      </c>
      <c r="I15" s="13">
        <v>1963.0</v>
      </c>
      <c r="J15" s="12"/>
      <c r="K15" s="11" t="s">
        <v>487</v>
      </c>
      <c r="L15" s="12"/>
      <c r="M15" s="12"/>
      <c r="N15" s="12"/>
      <c r="O15" s="12"/>
      <c r="P15" s="12"/>
      <c r="Q15" s="12"/>
      <c r="R15" s="12"/>
      <c r="S15" s="12"/>
      <c r="T15" s="12"/>
      <c r="U15" s="12"/>
      <c r="V15" s="12"/>
      <c r="W15" s="12"/>
      <c r="X15" s="12"/>
      <c r="Y15" s="12"/>
      <c r="Z15" s="12"/>
    </row>
    <row r="16" ht="15.75" customHeight="1">
      <c r="A16" s="13" t="s">
        <v>488</v>
      </c>
      <c r="B16" s="13" t="s">
        <v>489</v>
      </c>
      <c r="C16" s="13" t="s">
        <v>490</v>
      </c>
      <c r="D16" s="13" t="s">
        <v>381</v>
      </c>
      <c r="E16" s="11" t="s">
        <v>491</v>
      </c>
      <c r="F16" s="11" t="s">
        <v>36</v>
      </c>
      <c r="G16" s="13" t="s">
        <v>412</v>
      </c>
      <c r="H16" s="13" t="s">
        <v>25</v>
      </c>
      <c r="I16" s="13">
        <v>1961.0</v>
      </c>
      <c r="J16" s="13">
        <v>1989.0</v>
      </c>
      <c r="K16" s="11" t="s">
        <v>492</v>
      </c>
      <c r="L16" s="12"/>
      <c r="M16" s="12"/>
      <c r="N16" s="12"/>
      <c r="O16" s="12"/>
      <c r="P16" s="12"/>
      <c r="Q16" s="12"/>
      <c r="R16" s="12"/>
      <c r="S16" s="12"/>
      <c r="T16" s="12"/>
      <c r="U16" s="12"/>
      <c r="V16" s="12"/>
      <c r="W16" s="12"/>
      <c r="X16" s="12"/>
      <c r="Y16" s="12"/>
      <c r="Z16" s="12"/>
    </row>
    <row r="17" ht="15.75" customHeight="1">
      <c r="A17" s="13" t="s">
        <v>493</v>
      </c>
      <c r="B17" s="13" t="s">
        <v>494</v>
      </c>
      <c r="C17" s="11" t="s">
        <v>495</v>
      </c>
      <c r="D17" s="11" t="s">
        <v>36</v>
      </c>
      <c r="E17" s="11" t="s">
        <v>496</v>
      </c>
      <c r="F17" s="11" t="s">
        <v>36</v>
      </c>
      <c r="G17" s="13" t="s">
        <v>412</v>
      </c>
      <c r="H17" s="13" t="s">
        <v>131</v>
      </c>
      <c r="I17" s="13">
        <v>1969.0</v>
      </c>
      <c r="J17" s="13" t="s">
        <v>131</v>
      </c>
      <c r="K17" s="11" t="s">
        <v>159</v>
      </c>
      <c r="L17" s="12"/>
      <c r="M17" s="12"/>
      <c r="N17" s="12"/>
      <c r="O17" s="12"/>
      <c r="P17" s="12"/>
      <c r="Q17" s="12"/>
      <c r="R17" s="12"/>
      <c r="S17" s="12"/>
      <c r="T17" s="12"/>
      <c r="U17" s="12"/>
      <c r="V17" s="12"/>
      <c r="W17" s="12"/>
      <c r="X17" s="12"/>
      <c r="Y17" s="12"/>
      <c r="Z17" s="12"/>
    </row>
    <row r="18" ht="15.75" customHeight="1">
      <c r="A18" s="13" t="s">
        <v>497</v>
      </c>
      <c r="B18" s="13" t="s">
        <v>498</v>
      </c>
      <c r="C18" s="13" t="s">
        <v>499</v>
      </c>
      <c r="D18" s="13" t="s">
        <v>381</v>
      </c>
      <c r="E18" s="13" t="s">
        <v>500</v>
      </c>
      <c r="F18" s="11" t="s">
        <v>36</v>
      </c>
      <c r="G18" s="13" t="s">
        <v>412</v>
      </c>
      <c r="H18" s="13" t="s">
        <v>25</v>
      </c>
      <c r="I18" s="13">
        <v>1961.0</v>
      </c>
      <c r="J18" s="13">
        <v>1989.0</v>
      </c>
      <c r="K18" s="11" t="s">
        <v>501</v>
      </c>
      <c r="L18" s="12"/>
      <c r="M18" s="12"/>
      <c r="N18" s="12"/>
      <c r="O18" s="12"/>
      <c r="P18" s="12"/>
      <c r="Q18" s="12"/>
      <c r="R18" s="12"/>
      <c r="S18" s="12"/>
      <c r="T18" s="12"/>
      <c r="U18" s="12"/>
      <c r="V18" s="12"/>
      <c r="W18" s="12"/>
      <c r="X18" s="12"/>
      <c r="Y18" s="12"/>
      <c r="Z18" s="12"/>
    </row>
    <row r="19" ht="15.75" customHeight="1">
      <c r="A19" s="13" t="s">
        <v>502</v>
      </c>
      <c r="B19" s="13" t="s">
        <v>503</v>
      </c>
      <c r="C19" s="11" t="s">
        <v>504</v>
      </c>
      <c r="D19" s="11" t="s">
        <v>36</v>
      </c>
      <c r="E19" s="13" t="s">
        <v>505</v>
      </c>
      <c r="F19" s="11" t="s">
        <v>36</v>
      </c>
      <c r="G19" s="13" t="s">
        <v>412</v>
      </c>
      <c r="H19" s="13" t="s">
        <v>75</v>
      </c>
      <c r="I19" s="13">
        <v>1947.0</v>
      </c>
      <c r="J19" s="12"/>
      <c r="K19" s="11" t="s">
        <v>506</v>
      </c>
      <c r="L19" s="12"/>
      <c r="M19" s="11" t="s">
        <v>39</v>
      </c>
      <c r="N19" s="11" t="s">
        <v>188</v>
      </c>
      <c r="O19" s="17" t="s">
        <v>48</v>
      </c>
      <c r="P19" s="12"/>
      <c r="Q19" s="12"/>
      <c r="R19" s="12"/>
      <c r="S19" s="12"/>
      <c r="T19" s="12"/>
      <c r="U19" s="12"/>
      <c r="V19" s="12"/>
      <c r="W19" s="12"/>
      <c r="X19" s="12"/>
      <c r="Y19" s="12"/>
      <c r="Z19" s="12"/>
    </row>
    <row r="20" ht="15.75" customHeight="1">
      <c r="A20" s="13" t="s">
        <v>507</v>
      </c>
      <c r="B20" s="13" t="s">
        <v>508</v>
      </c>
      <c r="C20" s="13" t="s">
        <v>509</v>
      </c>
      <c r="D20" s="11" t="s">
        <v>36</v>
      </c>
      <c r="E20" s="11" t="s">
        <v>510</v>
      </c>
      <c r="F20" s="11" t="s">
        <v>36</v>
      </c>
      <c r="G20" s="13" t="s">
        <v>412</v>
      </c>
      <c r="H20" s="13" t="s">
        <v>75</v>
      </c>
      <c r="I20" s="13">
        <v>1962.0</v>
      </c>
      <c r="J20" s="12"/>
      <c r="K20" s="11" t="s">
        <v>511</v>
      </c>
      <c r="L20" s="12"/>
      <c r="M20" s="11" t="s">
        <v>39</v>
      </c>
      <c r="N20" s="11" t="s">
        <v>512</v>
      </c>
      <c r="O20" s="11" t="s">
        <v>513</v>
      </c>
      <c r="P20" s="12"/>
      <c r="Q20" s="12"/>
      <c r="R20" s="12"/>
      <c r="S20" s="12"/>
      <c r="T20" s="12"/>
      <c r="U20" s="12"/>
      <c r="V20" s="12"/>
      <c r="W20" s="12"/>
      <c r="X20" s="12"/>
      <c r="Y20" s="12"/>
      <c r="Z20" s="12"/>
    </row>
    <row r="21" ht="15.75" customHeight="1">
      <c r="A21" s="13" t="s">
        <v>514</v>
      </c>
      <c r="B21" s="13" t="s">
        <v>515</v>
      </c>
      <c r="C21" s="11" t="s">
        <v>516</v>
      </c>
      <c r="D21" s="11" t="s">
        <v>22</v>
      </c>
      <c r="E21" s="11" t="s">
        <v>517</v>
      </c>
      <c r="F21" s="11" t="s">
        <v>22</v>
      </c>
      <c r="G21" s="13" t="s">
        <v>412</v>
      </c>
      <c r="H21" s="13" t="s">
        <v>75</v>
      </c>
      <c r="I21" s="13">
        <v>1965.0</v>
      </c>
      <c r="J21" s="12"/>
      <c r="K21" s="11" t="s">
        <v>518</v>
      </c>
      <c r="L21" s="12"/>
      <c r="M21" s="11" t="s">
        <v>39</v>
      </c>
      <c r="N21" s="11" t="s">
        <v>251</v>
      </c>
      <c r="O21" s="17" t="s">
        <v>519</v>
      </c>
      <c r="P21" s="12"/>
      <c r="Q21" s="12"/>
      <c r="R21" s="12"/>
      <c r="S21" s="12"/>
      <c r="T21" s="12"/>
      <c r="U21" s="12"/>
      <c r="V21" s="12"/>
      <c r="W21" s="12"/>
      <c r="X21" s="12"/>
      <c r="Y21" s="12"/>
      <c r="Z21" s="12"/>
    </row>
    <row r="22" ht="15.75" customHeight="1">
      <c r="A22" s="13" t="s">
        <v>520</v>
      </c>
      <c r="B22" s="13" t="s">
        <v>521</v>
      </c>
      <c r="C22" s="11" t="s">
        <v>522</v>
      </c>
      <c r="D22" s="11" t="s">
        <v>36</v>
      </c>
      <c r="E22" s="11" t="s">
        <v>523</v>
      </c>
      <c r="F22" s="11" t="s">
        <v>36</v>
      </c>
      <c r="G22" s="13" t="s">
        <v>412</v>
      </c>
      <c r="H22" s="13" t="s">
        <v>75</v>
      </c>
      <c r="I22" s="13">
        <v>1985.0</v>
      </c>
      <c r="J22" s="12"/>
      <c r="K22" s="11" t="s">
        <v>524</v>
      </c>
      <c r="L22" s="12"/>
      <c r="M22" s="11" t="s">
        <v>525</v>
      </c>
      <c r="N22" s="11" t="s">
        <v>526</v>
      </c>
      <c r="O22" s="17" t="s">
        <v>527</v>
      </c>
      <c r="P22" s="11" t="s">
        <v>528</v>
      </c>
      <c r="Q22" s="11" t="s">
        <v>529</v>
      </c>
      <c r="R22" s="17" t="s">
        <v>527</v>
      </c>
      <c r="S22" s="12"/>
      <c r="T22" s="12"/>
      <c r="U22" s="12"/>
      <c r="V22" s="12"/>
      <c r="W22" s="12"/>
      <c r="X22" s="12"/>
      <c r="Y22" s="12"/>
      <c r="Z22" s="12"/>
    </row>
    <row r="23" ht="15.75" customHeight="1">
      <c r="A23" s="13" t="s">
        <v>530</v>
      </c>
      <c r="B23" s="13" t="s">
        <v>531</v>
      </c>
      <c r="C23" s="13" t="s">
        <v>532</v>
      </c>
      <c r="D23" s="11" t="s">
        <v>36</v>
      </c>
      <c r="E23" s="11" t="s">
        <v>533</v>
      </c>
      <c r="F23" s="11" t="s">
        <v>36</v>
      </c>
      <c r="G23" s="13" t="s">
        <v>412</v>
      </c>
      <c r="H23" s="13" t="s">
        <v>131</v>
      </c>
      <c r="I23" s="13">
        <v>1959.0</v>
      </c>
      <c r="J23" s="13" t="s">
        <v>131</v>
      </c>
      <c r="K23" s="11" t="s">
        <v>534</v>
      </c>
      <c r="L23" s="12"/>
      <c r="M23" s="11" t="s">
        <v>39</v>
      </c>
      <c r="N23" s="12"/>
      <c r="O23" s="17" t="s">
        <v>535</v>
      </c>
      <c r="P23" s="12"/>
      <c r="Q23" s="12"/>
      <c r="R23" s="12"/>
      <c r="S23" s="12"/>
      <c r="T23" s="12"/>
      <c r="U23" s="12"/>
      <c r="V23" s="12"/>
      <c r="W23" s="12"/>
      <c r="X23" s="12"/>
      <c r="Y23" s="12"/>
      <c r="Z23" s="12"/>
    </row>
    <row r="24" ht="15.75" customHeight="1">
      <c r="A24" s="13" t="s">
        <v>536</v>
      </c>
      <c r="B24" s="13" t="s">
        <v>537</v>
      </c>
      <c r="C24" s="11" t="s">
        <v>538</v>
      </c>
      <c r="D24" s="11" t="s">
        <v>36</v>
      </c>
      <c r="E24" s="11" t="s">
        <v>539</v>
      </c>
      <c r="F24" s="11" t="s">
        <v>36</v>
      </c>
      <c r="G24" s="13" t="s">
        <v>412</v>
      </c>
      <c r="H24" s="13" t="s">
        <v>75</v>
      </c>
      <c r="I24" s="13">
        <v>1949.0</v>
      </c>
      <c r="J24" s="12"/>
      <c r="K24" s="11" t="s">
        <v>540</v>
      </c>
      <c r="L24" s="12"/>
      <c r="M24" s="11" t="s">
        <v>39</v>
      </c>
      <c r="N24" s="17"/>
      <c r="O24" s="17" t="s">
        <v>541</v>
      </c>
      <c r="P24" s="11" t="s">
        <v>27</v>
      </c>
      <c r="Q24" s="12"/>
      <c r="R24" s="17" t="s">
        <v>542</v>
      </c>
      <c r="S24" s="12"/>
      <c r="T24" s="12"/>
      <c r="U24" s="12"/>
      <c r="V24" s="12"/>
      <c r="W24" s="12"/>
      <c r="X24" s="12"/>
      <c r="Y24" s="12"/>
      <c r="Z24" s="12"/>
    </row>
    <row r="25" ht="15.75" customHeight="1">
      <c r="A25" s="13" t="s">
        <v>543</v>
      </c>
      <c r="B25" s="13" t="s">
        <v>544</v>
      </c>
      <c r="C25" s="11" t="s">
        <v>545</v>
      </c>
      <c r="D25" s="11" t="s">
        <v>36</v>
      </c>
      <c r="E25" s="11" t="s">
        <v>546</v>
      </c>
      <c r="F25" s="11" t="s">
        <v>36</v>
      </c>
      <c r="G25" s="13" t="s">
        <v>412</v>
      </c>
      <c r="H25" s="13" t="s">
        <v>75</v>
      </c>
      <c r="I25" s="13">
        <v>1955.0</v>
      </c>
      <c r="J25" s="12"/>
      <c r="K25" s="11" t="s">
        <v>547</v>
      </c>
      <c r="L25" s="12"/>
      <c r="M25" s="11" t="s">
        <v>548</v>
      </c>
      <c r="N25" s="11" t="s">
        <v>153</v>
      </c>
      <c r="O25" s="17" t="s">
        <v>549</v>
      </c>
      <c r="P25" s="11" t="s">
        <v>550</v>
      </c>
      <c r="Q25" s="11" t="s">
        <v>47</v>
      </c>
      <c r="R25" s="17" t="s">
        <v>549</v>
      </c>
      <c r="S25" s="12"/>
      <c r="T25" s="12"/>
      <c r="U25" s="12"/>
      <c r="V25" s="12"/>
      <c r="W25" s="12"/>
      <c r="X25" s="12"/>
      <c r="Y25" s="12"/>
      <c r="Z25" s="12"/>
    </row>
    <row r="26" ht="15.75" customHeight="1">
      <c r="A26" s="12"/>
      <c r="B26" s="12"/>
      <c r="C26" s="13"/>
      <c r="D26" s="13"/>
      <c r="E26" s="13"/>
      <c r="F26" s="12"/>
      <c r="G26" s="12"/>
      <c r="H26" s="12"/>
      <c r="I26" s="12"/>
      <c r="J26" s="12"/>
      <c r="K26" s="12"/>
      <c r="L26" s="12"/>
      <c r="M26" s="12"/>
      <c r="N26" s="12"/>
      <c r="O26" s="12"/>
      <c r="P26" s="12"/>
      <c r="Q26" s="12"/>
      <c r="R26" s="12"/>
      <c r="S26" s="12"/>
      <c r="T26" s="12"/>
      <c r="U26" s="12"/>
      <c r="V26" s="12"/>
      <c r="W26" s="12"/>
      <c r="X26" s="12"/>
      <c r="Y26" s="12"/>
      <c r="Z26" s="12"/>
    </row>
    <row r="27" ht="15.75" customHeight="1">
      <c r="A27" s="12"/>
      <c r="B27" s="12"/>
      <c r="C27" s="13"/>
      <c r="D27" s="13"/>
      <c r="E27" s="13"/>
      <c r="F27" s="12"/>
      <c r="G27" s="12"/>
      <c r="H27" s="12"/>
      <c r="I27" s="12"/>
      <c r="J27" s="12"/>
      <c r="K27" s="12"/>
      <c r="L27" s="12"/>
      <c r="M27" s="12"/>
      <c r="N27" s="12"/>
      <c r="O27" s="12"/>
      <c r="P27" s="12"/>
      <c r="Q27" s="12"/>
      <c r="R27" s="12"/>
      <c r="S27" s="12"/>
      <c r="T27" s="12"/>
      <c r="U27" s="12"/>
      <c r="V27" s="12"/>
      <c r="W27" s="12"/>
      <c r="X27" s="12"/>
      <c r="Y27" s="12"/>
      <c r="Z27" s="12"/>
    </row>
    <row r="28" ht="15.75" customHeight="1">
      <c r="A28" s="12"/>
      <c r="B28" s="12"/>
      <c r="C28" s="13"/>
      <c r="D28" s="13"/>
      <c r="E28" s="13"/>
      <c r="F28" s="12"/>
      <c r="G28" s="12"/>
      <c r="H28" s="12"/>
      <c r="I28" s="12"/>
      <c r="J28" s="12"/>
      <c r="K28" s="12"/>
      <c r="L28" s="12"/>
      <c r="M28" s="12"/>
      <c r="N28" s="12"/>
      <c r="O28" s="12"/>
      <c r="P28" s="12"/>
      <c r="Q28" s="12"/>
      <c r="R28" s="12"/>
      <c r="S28" s="12"/>
      <c r="T28" s="12"/>
      <c r="U28" s="12"/>
      <c r="V28" s="12"/>
      <c r="W28" s="12"/>
      <c r="X28" s="12"/>
      <c r="Y28" s="12"/>
      <c r="Z28" s="12"/>
    </row>
    <row r="29" ht="15.75" customHeight="1">
      <c r="A29" s="12"/>
      <c r="B29" s="12"/>
      <c r="C29" s="13"/>
      <c r="D29" s="13"/>
      <c r="E29" s="13"/>
      <c r="F29" s="12"/>
      <c r="G29" s="12"/>
      <c r="H29" s="12"/>
      <c r="I29" s="12"/>
      <c r="J29" s="12"/>
      <c r="K29" s="12"/>
      <c r="L29" s="12"/>
      <c r="M29" s="12"/>
      <c r="N29" s="12"/>
      <c r="O29" s="12"/>
      <c r="P29" s="12"/>
      <c r="Q29" s="12"/>
      <c r="R29" s="12"/>
      <c r="S29" s="12"/>
      <c r="T29" s="12"/>
      <c r="U29" s="12"/>
      <c r="V29" s="12"/>
      <c r="W29" s="12"/>
      <c r="X29" s="12"/>
      <c r="Y29" s="12"/>
      <c r="Z29" s="12"/>
    </row>
    <row r="30" ht="15.75" customHeight="1">
      <c r="A30" s="12"/>
      <c r="B30" s="12"/>
      <c r="C30" s="13"/>
      <c r="D30" s="13"/>
      <c r="E30" s="13"/>
      <c r="F30" s="12"/>
      <c r="G30" s="12"/>
      <c r="H30" s="12"/>
      <c r="I30" s="12"/>
      <c r="J30" s="12"/>
      <c r="K30" s="12"/>
      <c r="L30" s="12"/>
      <c r="M30" s="12"/>
      <c r="N30" s="12"/>
      <c r="O30" s="12"/>
      <c r="P30" s="12"/>
      <c r="Q30" s="12"/>
      <c r="R30" s="12"/>
      <c r="S30" s="12"/>
      <c r="T30" s="12"/>
      <c r="U30" s="12"/>
      <c r="V30" s="12"/>
      <c r="W30" s="12"/>
      <c r="X30" s="12"/>
      <c r="Y30" s="12"/>
      <c r="Z30" s="12"/>
    </row>
    <row r="31" ht="15.75" customHeight="1">
      <c r="A31" s="12"/>
      <c r="B31" s="12"/>
      <c r="C31" s="13"/>
      <c r="D31" s="13"/>
      <c r="E31" s="13"/>
      <c r="F31" s="12"/>
      <c r="G31" s="12"/>
      <c r="H31" s="12"/>
      <c r="I31" s="12"/>
      <c r="J31" s="12"/>
      <c r="K31" s="12"/>
      <c r="L31" s="12"/>
      <c r="M31" s="12"/>
      <c r="N31" s="12"/>
      <c r="O31" s="12"/>
      <c r="P31" s="12"/>
      <c r="Q31" s="12"/>
      <c r="R31" s="12"/>
      <c r="S31" s="12"/>
      <c r="T31" s="12"/>
      <c r="U31" s="12"/>
      <c r="V31" s="12"/>
      <c r="W31" s="12"/>
      <c r="X31" s="12"/>
      <c r="Y31" s="12"/>
      <c r="Z31" s="12"/>
    </row>
    <row r="32" ht="15.75" customHeight="1">
      <c r="A32" s="12"/>
      <c r="B32" s="12"/>
      <c r="C32" s="13"/>
      <c r="D32" s="13"/>
      <c r="E32" s="13"/>
      <c r="F32" s="12"/>
      <c r="G32" s="12"/>
      <c r="H32" s="12"/>
      <c r="I32" s="12"/>
      <c r="J32" s="12"/>
      <c r="K32" s="12"/>
      <c r="L32" s="12"/>
      <c r="M32" s="12"/>
      <c r="N32" s="12"/>
      <c r="O32" s="12"/>
      <c r="P32" s="12"/>
      <c r="Q32" s="12"/>
      <c r="R32" s="12"/>
      <c r="S32" s="12"/>
      <c r="T32" s="12"/>
      <c r="U32" s="12"/>
      <c r="V32" s="12"/>
      <c r="W32" s="12"/>
      <c r="X32" s="12"/>
      <c r="Y32" s="12"/>
      <c r="Z32" s="12"/>
    </row>
    <row r="33" ht="15.75" customHeight="1">
      <c r="A33" s="12"/>
      <c r="B33" s="12"/>
      <c r="C33" s="13"/>
      <c r="D33" s="13"/>
      <c r="E33" s="13"/>
      <c r="F33" s="12"/>
      <c r="G33" s="12"/>
      <c r="H33" s="12"/>
      <c r="I33" s="12"/>
      <c r="J33" s="12"/>
      <c r="K33" s="12"/>
      <c r="L33" s="12"/>
      <c r="M33" s="12"/>
      <c r="N33" s="12"/>
      <c r="O33" s="12"/>
      <c r="P33" s="12"/>
      <c r="Q33" s="12"/>
      <c r="R33" s="12"/>
      <c r="S33" s="12"/>
      <c r="T33" s="12"/>
      <c r="U33" s="12"/>
      <c r="V33" s="12"/>
      <c r="W33" s="12"/>
      <c r="X33" s="12"/>
      <c r="Y33" s="12"/>
      <c r="Z33" s="12"/>
    </row>
    <row r="34" ht="15.75" customHeight="1">
      <c r="A34" s="12"/>
      <c r="B34" s="12"/>
      <c r="C34" s="13"/>
      <c r="D34" s="13"/>
      <c r="E34" s="13"/>
      <c r="F34" s="12"/>
      <c r="G34" s="12"/>
      <c r="H34" s="12"/>
      <c r="I34" s="12"/>
      <c r="J34" s="12"/>
      <c r="K34" s="12"/>
      <c r="L34" s="12"/>
      <c r="M34" s="12"/>
      <c r="N34" s="12"/>
      <c r="O34" s="12"/>
      <c r="P34" s="12"/>
      <c r="Q34" s="12"/>
      <c r="R34" s="12"/>
      <c r="S34" s="12"/>
      <c r="T34" s="12"/>
      <c r="U34" s="12"/>
      <c r="V34" s="12"/>
      <c r="W34" s="12"/>
      <c r="X34" s="12"/>
      <c r="Y34" s="12"/>
      <c r="Z34" s="12"/>
    </row>
    <row r="35" ht="15.75" customHeight="1">
      <c r="A35" s="12"/>
      <c r="B35" s="12"/>
      <c r="C35" s="13"/>
      <c r="D35" s="13"/>
      <c r="E35" s="13"/>
      <c r="F35" s="12"/>
      <c r="G35" s="12"/>
      <c r="H35" s="12"/>
      <c r="I35" s="12"/>
      <c r="J35" s="12"/>
      <c r="K35" s="12"/>
      <c r="L35" s="12"/>
      <c r="M35" s="12"/>
      <c r="N35" s="12"/>
      <c r="O35" s="12"/>
      <c r="P35" s="12"/>
      <c r="Q35" s="12"/>
      <c r="R35" s="12"/>
      <c r="S35" s="12"/>
      <c r="T35" s="12"/>
      <c r="U35" s="12"/>
      <c r="V35" s="12"/>
      <c r="W35" s="12"/>
      <c r="X35" s="12"/>
      <c r="Y35" s="12"/>
      <c r="Z35" s="12"/>
    </row>
    <row r="36" ht="15.75" customHeight="1">
      <c r="A36" s="12"/>
      <c r="B36" s="12"/>
      <c r="C36" s="13"/>
      <c r="D36" s="13"/>
      <c r="E36" s="13"/>
      <c r="F36" s="12"/>
      <c r="G36" s="12"/>
      <c r="H36" s="12"/>
      <c r="I36" s="12"/>
      <c r="J36" s="12"/>
      <c r="K36" s="12"/>
      <c r="L36" s="12"/>
      <c r="M36" s="12"/>
      <c r="N36" s="12"/>
      <c r="O36" s="12"/>
      <c r="P36" s="12"/>
      <c r="Q36" s="12"/>
      <c r="R36" s="12"/>
      <c r="S36" s="12"/>
      <c r="T36" s="12"/>
      <c r="U36" s="12"/>
      <c r="V36" s="12"/>
      <c r="W36" s="12"/>
      <c r="X36" s="12"/>
      <c r="Y36" s="12"/>
      <c r="Z36" s="12"/>
    </row>
    <row r="37" ht="15.75" customHeight="1">
      <c r="A37" s="12"/>
      <c r="B37" s="12"/>
      <c r="C37" s="13"/>
      <c r="D37" s="13"/>
      <c r="E37" s="13"/>
      <c r="F37" s="12"/>
      <c r="G37" s="12"/>
      <c r="H37" s="12"/>
      <c r="I37" s="12"/>
      <c r="J37" s="12"/>
      <c r="K37" s="12"/>
      <c r="L37" s="12"/>
      <c r="M37" s="12"/>
      <c r="N37" s="12"/>
      <c r="O37" s="12"/>
      <c r="P37" s="12"/>
      <c r="Q37" s="12"/>
      <c r="R37" s="12"/>
      <c r="S37" s="12"/>
      <c r="T37" s="12"/>
      <c r="U37" s="12"/>
      <c r="V37" s="12"/>
      <c r="W37" s="12"/>
      <c r="X37" s="12"/>
      <c r="Y37" s="12"/>
      <c r="Z37" s="12"/>
    </row>
    <row r="38" ht="15.75" customHeight="1">
      <c r="A38" s="12"/>
      <c r="B38" s="12"/>
      <c r="C38" s="13"/>
      <c r="D38" s="13"/>
      <c r="E38" s="13"/>
      <c r="F38" s="12"/>
      <c r="G38" s="12"/>
      <c r="H38" s="12"/>
      <c r="I38" s="12"/>
      <c r="J38" s="12"/>
      <c r="K38" s="12"/>
      <c r="L38" s="12"/>
      <c r="M38" s="12"/>
      <c r="N38" s="12"/>
      <c r="O38" s="12"/>
      <c r="P38" s="12"/>
      <c r="Q38" s="12"/>
      <c r="R38" s="12"/>
      <c r="S38" s="12"/>
      <c r="T38" s="12"/>
      <c r="U38" s="12"/>
      <c r="V38" s="12"/>
      <c r="W38" s="12"/>
      <c r="X38" s="12"/>
      <c r="Y38" s="12"/>
      <c r="Z38" s="12"/>
    </row>
    <row r="39" ht="15.75" customHeight="1">
      <c r="A39" s="12"/>
      <c r="B39" s="12"/>
      <c r="C39" s="13"/>
      <c r="D39" s="13"/>
      <c r="E39" s="13"/>
      <c r="F39" s="12"/>
      <c r="G39" s="12"/>
      <c r="H39" s="12"/>
      <c r="I39" s="12"/>
      <c r="J39" s="12"/>
      <c r="K39" s="12"/>
      <c r="L39" s="12"/>
      <c r="M39" s="12"/>
      <c r="N39" s="12"/>
      <c r="O39" s="12"/>
      <c r="P39" s="12"/>
      <c r="Q39" s="12"/>
      <c r="R39" s="12"/>
      <c r="S39" s="12"/>
      <c r="T39" s="12"/>
      <c r="U39" s="12"/>
      <c r="V39" s="12"/>
      <c r="W39" s="12"/>
      <c r="X39" s="12"/>
      <c r="Y39" s="12"/>
      <c r="Z39" s="12"/>
    </row>
    <row r="40" ht="15.75" customHeight="1">
      <c r="A40" s="12"/>
      <c r="B40" s="12"/>
      <c r="C40" s="13"/>
      <c r="D40" s="13"/>
      <c r="E40" s="13"/>
      <c r="F40" s="12"/>
      <c r="G40" s="12"/>
      <c r="H40" s="12"/>
      <c r="I40" s="12"/>
      <c r="J40" s="12"/>
      <c r="K40" s="12"/>
      <c r="L40" s="12"/>
      <c r="M40" s="12"/>
      <c r="N40" s="12"/>
      <c r="O40" s="12"/>
      <c r="P40" s="12"/>
      <c r="Q40" s="12"/>
      <c r="R40" s="12"/>
      <c r="S40" s="12"/>
      <c r="T40" s="12"/>
      <c r="U40" s="12"/>
      <c r="V40" s="12"/>
      <c r="W40" s="12"/>
      <c r="X40" s="12"/>
      <c r="Y40" s="12"/>
      <c r="Z40" s="12"/>
    </row>
    <row r="41" ht="15.75" customHeight="1">
      <c r="A41" s="12"/>
      <c r="B41" s="12"/>
      <c r="C41" s="13"/>
      <c r="D41" s="13"/>
      <c r="E41" s="13"/>
      <c r="F41" s="12"/>
      <c r="G41" s="12"/>
      <c r="H41" s="12"/>
      <c r="I41" s="12"/>
      <c r="J41" s="12"/>
      <c r="K41" s="12"/>
      <c r="L41" s="12"/>
      <c r="M41" s="12"/>
      <c r="N41" s="12"/>
      <c r="O41" s="12"/>
      <c r="P41" s="12"/>
      <c r="Q41" s="12"/>
      <c r="R41" s="12"/>
      <c r="S41" s="12"/>
      <c r="T41" s="12"/>
      <c r="U41" s="12"/>
      <c r="V41" s="12"/>
      <c r="W41" s="12"/>
      <c r="X41" s="12"/>
      <c r="Y41" s="12"/>
      <c r="Z41" s="12"/>
    </row>
    <row r="42" ht="15.75" customHeight="1">
      <c r="A42" s="12"/>
      <c r="B42" s="12"/>
      <c r="C42" s="13"/>
      <c r="D42" s="13"/>
      <c r="E42" s="13"/>
      <c r="F42" s="12"/>
      <c r="G42" s="12"/>
      <c r="H42" s="12"/>
      <c r="I42" s="12"/>
      <c r="J42" s="12"/>
      <c r="K42" s="12"/>
      <c r="L42" s="12"/>
      <c r="M42" s="12"/>
      <c r="N42" s="12"/>
      <c r="O42" s="12"/>
      <c r="P42" s="12"/>
      <c r="Q42" s="12"/>
      <c r="R42" s="12"/>
      <c r="S42" s="12"/>
      <c r="T42" s="12"/>
      <c r="U42" s="12"/>
      <c r="V42" s="12"/>
      <c r="W42" s="12"/>
      <c r="X42" s="12"/>
      <c r="Y42" s="12"/>
      <c r="Z42" s="12"/>
    </row>
    <row r="43" ht="15.75" customHeight="1">
      <c r="A43" s="12"/>
      <c r="B43" s="12"/>
      <c r="C43" s="13"/>
      <c r="D43" s="13"/>
      <c r="E43" s="13"/>
      <c r="F43" s="12"/>
      <c r="G43" s="12"/>
      <c r="H43" s="12"/>
      <c r="I43" s="12"/>
      <c r="J43" s="12"/>
      <c r="K43" s="12"/>
      <c r="L43" s="12"/>
      <c r="M43" s="12"/>
      <c r="N43" s="12"/>
      <c r="O43" s="12"/>
      <c r="P43" s="12"/>
      <c r="Q43" s="12"/>
      <c r="R43" s="12"/>
      <c r="S43" s="12"/>
      <c r="T43" s="12"/>
      <c r="U43" s="12"/>
      <c r="V43" s="12"/>
      <c r="W43" s="12"/>
      <c r="X43" s="12"/>
      <c r="Y43" s="12"/>
      <c r="Z43" s="12"/>
    </row>
    <row r="44" ht="15.75" customHeight="1">
      <c r="A44" s="12"/>
      <c r="B44" s="12"/>
      <c r="C44" s="13"/>
      <c r="D44" s="13"/>
      <c r="E44" s="13"/>
      <c r="F44" s="12"/>
      <c r="G44" s="12"/>
      <c r="H44" s="12"/>
      <c r="I44" s="12"/>
      <c r="J44" s="12"/>
      <c r="K44" s="12"/>
      <c r="L44" s="12"/>
      <c r="M44" s="12"/>
      <c r="N44" s="12"/>
      <c r="O44" s="12"/>
      <c r="P44" s="12"/>
      <c r="Q44" s="12"/>
      <c r="R44" s="12"/>
      <c r="S44" s="12"/>
      <c r="T44" s="12"/>
      <c r="U44" s="12"/>
      <c r="V44" s="12"/>
      <c r="W44" s="12"/>
      <c r="X44" s="12"/>
      <c r="Y44" s="12"/>
      <c r="Z44" s="12"/>
    </row>
    <row r="45" ht="15.75" customHeight="1">
      <c r="A45" s="12"/>
      <c r="B45" s="12"/>
      <c r="C45" s="13"/>
      <c r="D45" s="13"/>
      <c r="E45" s="13"/>
      <c r="F45" s="12"/>
      <c r="G45" s="12"/>
      <c r="H45" s="12"/>
      <c r="I45" s="12"/>
      <c r="J45" s="12"/>
      <c r="K45" s="12"/>
      <c r="L45" s="12"/>
      <c r="M45" s="12"/>
      <c r="N45" s="12"/>
      <c r="O45" s="12"/>
      <c r="P45" s="12"/>
      <c r="Q45" s="12"/>
      <c r="R45" s="12"/>
      <c r="S45" s="12"/>
      <c r="T45" s="12"/>
      <c r="U45" s="12"/>
      <c r="V45" s="12"/>
      <c r="W45" s="12"/>
      <c r="X45" s="12"/>
      <c r="Y45" s="12"/>
      <c r="Z45" s="12"/>
    </row>
    <row r="46" ht="15.75" customHeight="1">
      <c r="A46" s="12"/>
      <c r="B46" s="12"/>
      <c r="C46" s="13"/>
      <c r="D46" s="13"/>
      <c r="E46" s="13"/>
      <c r="F46" s="12"/>
      <c r="G46" s="12"/>
      <c r="H46" s="12"/>
      <c r="I46" s="12"/>
      <c r="J46" s="12"/>
      <c r="K46" s="12"/>
      <c r="L46" s="12"/>
      <c r="M46" s="12"/>
      <c r="N46" s="12"/>
      <c r="O46" s="12"/>
      <c r="P46" s="12"/>
      <c r="Q46" s="12"/>
      <c r="R46" s="12"/>
      <c r="S46" s="12"/>
      <c r="T46" s="12"/>
      <c r="U46" s="12"/>
      <c r="V46" s="12"/>
      <c r="W46" s="12"/>
      <c r="X46" s="12"/>
      <c r="Y46" s="12"/>
      <c r="Z46" s="12"/>
    </row>
    <row r="47" ht="15.75" customHeight="1">
      <c r="A47" s="12"/>
      <c r="B47" s="12"/>
      <c r="C47" s="13"/>
      <c r="D47" s="13"/>
      <c r="E47" s="13"/>
      <c r="F47" s="12"/>
      <c r="G47" s="12"/>
      <c r="H47" s="12"/>
      <c r="I47" s="12"/>
      <c r="J47" s="12"/>
      <c r="K47" s="12"/>
      <c r="L47" s="12"/>
      <c r="M47" s="12"/>
      <c r="N47" s="12"/>
      <c r="O47" s="12"/>
      <c r="P47" s="12"/>
      <c r="Q47" s="12"/>
      <c r="R47" s="12"/>
      <c r="S47" s="12"/>
      <c r="T47" s="12"/>
      <c r="U47" s="12"/>
      <c r="V47" s="12"/>
      <c r="W47" s="12"/>
      <c r="X47" s="12"/>
      <c r="Y47" s="12"/>
      <c r="Z47" s="12"/>
    </row>
    <row r="48" ht="15.75" customHeight="1">
      <c r="A48" s="12"/>
      <c r="B48" s="12"/>
      <c r="C48" s="13"/>
      <c r="D48" s="13"/>
      <c r="E48" s="13"/>
      <c r="F48" s="12"/>
      <c r="G48" s="12"/>
      <c r="H48" s="12"/>
      <c r="I48" s="12"/>
      <c r="J48" s="12"/>
      <c r="K48" s="12"/>
      <c r="L48" s="12"/>
      <c r="M48" s="12"/>
      <c r="N48" s="12"/>
      <c r="O48" s="12"/>
      <c r="P48" s="12"/>
      <c r="Q48" s="12"/>
      <c r="R48" s="12"/>
      <c r="S48" s="12"/>
      <c r="T48" s="12"/>
      <c r="U48" s="12"/>
      <c r="V48" s="12"/>
      <c r="W48" s="12"/>
      <c r="X48" s="12"/>
      <c r="Y48" s="12"/>
      <c r="Z48" s="12"/>
    </row>
    <row r="49" ht="15.75" customHeight="1">
      <c r="A49" s="12"/>
      <c r="B49" s="12"/>
      <c r="C49" s="13"/>
      <c r="D49" s="13"/>
      <c r="E49" s="13"/>
      <c r="F49" s="12"/>
      <c r="G49" s="12"/>
      <c r="H49" s="12"/>
      <c r="I49" s="12"/>
      <c r="J49" s="12"/>
      <c r="K49" s="12"/>
      <c r="L49" s="12"/>
      <c r="M49" s="12"/>
      <c r="N49" s="12"/>
      <c r="O49" s="12"/>
      <c r="P49" s="12"/>
      <c r="Q49" s="12"/>
      <c r="R49" s="12"/>
      <c r="S49" s="12"/>
      <c r="T49" s="12"/>
      <c r="U49" s="12"/>
      <c r="V49" s="12"/>
      <c r="W49" s="12"/>
      <c r="X49" s="12"/>
      <c r="Y49" s="12"/>
      <c r="Z49" s="12"/>
    </row>
    <row r="50" ht="15.75" customHeight="1">
      <c r="A50" s="12"/>
      <c r="B50" s="12"/>
      <c r="C50" s="13"/>
      <c r="D50" s="13"/>
      <c r="E50" s="13"/>
      <c r="F50" s="12"/>
      <c r="G50" s="12"/>
      <c r="H50" s="12"/>
      <c r="I50" s="12"/>
      <c r="J50" s="12"/>
      <c r="K50" s="12"/>
      <c r="L50" s="12"/>
      <c r="M50" s="12"/>
      <c r="N50" s="12"/>
      <c r="O50" s="12"/>
      <c r="P50" s="12"/>
      <c r="Q50" s="12"/>
      <c r="R50" s="12"/>
      <c r="S50" s="12"/>
      <c r="T50" s="12"/>
      <c r="U50" s="12"/>
      <c r="V50" s="12"/>
      <c r="W50" s="12"/>
      <c r="X50" s="12"/>
      <c r="Y50" s="12"/>
      <c r="Z50" s="12"/>
    </row>
    <row r="51" ht="15.75" customHeight="1">
      <c r="A51" s="12"/>
      <c r="B51" s="12"/>
      <c r="C51" s="13"/>
      <c r="D51" s="13"/>
      <c r="E51" s="13"/>
      <c r="F51" s="12"/>
      <c r="G51" s="12"/>
      <c r="H51" s="12"/>
      <c r="I51" s="12"/>
      <c r="J51" s="12"/>
      <c r="K51" s="12"/>
      <c r="L51" s="12"/>
      <c r="M51" s="12"/>
      <c r="N51" s="12"/>
      <c r="O51" s="12"/>
      <c r="P51" s="12"/>
      <c r="Q51" s="12"/>
      <c r="R51" s="12"/>
      <c r="S51" s="12"/>
      <c r="T51" s="12"/>
      <c r="U51" s="12"/>
      <c r="V51" s="12"/>
      <c r="W51" s="12"/>
      <c r="X51" s="12"/>
      <c r="Y51" s="12"/>
      <c r="Z51" s="12"/>
    </row>
    <row r="52" ht="15.75" customHeight="1">
      <c r="A52" s="12"/>
      <c r="B52" s="12"/>
      <c r="C52" s="13"/>
      <c r="D52" s="13"/>
      <c r="E52" s="13"/>
      <c r="F52" s="12"/>
      <c r="G52" s="12"/>
      <c r="H52" s="12"/>
      <c r="I52" s="12"/>
      <c r="J52" s="12"/>
      <c r="K52" s="12"/>
      <c r="L52" s="12"/>
      <c r="M52" s="12"/>
      <c r="N52" s="12"/>
      <c r="O52" s="12"/>
      <c r="P52" s="12"/>
      <c r="Q52" s="12"/>
      <c r="R52" s="12"/>
      <c r="S52" s="12"/>
      <c r="T52" s="12"/>
      <c r="U52" s="12"/>
      <c r="V52" s="12"/>
      <c r="W52" s="12"/>
      <c r="X52" s="12"/>
      <c r="Y52" s="12"/>
      <c r="Z52" s="12"/>
    </row>
    <row r="53" ht="15.75" customHeight="1">
      <c r="A53" s="12"/>
      <c r="B53" s="12"/>
      <c r="C53" s="13"/>
      <c r="D53" s="13"/>
      <c r="E53" s="13"/>
      <c r="F53" s="12"/>
      <c r="G53" s="12"/>
      <c r="H53" s="12"/>
      <c r="I53" s="12"/>
      <c r="J53" s="12"/>
      <c r="K53" s="12"/>
      <c r="L53" s="12"/>
      <c r="M53" s="12"/>
      <c r="N53" s="12"/>
      <c r="O53" s="12"/>
      <c r="P53" s="12"/>
      <c r="Q53" s="12"/>
      <c r="R53" s="12"/>
      <c r="S53" s="12"/>
      <c r="T53" s="12"/>
      <c r="U53" s="12"/>
      <c r="V53" s="12"/>
      <c r="W53" s="12"/>
      <c r="X53" s="12"/>
      <c r="Y53" s="12"/>
      <c r="Z53" s="12"/>
    </row>
    <row r="54" ht="15.75" customHeight="1">
      <c r="A54" s="12"/>
      <c r="B54" s="12"/>
      <c r="C54" s="13"/>
      <c r="D54" s="13"/>
      <c r="E54" s="13"/>
      <c r="F54" s="12"/>
      <c r="G54" s="12"/>
      <c r="H54" s="12"/>
      <c r="I54" s="12"/>
      <c r="J54" s="12"/>
      <c r="K54" s="12"/>
      <c r="L54" s="12"/>
      <c r="M54" s="12"/>
      <c r="N54" s="12"/>
      <c r="O54" s="12"/>
      <c r="P54" s="12"/>
      <c r="Q54" s="12"/>
      <c r="R54" s="12"/>
      <c r="S54" s="12"/>
      <c r="T54" s="12"/>
      <c r="U54" s="12"/>
      <c r="V54" s="12"/>
      <c r="W54" s="12"/>
      <c r="X54" s="12"/>
      <c r="Y54" s="12"/>
      <c r="Z54" s="12"/>
    </row>
    <row r="55" ht="15.75" customHeight="1">
      <c r="A55" s="12"/>
      <c r="B55" s="12"/>
      <c r="C55" s="13"/>
      <c r="D55" s="13"/>
      <c r="E55" s="13"/>
      <c r="F55" s="12"/>
      <c r="G55" s="12"/>
      <c r="H55" s="12"/>
      <c r="I55" s="12"/>
      <c r="J55" s="12"/>
      <c r="K55" s="12"/>
      <c r="L55" s="12"/>
      <c r="M55" s="12"/>
      <c r="N55" s="12"/>
      <c r="O55" s="12"/>
      <c r="P55" s="12"/>
      <c r="Q55" s="12"/>
      <c r="R55" s="12"/>
      <c r="S55" s="12"/>
      <c r="T55" s="12"/>
      <c r="U55" s="12"/>
      <c r="V55" s="12"/>
      <c r="W55" s="12"/>
      <c r="X55" s="12"/>
      <c r="Y55" s="12"/>
      <c r="Z55" s="12"/>
    </row>
    <row r="56" ht="15.75" customHeight="1">
      <c r="A56" s="12"/>
      <c r="B56" s="12"/>
      <c r="C56" s="13"/>
      <c r="D56" s="13"/>
      <c r="E56" s="13"/>
      <c r="F56" s="12"/>
      <c r="G56" s="12"/>
      <c r="H56" s="12"/>
      <c r="I56" s="12"/>
      <c r="J56" s="12"/>
      <c r="K56" s="12"/>
      <c r="L56" s="12"/>
      <c r="M56" s="12"/>
      <c r="N56" s="12"/>
      <c r="O56" s="12"/>
      <c r="P56" s="12"/>
      <c r="Q56" s="12"/>
      <c r="R56" s="12"/>
      <c r="S56" s="12"/>
      <c r="T56" s="12"/>
      <c r="U56" s="12"/>
      <c r="V56" s="12"/>
      <c r="W56" s="12"/>
      <c r="X56" s="12"/>
      <c r="Y56" s="12"/>
      <c r="Z56" s="12"/>
    </row>
    <row r="57" ht="15.75" customHeight="1">
      <c r="A57" s="12"/>
      <c r="B57" s="12"/>
      <c r="C57" s="13"/>
      <c r="D57" s="13"/>
      <c r="E57" s="13"/>
      <c r="F57" s="12"/>
      <c r="G57" s="12"/>
      <c r="H57" s="12"/>
      <c r="I57" s="12"/>
      <c r="J57" s="12"/>
      <c r="K57" s="12"/>
      <c r="L57" s="12"/>
      <c r="M57" s="12"/>
      <c r="N57" s="12"/>
      <c r="O57" s="12"/>
      <c r="P57" s="12"/>
      <c r="Q57" s="12"/>
      <c r="R57" s="12"/>
      <c r="S57" s="12"/>
      <c r="T57" s="12"/>
      <c r="U57" s="12"/>
      <c r="V57" s="12"/>
      <c r="W57" s="12"/>
      <c r="X57" s="12"/>
      <c r="Y57" s="12"/>
      <c r="Z57" s="12"/>
    </row>
    <row r="58" ht="15.75" customHeight="1">
      <c r="A58" s="12"/>
      <c r="B58" s="12"/>
      <c r="C58" s="13"/>
      <c r="D58" s="13"/>
      <c r="E58" s="13"/>
      <c r="F58" s="12"/>
      <c r="G58" s="12"/>
      <c r="H58" s="12"/>
      <c r="I58" s="12"/>
      <c r="J58" s="12"/>
      <c r="K58" s="12"/>
      <c r="L58" s="12"/>
      <c r="M58" s="12"/>
      <c r="N58" s="12"/>
      <c r="O58" s="12"/>
      <c r="P58" s="12"/>
      <c r="Q58" s="12"/>
      <c r="R58" s="12"/>
      <c r="S58" s="12"/>
      <c r="T58" s="12"/>
      <c r="U58" s="12"/>
      <c r="V58" s="12"/>
      <c r="W58" s="12"/>
      <c r="X58" s="12"/>
      <c r="Y58" s="12"/>
      <c r="Z58" s="12"/>
    </row>
    <row r="59" ht="15.75" customHeight="1">
      <c r="A59" s="12"/>
      <c r="B59" s="12"/>
      <c r="C59" s="13"/>
      <c r="D59" s="13"/>
      <c r="E59" s="13"/>
      <c r="F59" s="12"/>
      <c r="G59" s="12"/>
      <c r="H59" s="12"/>
      <c r="I59" s="12"/>
      <c r="J59" s="12"/>
      <c r="K59" s="12"/>
      <c r="L59" s="12"/>
      <c r="M59" s="12"/>
      <c r="N59" s="12"/>
      <c r="O59" s="12"/>
      <c r="P59" s="12"/>
      <c r="Q59" s="12"/>
      <c r="R59" s="12"/>
      <c r="S59" s="12"/>
      <c r="T59" s="12"/>
      <c r="U59" s="12"/>
      <c r="V59" s="12"/>
      <c r="W59" s="12"/>
      <c r="X59" s="12"/>
      <c r="Y59" s="12"/>
      <c r="Z59" s="12"/>
    </row>
    <row r="60" ht="15.75" customHeight="1">
      <c r="A60" s="12"/>
      <c r="B60" s="12"/>
      <c r="C60" s="13"/>
      <c r="D60" s="13"/>
      <c r="E60" s="13"/>
      <c r="F60" s="12"/>
      <c r="G60" s="12"/>
      <c r="H60" s="12"/>
      <c r="I60" s="12"/>
      <c r="J60" s="12"/>
      <c r="K60" s="12"/>
      <c r="L60" s="12"/>
      <c r="M60" s="12"/>
      <c r="N60" s="12"/>
      <c r="O60" s="12"/>
      <c r="P60" s="12"/>
      <c r="Q60" s="12"/>
      <c r="R60" s="12"/>
      <c r="S60" s="12"/>
      <c r="T60" s="12"/>
      <c r="U60" s="12"/>
      <c r="V60" s="12"/>
      <c r="W60" s="12"/>
      <c r="X60" s="12"/>
      <c r="Y60" s="12"/>
      <c r="Z60" s="12"/>
    </row>
    <row r="61" ht="15.75" customHeight="1">
      <c r="A61" s="12"/>
      <c r="B61" s="12"/>
      <c r="C61" s="13"/>
      <c r="D61" s="13"/>
      <c r="E61" s="13"/>
      <c r="F61" s="12"/>
      <c r="G61" s="12"/>
      <c r="H61" s="12"/>
      <c r="I61" s="12"/>
      <c r="J61" s="12"/>
      <c r="K61" s="12"/>
      <c r="L61" s="12"/>
      <c r="M61" s="12"/>
      <c r="N61" s="12"/>
      <c r="O61" s="12"/>
      <c r="P61" s="12"/>
      <c r="Q61" s="12"/>
      <c r="R61" s="12"/>
      <c r="S61" s="12"/>
      <c r="T61" s="12"/>
      <c r="U61" s="12"/>
      <c r="V61" s="12"/>
      <c r="W61" s="12"/>
      <c r="X61" s="12"/>
      <c r="Y61" s="12"/>
      <c r="Z61" s="12"/>
    </row>
    <row r="62" ht="15.75" customHeight="1">
      <c r="A62" s="12"/>
      <c r="B62" s="12"/>
      <c r="C62" s="13"/>
      <c r="D62" s="13"/>
      <c r="E62" s="13"/>
      <c r="F62" s="12"/>
      <c r="G62" s="12"/>
      <c r="H62" s="12"/>
      <c r="I62" s="12"/>
      <c r="J62" s="12"/>
      <c r="K62" s="12"/>
      <c r="L62" s="12"/>
      <c r="M62" s="12"/>
      <c r="N62" s="12"/>
      <c r="O62" s="12"/>
      <c r="P62" s="12"/>
      <c r="Q62" s="12"/>
      <c r="R62" s="12"/>
      <c r="S62" s="12"/>
      <c r="T62" s="12"/>
      <c r="U62" s="12"/>
      <c r="V62" s="12"/>
      <c r="W62" s="12"/>
      <c r="X62" s="12"/>
      <c r="Y62" s="12"/>
      <c r="Z62" s="12"/>
    </row>
    <row r="63" ht="15.75" customHeight="1">
      <c r="A63" s="12"/>
      <c r="B63" s="12"/>
      <c r="C63" s="13"/>
      <c r="D63" s="13"/>
      <c r="E63" s="13"/>
      <c r="F63" s="12"/>
      <c r="G63" s="12"/>
      <c r="H63" s="12"/>
      <c r="I63" s="12"/>
      <c r="J63" s="12"/>
      <c r="K63" s="12"/>
      <c r="L63" s="12"/>
      <c r="M63" s="12"/>
      <c r="N63" s="12"/>
      <c r="O63" s="12"/>
      <c r="P63" s="12"/>
      <c r="Q63" s="12"/>
      <c r="R63" s="12"/>
      <c r="S63" s="12"/>
      <c r="T63" s="12"/>
      <c r="U63" s="12"/>
      <c r="V63" s="12"/>
      <c r="W63" s="12"/>
      <c r="X63" s="12"/>
      <c r="Y63" s="12"/>
      <c r="Z63" s="12"/>
    </row>
    <row r="64" ht="15.75" customHeight="1">
      <c r="A64" s="12"/>
      <c r="B64" s="12"/>
      <c r="C64" s="13"/>
      <c r="D64" s="13"/>
      <c r="E64" s="13"/>
      <c r="F64" s="12"/>
      <c r="G64" s="12"/>
      <c r="H64" s="12"/>
      <c r="I64" s="12"/>
      <c r="J64" s="12"/>
      <c r="K64" s="12"/>
      <c r="L64" s="12"/>
      <c r="M64" s="12"/>
      <c r="N64" s="12"/>
      <c r="O64" s="12"/>
      <c r="P64" s="12"/>
      <c r="Q64" s="12"/>
      <c r="R64" s="12"/>
      <c r="S64" s="12"/>
      <c r="T64" s="12"/>
      <c r="U64" s="12"/>
      <c r="V64" s="12"/>
      <c r="W64" s="12"/>
      <c r="X64" s="12"/>
      <c r="Y64" s="12"/>
      <c r="Z64" s="12"/>
    </row>
    <row r="65" ht="15.75" customHeight="1">
      <c r="A65" s="12"/>
      <c r="B65" s="12"/>
      <c r="C65" s="13"/>
      <c r="D65" s="13"/>
      <c r="E65" s="13"/>
      <c r="F65" s="12"/>
      <c r="G65" s="12"/>
      <c r="H65" s="12"/>
      <c r="I65" s="12"/>
      <c r="J65" s="12"/>
      <c r="K65" s="12"/>
      <c r="L65" s="12"/>
      <c r="M65" s="12"/>
      <c r="N65" s="12"/>
      <c r="O65" s="12"/>
      <c r="P65" s="12"/>
      <c r="Q65" s="12"/>
      <c r="R65" s="12"/>
      <c r="S65" s="12"/>
      <c r="T65" s="12"/>
      <c r="U65" s="12"/>
      <c r="V65" s="12"/>
      <c r="W65" s="12"/>
      <c r="X65" s="12"/>
      <c r="Y65" s="12"/>
      <c r="Z65" s="12"/>
    </row>
    <row r="66" ht="15.75" customHeight="1">
      <c r="A66" s="12"/>
      <c r="B66" s="12"/>
      <c r="C66" s="13"/>
      <c r="D66" s="13"/>
      <c r="E66" s="13"/>
      <c r="F66" s="12"/>
      <c r="G66" s="12"/>
      <c r="H66" s="12"/>
      <c r="I66" s="12"/>
      <c r="J66" s="12"/>
      <c r="K66" s="12"/>
      <c r="L66" s="12"/>
      <c r="M66" s="12"/>
      <c r="N66" s="12"/>
      <c r="O66" s="12"/>
      <c r="P66" s="12"/>
      <c r="Q66" s="12"/>
      <c r="R66" s="12"/>
      <c r="S66" s="12"/>
      <c r="T66" s="12"/>
      <c r="U66" s="12"/>
      <c r="V66" s="12"/>
      <c r="W66" s="12"/>
      <c r="X66" s="12"/>
      <c r="Y66" s="12"/>
      <c r="Z66" s="12"/>
    </row>
    <row r="67" ht="15.75" customHeight="1">
      <c r="A67" s="12"/>
      <c r="B67" s="12"/>
      <c r="C67" s="13"/>
      <c r="D67" s="13"/>
      <c r="E67" s="13"/>
      <c r="F67" s="12"/>
      <c r="G67" s="12"/>
      <c r="H67" s="12"/>
      <c r="I67" s="12"/>
      <c r="J67" s="12"/>
      <c r="K67" s="12"/>
      <c r="L67" s="12"/>
      <c r="M67" s="12"/>
      <c r="N67" s="12"/>
      <c r="O67" s="12"/>
      <c r="P67" s="12"/>
      <c r="Q67" s="12"/>
      <c r="R67" s="12"/>
      <c r="S67" s="12"/>
      <c r="T67" s="12"/>
      <c r="U67" s="12"/>
      <c r="V67" s="12"/>
      <c r="W67" s="12"/>
      <c r="X67" s="12"/>
      <c r="Y67" s="12"/>
      <c r="Z67" s="12"/>
    </row>
    <row r="68" ht="15.75" customHeight="1">
      <c r="A68" s="12"/>
      <c r="B68" s="12"/>
      <c r="C68" s="13"/>
      <c r="D68" s="13"/>
      <c r="E68" s="13"/>
      <c r="F68" s="12"/>
      <c r="G68" s="12"/>
      <c r="H68" s="12"/>
      <c r="I68" s="12"/>
      <c r="J68" s="12"/>
      <c r="K68" s="12"/>
      <c r="L68" s="12"/>
      <c r="M68" s="12"/>
      <c r="N68" s="12"/>
      <c r="O68" s="12"/>
      <c r="P68" s="12"/>
      <c r="Q68" s="12"/>
      <c r="R68" s="12"/>
      <c r="S68" s="12"/>
      <c r="T68" s="12"/>
      <c r="U68" s="12"/>
      <c r="V68" s="12"/>
      <c r="W68" s="12"/>
      <c r="X68" s="12"/>
      <c r="Y68" s="12"/>
      <c r="Z68" s="12"/>
    </row>
    <row r="69" ht="15.75" customHeight="1">
      <c r="A69" s="12"/>
      <c r="B69" s="12"/>
      <c r="C69" s="13"/>
      <c r="D69" s="13"/>
      <c r="E69" s="13"/>
      <c r="F69" s="12"/>
      <c r="G69" s="12"/>
      <c r="H69" s="12"/>
      <c r="I69" s="12"/>
      <c r="J69" s="12"/>
      <c r="K69" s="12"/>
      <c r="L69" s="12"/>
      <c r="M69" s="12"/>
      <c r="N69" s="12"/>
      <c r="O69" s="12"/>
      <c r="P69" s="12"/>
      <c r="Q69" s="12"/>
      <c r="R69" s="12"/>
      <c r="S69" s="12"/>
      <c r="T69" s="12"/>
      <c r="U69" s="12"/>
      <c r="V69" s="12"/>
      <c r="W69" s="12"/>
      <c r="X69" s="12"/>
      <c r="Y69" s="12"/>
      <c r="Z69" s="12"/>
    </row>
    <row r="70" ht="15.75" customHeight="1">
      <c r="A70" s="12"/>
      <c r="B70" s="12"/>
      <c r="C70" s="13"/>
      <c r="D70" s="13"/>
      <c r="E70" s="13"/>
      <c r="F70" s="12"/>
      <c r="G70" s="12"/>
      <c r="H70" s="12"/>
      <c r="I70" s="12"/>
      <c r="J70" s="12"/>
      <c r="K70" s="12"/>
      <c r="L70" s="12"/>
      <c r="M70" s="12"/>
      <c r="N70" s="12"/>
      <c r="O70" s="12"/>
      <c r="P70" s="12"/>
      <c r="Q70" s="12"/>
      <c r="R70" s="12"/>
      <c r="S70" s="12"/>
      <c r="T70" s="12"/>
      <c r="U70" s="12"/>
      <c r="V70" s="12"/>
      <c r="W70" s="12"/>
      <c r="X70" s="12"/>
      <c r="Y70" s="12"/>
      <c r="Z70" s="12"/>
    </row>
    <row r="71" ht="15.75" customHeight="1">
      <c r="A71" s="12"/>
      <c r="B71" s="12"/>
      <c r="C71" s="13"/>
      <c r="D71" s="13"/>
      <c r="E71" s="13"/>
      <c r="F71" s="12"/>
      <c r="G71" s="12"/>
      <c r="H71" s="12"/>
      <c r="I71" s="12"/>
      <c r="J71" s="12"/>
      <c r="K71" s="12"/>
      <c r="L71" s="12"/>
      <c r="M71" s="12"/>
      <c r="N71" s="12"/>
      <c r="O71" s="12"/>
      <c r="P71" s="12"/>
      <c r="Q71" s="12"/>
      <c r="R71" s="12"/>
      <c r="S71" s="12"/>
      <c r="T71" s="12"/>
      <c r="U71" s="12"/>
      <c r="V71" s="12"/>
      <c r="W71" s="12"/>
      <c r="X71" s="12"/>
      <c r="Y71" s="12"/>
      <c r="Z71" s="12"/>
    </row>
    <row r="72" ht="15.75" customHeight="1">
      <c r="A72" s="12"/>
      <c r="B72" s="12"/>
      <c r="C72" s="13"/>
      <c r="D72" s="13"/>
      <c r="E72" s="13"/>
      <c r="F72" s="12"/>
      <c r="G72" s="12"/>
      <c r="H72" s="12"/>
      <c r="I72" s="12"/>
      <c r="J72" s="12"/>
      <c r="K72" s="12"/>
      <c r="L72" s="12"/>
      <c r="M72" s="12"/>
      <c r="N72" s="12"/>
      <c r="O72" s="12"/>
      <c r="P72" s="12"/>
      <c r="Q72" s="12"/>
      <c r="R72" s="12"/>
      <c r="S72" s="12"/>
      <c r="T72" s="12"/>
      <c r="U72" s="12"/>
      <c r="V72" s="12"/>
      <c r="W72" s="12"/>
      <c r="X72" s="12"/>
      <c r="Y72" s="12"/>
      <c r="Z72" s="12"/>
    </row>
    <row r="73" ht="15.75" customHeight="1">
      <c r="A73" s="12"/>
      <c r="B73" s="12"/>
      <c r="C73" s="13"/>
      <c r="D73" s="13"/>
      <c r="E73" s="13"/>
      <c r="F73" s="12"/>
      <c r="G73" s="12"/>
      <c r="H73" s="12"/>
      <c r="I73" s="12"/>
      <c r="J73" s="12"/>
      <c r="K73" s="12"/>
      <c r="L73" s="12"/>
      <c r="M73" s="12"/>
      <c r="N73" s="12"/>
      <c r="O73" s="12"/>
      <c r="P73" s="12"/>
      <c r="Q73" s="12"/>
      <c r="R73" s="12"/>
      <c r="S73" s="12"/>
      <c r="T73" s="12"/>
      <c r="U73" s="12"/>
      <c r="V73" s="12"/>
      <c r="W73" s="12"/>
      <c r="X73" s="12"/>
      <c r="Y73" s="12"/>
      <c r="Z73" s="12"/>
    </row>
    <row r="74" ht="15.75" customHeight="1">
      <c r="A74" s="12"/>
      <c r="B74" s="12"/>
      <c r="C74" s="13"/>
      <c r="D74" s="13"/>
      <c r="E74" s="13"/>
      <c r="F74" s="12"/>
      <c r="G74" s="12"/>
      <c r="H74" s="12"/>
      <c r="I74" s="12"/>
      <c r="J74" s="12"/>
      <c r="K74" s="12"/>
      <c r="L74" s="12"/>
      <c r="M74" s="12"/>
      <c r="N74" s="12"/>
      <c r="O74" s="12"/>
      <c r="P74" s="12"/>
      <c r="Q74" s="12"/>
      <c r="R74" s="12"/>
      <c r="S74" s="12"/>
      <c r="T74" s="12"/>
      <c r="U74" s="12"/>
      <c r="V74" s="12"/>
      <c r="W74" s="12"/>
      <c r="X74" s="12"/>
      <c r="Y74" s="12"/>
      <c r="Z74" s="12"/>
    </row>
    <row r="75" ht="15.75" customHeight="1">
      <c r="A75" s="12"/>
      <c r="B75" s="12"/>
      <c r="C75" s="13"/>
      <c r="D75" s="13"/>
      <c r="E75" s="13"/>
      <c r="F75" s="12"/>
      <c r="G75" s="12"/>
      <c r="H75" s="12"/>
      <c r="I75" s="12"/>
      <c r="J75" s="12"/>
      <c r="K75" s="12"/>
      <c r="L75" s="12"/>
      <c r="M75" s="12"/>
      <c r="N75" s="12"/>
      <c r="O75" s="12"/>
      <c r="P75" s="12"/>
      <c r="Q75" s="12"/>
      <c r="R75" s="12"/>
      <c r="S75" s="12"/>
      <c r="T75" s="12"/>
      <c r="U75" s="12"/>
      <c r="V75" s="12"/>
      <c r="W75" s="12"/>
      <c r="X75" s="12"/>
      <c r="Y75" s="12"/>
      <c r="Z75" s="12"/>
    </row>
    <row r="76" ht="15.75" customHeight="1">
      <c r="A76" s="12"/>
      <c r="B76" s="12"/>
      <c r="C76" s="13"/>
      <c r="D76" s="13"/>
      <c r="E76" s="13"/>
      <c r="F76" s="12"/>
      <c r="G76" s="12"/>
      <c r="H76" s="12"/>
      <c r="I76" s="12"/>
      <c r="J76" s="12"/>
      <c r="K76" s="12"/>
      <c r="L76" s="12"/>
      <c r="M76" s="12"/>
      <c r="N76" s="12"/>
      <c r="O76" s="12"/>
      <c r="P76" s="12"/>
      <c r="Q76" s="12"/>
      <c r="R76" s="12"/>
      <c r="S76" s="12"/>
      <c r="T76" s="12"/>
      <c r="U76" s="12"/>
      <c r="V76" s="12"/>
      <c r="W76" s="12"/>
      <c r="X76" s="12"/>
      <c r="Y76" s="12"/>
      <c r="Z76" s="12"/>
    </row>
    <row r="77" ht="15.75" customHeight="1">
      <c r="A77" s="12"/>
      <c r="B77" s="12"/>
      <c r="C77" s="13"/>
      <c r="D77" s="13"/>
      <c r="E77" s="13"/>
      <c r="F77" s="12"/>
      <c r="G77" s="12"/>
      <c r="H77" s="12"/>
      <c r="I77" s="12"/>
      <c r="J77" s="12"/>
      <c r="K77" s="12"/>
      <c r="L77" s="12"/>
      <c r="M77" s="12"/>
      <c r="N77" s="12"/>
      <c r="O77" s="12"/>
      <c r="P77" s="12"/>
      <c r="Q77" s="12"/>
      <c r="R77" s="12"/>
      <c r="S77" s="12"/>
      <c r="T77" s="12"/>
      <c r="U77" s="12"/>
      <c r="V77" s="12"/>
      <c r="W77" s="12"/>
      <c r="X77" s="12"/>
      <c r="Y77" s="12"/>
      <c r="Z77" s="12"/>
    </row>
    <row r="78" ht="15.75" customHeight="1">
      <c r="A78" s="12"/>
      <c r="B78" s="12"/>
      <c r="C78" s="13"/>
      <c r="D78" s="13"/>
      <c r="E78" s="13"/>
      <c r="F78" s="12"/>
      <c r="G78" s="12"/>
      <c r="H78" s="12"/>
      <c r="I78" s="12"/>
      <c r="J78" s="12"/>
      <c r="K78" s="12"/>
      <c r="L78" s="12"/>
      <c r="M78" s="12"/>
      <c r="N78" s="12"/>
      <c r="O78" s="12"/>
      <c r="P78" s="12"/>
      <c r="Q78" s="12"/>
      <c r="R78" s="12"/>
      <c r="S78" s="12"/>
      <c r="T78" s="12"/>
      <c r="U78" s="12"/>
      <c r="V78" s="12"/>
      <c r="W78" s="12"/>
      <c r="X78" s="12"/>
      <c r="Y78" s="12"/>
      <c r="Z78" s="12"/>
    </row>
    <row r="79" ht="15.75" customHeight="1">
      <c r="A79" s="12"/>
      <c r="B79" s="12"/>
      <c r="C79" s="13"/>
      <c r="D79" s="13"/>
      <c r="E79" s="13"/>
      <c r="F79" s="12"/>
      <c r="G79" s="12"/>
      <c r="H79" s="12"/>
      <c r="I79" s="12"/>
      <c r="J79" s="12"/>
      <c r="K79" s="12"/>
      <c r="L79" s="12"/>
      <c r="M79" s="12"/>
      <c r="N79" s="12"/>
      <c r="O79" s="12"/>
      <c r="P79" s="12"/>
      <c r="Q79" s="12"/>
      <c r="R79" s="12"/>
      <c r="S79" s="12"/>
      <c r="T79" s="12"/>
      <c r="U79" s="12"/>
      <c r="V79" s="12"/>
      <c r="W79" s="12"/>
      <c r="X79" s="12"/>
      <c r="Y79" s="12"/>
      <c r="Z79" s="12"/>
    </row>
    <row r="80" ht="15.75" customHeight="1">
      <c r="A80" s="12"/>
      <c r="B80" s="12"/>
      <c r="C80" s="13"/>
      <c r="D80" s="13"/>
      <c r="E80" s="13"/>
      <c r="F80" s="12"/>
      <c r="G80" s="12"/>
      <c r="H80" s="12"/>
      <c r="I80" s="12"/>
      <c r="J80" s="12"/>
      <c r="K80" s="12"/>
      <c r="L80" s="12"/>
      <c r="M80" s="12"/>
      <c r="N80" s="12"/>
      <c r="O80" s="12"/>
      <c r="P80" s="12"/>
      <c r="Q80" s="12"/>
      <c r="R80" s="12"/>
      <c r="S80" s="12"/>
      <c r="T80" s="12"/>
      <c r="U80" s="12"/>
      <c r="V80" s="12"/>
      <c r="W80" s="12"/>
      <c r="X80" s="12"/>
      <c r="Y80" s="12"/>
      <c r="Z80" s="12"/>
    </row>
    <row r="81" ht="15.75" customHeight="1">
      <c r="A81" s="12"/>
      <c r="B81" s="12"/>
      <c r="C81" s="13"/>
      <c r="D81" s="13"/>
      <c r="E81" s="13"/>
      <c r="F81" s="12"/>
      <c r="G81" s="12"/>
      <c r="H81" s="12"/>
      <c r="I81" s="12"/>
      <c r="J81" s="12"/>
      <c r="K81" s="12"/>
      <c r="L81" s="12"/>
      <c r="M81" s="12"/>
      <c r="N81" s="12"/>
      <c r="O81" s="12"/>
      <c r="P81" s="12"/>
      <c r="Q81" s="12"/>
      <c r="R81" s="12"/>
      <c r="S81" s="12"/>
      <c r="T81" s="12"/>
      <c r="U81" s="12"/>
      <c r="V81" s="12"/>
      <c r="W81" s="12"/>
      <c r="X81" s="12"/>
      <c r="Y81" s="12"/>
      <c r="Z81" s="12"/>
    </row>
    <row r="82" ht="15.75" customHeight="1">
      <c r="A82" s="12"/>
      <c r="B82" s="12"/>
      <c r="C82" s="13"/>
      <c r="D82" s="13"/>
      <c r="E82" s="13"/>
      <c r="F82" s="12"/>
      <c r="G82" s="12"/>
      <c r="H82" s="12"/>
      <c r="I82" s="12"/>
      <c r="J82" s="12"/>
      <c r="K82" s="12"/>
      <c r="L82" s="12"/>
      <c r="M82" s="12"/>
      <c r="N82" s="12"/>
      <c r="O82" s="12"/>
      <c r="P82" s="12"/>
      <c r="Q82" s="12"/>
      <c r="R82" s="12"/>
      <c r="S82" s="12"/>
      <c r="T82" s="12"/>
      <c r="U82" s="12"/>
      <c r="V82" s="12"/>
      <c r="W82" s="12"/>
      <c r="X82" s="12"/>
      <c r="Y82" s="12"/>
      <c r="Z82" s="12"/>
    </row>
    <row r="83" ht="15.75" customHeight="1">
      <c r="A83" s="12"/>
      <c r="B83" s="12"/>
      <c r="C83" s="13"/>
      <c r="D83" s="13"/>
      <c r="E83" s="13"/>
      <c r="F83" s="12"/>
      <c r="G83" s="12"/>
      <c r="H83" s="12"/>
      <c r="I83" s="12"/>
      <c r="J83" s="12"/>
      <c r="K83" s="12"/>
      <c r="L83" s="12"/>
      <c r="M83" s="12"/>
      <c r="N83" s="12"/>
      <c r="O83" s="12"/>
      <c r="P83" s="12"/>
      <c r="Q83" s="12"/>
      <c r="R83" s="12"/>
      <c r="S83" s="12"/>
      <c r="T83" s="12"/>
      <c r="U83" s="12"/>
      <c r="V83" s="12"/>
      <c r="W83" s="12"/>
      <c r="X83" s="12"/>
      <c r="Y83" s="12"/>
      <c r="Z83" s="12"/>
    </row>
    <row r="84" ht="15.75" customHeight="1">
      <c r="A84" s="12"/>
      <c r="B84" s="12"/>
      <c r="C84" s="13"/>
      <c r="D84" s="13"/>
      <c r="E84" s="13"/>
      <c r="F84" s="12"/>
      <c r="G84" s="12"/>
      <c r="H84" s="12"/>
      <c r="I84" s="12"/>
      <c r="J84" s="12"/>
      <c r="K84" s="12"/>
      <c r="L84" s="12"/>
      <c r="M84" s="12"/>
      <c r="N84" s="12"/>
      <c r="O84" s="12"/>
      <c r="P84" s="12"/>
      <c r="Q84" s="12"/>
      <c r="R84" s="12"/>
      <c r="S84" s="12"/>
      <c r="T84" s="12"/>
      <c r="U84" s="12"/>
      <c r="V84" s="12"/>
      <c r="W84" s="12"/>
      <c r="X84" s="12"/>
      <c r="Y84" s="12"/>
      <c r="Z84" s="12"/>
    </row>
    <row r="85" ht="15.75" customHeight="1">
      <c r="A85" s="12"/>
      <c r="B85" s="12"/>
      <c r="C85" s="13"/>
      <c r="D85" s="13"/>
      <c r="E85" s="13"/>
      <c r="F85" s="12"/>
      <c r="G85" s="12"/>
      <c r="H85" s="12"/>
      <c r="I85" s="12"/>
      <c r="J85" s="12"/>
      <c r="K85" s="12"/>
      <c r="L85" s="12"/>
      <c r="M85" s="12"/>
      <c r="N85" s="12"/>
      <c r="O85" s="12"/>
      <c r="P85" s="12"/>
      <c r="Q85" s="12"/>
      <c r="R85" s="12"/>
      <c r="S85" s="12"/>
      <c r="T85" s="12"/>
      <c r="U85" s="12"/>
      <c r="V85" s="12"/>
      <c r="W85" s="12"/>
      <c r="X85" s="12"/>
      <c r="Y85" s="12"/>
      <c r="Z85" s="12"/>
    </row>
    <row r="86" ht="15.75" customHeight="1">
      <c r="A86" s="12"/>
      <c r="B86" s="12"/>
      <c r="C86" s="13"/>
      <c r="D86" s="13"/>
      <c r="E86" s="13"/>
      <c r="F86" s="12"/>
      <c r="G86" s="12"/>
      <c r="H86" s="12"/>
      <c r="I86" s="12"/>
      <c r="J86" s="12"/>
      <c r="K86" s="12"/>
      <c r="L86" s="12"/>
      <c r="M86" s="12"/>
      <c r="N86" s="12"/>
      <c r="O86" s="12"/>
      <c r="P86" s="12"/>
      <c r="Q86" s="12"/>
      <c r="R86" s="12"/>
      <c r="S86" s="12"/>
      <c r="T86" s="12"/>
      <c r="U86" s="12"/>
      <c r="V86" s="12"/>
      <c r="W86" s="12"/>
      <c r="X86" s="12"/>
      <c r="Y86" s="12"/>
      <c r="Z86" s="12"/>
    </row>
    <row r="87" ht="15.75" customHeight="1">
      <c r="A87" s="12"/>
      <c r="B87" s="12"/>
      <c r="C87" s="13"/>
      <c r="D87" s="13"/>
      <c r="E87" s="13"/>
      <c r="F87" s="12"/>
      <c r="G87" s="12"/>
      <c r="H87" s="12"/>
      <c r="I87" s="12"/>
      <c r="J87" s="12"/>
      <c r="K87" s="12"/>
      <c r="L87" s="12"/>
      <c r="M87" s="12"/>
      <c r="N87" s="12"/>
      <c r="O87" s="12"/>
      <c r="P87" s="12"/>
      <c r="Q87" s="12"/>
      <c r="R87" s="12"/>
      <c r="S87" s="12"/>
      <c r="T87" s="12"/>
      <c r="U87" s="12"/>
      <c r="V87" s="12"/>
      <c r="W87" s="12"/>
      <c r="X87" s="12"/>
      <c r="Y87" s="12"/>
      <c r="Z87" s="12"/>
    </row>
    <row r="88" ht="15.75" customHeight="1">
      <c r="A88" s="12"/>
      <c r="B88" s="12"/>
      <c r="C88" s="13"/>
      <c r="D88" s="13"/>
      <c r="E88" s="13"/>
      <c r="F88" s="12"/>
      <c r="G88" s="12"/>
      <c r="H88" s="12"/>
      <c r="I88" s="12"/>
      <c r="J88" s="12"/>
      <c r="K88" s="12"/>
      <c r="L88" s="12"/>
      <c r="M88" s="12"/>
      <c r="N88" s="12"/>
      <c r="O88" s="12"/>
      <c r="P88" s="12"/>
      <c r="Q88" s="12"/>
      <c r="R88" s="12"/>
      <c r="S88" s="12"/>
      <c r="T88" s="12"/>
      <c r="U88" s="12"/>
      <c r="V88" s="12"/>
      <c r="W88" s="12"/>
      <c r="X88" s="12"/>
      <c r="Y88" s="12"/>
      <c r="Z88" s="12"/>
    </row>
    <row r="89" ht="15.75" customHeight="1">
      <c r="A89" s="12"/>
      <c r="B89" s="12"/>
      <c r="C89" s="13"/>
      <c r="D89" s="13"/>
      <c r="E89" s="13"/>
      <c r="F89" s="12"/>
      <c r="G89" s="12"/>
      <c r="H89" s="12"/>
      <c r="I89" s="12"/>
      <c r="J89" s="12"/>
      <c r="K89" s="12"/>
      <c r="L89" s="12"/>
      <c r="M89" s="12"/>
      <c r="N89" s="12"/>
      <c r="O89" s="12"/>
      <c r="P89" s="12"/>
      <c r="Q89" s="12"/>
      <c r="R89" s="12"/>
      <c r="S89" s="12"/>
      <c r="T89" s="12"/>
      <c r="U89" s="12"/>
      <c r="V89" s="12"/>
      <c r="W89" s="12"/>
      <c r="X89" s="12"/>
      <c r="Y89" s="12"/>
      <c r="Z89" s="12"/>
    </row>
    <row r="90" ht="15.75" customHeight="1">
      <c r="A90" s="12"/>
      <c r="B90" s="12"/>
      <c r="C90" s="13"/>
      <c r="D90" s="13"/>
      <c r="E90" s="13"/>
      <c r="F90" s="12"/>
      <c r="G90" s="12"/>
      <c r="H90" s="12"/>
      <c r="I90" s="12"/>
      <c r="J90" s="12"/>
      <c r="K90" s="12"/>
      <c r="L90" s="12"/>
      <c r="M90" s="12"/>
      <c r="N90" s="12"/>
      <c r="O90" s="12"/>
      <c r="P90" s="12"/>
      <c r="Q90" s="12"/>
      <c r="R90" s="12"/>
      <c r="S90" s="12"/>
      <c r="T90" s="12"/>
      <c r="U90" s="12"/>
      <c r="V90" s="12"/>
      <c r="W90" s="12"/>
      <c r="X90" s="12"/>
      <c r="Y90" s="12"/>
      <c r="Z90" s="12"/>
    </row>
    <row r="91" ht="15.75" customHeight="1">
      <c r="A91" s="12"/>
      <c r="B91" s="12"/>
      <c r="C91" s="13"/>
      <c r="D91" s="13"/>
      <c r="E91" s="13"/>
      <c r="F91" s="12"/>
      <c r="G91" s="12"/>
      <c r="H91" s="12"/>
      <c r="I91" s="12"/>
      <c r="J91" s="12"/>
      <c r="K91" s="12"/>
      <c r="L91" s="12"/>
      <c r="M91" s="12"/>
      <c r="N91" s="12"/>
      <c r="O91" s="12"/>
      <c r="P91" s="12"/>
      <c r="Q91" s="12"/>
      <c r="R91" s="12"/>
      <c r="S91" s="12"/>
      <c r="T91" s="12"/>
      <c r="U91" s="12"/>
      <c r="V91" s="12"/>
      <c r="W91" s="12"/>
      <c r="X91" s="12"/>
      <c r="Y91" s="12"/>
      <c r="Z91" s="12"/>
    </row>
    <row r="92" ht="15.75" customHeight="1">
      <c r="A92" s="12"/>
      <c r="B92" s="12"/>
      <c r="C92" s="13"/>
      <c r="D92" s="13"/>
      <c r="E92" s="13"/>
      <c r="F92" s="12"/>
      <c r="G92" s="12"/>
      <c r="H92" s="12"/>
      <c r="I92" s="12"/>
      <c r="J92" s="12"/>
      <c r="K92" s="12"/>
      <c r="L92" s="12"/>
      <c r="M92" s="12"/>
      <c r="N92" s="12"/>
      <c r="O92" s="12"/>
      <c r="P92" s="12"/>
      <c r="Q92" s="12"/>
      <c r="R92" s="12"/>
      <c r="S92" s="12"/>
      <c r="T92" s="12"/>
      <c r="U92" s="12"/>
      <c r="V92" s="12"/>
      <c r="W92" s="12"/>
      <c r="X92" s="12"/>
      <c r="Y92" s="12"/>
      <c r="Z92" s="12"/>
    </row>
    <row r="93" ht="15.75" customHeight="1">
      <c r="A93" s="12"/>
      <c r="B93" s="12"/>
      <c r="C93" s="13"/>
      <c r="D93" s="13"/>
      <c r="E93" s="13"/>
      <c r="F93" s="12"/>
      <c r="G93" s="12"/>
      <c r="H93" s="12"/>
      <c r="I93" s="12"/>
      <c r="J93" s="12"/>
      <c r="K93" s="12"/>
      <c r="L93" s="12"/>
      <c r="M93" s="12"/>
      <c r="N93" s="12"/>
      <c r="O93" s="12"/>
      <c r="P93" s="12"/>
      <c r="Q93" s="12"/>
      <c r="R93" s="12"/>
      <c r="S93" s="12"/>
      <c r="T93" s="12"/>
      <c r="U93" s="12"/>
      <c r="V93" s="12"/>
      <c r="W93" s="12"/>
      <c r="X93" s="12"/>
      <c r="Y93" s="12"/>
      <c r="Z93" s="12"/>
    </row>
    <row r="94" ht="15.75" customHeight="1">
      <c r="A94" s="12"/>
      <c r="B94" s="12"/>
      <c r="C94" s="13"/>
      <c r="D94" s="13"/>
      <c r="E94" s="13"/>
      <c r="F94" s="12"/>
      <c r="G94" s="12"/>
      <c r="H94" s="12"/>
      <c r="I94" s="12"/>
      <c r="J94" s="12"/>
      <c r="K94" s="12"/>
      <c r="L94" s="12"/>
      <c r="M94" s="12"/>
      <c r="N94" s="12"/>
      <c r="O94" s="12"/>
      <c r="P94" s="12"/>
      <c r="Q94" s="12"/>
      <c r="R94" s="12"/>
      <c r="S94" s="12"/>
      <c r="T94" s="12"/>
      <c r="U94" s="12"/>
      <c r="V94" s="12"/>
      <c r="W94" s="12"/>
      <c r="X94" s="12"/>
      <c r="Y94" s="12"/>
      <c r="Z94" s="12"/>
    </row>
    <row r="95" ht="15.75" customHeight="1">
      <c r="A95" s="12"/>
      <c r="B95" s="12"/>
      <c r="C95" s="13"/>
      <c r="D95" s="13"/>
      <c r="E95" s="13"/>
      <c r="F95" s="12"/>
      <c r="G95" s="12"/>
      <c r="H95" s="12"/>
      <c r="I95" s="12"/>
      <c r="J95" s="12"/>
      <c r="K95" s="12"/>
      <c r="L95" s="12"/>
      <c r="M95" s="12"/>
      <c r="N95" s="12"/>
      <c r="O95" s="12"/>
      <c r="P95" s="12"/>
      <c r="Q95" s="12"/>
      <c r="R95" s="12"/>
      <c r="S95" s="12"/>
      <c r="T95" s="12"/>
      <c r="U95" s="12"/>
      <c r="V95" s="12"/>
      <c r="W95" s="12"/>
      <c r="X95" s="12"/>
      <c r="Y95" s="12"/>
      <c r="Z95" s="12"/>
    </row>
    <row r="96" ht="15.75" customHeight="1">
      <c r="A96" s="12"/>
      <c r="B96" s="12"/>
      <c r="C96" s="13"/>
      <c r="D96" s="13"/>
      <c r="E96" s="13"/>
      <c r="F96" s="12"/>
      <c r="G96" s="12"/>
      <c r="H96" s="12"/>
      <c r="I96" s="12"/>
      <c r="J96" s="12"/>
      <c r="K96" s="12"/>
      <c r="L96" s="12"/>
      <c r="M96" s="12"/>
      <c r="N96" s="12"/>
      <c r="O96" s="12"/>
      <c r="P96" s="12"/>
      <c r="Q96" s="12"/>
      <c r="R96" s="12"/>
      <c r="S96" s="12"/>
      <c r="T96" s="12"/>
      <c r="U96" s="12"/>
      <c r="V96" s="12"/>
      <c r="W96" s="12"/>
      <c r="X96" s="12"/>
      <c r="Y96" s="12"/>
      <c r="Z96" s="12"/>
    </row>
    <row r="97" ht="15.75" customHeight="1">
      <c r="A97" s="12"/>
      <c r="B97" s="12"/>
      <c r="C97" s="13"/>
      <c r="D97" s="13"/>
      <c r="E97" s="13"/>
      <c r="F97" s="12"/>
      <c r="G97" s="12"/>
      <c r="H97" s="12"/>
      <c r="I97" s="12"/>
      <c r="J97" s="12"/>
      <c r="K97" s="12"/>
      <c r="L97" s="12"/>
      <c r="M97" s="12"/>
      <c r="N97" s="12"/>
      <c r="O97" s="12"/>
      <c r="P97" s="12"/>
      <c r="Q97" s="12"/>
      <c r="R97" s="12"/>
      <c r="S97" s="12"/>
      <c r="T97" s="12"/>
      <c r="U97" s="12"/>
      <c r="V97" s="12"/>
      <c r="W97" s="12"/>
      <c r="X97" s="12"/>
      <c r="Y97" s="12"/>
      <c r="Z97" s="12"/>
    </row>
    <row r="98" ht="15.75" customHeight="1">
      <c r="A98" s="12"/>
      <c r="B98" s="12"/>
      <c r="C98" s="13"/>
      <c r="D98" s="13"/>
      <c r="E98" s="13"/>
      <c r="F98" s="12"/>
      <c r="G98" s="12"/>
      <c r="H98" s="12"/>
      <c r="I98" s="12"/>
      <c r="J98" s="12"/>
      <c r="K98" s="12"/>
      <c r="L98" s="12"/>
      <c r="M98" s="12"/>
      <c r="N98" s="12"/>
      <c r="O98" s="12"/>
      <c r="P98" s="12"/>
      <c r="Q98" s="12"/>
      <c r="R98" s="12"/>
      <c r="S98" s="12"/>
      <c r="T98" s="12"/>
      <c r="U98" s="12"/>
      <c r="V98" s="12"/>
      <c r="W98" s="12"/>
      <c r="X98" s="12"/>
      <c r="Y98" s="12"/>
      <c r="Z98" s="12"/>
    </row>
    <row r="99" ht="15.75" customHeight="1">
      <c r="A99" s="12"/>
      <c r="B99" s="12"/>
      <c r="C99" s="13"/>
      <c r="D99" s="13"/>
      <c r="E99" s="13"/>
      <c r="F99" s="12"/>
      <c r="G99" s="12"/>
      <c r="H99" s="12"/>
      <c r="I99" s="12"/>
      <c r="J99" s="12"/>
      <c r="K99" s="12"/>
      <c r="L99" s="12"/>
      <c r="M99" s="12"/>
      <c r="N99" s="12"/>
      <c r="O99" s="12"/>
      <c r="P99" s="12"/>
      <c r="Q99" s="12"/>
      <c r="R99" s="12"/>
      <c r="S99" s="12"/>
      <c r="T99" s="12"/>
      <c r="U99" s="12"/>
      <c r="V99" s="12"/>
      <c r="W99" s="12"/>
      <c r="X99" s="12"/>
      <c r="Y99" s="12"/>
      <c r="Z99" s="12"/>
    </row>
    <row r="100" ht="15.75" customHeight="1">
      <c r="A100" s="12"/>
      <c r="B100" s="12"/>
      <c r="C100" s="13"/>
      <c r="D100" s="13"/>
      <c r="E100" s="13"/>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12"/>
      <c r="C101" s="13"/>
      <c r="D101" s="13"/>
      <c r="E101" s="13"/>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12"/>
      <c r="C102" s="13"/>
      <c r="D102" s="13"/>
      <c r="E102" s="13"/>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12"/>
      <c r="C103" s="13"/>
      <c r="D103" s="13"/>
      <c r="E103" s="13"/>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12"/>
      <c r="C104" s="13"/>
      <c r="D104" s="13"/>
      <c r="E104" s="13"/>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12"/>
      <c r="C105" s="13"/>
      <c r="D105" s="13"/>
      <c r="E105" s="13"/>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12"/>
      <c r="C106" s="13"/>
      <c r="D106" s="13"/>
      <c r="E106" s="13"/>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12"/>
      <c r="C107" s="13"/>
      <c r="D107" s="13"/>
      <c r="E107" s="13"/>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12"/>
      <c r="C108" s="13"/>
      <c r="D108" s="13"/>
      <c r="E108" s="13"/>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12"/>
      <c r="C109" s="13"/>
      <c r="D109" s="13"/>
      <c r="E109" s="13"/>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12"/>
      <c r="C110" s="13"/>
      <c r="D110" s="13"/>
      <c r="E110" s="13"/>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12"/>
      <c r="C111" s="13"/>
      <c r="D111" s="13"/>
      <c r="E111" s="13"/>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12"/>
      <c r="C112" s="13"/>
      <c r="D112" s="13"/>
      <c r="E112" s="13"/>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12"/>
      <c r="C113" s="13"/>
      <c r="D113" s="13"/>
      <c r="E113" s="13"/>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12"/>
      <c r="C114" s="13"/>
      <c r="D114" s="13"/>
      <c r="E114" s="13"/>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12"/>
      <c r="C115" s="13"/>
      <c r="D115" s="13"/>
      <c r="E115" s="13"/>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12"/>
      <c r="C116" s="13"/>
      <c r="D116" s="13"/>
      <c r="E116" s="13"/>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12"/>
      <c r="C117" s="13"/>
      <c r="D117" s="13"/>
      <c r="E117" s="13"/>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12"/>
      <c r="C118" s="13"/>
      <c r="D118" s="13"/>
      <c r="E118" s="13"/>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12"/>
      <c r="C119" s="13"/>
      <c r="D119" s="13"/>
      <c r="E119" s="13"/>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12"/>
      <c r="C120" s="13"/>
      <c r="D120" s="13"/>
      <c r="E120" s="13"/>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12"/>
      <c r="C121" s="13"/>
      <c r="D121" s="13"/>
      <c r="E121" s="13"/>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12"/>
      <c r="C122" s="13"/>
      <c r="D122" s="13"/>
      <c r="E122" s="13"/>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12"/>
      <c r="C123" s="13"/>
      <c r="D123" s="13"/>
      <c r="E123" s="13"/>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12"/>
      <c r="C124" s="13"/>
      <c r="D124" s="13"/>
      <c r="E124" s="13"/>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12"/>
      <c r="C125" s="13"/>
      <c r="D125" s="13"/>
      <c r="E125" s="13"/>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12"/>
      <c r="C126" s="13"/>
      <c r="D126" s="13"/>
      <c r="E126" s="13"/>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12"/>
      <c r="C127" s="13"/>
      <c r="D127" s="13"/>
      <c r="E127" s="13"/>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12"/>
      <c r="C128" s="13"/>
      <c r="D128" s="13"/>
      <c r="E128" s="13"/>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12"/>
      <c r="C129" s="13"/>
      <c r="D129" s="13"/>
      <c r="E129" s="13"/>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12"/>
      <c r="C130" s="13"/>
      <c r="D130" s="13"/>
      <c r="E130" s="13"/>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12"/>
      <c r="C131" s="13"/>
      <c r="D131" s="13"/>
      <c r="E131" s="13"/>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12"/>
      <c r="C132" s="13"/>
      <c r="D132" s="13"/>
      <c r="E132" s="13"/>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12"/>
      <c r="C133" s="13"/>
      <c r="D133" s="13"/>
      <c r="E133" s="13"/>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12"/>
      <c r="C134" s="13"/>
      <c r="D134" s="13"/>
      <c r="E134" s="13"/>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12"/>
      <c r="C135" s="13"/>
      <c r="D135" s="13"/>
      <c r="E135" s="13"/>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12"/>
      <c r="C136" s="13"/>
      <c r="D136" s="13"/>
      <c r="E136" s="13"/>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12"/>
      <c r="C137" s="13"/>
      <c r="D137" s="13"/>
      <c r="E137" s="13"/>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12"/>
      <c r="C138" s="13"/>
      <c r="D138" s="13"/>
      <c r="E138" s="13"/>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12"/>
      <c r="C139" s="13"/>
      <c r="D139" s="13"/>
      <c r="E139" s="13"/>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12"/>
      <c r="C140" s="13"/>
      <c r="D140" s="13"/>
      <c r="E140" s="13"/>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12"/>
      <c r="C141" s="13"/>
      <c r="D141" s="13"/>
      <c r="E141" s="13"/>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12"/>
      <c r="C142" s="13"/>
      <c r="D142" s="13"/>
      <c r="E142" s="13"/>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12"/>
      <c r="C143" s="13"/>
      <c r="D143" s="13"/>
      <c r="E143" s="13"/>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12"/>
      <c r="C144" s="13"/>
      <c r="D144" s="13"/>
      <c r="E144" s="13"/>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12"/>
      <c r="C145" s="13"/>
      <c r="D145" s="13"/>
      <c r="E145" s="13"/>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12"/>
      <c r="C146" s="13"/>
      <c r="D146" s="13"/>
      <c r="E146" s="13"/>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12"/>
      <c r="C147" s="13"/>
      <c r="D147" s="13"/>
      <c r="E147" s="13"/>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12"/>
      <c r="C148" s="13"/>
      <c r="D148" s="13"/>
      <c r="E148" s="13"/>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12"/>
      <c r="C149" s="13"/>
      <c r="D149" s="13"/>
      <c r="E149" s="13"/>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12"/>
      <c r="C150" s="13"/>
      <c r="D150" s="13"/>
      <c r="E150" s="13"/>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12"/>
      <c r="C151" s="13"/>
      <c r="D151" s="13"/>
      <c r="E151" s="13"/>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12"/>
      <c r="C152" s="13"/>
      <c r="D152" s="13"/>
      <c r="E152" s="13"/>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12"/>
      <c r="C153" s="13"/>
      <c r="D153" s="13"/>
      <c r="E153" s="13"/>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12"/>
      <c r="C154" s="13"/>
      <c r="D154" s="13"/>
      <c r="E154" s="13"/>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12"/>
      <c r="C155" s="13"/>
      <c r="D155" s="13"/>
      <c r="E155" s="13"/>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12"/>
      <c r="C156" s="13"/>
      <c r="D156" s="13"/>
      <c r="E156" s="13"/>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12"/>
      <c r="C157" s="13"/>
      <c r="D157" s="13"/>
      <c r="E157" s="13"/>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12"/>
      <c r="C158" s="13"/>
      <c r="D158" s="13"/>
      <c r="E158" s="13"/>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12"/>
      <c r="C159" s="13"/>
      <c r="D159" s="13"/>
      <c r="E159" s="13"/>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12"/>
      <c r="C160" s="13"/>
      <c r="D160" s="13"/>
      <c r="E160" s="13"/>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12"/>
      <c r="C161" s="13"/>
      <c r="D161" s="13"/>
      <c r="E161" s="13"/>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12"/>
      <c r="C162" s="13"/>
      <c r="D162" s="13"/>
      <c r="E162" s="13"/>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12"/>
      <c r="C163" s="13"/>
      <c r="D163" s="13"/>
      <c r="E163" s="13"/>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12"/>
      <c r="C164" s="13"/>
      <c r="D164" s="13"/>
      <c r="E164" s="13"/>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12"/>
      <c r="C165" s="13"/>
      <c r="D165" s="13"/>
      <c r="E165" s="13"/>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12"/>
      <c r="C166" s="13"/>
      <c r="D166" s="13"/>
      <c r="E166" s="13"/>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12"/>
      <c r="C167" s="13"/>
      <c r="D167" s="13"/>
      <c r="E167" s="13"/>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12"/>
      <c r="C168" s="13"/>
      <c r="D168" s="13"/>
      <c r="E168" s="13"/>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12"/>
      <c r="C169" s="13"/>
      <c r="D169" s="13"/>
      <c r="E169" s="13"/>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12"/>
      <c r="C170" s="13"/>
      <c r="D170" s="13"/>
      <c r="E170" s="13"/>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12"/>
      <c r="C171" s="13"/>
      <c r="D171" s="13"/>
      <c r="E171" s="13"/>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12"/>
      <c r="C172" s="13"/>
      <c r="D172" s="13"/>
      <c r="E172" s="13"/>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12"/>
      <c r="C173" s="13"/>
      <c r="D173" s="13"/>
      <c r="E173" s="13"/>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12"/>
      <c r="C174" s="13"/>
      <c r="D174" s="13"/>
      <c r="E174" s="13"/>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12"/>
      <c r="C175" s="13"/>
      <c r="D175" s="13"/>
      <c r="E175" s="13"/>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12"/>
      <c r="C176" s="13"/>
      <c r="D176" s="13"/>
      <c r="E176" s="13"/>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12"/>
      <c r="C177" s="13"/>
      <c r="D177" s="13"/>
      <c r="E177" s="13"/>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12"/>
      <c r="C178" s="13"/>
      <c r="D178" s="13"/>
      <c r="E178" s="13"/>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12"/>
      <c r="C179" s="13"/>
      <c r="D179" s="13"/>
      <c r="E179" s="13"/>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12"/>
      <c r="C180" s="13"/>
      <c r="D180" s="13"/>
      <c r="E180" s="13"/>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12"/>
      <c r="C181" s="13"/>
      <c r="D181" s="13"/>
      <c r="E181" s="13"/>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12"/>
      <c r="C182" s="13"/>
      <c r="D182" s="13"/>
      <c r="E182" s="13"/>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12"/>
      <c r="C183" s="13"/>
      <c r="D183" s="13"/>
      <c r="E183" s="13"/>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12"/>
      <c r="C184" s="13"/>
      <c r="D184" s="13"/>
      <c r="E184" s="13"/>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12"/>
      <c r="C185" s="13"/>
      <c r="D185" s="13"/>
      <c r="E185" s="13"/>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12"/>
      <c r="C186" s="13"/>
      <c r="D186" s="13"/>
      <c r="E186" s="13"/>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12"/>
      <c r="C187" s="13"/>
      <c r="D187" s="13"/>
      <c r="E187" s="13"/>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12"/>
      <c r="C188" s="13"/>
      <c r="D188" s="13"/>
      <c r="E188" s="13"/>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12"/>
      <c r="C189" s="13"/>
      <c r="D189" s="13"/>
      <c r="E189" s="13"/>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12"/>
      <c r="C190" s="13"/>
      <c r="D190" s="13"/>
      <c r="E190" s="13"/>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13"/>
      <c r="D191" s="13"/>
      <c r="E191" s="13"/>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13"/>
      <c r="D192" s="13"/>
      <c r="E192" s="13"/>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13"/>
      <c r="D193" s="13"/>
      <c r="E193" s="13"/>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13"/>
      <c r="D194" s="13"/>
      <c r="E194" s="13"/>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13"/>
      <c r="D195" s="13"/>
      <c r="E195" s="13"/>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13"/>
      <c r="D196" s="13"/>
      <c r="E196" s="13"/>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13"/>
      <c r="D197" s="13"/>
      <c r="E197" s="13"/>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13"/>
      <c r="D198" s="13"/>
      <c r="E198" s="13"/>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13"/>
      <c r="D199" s="13"/>
      <c r="E199" s="13"/>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13"/>
      <c r="D200" s="13"/>
      <c r="E200" s="13"/>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13"/>
      <c r="D201" s="13"/>
      <c r="E201" s="13"/>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13"/>
      <c r="D202" s="13"/>
      <c r="E202" s="13"/>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13"/>
      <c r="D203" s="13"/>
      <c r="E203" s="13"/>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13"/>
      <c r="D204" s="13"/>
      <c r="E204" s="13"/>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13"/>
      <c r="D205" s="13"/>
      <c r="E205" s="13"/>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13"/>
      <c r="D206" s="13"/>
      <c r="E206" s="13"/>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13"/>
      <c r="D207" s="13"/>
      <c r="E207" s="13"/>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13"/>
      <c r="D208" s="13"/>
      <c r="E208" s="13"/>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13"/>
      <c r="D209" s="13"/>
      <c r="E209" s="13"/>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13"/>
      <c r="D210" s="13"/>
      <c r="E210" s="13"/>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13"/>
      <c r="D211" s="13"/>
      <c r="E211" s="13"/>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13"/>
      <c r="D212" s="13"/>
      <c r="E212" s="13"/>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13"/>
      <c r="D213" s="13"/>
      <c r="E213" s="13"/>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13"/>
      <c r="D214" s="13"/>
      <c r="E214" s="13"/>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13"/>
      <c r="D215" s="13"/>
      <c r="E215" s="13"/>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13"/>
      <c r="D216" s="13"/>
      <c r="E216" s="13"/>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13"/>
      <c r="D217" s="13"/>
      <c r="E217" s="13"/>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13"/>
      <c r="D218" s="13"/>
      <c r="E218" s="13"/>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13"/>
      <c r="D219" s="13"/>
      <c r="E219" s="13"/>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13"/>
      <c r="D220" s="13"/>
      <c r="E220" s="13"/>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2"/>
      <c r="B221" s="12"/>
      <c r="C221" s="13"/>
      <c r="D221" s="13"/>
      <c r="E221" s="13"/>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2"/>
      <c r="B222" s="12"/>
      <c r="C222" s="13"/>
      <c r="D222" s="13"/>
      <c r="E222" s="13"/>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2"/>
      <c r="B223" s="12"/>
      <c r="C223" s="13"/>
      <c r="D223" s="13"/>
      <c r="E223" s="13"/>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2"/>
      <c r="B224" s="12"/>
      <c r="C224" s="13"/>
      <c r="D224" s="13"/>
      <c r="E224" s="13"/>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2"/>
      <c r="B225" s="12"/>
      <c r="C225" s="13"/>
      <c r="D225" s="13"/>
      <c r="E225" s="13"/>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 customWidth="1" min="18" max="18" width="37.71"/>
  </cols>
  <sheetData>
    <row r="1" ht="15.75" customHeight="1">
      <c r="A1" s="2" t="s">
        <v>1</v>
      </c>
      <c r="B1" s="2" t="s">
        <v>2</v>
      </c>
      <c r="C1" s="2" t="s">
        <v>3</v>
      </c>
      <c r="D1" s="2" t="s">
        <v>4</v>
      </c>
      <c r="E1" s="2" t="s">
        <v>5</v>
      </c>
      <c r="F1" s="3" t="s">
        <v>6</v>
      </c>
      <c r="G1" s="3" t="s">
        <v>7</v>
      </c>
      <c r="H1" s="2" t="s">
        <v>8</v>
      </c>
      <c r="I1" s="3" t="s">
        <v>9</v>
      </c>
      <c r="J1" s="3" t="s">
        <v>10</v>
      </c>
      <c r="K1" s="3" t="s">
        <v>11</v>
      </c>
      <c r="L1" s="4" t="s">
        <v>12</v>
      </c>
      <c r="M1" s="4" t="s">
        <v>13</v>
      </c>
      <c r="N1" s="5" t="s">
        <v>14</v>
      </c>
      <c r="O1" s="5" t="s">
        <v>15</v>
      </c>
      <c r="P1" s="5" t="s">
        <v>16</v>
      </c>
      <c r="Q1" s="5" t="s">
        <v>17</v>
      </c>
      <c r="R1" s="5" t="s">
        <v>18</v>
      </c>
      <c r="S1" s="12"/>
      <c r="T1" s="12"/>
      <c r="U1" s="12"/>
      <c r="V1" s="12"/>
      <c r="W1" s="12"/>
      <c r="X1" s="12"/>
      <c r="Y1" s="12"/>
      <c r="Z1" s="12"/>
    </row>
    <row r="2" ht="15.75" customHeight="1">
      <c r="A2" s="13" t="s">
        <v>551</v>
      </c>
      <c r="B2" s="13" t="s">
        <v>552</v>
      </c>
      <c r="C2" s="11" t="s">
        <v>553</v>
      </c>
      <c r="D2" s="13" t="s">
        <v>554</v>
      </c>
      <c r="E2" s="11" t="s">
        <v>555</v>
      </c>
      <c r="F2" s="11" t="s">
        <v>22</v>
      </c>
      <c r="G2" s="13" t="s">
        <v>556</v>
      </c>
      <c r="H2" s="13" t="s">
        <v>75</v>
      </c>
      <c r="I2" s="13">
        <v>1976.0</v>
      </c>
      <c r="J2" s="12"/>
      <c r="K2" s="11" t="s">
        <v>557</v>
      </c>
      <c r="L2" s="12"/>
      <c r="M2" s="12"/>
      <c r="N2" s="12"/>
      <c r="O2" s="12"/>
      <c r="P2" s="12"/>
      <c r="Q2" s="12"/>
      <c r="R2" s="12"/>
      <c r="S2" s="12"/>
      <c r="T2" s="12"/>
      <c r="U2" s="12"/>
      <c r="V2" s="12"/>
      <c r="W2" s="12"/>
      <c r="X2" s="12"/>
      <c r="Y2" s="12"/>
      <c r="Z2" s="12"/>
    </row>
    <row r="3" ht="15.75" customHeight="1">
      <c r="A3" s="13" t="s">
        <v>558</v>
      </c>
      <c r="B3" s="13" t="s">
        <v>559</v>
      </c>
      <c r="C3" s="11" t="s">
        <v>560</v>
      </c>
      <c r="D3" s="13" t="s">
        <v>381</v>
      </c>
      <c r="E3" s="11" t="s">
        <v>561</v>
      </c>
      <c r="F3" s="11" t="s">
        <v>22</v>
      </c>
      <c r="G3" s="13" t="s">
        <v>556</v>
      </c>
      <c r="H3" s="13" t="s">
        <v>25</v>
      </c>
      <c r="I3" s="29">
        <v>1979.0</v>
      </c>
      <c r="J3" s="13">
        <v>1989.0</v>
      </c>
      <c r="K3" s="11" t="s">
        <v>562</v>
      </c>
      <c r="L3" s="12"/>
      <c r="M3" s="12"/>
      <c r="N3" s="12"/>
      <c r="O3" s="12"/>
      <c r="P3" s="12"/>
      <c r="Q3" s="12"/>
      <c r="R3" s="12"/>
      <c r="S3" s="12"/>
      <c r="T3" s="12"/>
      <c r="U3" s="12"/>
      <c r="V3" s="12"/>
      <c r="W3" s="12"/>
      <c r="X3" s="12"/>
      <c r="Y3" s="12"/>
      <c r="Z3" s="12"/>
    </row>
    <row r="4" ht="15.75" customHeight="1">
      <c r="A4" s="13" t="s">
        <v>563</v>
      </c>
      <c r="B4" s="13" t="s">
        <v>564</v>
      </c>
      <c r="C4" s="11" t="s">
        <v>565</v>
      </c>
      <c r="D4" s="13" t="s">
        <v>554</v>
      </c>
      <c r="E4" s="11" t="s">
        <v>566</v>
      </c>
      <c r="F4" s="11" t="s">
        <v>22</v>
      </c>
      <c r="G4" s="13" t="s">
        <v>556</v>
      </c>
      <c r="H4" s="13" t="s">
        <v>25</v>
      </c>
      <c r="I4" s="13">
        <v>1971.0</v>
      </c>
      <c r="J4" s="13">
        <v>1989.0</v>
      </c>
      <c r="K4" s="11" t="s">
        <v>567</v>
      </c>
      <c r="L4" s="12"/>
      <c r="M4" s="12"/>
      <c r="N4" s="12"/>
      <c r="O4" s="12"/>
      <c r="P4" s="12"/>
      <c r="Q4" s="12"/>
      <c r="R4" s="12"/>
      <c r="S4" s="12"/>
      <c r="T4" s="12"/>
      <c r="U4" s="12"/>
      <c r="V4" s="12"/>
      <c r="W4" s="12"/>
      <c r="X4" s="12"/>
      <c r="Y4" s="12"/>
      <c r="Z4" s="12"/>
    </row>
    <row r="5" ht="15.75" customHeight="1">
      <c r="A5" s="13" t="s">
        <v>568</v>
      </c>
      <c r="B5" s="13" t="s">
        <v>569</v>
      </c>
      <c r="C5" s="13" t="s">
        <v>570</v>
      </c>
      <c r="D5" s="13" t="s">
        <v>554</v>
      </c>
      <c r="E5" s="11" t="s">
        <v>571</v>
      </c>
      <c r="F5" s="11" t="s">
        <v>22</v>
      </c>
      <c r="G5" s="13" t="s">
        <v>556</v>
      </c>
      <c r="H5" s="13" t="s">
        <v>75</v>
      </c>
      <c r="I5" s="13">
        <v>1960.0</v>
      </c>
      <c r="J5" s="12"/>
      <c r="K5" s="11" t="s">
        <v>572</v>
      </c>
      <c r="L5" s="12"/>
      <c r="M5" s="12"/>
      <c r="N5" s="12"/>
      <c r="O5" s="12"/>
      <c r="P5" s="12"/>
      <c r="Q5" s="12"/>
      <c r="R5" s="12"/>
      <c r="S5" s="12"/>
      <c r="T5" s="12"/>
      <c r="U5" s="12"/>
      <c r="V5" s="12"/>
      <c r="W5" s="12"/>
      <c r="X5" s="12"/>
      <c r="Y5" s="12"/>
      <c r="Z5" s="12"/>
    </row>
    <row r="6" ht="15.75" customHeight="1">
      <c r="A6" s="13" t="s">
        <v>573</v>
      </c>
      <c r="B6" s="13" t="s">
        <v>574</v>
      </c>
      <c r="C6" s="13" t="s">
        <v>575</v>
      </c>
      <c r="D6" s="13" t="s">
        <v>554</v>
      </c>
      <c r="E6" s="13" t="s">
        <v>576</v>
      </c>
      <c r="F6" s="11" t="s">
        <v>22</v>
      </c>
      <c r="G6" s="13" t="s">
        <v>556</v>
      </c>
      <c r="H6" s="13" t="s">
        <v>75</v>
      </c>
      <c r="I6" s="13">
        <v>1975.0</v>
      </c>
      <c r="J6" s="12"/>
      <c r="K6" s="11" t="s">
        <v>577</v>
      </c>
      <c r="L6" s="12"/>
      <c r="M6" s="12"/>
      <c r="N6" s="12"/>
      <c r="O6" s="12"/>
      <c r="P6" s="12"/>
      <c r="Q6" s="12"/>
      <c r="R6" s="12"/>
      <c r="S6" s="12"/>
      <c r="T6" s="12"/>
      <c r="U6" s="12"/>
      <c r="V6" s="12"/>
      <c r="W6" s="12"/>
      <c r="X6" s="12"/>
      <c r="Y6" s="12"/>
      <c r="Z6" s="12"/>
    </row>
    <row r="7" ht="15.75" customHeight="1">
      <c r="A7" s="13" t="s">
        <v>578</v>
      </c>
      <c r="B7" s="13" t="s">
        <v>579</v>
      </c>
      <c r="C7" s="13" t="s">
        <v>580</v>
      </c>
      <c r="D7" s="13" t="s">
        <v>381</v>
      </c>
      <c r="E7" s="13" t="s">
        <v>581</v>
      </c>
      <c r="F7" s="11" t="s">
        <v>22</v>
      </c>
      <c r="G7" s="13" t="s">
        <v>556</v>
      </c>
      <c r="H7" s="13" t="s">
        <v>25</v>
      </c>
      <c r="I7" s="13">
        <v>1983.0</v>
      </c>
      <c r="J7" s="13">
        <v>1989.0</v>
      </c>
      <c r="K7" s="11" t="s">
        <v>582</v>
      </c>
      <c r="L7" s="12"/>
      <c r="M7" s="12"/>
      <c r="N7" s="12"/>
      <c r="O7" s="12"/>
      <c r="P7" s="12"/>
      <c r="Q7" s="12"/>
      <c r="R7" s="12"/>
      <c r="S7" s="12"/>
      <c r="T7" s="12"/>
      <c r="U7" s="12"/>
      <c r="V7" s="12"/>
      <c r="W7" s="12"/>
      <c r="X7" s="12"/>
      <c r="Y7" s="12"/>
      <c r="Z7" s="12"/>
    </row>
    <row r="8" ht="15.75" customHeight="1">
      <c r="A8" s="13" t="s">
        <v>583</v>
      </c>
      <c r="B8" s="13" t="s">
        <v>584</v>
      </c>
      <c r="C8" s="13" t="s">
        <v>585</v>
      </c>
      <c r="D8" s="13" t="s">
        <v>554</v>
      </c>
      <c r="E8" s="11" t="s">
        <v>586</v>
      </c>
      <c r="F8" s="11" t="s">
        <v>22</v>
      </c>
      <c r="G8" s="13" t="s">
        <v>556</v>
      </c>
      <c r="H8" s="13" t="s">
        <v>75</v>
      </c>
      <c r="I8" s="13">
        <v>1963.0</v>
      </c>
      <c r="J8" s="12"/>
      <c r="K8" s="11" t="s">
        <v>587</v>
      </c>
      <c r="L8" s="12"/>
      <c r="M8" s="12"/>
      <c r="N8" s="12"/>
      <c r="O8" s="12"/>
      <c r="P8" s="12"/>
      <c r="Q8" s="12"/>
      <c r="R8" s="12"/>
      <c r="S8" s="12"/>
      <c r="T8" s="12"/>
      <c r="U8" s="12"/>
      <c r="V8" s="12"/>
      <c r="W8" s="12"/>
      <c r="X8" s="12"/>
      <c r="Y8" s="12"/>
      <c r="Z8" s="12"/>
    </row>
    <row r="9" ht="15.75" customHeight="1">
      <c r="A9" s="13" t="s">
        <v>588</v>
      </c>
      <c r="B9" s="13" t="s">
        <v>589</v>
      </c>
      <c r="C9" s="13" t="s">
        <v>590</v>
      </c>
      <c r="D9" s="13" t="s">
        <v>381</v>
      </c>
      <c r="E9" s="11" t="s">
        <v>591</v>
      </c>
      <c r="F9" s="11" t="s">
        <v>22</v>
      </c>
      <c r="G9" s="13" t="s">
        <v>556</v>
      </c>
      <c r="H9" s="13" t="s">
        <v>25</v>
      </c>
      <c r="I9" s="13">
        <v>1973.0</v>
      </c>
      <c r="J9" s="13">
        <v>1989.0</v>
      </c>
      <c r="K9" s="11" t="s">
        <v>592</v>
      </c>
      <c r="L9" s="12"/>
      <c r="M9" s="12"/>
      <c r="N9" s="12"/>
      <c r="O9" s="12"/>
      <c r="P9" s="12"/>
      <c r="Q9" s="12"/>
      <c r="R9" s="12"/>
      <c r="S9" s="12"/>
      <c r="T9" s="12"/>
      <c r="U9" s="12"/>
      <c r="V9" s="12"/>
      <c r="W9" s="12"/>
      <c r="X9" s="12"/>
      <c r="Y9" s="12"/>
      <c r="Z9" s="12"/>
    </row>
    <row r="10" ht="15.75" customHeight="1">
      <c r="A10" s="13" t="s">
        <v>593</v>
      </c>
      <c r="B10" s="13" t="s">
        <v>594</v>
      </c>
      <c r="C10" s="13" t="s">
        <v>595</v>
      </c>
      <c r="D10" s="13" t="s">
        <v>596</v>
      </c>
      <c r="E10" s="11" t="s">
        <v>597</v>
      </c>
      <c r="F10" s="11" t="s">
        <v>22</v>
      </c>
      <c r="G10" s="13" t="s">
        <v>556</v>
      </c>
      <c r="H10" s="13" t="s">
        <v>25</v>
      </c>
      <c r="I10" s="13">
        <v>1977.0</v>
      </c>
      <c r="J10" s="13" t="s">
        <v>131</v>
      </c>
      <c r="K10" s="11" t="s">
        <v>598</v>
      </c>
      <c r="L10" s="12"/>
      <c r="M10" s="12"/>
      <c r="N10" s="12"/>
      <c r="O10" s="12"/>
      <c r="P10" s="12"/>
      <c r="Q10" s="12"/>
      <c r="R10" s="12"/>
      <c r="S10" s="12"/>
      <c r="T10" s="12"/>
      <c r="U10" s="12"/>
      <c r="V10" s="12"/>
      <c r="W10" s="12"/>
      <c r="X10" s="12"/>
      <c r="Y10" s="12"/>
      <c r="Z10" s="12"/>
    </row>
    <row r="11" ht="15.75" customHeight="1">
      <c r="A11" s="13" t="s">
        <v>599</v>
      </c>
      <c r="B11" s="13" t="s">
        <v>600</v>
      </c>
      <c r="C11" s="11" t="s">
        <v>601</v>
      </c>
      <c r="D11" s="13" t="s">
        <v>554</v>
      </c>
      <c r="E11" s="11" t="s">
        <v>602</v>
      </c>
      <c r="F11" s="11" t="s">
        <v>22</v>
      </c>
      <c r="G11" s="13" t="s">
        <v>556</v>
      </c>
      <c r="H11" s="13" t="s">
        <v>25</v>
      </c>
      <c r="I11" s="13">
        <v>1983.0</v>
      </c>
      <c r="J11" s="13">
        <v>1989.0</v>
      </c>
      <c r="K11" s="11" t="s">
        <v>603</v>
      </c>
      <c r="L11" s="12"/>
      <c r="M11" s="12"/>
      <c r="N11" s="12"/>
      <c r="O11" s="12"/>
      <c r="P11" s="12"/>
      <c r="Q11" s="12"/>
      <c r="R11" s="12"/>
      <c r="S11" s="12"/>
      <c r="T11" s="12"/>
      <c r="U11" s="12"/>
      <c r="V11" s="12"/>
      <c r="W11" s="12"/>
      <c r="X11" s="12"/>
      <c r="Y11" s="12"/>
      <c r="Z11" s="12"/>
    </row>
    <row r="12" ht="15.75" customHeight="1">
      <c r="A12" s="13" t="s">
        <v>604</v>
      </c>
      <c r="B12" s="13" t="s">
        <v>605</v>
      </c>
      <c r="C12" s="11" t="s">
        <v>606</v>
      </c>
      <c r="D12" s="13" t="s">
        <v>554</v>
      </c>
      <c r="E12" s="11" t="s">
        <v>607</v>
      </c>
      <c r="F12" s="11" t="s">
        <v>22</v>
      </c>
      <c r="G12" s="13" t="s">
        <v>556</v>
      </c>
      <c r="H12" s="13" t="s">
        <v>75</v>
      </c>
      <c r="I12" s="13">
        <v>1959.0</v>
      </c>
      <c r="J12" s="12"/>
      <c r="K12" s="11" t="s">
        <v>608</v>
      </c>
      <c r="L12" s="12"/>
      <c r="M12" s="12"/>
      <c r="N12" s="12"/>
      <c r="O12" s="12"/>
      <c r="P12" s="12"/>
      <c r="Q12" s="12"/>
      <c r="R12" s="12"/>
      <c r="S12" s="12"/>
      <c r="T12" s="12"/>
      <c r="U12" s="12"/>
      <c r="V12" s="12"/>
      <c r="W12" s="12"/>
      <c r="X12" s="12"/>
      <c r="Y12" s="12"/>
      <c r="Z12" s="12"/>
    </row>
    <row r="13" ht="15.75" customHeight="1">
      <c r="A13" s="13" t="s">
        <v>609</v>
      </c>
      <c r="B13" s="13" t="s">
        <v>610</v>
      </c>
      <c r="C13" s="13" t="s">
        <v>611</v>
      </c>
      <c r="D13" s="13" t="s">
        <v>554</v>
      </c>
      <c r="E13" s="11" t="s">
        <v>612</v>
      </c>
      <c r="F13" s="11" t="s">
        <v>22</v>
      </c>
      <c r="G13" s="13" t="s">
        <v>556</v>
      </c>
      <c r="H13" s="13" t="s">
        <v>75</v>
      </c>
      <c r="I13" s="13">
        <v>1972.0</v>
      </c>
      <c r="J13" s="12"/>
      <c r="K13" s="11" t="s">
        <v>613</v>
      </c>
      <c r="L13" s="12"/>
      <c r="M13" s="12"/>
      <c r="N13" s="12"/>
      <c r="O13" s="12"/>
      <c r="P13" s="12"/>
      <c r="Q13" s="12"/>
      <c r="R13" s="12"/>
      <c r="S13" s="12"/>
      <c r="T13" s="12"/>
      <c r="U13" s="12"/>
      <c r="V13" s="12"/>
      <c r="W13" s="12"/>
      <c r="X13" s="12"/>
      <c r="Y13" s="12"/>
      <c r="Z13" s="12"/>
    </row>
    <row r="14" ht="15.75" customHeight="1">
      <c r="A14" s="13" t="s">
        <v>614</v>
      </c>
      <c r="B14" s="13" t="s">
        <v>615</v>
      </c>
      <c r="C14" s="13" t="s">
        <v>616</v>
      </c>
      <c r="D14" s="13" t="s">
        <v>554</v>
      </c>
      <c r="E14" s="11" t="s">
        <v>617</v>
      </c>
      <c r="F14" s="11" t="s">
        <v>22</v>
      </c>
      <c r="G14" s="13" t="s">
        <v>556</v>
      </c>
      <c r="H14" s="13" t="s">
        <v>75</v>
      </c>
      <c r="I14" s="13">
        <v>1982.0</v>
      </c>
      <c r="J14" s="12"/>
      <c r="K14" s="11" t="s">
        <v>618</v>
      </c>
      <c r="L14" s="12"/>
      <c r="M14" s="12"/>
      <c r="N14" s="12"/>
      <c r="O14" s="12"/>
      <c r="P14" s="12"/>
      <c r="Q14" s="12"/>
      <c r="R14" s="12"/>
      <c r="S14" s="12"/>
      <c r="T14" s="12"/>
      <c r="U14" s="12"/>
      <c r="V14" s="12"/>
      <c r="W14" s="12"/>
      <c r="X14" s="12"/>
      <c r="Y14" s="12"/>
      <c r="Z14" s="12"/>
    </row>
    <row r="15" ht="15.75" customHeight="1">
      <c r="A15" s="13" t="s">
        <v>619</v>
      </c>
      <c r="B15" s="13" t="s">
        <v>620</v>
      </c>
      <c r="C15" s="11" t="s">
        <v>621</v>
      </c>
      <c r="D15" s="13" t="s">
        <v>381</v>
      </c>
      <c r="E15" s="13" t="s">
        <v>622</v>
      </c>
      <c r="F15" s="11" t="s">
        <v>22</v>
      </c>
      <c r="G15" s="13" t="s">
        <v>556</v>
      </c>
      <c r="H15" s="13" t="s">
        <v>25</v>
      </c>
      <c r="I15" s="13">
        <v>1985.0</v>
      </c>
      <c r="J15" s="13">
        <v>1989.0</v>
      </c>
      <c r="K15" s="11" t="s">
        <v>623</v>
      </c>
      <c r="L15" s="12"/>
      <c r="M15" s="12"/>
      <c r="N15" s="12"/>
      <c r="O15" s="12"/>
      <c r="P15" s="12"/>
      <c r="Q15" s="12"/>
      <c r="R15" s="12"/>
      <c r="S15" s="12"/>
      <c r="T15" s="12"/>
      <c r="U15" s="12"/>
      <c r="V15" s="12"/>
      <c r="W15" s="12"/>
      <c r="X15" s="12"/>
      <c r="Y15" s="12"/>
      <c r="Z15" s="12"/>
    </row>
    <row r="16" ht="15.75" customHeight="1">
      <c r="A16" s="13" t="s">
        <v>624</v>
      </c>
      <c r="B16" s="13" t="s">
        <v>625</v>
      </c>
      <c r="C16" s="13" t="s">
        <v>626</v>
      </c>
      <c r="D16" s="13" t="s">
        <v>381</v>
      </c>
      <c r="E16" s="11" t="s">
        <v>627</v>
      </c>
      <c r="F16" s="11" t="s">
        <v>22</v>
      </c>
      <c r="G16" s="13" t="s">
        <v>556</v>
      </c>
      <c r="H16" s="13" t="s">
        <v>25</v>
      </c>
      <c r="I16" s="13" t="s">
        <v>131</v>
      </c>
      <c r="J16" s="13" t="s">
        <v>628</v>
      </c>
      <c r="K16" s="11" t="s">
        <v>629</v>
      </c>
      <c r="L16" s="12"/>
      <c r="M16" s="12"/>
      <c r="N16" s="12"/>
      <c r="O16" s="12"/>
      <c r="P16" s="12"/>
      <c r="Q16" s="12"/>
      <c r="R16" s="12"/>
      <c r="S16" s="12"/>
      <c r="T16" s="12"/>
      <c r="U16" s="12"/>
      <c r="V16" s="12"/>
      <c r="W16" s="12"/>
      <c r="X16" s="12"/>
      <c r="Y16" s="12"/>
      <c r="Z16" s="12"/>
    </row>
    <row r="17" ht="15.75" customHeight="1">
      <c r="A17" s="13" t="s">
        <v>630</v>
      </c>
      <c r="B17" s="13" t="s">
        <v>631</v>
      </c>
      <c r="C17" s="11" t="s">
        <v>632</v>
      </c>
      <c r="D17" s="13" t="s">
        <v>381</v>
      </c>
      <c r="E17" s="11" t="s">
        <v>633</v>
      </c>
      <c r="F17" s="11" t="s">
        <v>22</v>
      </c>
      <c r="G17" s="13" t="s">
        <v>556</v>
      </c>
      <c r="H17" s="13" t="s">
        <v>25</v>
      </c>
      <c r="I17" s="13">
        <v>1973.0</v>
      </c>
      <c r="J17" s="13">
        <v>1989.0</v>
      </c>
      <c r="K17" s="11" t="s">
        <v>634</v>
      </c>
      <c r="L17" s="12"/>
      <c r="M17" s="12"/>
      <c r="N17" s="12"/>
      <c r="O17" s="12"/>
      <c r="P17" s="12"/>
      <c r="Q17" s="12"/>
      <c r="R17" s="12"/>
      <c r="S17" s="12"/>
      <c r="T17" s="12"/>
      <c r="U17" s="12"/>
      <c r="V17" s="12"/>
      <c r="W17" s="12"/>
      <c r="X17" s="12"/>
      <c r="Y17" s="12"/>
      <c r="Z17" s="12"/>
    </row>
    <row r="18" ht="15.75" customHeight="1">
      <c r="A18" s="13" t="s">
        <v>635</v>
      </c>
      <c r="B18" s="13" t="s">
        <v>636</v>
      </c>
      <c r="C18" s="13" t="s">
        <v>637</v>
      </c>
      <c r="D18" s="13" t="s">
        <v>381</v>
      </c>
      <c r="E18" s="11" t="s">
        <v>638</v>
      </c>
      <c r="F18" s="11" t="s">
        <v>22</v>
      </c>
      <c r="G18" s="13" t="s">
        <v>556</v>
      </c>
      <c r="H18" s="13" t="s">
        <v>75</v>
      </c>
      <c r="I18" s="13">
        <v>1985.0</v>
      </c>
      <c r="J18" s="12"/>
      <c r="K18" s="11" t="s">
        <v>639</v>
      </c>
      <c r="L18" s="12"/>
      <c r="M18" s="12"/>
      <c r="N18" s="12"/>
      <c r="O18" s="12"/>
      <c r="P18" s="12"/>
      <c r="Q18" s="12"/>
      <c r="R18" s="12"/>
      <c r="S18" s="12"/>
      <c r="T18" s="12"/>
      <c r="U18" s="12"/>
      <c r="V18" s="12"/>
      <c r="W18" s="12"/>
      <c r="X18" s="12"/>
      <c r="Y18" s="12"/>
      <c r="Z18" s="12"/>
    </row>
    <row r="19" ht="15.75" customHeight="1">
      <c r="A19" s="13" t="s">
        <v>640</v>
      </c>
      <c r="B19" s="13" t="s">
        <v>641</v>
      </c>
      <c r="C19" s="13" t="s">
        <v>642</v>
      </c>
      <c r="D19" s="13" t="s">
        <v>381</v>
      </c>
      <c r="E19" s="11" t="s">
        <v>643</v>
      </c>
      <c r="F19" s="11" t="s">
        <v>22</v>
      </c>
      <c r="G19" s="13" t="s">
        <v>556</v>
      </c>
      <c r="H19" s="13" t="s">
        <v>25</v>
      </c>
      <c r="I19" s="13">
        <v>1977.0</v>
      </c>
      <c r="J19" s="13">
        <v>1989.0</v>
      </c>
      <c r="K19" s="11" t="s">
        <v>629</v>
      </c>
      <c r="L19" s="12"/>
      <c r="M19" s="12"/>
      <c r="N19" s="12"/>
      <c r="O19" s="12"/>
      <c r="P19" s="12"/>
      <c r="Q19" s="12"/>
      <c r="R19" s="12"/>
      <c r="S19" s="12"/>
      <c r="T19" s="12"/>
      <c r="U19" s="12"/>
      <c r="V19" s="12"/>
      <c r="W19" s="12"/>
      <c r="X19" s="12"/>
      <c r="Y19" s="12"/>
      <c r="Z19" s="12"/>
    </row>
    <row r="20" ht="15.75" customHeight="1">
      <c r="A20" s="13" t="s">
        <v>644</v>
      </c>
      <c r="B20" s="13" t="s">
        <v>645</v>
      </c>
      <c r="C20" s="11" t="s">
        <v>646</v>
      </c>
      <c r="D20" s="13" t="s">
        <v>381</v>
      </c>
      <c r="E20" s="11" t="s">
        <v>647</v>
      </c>
      <c r="F20" s="11" t="s">
        <v>22</v>
      </c>
      <c r="G20" s="13" t="s">
        <v>556</v>
      </c>
      <c r="H20" s="13" t="s">
        <v>25</v>
      </c>
      <c r="I20" s="13">
        <v>1979.0</v>
      </c>
      <c r="J20" s="13">
        <v>1989.0</v>
      </c>
      <c r="K20" s="11" t="s">
        <v>648</v>
      </c>
      <c r="L20" s="12"/>
      <c r="M20" s="12"/>
      <c r="N20" s="12"/>
      <c r="O20" s="12"/>
      <c r="P20" s="12"/>
      <c r="Q20" s="12"/>
      <c r="R20" s="12"/>
      <c r="S20" s="12"/>
      <c r="T20" s="12"/>
      <c r="U20" s="12"/>
      <c r="V20" s="12"/>
      <c r="W20" s="12"/>
      <c r="X20" s="12"/>
      <c r="Y20" s="12"/>
      <c r="Z20" s="12"/>
    </row>
    <row r="21" ht="15.75" customHeight="1">
      <c r="A21" s="13" t="s">
        <v>649</v>
      </c>
      <c r="B21" s="13" t="s">
        <v>650</v>
      </c>
      <c r="C21" s="13" t="s">
        <v>651</v>
      </c>
      <c r="D21" s="13" t="s">
        <v>554</v>
      </c>
      <c r="E21" s="13" t="s">
        <v>652</v>
      </c>
      <c r="F21" s="11" t="s">
        <v>22</v>
      </c>
      <c r="G21" s="13" t="s">
        <v>556</v>
      </c>
      <c r="H21" s="13" t="s">
        <v>75</v>
      </c>
      <c r="I21" s="13" t="s">
        <v>131</v>
      </c>
      <c r="J21" s="12"/>
      <c r="K21" s="11" t="s">
        <v>653</v>
      </c>
      <c r="L21" s="12"/>
      <c r="M21" s="12"/>
      <c r="N21" s="12"/>
      <c r="O21" s="12"/>
      <c r="P21" s="12"/>
      <c r="Q21" s="12"/>
      <c r="R21" s="12"/>
      <c r="S21" s="12"/>
      <c r="T21" s="12"/>
      <c r="U21" s="12"/>
      <c r="V21" s="12"/>
      <c r="W21" s="12"/>
      <c r="X21" s="12"/>
      <c r="Y21" s="12"/>
      <c r="Z21" s="12"/>
    </row>
    <row r="22" ht="15.75" customHeight="1">
      <c r="A22" s="13" t="s">
        <v>654</v>
      </c>
      <c r="B22" s="13" t="s">
        <v>655</v>
      </c>
      <c r="C22" s="13" t="s">
        <v>656</v>
      </c>
      <c r="D22" s="13" t="s">
        <v>381</v>
      </c>
      <c r="E22" s="11" t="s">
        <v>657</v>
      </c>
      <c r="F22" s="11" t="s">
        <v>22</v>
      </c>
      <c r="G22" s="13" t="s">
        <v>556</v>
      </c>
      <c r="H22" s="13" t="s">
        <v>25</v>
      </c>
      <c r="I22" s="13" t="s">
        <v>131</v>
      </c>
      <c r="J22" s="13">
        <v>1989.0</v>
      </c>
      <c r="K22" s="11" t="s">
        <v>658</v>
      </c>
      <c r="L22" s="12"/>
      <c r="M22" s="12"/>
      <c r="N22" s="12"/>
      <c r="O22" s="12"/>
      <c r="P22" s="12"/>
      <c r="Q22" s="12"/>
      <c r="R22" s="12"/>
      <c r="S22" s="12"/>
      <c r="T22" s="12"/>
      <c r="U22" s="12"/>
      <c r="V22" s="12"/>
      <c r="W22" s="12"/>
      <c r="X22" s="12"/>
      <c r="Y22" s="12"/>
      <c r="Z22" s="12"/>
    </row>
    <row r="23" ht="15.75" customHeight="1">
      <c r="A23" s="13" t="s">
        <v>659</v>
      </c>
      <c r="B23" s="13" t="s">
        <v>660</v>
      </c>
      <c r="C23" s="11" t="s">
        <v>661</v>
      </c>
      <c r="D23" s="13" t="s">
        <v>381</v>
      </c>
      <c r="E23" s="11" t="s">
        <v>662</v>
      </c>
      <c r="F23" s="11" t="s">
        <v>22</v>
      </c>
      <c r="G23" s="13" t="s">
        <v>556</v>
      </c>
      <c r="H23" s="13" t="s">
        <v>25</v>
      </c>
      <c r="I23" s="13">
        <v>1982.0</v>
      </c>
      <c r="J23" s="13">
        <v>1989.0</v>
      </c>
      <c r="K23" s="11" t="s">
        <v>663</v>
      </c>
      <c r="L23" s="12"/>
      <c r="M23" s="12"/>
      <c r="N23" s="12"/>
      <c r="O23" s="12"/>
      <c r="P23" s="12"/>
      <c r="Q23" s="12"/>
      <c r="R23" s="12"/>
      <c r="S23" s="12"/>
      <c r="T23" s="12"/>
      <c r="U23" s="12"/>
      <c r="V23" s="12"/>
      <c r="W23" s="12"/>
      <c r="X23" s="12"/>
      <c r="Y23" s="12"/>
      <c r="Z23" s="12"/>
    </row>
    <row r="24" ht="15.75" customHeight="1">
      <c r="A24" s="13" t="s">
        <v>664</v>
      </c>
      <c r="B24" s="13" t="s">
        <v>665</v>
      </c>
      <c r="C24" s="13" t="s">
        <v>666</v>
      </c>
      <c r="D24" s="13" t="s">
        <v>381</v>
      </c>
      <c r="E24" s="11" t="s">
        <v>667</v>
      </c>
      <c r="F24" s="11" t="s">
        <v>22</v>
      </c>
      <c r="G24" s="13" t="s">
        <v>556</v>
      </c>
      <c r="H24" s="13" t="s">
        <v>25</v>
      </c>
      <c r="I24" s="13">
        <v>1985.0</v>
      </c>
      <c r="J24" s="13">
        <v>1989.0</v>
      </c>
      <c r="K24" s="17" t="s">
        <v>668</v>
      </c>
      <c r="L24" s="12"/>
      <c r="M24" s="12"/>
      <c r="N24" s="12"/>
      <c r="O24" s="12"/>
      <c r="P24" s="12"/>
      <c r="Q24" s="12"/>
      <c r="R24" s="12"/>
      <c r="S24" s="12"/>
      <c r="T24" s="12"/>
      <c r="U24" s="12"/>
      <c r="V24" s="12"/>
      <c r="W24" s="12"/>
      <c r="X24" s="12"/>
      <c r="Y24" s="12"/>
      <c r="Z24" s="12"/>
    </row>
    <row r="25" ht="15.75" customHeight="1">
      <c r="A25" s="13" t="s">
        <v>669</v>
      </c>
      <c r="B25" s="13" t="s">
        <v>670</v>
      </c>
      <c r="C25" s="13" t="s">
        <v>671</v>
      </c>
      <c r="D25" s="13" t="s">
        <v>554</v>
      </c>
      <c r="E25" s="11" t="s">
        <v>672</v>
      </c>
      <c r="F25" s="11" t="s">
        <v>22</v>
      </c>
      <c r="G25" s="13" t="s">
        <v>556</v>
      </c>
      <c r="H25" s="13" t="s">
        <v>75</v>
      </c>
      <c r="I25" s="13">
        <v>1947.0</v>
      </c>
      <c r="J25" s="12"/>
      <c r="K25" s="30" t="s">
        <v>673</v>
      </c>
      <c r="L25" s="12"/>
      <c r="M25" s="12"/>
      <c r="N25" s="12"/>
      <c r="O25" s="12"/>
      <c r="P25" s="12"/>
      <c r="Q25" s="12"/>
      <c r="R25" s="12"/>
      <c r="S25" s="12"/>
      <c r="T25" s="12"/>
      <c r="U25" s="12"/>
      <c r="V25" s="12"/>
      <c r="W25" s="12"/>
      <c r="X25" s="12"/>
      <c r="Y25" s="12"/>
      <c r="Z25" s="12"/>
    </row>
    <row r="26" ht="15.75" customHeight="1">
      <c r="A26" s="13" t="s">
        <v>674</v>
      </c>
      <c r="B26" s="13" t="s">
        <v>675</v>
      </c>
      <c r="C26" s="13" t="s">
        <v>676</v>
      </c>
      <c r="D26" s="13" t="s">
        <v>381</v>
      </c>
      <c r="E26" s="11" t="s">
        <v>677</v>
      </c>
      <c r="F26" s="11" t="s">
        <v>22</v>
      </c>
      <c r="G26" s="13" t="s">
        <v>556</v>
      </c>
      <c r="H26" s="13" t="s">
        <v>25</v>
      </c>
      <c r="I26" s="13">
        <v>1985.0</v>
      </c>
      <c r="J26" s="13">
        <v>1989.0</v>
      </c>
      <c r="K26" s="11" t="s">
        <v>678</v>
      </c>
      <c r="L26" s="12"/>
      <c r="M26" s="12"/>
      <c r="N26" s="12"/>
      <c r="O26" s="12"/>
      <c r="P26" s="12"/>
      <c r="Q26" s="12"/>
      <c r="R26" s="12"/>
      <c r="S26" s="12"/>
      <c r="T26" s="12"/>
      <c r="U26" s="12"/>
      <c r="V26" s="12"/>
      <c r="W26" s="12"/>
      <c r="X26" s="12"/>
      <c r="Y26" s="12"/>
      <c r="Z26" s="12"/>
    </row>
    <row r="27" ht="15.75" customHeight="1">
      <c r="A27" s="13" t="s">
        <v>679</v>
      </c>
      <c r="B27" s="13" t="s">
        <v>680</v>
      </c>
      <c r="C27" s="13" t="s">
        <v>681</v>
      </c>
      <c r="D27" s="13" t="s">
        <v>554</v>
      </c>
      <c r="E27" s="13" t="s">
        <v>682</v>
      </c>
      <c r="F27" s="11" t="s">
        <v>22</v>
      </c>
      <c r="G27" s="13" t="s">
        <v>556</v>
      </c>
      <c r="H27" s="13" t="s">
        <v>75</v>
      </c>
      <c r="I27" s="13">
        <v>1966.0</v>
      </c>
      <c r="J27" s="13"/>
      <c r="K27" s="11" t="s">
        <v>683</v>
      </c>
      <c r="L27" s="12"/>
      <c r="M27" s="12"/>
      <c r="N27" s="12"/>
      <c r="O27" s="12"/>
      <c r="P27" s="12"/>
      <c r="Q27" s="12"/>
      <c r="R27" s="12"/>
      <c r="S27" s="12"/>
      <c r="T27" s="12"/>
      <c r="U27" s="12"/>
      <c r="V27" s="12"/>
      <c r="W27" s="12"/>
      <c r="X27" s="12"/>
      <c r="Y27" s="12"/>
      <c r="Z27" s="12"/>
    </row>
    <row r="28" ht="15.75" customHeight="1">
      <c r="A28" s="13" t="s">
        <v>684</v>
      </c>
      <c r="B28" s="13" t="s">
        <v>685</v>
      </c>
      <c r="C28" s="11" t="s">
        <v>686</v>
      </c>
      <c r="D28" s="13" t="s">
        <v>381</v>
      </c>
      <c r="E28" s="11" t="s">
        <v>687</v>
      </c>
      <c r="F28" s="11" t="s">
        <v>22</v>
      </c>
      <c r="G28" s="13" t="s">
        <v>556</v>
      </c>
      <c r="H28" s="13" t="s">
        <v>25</v>
      </c>
      <c r="I28" s="13">
        <v>1982.0</v>
      </c>
      <c r="J28" s="13">
        <v>1989.0</v>
      </c>
      <c r="K28" s="11" t="s">
        <v>688</v>
      </c>
      <c r="L28" s="12"/>
      <c r="M28" s="12"/>
      <c r="N28" s="12"/>
      <c r="O28" s="12"/>
      <c r="P28" s="12"/>
      <c r="Q28" s="12"/>
      <c r="R28" s="12"/>
      <c r="S28" s="12"/>
      <c r="T28" s="12"/>
      <c r="U28" s="12"/>
      <c r="V28" s="12"/>
      <c r="W28" s="12"/>
      <c r="X28" s="12"/>
      <c r="Y28" s="12"/>
      <c r="Z28" s="12"/>
    </row>
    <row r="29" ht="15.75" customHeight="1">
      <c r="A29" s="13" t="s">
        <v>689</v>
      </c>
      <c r="B29" s="13" t="s">
        <v>690</v>
      </c>
      <c r="C29" s="13" t="s">
        <v>691</v>
      </c>
      <c r="D29" s="13" t="s">
        <v>381</v>
      </c>
      <c r="E29" s="11" t="s">
        <v>692</v>
      </c>
      <c r="F29" s="11" t="s">
        <v>22</v>
      </c>
      <c r="G29" s="13" t="s">
        <v>556</v>
      </c>
      <c r="H29" s="13" t="s">
        <v>25</v>
      </c>
      <c r="I29" s="13">
        <v>1986.0</v>
      </c>
      <c r="J29" s="13">
        <v>1989.0</v>
      </c>
      <c r="K29" s="11" t="s">
        <v>693</v>
      </c>
      <c r="L29" s="12"/>
      <c r="M29" s="12"/>
      <c r="N29" s="12"/>
      <c r="O29" s="12"/>
      <c r="P29" s="12"/>
      <c r="Q29" s="12"/>
      <c r="R29" s="12"/>
      <c r="S29" s="12"/>
      <c r="T29" s="12"/>
      <c r="U29" s="12"/>
      <c r="V29" s="12"/>
      <c r="W29" s="12"/>
      <c r="X29" s="12"/>
      <c r="Y29" s="12"/>
      <c r="Z29" s="12"/>
    </row>
    <row r="30" ht="15.75" customHeight="1">
      <c r="A30" s="13" t="s">
        <v>694</v>
      </c>
      <c r="B30" s="13" t="s">
        <v>695</v>
      </c>
      <c r="C30" s="13" t="s">
        <v>696</v>
      </c>
      <c r="D30" s="13" t="s">
        <v>381</v>
      </c>
      <c r="E30" s="11" t="s">
        <v>697</v>
      </c>
      <c r="F30" s="11" t="s">
        <v>22</v>
      </c>
      <c r="G30" s="13" t="s">
        <v>556</v>
      </c>
      <c r="H30" s="13" t="s">
        <v>25</v>
      </c>
      <c r="I30" s="13">
        <v>1977.0</v>
      </c>
      <c r="J30" s="13">
        <v>1989.0</v>
      </c>
      <c r="K30" s="11" t="s">
        <v>698</v>
      </c>
      <c r="L30" s="12"/>
      <c r="M30" s="12"/>
      <c r="N30" s="12"/>
      <c r="O30" s="12"/>
      <c r="P30" s="12"/>
      <c r="Q30" s="12"/>
      <c r="R30" s="12"/>
      <c r="S30" s="12"/>
      <c r="T30" s="12"/>
      <c r="U30" s="12"/>
      <c r="V30" s="12"/>
      <c r="W30" s="12"/>
      <c r="X30" s="12"/>
      <c r="Y30" s="12"/>
      <c r="Z30" s="12"/>
    </row>
    <row r="31" ht="15.75" customHeight="1">
      <c r="A31" s="13" t="s">
        <v>699</v>
      </c>
      <c r="B31" s="13" t="s">
        <v>700</v>
      </c>
      <c r="C31" s="13" t="s">
        <v>701</v>
      </c>
      <c r="D31" s="13" t="s">
        <v>381</v>
      </c>
      <c r="E31" s="13" t="s">
        <v>702</v>
      </c>
      <c r="F31" s="11" t="s">
        <v>22</v>
      </c>
      <c r="G31" s="13" t="s">
        <v>556</v>
      </c>
      <c r="H31" s="13" t="s">
        <v>25</v>
      </c>
      <c r="I31" s="13">
        <v>1973.0</v>
      </c>
      <c r="J31" s="13">
        <v>1989.0</v>
      </c>
      <c r="K31" s="11" t="s">
        <v>703</v>
      </c>
      <c r="L31" s="12"/>
      <c r="M31" s="12"/>
      <c r="N31" s="12"/>
      <c r="O31" s="12"/>
      <c r="P31" s="12"/>
      <c r="Q31" s="12"/>
      <c r="R31" s="12"/>
      <c r="S31" s="12"/>
      <c r="T31" s="12"/>
      <c r="U31" s="12"/>
      <c r="V31" s="12"/>
      <c r="W31" s="12"/>
      <c r="X31" s="12"/>
      <c r="Y31" s="12"/>
      <c r="Z31" s="12"/>
    </row>
    <row r="32" ht="15.75" customHeight="1">
      <c r="A32" s="13" t="s">
        <v>704</v>
      </c>
      <c r="B32" s="13" t="s">
        <v>705</v>
      </c>
      <c r="C32" s="13" t="s">
        <v>706</v>
      </c>
      <c r="D32" s="13" t="s">
        <v>381</v>
      </c>
      <c r="E32" s="11" t="s">
        <v>707</v>
      </c>
      <c r="F32" s="11" t="s">
        <v>22</v>
      </c>
      <c r="G32" s="13" t="s">
        <v>556</v>
      </c>
      <c r="H32" s="13" t="s">
        <v>25</v>
      </c>
      <c r="I32" s="13">
        <v>1977.0</v>
      </c>
      <c r="J32" s="13">
        <v>1989.0</v>
      </c>
      <c r="K32" s="11" t="s">
        <v>708</v>
      </c>
      <c r="L32" s="12"/>
      <c r="M32" s="12"/>
      <c r="N32" s="12"/>
      <c r="O32" s="12"/>
      <c r="P32" s="12"/>
      <c r="Q32" s="12"/>
      <c r="R32" s="12"/>
      <c r="S32" s="12"/>
      <c r="T32" s="12"/>
      <c r="U32" s="12"/>
      <c r="V32" s="12"/>
      <c r="W32" s="12"/>
      <c r="X32" s="12"/>
      <c r="Y32" s="12"/>
      <c r="Z32" s="12"/>
    </row>
    <row r="33" ht="15.75" customHeight="1">
      <c r="A33" s="13" t="s">
        <v>709</v>
      </c>
      <c r="B33" s="13" t="s">
        <v>710</v>
      </c>
      <c r="C33" s="11" t="s">
        <v>711</v>
      </c>
      <c r="D33" s="13" t="s">
        <v>381</v>
      </c>
      <c r="E33" s="11" t="s">
        <v>712</v>
      </c>
      <c r="F33" s="11" t="s">
        <v>22</v>
      </c>
      <c r="G33" s="13" t="s">
        <v>556</v>
      </c>
      <c r="H33" s="13" t="s">
        <v>25</v>
      </c>
      <c r="I33" s="13">
        <v>1983.0</v>
      </c>
      <c r="J33" s="13">
        <v>1989.0</v>
      </c>
      <c r="K33" s="11" t="s">
        <v>713</v>
      </c>
      <c r="L33" s="12"/>
      <c r="M33" s="12"/>
      <c r="N33" s="12"/>
      <c r="O33" s="12"/>
      <c r="P33" s="12"/>
      <c r="Q33" s="12"/>
      <c r="R33" s="12"/>
      <c r="S33" s="12"/>
      <c r="T33" s="12"/>
      <c r="U33" s="12"/>
      <c r="V33" s="12"/>
      <c r="W33" s="12"/>
      <c r="X33" s="12"/>
      <c r="Y33" s="12"/>
      <c r="Z33" s="12"/>
    </row>
    <row r="34" ht="15.75" customHeight="1">
      <c r="A34" s="13" t="s">
        <v>714</v>
      </c>
      <c r="B34" s="13" t="s">
        <v>715</v>
      </c>
      <c r="C34" s="13" t="s">
        <v>716</v>
      </c>
      <c r="D34" s="13" t="s">
        <v>554</v>
      </c>
      <c r="E34" s="11" t="s">
        <v>717</v>
      </c>
      <c r="F34" s="11" t="s">
        <v>22</v>
      </c>
      <c r="G34" s="13" t="s">
        <v>556</v>
      </c>
      <c r="H34" s="13" t="s">
        <v>75</v>
      </c>
      <c r="I34" s="13">
        <v>1974.0</v>
      </c>
      <c r="J34" s="12"/>
      <c r="K34" s="31" t="s">
        <v>718</v>
      </c>
      <c r="L34" s="12"/>
      <c r="M34" s="12"/>
      <c r="N34" s="12"/>
      <c r="O34" s="12"/>
      <c r="P34" s="12"/>
      <c r="Q34" s="12"/>
      <c r="R34" s="12"/>
      <c r="S34" s="12"/>
      <c r="T34" s="12"/>
      <c r="U34" s="12"/>
      <c r="V34" s="12"/>
      <c r="W34" s="12"/>
      <c r="X34" s="12"/>
      <c r="Y34" s="12"/>
      <c r="Z34" s="12"/>
    </row>
    <row r="35" ht="15.75" customHeight="1">
      <c r="A35" s="13" t="s">
        <v>719</v>
      </c>
      <c r="B35" s="13" t="s">
        <v>720</v>
      </c>
      <c r="C35" s="13" t="s">
        <v>721</v>
      </c>
      <c r="D35" s="13" t="s">
        <v>381</v>
      </c>
      <c r="E35" s="13" t="s">
        <v>722</v>
      </c>
      <c r="F35" s="11" t="s">
        <v>22</v>
      </c>
      <c r="G35" s="13" t="s">
        <v>556</v>
      </c>
      <c r="H35" s="13" t="s">
        <v>25</v>
      </c>
      <c r="I35" s="13">
        <v>1951.0</v>
      </c>
      <c r="J35" s="13">
        <v>1989.0</v>
      </c>
      <c r="K35" s="11" t="s">
        <v>723</v>
      </c>
      <c r="L35" s="12"/>
      <c r="M35" s="12"/>
      <c r="N35" s="12"/>
      <c r="O35" s="12"/>
      <c r="P35" s="12"/>
      <c r="Q35" s="12"/>
      <c r="R35" s="12"/>
      <c r="S35" s="12"/>
      <c r="T35" s="12"/>
      <c r="U35" s="12"/>
      <c r="V35" s="12"/>
      <c r="W35" s="12"/>
      <c r="X35" s="12"/>
      <c r="Y35" s="12"/>
      <c r="Z35" s="12"/>
    </row>
    <row r="36" ht="15.75" customHeight="1">
      <c r="A36" s="13" t="s">
        <v>724</v>
      </c>
      <c r="B36" s="13" t="s">
        <v>725</v>
      </c>
      <c r="C36" s="13" t="s">
        <v>726</v>
      </c>
      <c r="D36" s="13" t="s">
        <v>381</v>
      </c>
      <c r="E36" s="11" t="s">
        <v>727</v>
      </c>
      <c r="F36" s="11" t="s">
        <v>22</v>
      </c>
      <c r="G36" s="13" t="s">
        <v>556</v>
      </c>
      <c r="H36" s="13" t="s">
        <v>131</v>
      </c>
      <c r="I36" s="13">
        <v>1976.0</v>
      </c>
      <c r="J36" s="13" t="s">
        <v>131</v>
      </c>
      <c r="K36" s="11" t="s">
        <v>728</v>
      </c>
      <c r="L36" s="12"/>
      <c r="M36" s="12"/>
      <c r="N36" s="12"/>
      <c r="O36" s="12"/>
      <c r="P36" s="12"/>
      <c r="Q36" s="12"/>
      <c r="R36" s="12"/>
      <c r="S36" s="12"/>
      <c r="T36" s="12"/>
      <c r="U36" s="12"/>
      <c r="V36" s="12"/>
      <c r="W36" s="12"/>
      <c r="X36" s="12"/>
      <c r="Y36" s="12"/>
      <c r="Z36" s="12"/>
    </row>
    <row r="37" ht="15.75" customHeight="1">
      <c r="A37" s="13" t="s">
        <v>729</v>
      </c>
      <c r="B37" s="13" t="s">
        <v>730</v>
      </c>
      <c r="C37" s="13" t="s">
        <v>731</v>
      </c>
      <c r="D37" s="13" t="s">
        <v>381</v>
      </c>
      <c r="E37" s="11" t="s">
        <v>732</v>
      </c>
      <c r="F37" s="11" t="s">
        <v>22</v>
      </c>
      <c r="G37" s="13" t="s">
        <v>556</v>
      </c>
      <c r="H37" s="13" t="s">
        <v>75</v>
      </c>
      <c r="I37" s="13">
        <v>1982.0</v>
      </c>
      <c r="J37" s="12"/>
      <c r="K37" s="11" t="s">
        <v>733</v>
      </c>
      <c r="L37" s="12"/>
      <c r="M37" s="12"/>
      <c r="N37" s="12"/>
      <c r="O37" s="12"/>
      <c r="P37" s="12"/>
      <c r="Q37" s="12"/>
      <c r="R37" s="12"/>
      <c r="S37" s="12"/>
      <c r="T37" s="12"/>
      <c r="U37" s="12"/>
      <c r="V37" s="12"/>
      <c r="W37" s="12"/>
      <c r="X37" s="12"/>
      <c r="Y37" s="12"/>
      <c r="Z37" s="12"/>
    </row>
    <row r="38" ht="15.75" customHeight="1">
      <c r="A38" s="13" t="s">
        <v>734</v>
      </c>
      <c r="B38" s="13" t="s">
        <v>735</v>
      </c>
      <c r="C38" s="11" t="s">
        <v>736</v>
      </c>
      <c r="D38" s="13" t="s">
        <v>554</v>
      </c>
      <c r="E38" s="11" t="s">
        <v>737</v>
      </c>
      <c r="F38" s="11" t="s">
        <v>22</v>
      </c>
      <c r="G38" s="13" t="s">
        <v>556</v>
      </c>
      <c r="H38" s="13" t="s">
        <v>75</v>
      </c>
      <c r="I38" s="13">
        <v>1961.0</v>
      </c>
      <c r="J38" s="12"/>
      <c r="K38" s="32" t="s">
        <v>738</v>
      </c>
      <c r="L38" s="12"/>
      <c r="M38" s="12"/>
      <c r="N38" s="12"/>
      <c r="O38" s="12"/>
      <c r="P38" s="12"/>
      <c r="Q38" s="12"/>
      <c r="R38" s="12"/>
      <c r="S38" s="12"/>
      <c r="T38" s="12"/>
      <c r="U38" s="12"/>
      <c r="V38" s="12"/>
      <c r="W38" s="12"/>
      <c r="X38" s="12"/>
      <c r="Y38" s="12"/>
      <c r="Z38" s="12"/>
    </row>
    <row r="39" ht="15.75" customHeight="1">
      <c r="A39" s="13" t="s">
        <v>739</v>
      </c>
      <c r="B39" s="13" t="s">
        <v>740</v>
      </c>
      <c r="C39" s="11" t="s">
        <v>741</v>
      </c>
      <c r="D39" s="13" t="s">
        <v>381</v>
      </c>
      <c r="E39" s="11" t="s">
        <v>742</v>
      </c>
      <c r="F39" s="11" t="s">
        <v>22</v>
      </c>
      <c r="G39" s="13" t="s">
        <v>556</v>
      </c>
      <c r="H39" s="13" t="s">
        <v>25</v>
      </c>
      <c r="I39" s="13">
        <v>1985.0</v>
      </c>
      <c r="J39" s="13">
        <v>1989.0</v>
      </c>
      <c r="K39" s="11" t="s">
        <v>743</v>
      </c>
      <c r="L39" s="12"/>
      <c r="M39" s="12"/>
      <c r="N39" s="12"/>
      <c r="O39" s="12"/>
      <c r="P39" s="12"/>
      <c r="Q39" s="12"/>
      <c r="R39" s="12"/>
      <c r="S39" s="12"/>
      <c r="T39" s="12"/>
      <c r="U39" s="12"/>
      <c r="V39" s="12"/>
      <c r="W39" s="12"/>
      <c r="X39" s="12"/>
      <c r="Y39" s="12"/>
      <c r="Z39" s="12"/>
    </row>
    <row r="40" ht="15.75" customHeight="1">
      <c r="A40" s="13" t="s">
        <v>744</v>
      </c>
      <c r="B40" s="13" t="s">
        <v>745</v>
      </c>
      <c r="C40" s="13" t="s">
        <v>746</v>
      </c>
      <c r="D40" s="13" t="s">
        <v>554</v>
      </c>
      <c r="E40" s="11" t="s">
        <v>747</v>
      </c>
      <c r="F40" s="11" t="s">
        <v>22</v>
      </c>
      <c r="G40" s="13" t="s">
        <v>556</v>
      </c>
      <c r="H40" s="13" t="s">
        <v>75</v>
      </c>
      <c r="I40" s="13">
        <v>1979.0</v>
      </c>
      <c r="J40" s="12"/>
      <c r="K40" s="31" t="s">
        <v>748</v>
      </c>
      <c r="L40" s="12"/>
      <c r="M40" s="12"/>
      <c r="N40" s="12"/>
      <c r="O40" s="12"/>
      <c r="P40" s="12"/>
      <c r="Q40" s="12"/>
      <c r="R40" s="12"/>
      <c r="S40" s="12"/>
      <c r="T40" s="12"/>
      <c r="U40" s="12"/>
      <c r="V40" s="12"/>
      <c r="W40" s="12"/>
      <c r="X40" s="12"/>
      <c r="Y40" s="12"/>
      <c r="Z40" s="12"/>
    </row>
    <row r="41" ht="15.75" customHeight="1">
      <c r="A41" s="13" t="s">
        <v>749</v>
      </c>
      <c r="B41" s="13" t="s">
        <v>750</v>
      </c>
      <c r="C41" s="13" t="s">
        <v>751</v>
      </c>
      <c r="D41" s="13" t="s">
        <v>381</v>
      </c>
      <c r="E41" s="11" t="s">
        <v>752</v>
      </c>
      <c r="F41" s="11" t="s">
        <v>22</v>
      </c>
      <c r="G41" s="13" t="s">
        <v>556</v>
      </c>
      <c r="H41" s="13" t="s">
        <v>25</v>
      </c>
      <c r="I41" s="13">
        <v>1959.0</v>
      </c>
      <c r="J41" s="13">
        <v>1989.0</v>
      </c>
      <c r="K41" s="11" t="s">
        <v>753</v>
      </c>
      <c r="L41" s="12"/>
      <c r="M41" s="11" t="s">
        <v>39</v>
      </c>
      <c r="N41" s="11" t="s">
        <v>188</v>
      </c>
      <c r="O41" s="17" t="s">
        <v>754</v>
      </c>
      <c r="P41" s="12"/>
      <c r="Q41" s="12"/>
      <c r="R41" s="12"/>
      <c r="S41" s="12"/>
      <c r="T41" s="12"/>
      <c r="U41" s="12"/>
      <c r="V41" s="12"/>
      <c r="W41" s="12"/>
      <c r="X41" s="12"/>
      <c r="Y41" s="12"/>
      <c r="Z41" s="12"/>
    </row>
    <row r="42" ht="15.75" customHeight="1">
      <c r="A42" s="13" t="s">
        <v>755</v>
      </c>
      <c r="B42" s="13" t="s">
        <v>756</v>
      </c>
      <c r="C42" s="13" t="s">
        <v>757</v>
      </c>
      <c r="D42" s="13" t="s">
        <v>381</v>
      </c>
      <c r="E42" s="11" t="s">
        <v>758</v>
      </c>
      <c r="F42" s="11" t="s">
        <v>22</v>
      </c>
      <c r="G42" s="13" t="s">
        <v>556</v>
      </c>
      <c r="H42" s="13" t="s">
        <v>25</v>
      </c>
      <c r="I42" s="13">
        <v>1959.0</v>
      </c>
      <c r="J42" s="13">
        <v>1989.0</v>
      </c>
      <c r="K42" s="11" t="s">
        <v>759</v>
      </c>
      <c r="L42" s="12"/>
      <c r="M42" s="12"/>
      <c r="N42" s="12"/>
      <c r="O42" s="12"/>
      <c r="P42" s="12"/>
      <c r="Q42" s="12"/>
      <c r="R42" s="12"/>
      <c r="S42" s="12"/>
      <c r="T42" s="12"/>
      <c r="U42" s="12"/>
      <c r="V42" s="12"/>
      <c r="W42" s="12"/>
      <c r="X42" s="12"/>
      <c r="Y42" s="12"/>
      <c r="Z42" s="12"/>
    </row>
    <row r="43" ht="15.75" customHeight="1">
      <c r="A43" s="13" t="s">
        <v>760</v>
      </c>
      <c r="B43" s="13" t="s">
        <v>761</v>
      </c>
      <c r="C43" s="13" t="s">
        <v>762</v>
      </c>
      <c r="D43" s="13" t="s">
        <v>381</v>
      </c>
      <c r="E43" s="11" t="s">
        <v>763</v>
      </c>
      <c r="F43" s="11" t="s">
        <v>22</v>
      </c>
      <c r="G43" s="13" t="s">
        <v>556</v>
      </c>
      <c r="H43" s="13" t="s">
        <v>25</v>
      </c>
      <c r="I43" s="13">
        <v>1978.0</v>
      </c>
      <c r="J43" s="13">
        <v>1989.0</v>
      </c>
      <c r="K43" s="17" t="s">
        <v>764</v>
      </c>
      <c r="L43" s="12"/>
      <c r="M43" s="12"/>
      <c r="N43" s="12"/>
      <c r="O43" s="12"/>
      <c r="P43" s="12"/>
      <c r="Q43" s="12"/>
      <c r="R43" s="12"/>
      <c r="S43" s="12"/>
      <c r="T43" s="12"/>
      <c r="U43" s="12"/>
      <c r="V43" s="12"/>
      <c r="W43" s="12"/>
      <c r="X43" s="12"/>
      <c r="Y43" s="12"/>
      <c r="Z43" s="12"/>
    </row>
    <row r="44" ht="15.75" customHeight="1">
      <c r="A44" s="13" t="s">
        <v>765</v>
      </c>
      <c r="B44" s="13" t="s">
        <v>766</v>
      </c>
      <c r="C44" s="13" t="s">
        <v>767</v>
      </c>
      <c r="D44" s="13" t="s">
        <v>381</v>
      </c>
      <c r="E44" s="11" t="s">
        <v>768</v>
      </c>
      <c r="F44" s="11" t="s">
        <v>22</v>
      </c>
      <c r="G44" s="13" t="s">
        <v>556</v>
      </c>
      <c r="H44" s="13" t="s">
        <v>25</v>
      </c>
      <c r="I44" s="13">
        <v>1980.0</v>
      </c>
      <c r="J44" s="13">
        <v>1989.0</v>
      </c>
      <c r="K44" s="11" t="s">
        <v>769</v>
      </c>
      <c r="L44" s="12"/>
      <c r="M44" s="11" t="s">
        <v>770</v>
      </c>
      <c r="N44" s="11" t="s">
        <v>771</v>
      </c>
      <c r="O44" s="17" t="s">
        <v>772</v>
      </c>
      <c r="P44" s="12"/>
      <c r="Q44" s="12"/>
      <c r="R44" s="12"/>
      <c r="S44" s="12"/>
      <c r="T44" s="12"/>
      <c r="U44" s="12"/>
      <c r="V44" s="12"/>
      <c r="W44" s="12"/>
      <c r="X44" s="12"/>
      <c r="Y44" s="12"/>
      <c r="Z44" s="12"/>
    </row>
    <row r="45" ht="15.75" customHeight="1">
      <c r="A45" s="13" t="s">
        <v>773</v>
      </c>
      <c r="B45" s="13" t="s">
        <v>774</v>
      </c>
      <c r="C45" s="13" t="s">
        <v>775</v>
      </c>
      <c r="D45" s="13" t="s">
        <v>381</v>
      </c>
      <c r="E45" s="11" t="s">
        <v>776</v>
      </c>
      <c r="F45" s="11" t="s">
        <v>22</v>
      </c>
      <c r="G45" s="13" t="s">
        <v>556</v>
      </c>
      <c r="H45" s="13" t="s">
        <v>25</v>
      </c>
      <c r="I45" s="13">
        <v>1959.0</v>
      </c>
      <c r="J45" s="13">
        <v>1989.0</v>
      </c>
      <c r="K45" s="17" t="s">
        <v>777</v>
      </c>
      <c r="L45" s="12"/>
      <c r="M45" s="11" t="s">
        <v>778</v>
      </c>
      <c r="N45" s="11" t="s">
        <v>779</v>
      </c>
      <c r="O45" s="17" t="s">
        <v>780</v>
      </c>
      <c r="P45" s="12"/>
      <c r="Q45" s="12"/>
      <c r="R45" s="12"/>
      <c r="S45" s="12"/>
      <c r="T45" s="12"/>
      <c r="U45" s="12"/>
      <c r="V45" s="12"/>
      <c r="W45" s="12"/>
      <c r="X45" s="12"/>
      <c r="Y45" s="12"/>
      <c r="Z45" s="12"/>
    </row>
    <row r="46" ht="15.75" customHeight="1">
      <c r="A46" s="13" t="s">
        <v>781</v>
      </c>
      <c r="B46" s="13" t="s">
        <v>782</v>
      </c>
      <c r="C46" s="13" t="s">
        <v>783</v>
      </c>
      <c r="D46" s="13" t="s">
        <v>381</v>
      </c>
      <c r="E46" s="11" t="s">
        <v>784</v>
      </c>
      <c r="F46" s="11" t="s">
        <v>22</v>
      </c>
      <c r="G46" s="13" t="s">
        <v>556</v>
      </c>
      <c r="H46" s="13" t="s">
        <v>25</v>
      </c>
      <c r="I46" s="13">
        <v>1982.0</v>
      </c>
      <c r="J46" s="13">
        <v>1989.0</v>
      </c>
      <c r="K46" s="11" t="s">
        <v>785</v>
      </c>
      <c r="L46" s="12"/>
      <c r="M46" s="11" t="s">
        <v>786</v>
      </c>
      <c r="N46" s="11" t="s">
        <v>305</v>
      </c>
      <c r="O46" s="17" t="s">
        <v>787</v>
      </c>
      <c r="P46" s="12"/>
      <c r="Q46" s="12"/>
      <c r="R46" s="12"/>
      <c r="S46" s="12"/>
      <c r="T46" s="12"/>
      <c r="U46" s="12"/>
      <c r="V46" s="12"/>
      <c r="W46" s="12"/>
      <c r="X46" s="12"/>
      <c r="Y46" s="12"/>
      <c r="Z46" s="12"/>
    </row>
    <row r="47" ht="15.75" customHeight="1">
      <c r="A47" s="13" t="s">
        <v>788</v>
      </c>
      <c r="B47" s="13" t="s">
        <v>789</v>
      </c>
      <c r="C47" s="11" t="s">
        <v>790</v>
      </c>
      <c r="D47" s="13" t="s">
        <v>381</v>
      </c>
      <c r="E47" s="13" t="s">
        <v>791</v>
      </c>
      <c r="F47" s="11" t="s">
        <v>22</v>
      </c>
      <c r="G47" s="13" t="s">
        <v>556</v>
      </c>
      <c r="H47" s="13" t="s">
        <v>25</v>
      </c>
      <c r="I47" s="13">
        <v>1978.0</v>
      </c>
      <c r="J47" s="13">
        <v>1989.0</v>
      </c>
      <c r="K47" s="17" t="s">
        <v>792</v>
      </c>
      <c r="L47" s="12"/>
      <c r="M47" s="12"/>
      <c r="N47" s="12"/>
      <c r="O47" s="12"/>
      <c r="P47" s="12"/>
      <c r="Q47" s="12"/>
      <c r="R47" s="12"/>
      <c r="S47" s="12"/>
      <c r="T47" s="12"/>
      <c r="U47" s="12"/>
      <c r="V47" s="12"/>
      <c r="W47" s="12"/>
      <c r="X47" s="12"/>
      <c r="Y47" s="12"/>
      <c r="Z47" s="12"/>
    </row>
    <row r="48" ht="15.75" customHeight="1">
      <c r="A48" s="13" t="s">
        <v>793</v>
      </c>
      <c r="B48" s="13" t="s">
        <v>794</v>
      </c>
      <c r="C48" s="11" t="s">
        <v>795</v>
      </c>
      <c r="D48" s="13" t="s">
        <v>381</v>
      </c>
      <c r="E48" s="11" t="s">
        <v>796</v>
      </c>
      <c r="F48" s="11" t="s">
        <v>22</v>
      </c>
      <c r="G48" s="13" t="s">
        <v>556</v>
      </c>
      <c r="H48" s="13" t="s">
        <v>25</v>
      </c>
      <c r="I48" s="13">
        <v>1973.0</v>
      </c>
      <c r="J48" s="13">
        <v>1989.0</v>
      </c>
      <c r="K48" s="11" t="s">
        <v>797</v>
      </c>
      <c r="L48" s="12"/>
      <c r="M48" s="11" t="s">
        <v>798</v>
      </c>
      <c r="N48" s="11" t="s">
        <v>188</v>
      </c>
      <c r="O48" s="17" t="s">
        <v>799</v>
      </c>
      <c r="P48" s="12"/>
      <c r="Q48" s="12"/>
      <c r="R48" s="12"/>
      <c r="S48" s="12"/>
      <c r="T48" s="12"/>
      <c r="U48" s="12"/>
      <c r="V48" s="12"/>
      <c r="W48" s="12"/>
      <c r="X48" s="12"/>
      <c r="Y48" s="12"/>
      <c r="Z48" s="12"/>
    </row>
    <row r="49" ht="15.75" customHeight="1">
      <c r="A49" s="13" t="s">
        <v>800</v>
      </c>
      <c r="B49" s="13" t="s">
        <v>801</v>
      </c>
      <c r="C49" s="11" t="s">
        <v>802</v>
      </c>
      <c r="D49" s="13" t="s">
        <v>381</v>
      </c>
      <c r="E49" s="11" t="s">
        <v>803</v>
      </c>
      <c r="F49" s="11" t="s">
        <v>22</v>
      </c>
      <c r="G49" s="13" t="s">
        <v>556</v>
      </c>
      <c r="H49" s="13" t="s">
        <v>25</v>
      </c>
      <c r="I49" s="13">
        <v>1977.0</v>
      </c>
      <c r="J49" s="13">
        <v>1989.0</v>
      </c>
      <c r="K49" s="11" t="s">
        <v>804</v>
      </c>
      <c r="L49" s="12"/>
      <c r="M49" s="11" t="s">
        <v>805</v>
      </c>
      <c r="N49" s="11" t="s">
        <v>305</v>
      </c>
      <c r="O49" s="17" t="s">
        <v>806</v>
      </c>
      <c r="P49" s="12"/>
      <c r="Q49" s="12"/>
      <c r="R49" s="12"/>
      <c r="S49" s="12"/>
      <c r="T49" s="12"/>
      <c r="U49" s="12"/>
      <c r="V49" s="12"/>
      <c r="W49" s="12"/>
      <c r="X49" s="12"/>
      <c r="Y49" s="12"/>
      <c r="Z49" s="12"/>
    </row>
    <row r="50" ht="15.75" customHeight="1">
      <c r="A50" s="13" t="s">
        <v>807</v>
      </c>
      <c r="B50" s="13" t="s">
        <v>808</v>
      </c>
      <c r="C50" s="13" t="s">
        <v>809</v>
      </c>
      <c r="D50" s="13" t="s">
        <v>381</v>
      </c>
      <c r="E50" s="11" t="s">
        <v>810</v>
      </c>
      <c r="F50" s="11" t="s">
        <v>22</v>
      </c>
      <c r="G50" s="13" t="s">
        <v>556</v>
      </c>
      <c r="H50" s="13" t="s">
        <v>25</v>
      </c>
      <c r="I50" s="13">
        <v>1978.0</v>
      </c>
      <c r="J50" s="13">
        <v>1989.0</v>
      </c>
      <c r="K50" s="11" t="s">
        <v>811</v>
      </c>
      <c r="L50" s="12"/>
      <c r="M50" s="12"/>
      <c r="N50" s="12"/>
      <c r="O50" s="12"/>
      <c r="P50" s="12"/>
      <c r="Q50" s="12"/>
      <c r="R50" s="12"/>
      <c r="S50" s="12"/>
      <c r="T50" s="12"/>
      <c r="U50" s="12"/>
      <c r="V50" s="12"/>
      <c r="W50" s="12"/>
      <c r="X50" s="12"/>
      <c r="Y50" s="12"/>
      <c r="Z50" s="12"/>
    </row>
    <row r="51" ht="15.75" customHeight="1">
      <c r="A51" s="13" t="s">
        <v>812</v>
      </c>
      <c r="B51" s="13" t="s">
        <v>813</v>
      </c>
      <c r="C51" s="13" t="s">
        <v>814</v>
      </c>
      <c r="D51" s="13" t="s">
        <v>381</v>
      </c>
      <c r="E51" s="11" t="s">
        <v>815</v>
      </c>
      <c r="F51" s="11" t="s">
        <v>22</v>
      </c>
      <c r="G51" s="13" t="s">
        <v>556</v>
      </c>
      <c r="H51" s="13" t="s">
        <v>25</v>
      </c>
      <c r="I51" s="13">
        <v>1974.0</v>
      </c>
      <c r="J51" s="13">
        <v>1989.0</v>
      </c>
      <c r="K51" s="11" t="s">
        <v>816</v>
      </c>
      <c r="L51" s="12"/>
      <c r="M51" s="11" t="s">
        <v>817</v>
      </c>
      <c r="N51" s="11" t="s">
        <v>818</v>
      </c>
      <c r="O51" s="17" t="s">
        <v>819</v>
      </c>
      <c r="P51" s="12"/>
      <c r="Q51" s="12"/>
      <c r="R51" s="12"/>
      <c r="S51" s="12"/>
      <c r="T51" s="12"/>
      <c r="U51" s="12"/>
      <c r="V51" s="12"/>
      <c r="W51" s="12"/>
      <c r="X51" s="12"/>
      <c r="Y51" s="12"/>
      <c r="Z51" s="12"/>
    </row>
    <row r="52" ht="15.75" customHeight="1">
      <c r="A52" s="13" t="s">
        <v>820</v>
      </c>
      <c r="B52" s="13" t="s">
        <v>821</v>
      </c>
      <c r="C52" s="13" t="s">
        <v>822</v>
      </c>
      <c r="D52" s="13" t="s">
        <v>381</v>
      </c>
      <c r="E52" s="13" t="s">
        <v>823</v>
      </c>
      <c r="F52" s="11" t="s">
        <v>22</v>
      </c>
      <c r="G52" s="13" t="s">
        <v>556</v>
      </c>
      <c r="H52" s="13" t="s">
        <v>25</v>
      </c>
      <c r="I52" s="13">
        <v>1985.0</v>
      </c>
      <c r="J52" s="13">
        <v>1989.0</v>
      </c>
      <c r="K52" s="11" t="s">
        <v>824</v>
      </c>
      <c r="L52" s="12"/>
      <c r="M52" s="12"/>
      <c r="N52" s="12"/>
      <c r="O52" s="12"/>
      <c r="P52" s="12"/>
      <c r="Q52" s="12"/>
      <c r="R52" s="12"/>
      <c r="S52" s="12"/>
      <c r="T52" s="12"/>
      <c r="U52" s="12"/>
      <c r="V52" s="12"/>
      <c r="W52" s="12"/>
      <c r="X52" s="12"/>
      <c r="Y52" s="12"/>
      <c r="Z52" s="12"/>
    </row>
    <row r="53" ht="15.75" customHeight="1">
      <c r="A53" s="13" t="s">
        <v>825</v>
      </c>
      <c r="B53" s="13" t="s">
        <v>826</v>
      </c>
      <c r="C53" s="13" t="s">
        <v>827</v>
      </c>
      <c r="D53" s="13" t="s">
        <v>381</v>
      </c>
      <c r="E53" s="11" t="s">
        <v>828</v>
      </c>
      <c r="F53" s="11" t="s">
        <v>22</v>
      </c>
      <c r="G53" s="13" t="s">
        <v>556</v>
      </c>
      <c r="H53" s="13" t="s">
        <v>25</v>
      </c>
      <c r="I53" s="13">
        <v>1974.0</v>
      </c>
      <c r="J53" s="13">
        <v>1989.0</v>
      </c>
      <c r="K53" s="11" t="s">
        <v>829</v>
      </c>
      <c r="L53" s="12"/>
      <c r="M53" s="11" t="s">
        <v>830</v>
      </c>
      <c r="N53" s="11" t="s">
        <v>305</v>
      </c>
      <c r="O53" s="17" t="s">
        <v>831</v>
      </c>
      <c r="P53" s="12"/>
      <c r="Q53" s="12"/>
      <c r="R53" s="12"/>
      <c r="S53" s="12"/>
      <c r="T53" s="12"/>
      <c r="U53" s="12"/>
      <c r="V53" s="12"/>
      <c r="W53" s="12"/>
      <c r="X53" s="12"/>
      <c r="Y53" s="12"/>
      <c r="Z53" s="12"/>
    </row>
    <row r="54" ht="15.75" customHeight="1">
      <c r="A54" s="13" t="s">
        <v>832</v>
      </c>
      <c r="B54" s="13" t="s">
        <v>833</v>
      </c>
      <c r="C54" s="11" t="s">
        <v>834</v>
      </c>
      <c r="D54" s="13" t="s">
        <v>381</v>
      </c>
      <c r="E54" s="11" t="s">
        <v>835</v>
      </c>
      <c r="F54" s="11" t="s">
        <v>22</v>
      </c>
      <c r="G54" s="13" t="s">
        <v>556</v>
      </c>
      <c r="H54" s="13" t="s">
        <v>25</v>
      </c>
      <c r="I54" s="13">
        <v>1975.0</v>
      </c>
      <c r="J54" s="13">
        <v>1989.0</v>
      </c>
      <c r="K54" s="11" t="s">
        <v>836</v>
      </c>
      <c r="L54" s="12"/>
      <c r="M54" s="11" t="s">
        <v>837</v>
      </c>
      <c r="N54" s="11" t="s">
        <v>305</v>
      </c>
      <c r="O54" s="17" t="s">
        <v>838</v>
      </c>
      <c r="P54" s="12"/>
      <c r="Q54" s="12"/>
      <c r="R54" s="12"/>
      <c r="S54" s="12"/>
      <c r="T54" s="12"/>
      <c r="U54" s="12"/>
      <c r="V54" s="12"/>
      <c r="W54" s="12"/>
      <c r="X54" s="12"/>
      <c r="Y54" s="12"/>
      <c r="Z54" s="12"/>
    </row>
    <row r="55" ht="15.75" customHeight="1">
      <c r="A55" s="13" t="s">
        <v>839</v>
      </c>
      <c r="B55" s="13" t="s">
        <v>840</v>
      </c>
      <c r="C55" s="11" t="s">
        <v>841</v>
      </c>
      <c r="D55" s="13" t="s">
        <v>381</v>
      </c>
      <c r="E55" s="11" t="s">
        <v>842</v>
      </c>
      <c r="F55" s="11" t="s">
        <v>22</v>
      </c>
      <c r="G55" s="13" t="s">
        <v>556</v>
      </c>
      <c r="H55" s="13" t="s">
        <v>25</v>
      </c>
      <c r="I55" s="13">
        <v>1982.0</v>
      </c>
      <c r="J55" s="13">
        <v>1989.0</v>
      </c>
      <c r="K55" s="11" t="s">
        <v>843</v>
      </c>
      <c r="L55" s="12"/>
      <c r="M55" s="11" t="s">
        <v>844</v>
      </c>
      <c r="N55" s="11" t="s">
        <v>771</v>
      </c>
      <c r="O55" s="17" t="s">
        <v>845</v>
      </c>
      <c r="P55" s="12"/>
      <c r="Q55" s="12"/>
      <c r="R55" s="12"/>
      <c r="S55" s="12"/>
      <c r="T55" s="12"/>
      <c r="U55" s="12"/>
      <c r="V55" s="12"/>
      <c r="W55" s="12"/>
      <c r="X55" s="12"/>
      <c r="Y55" s="12"/>
      <c r="Z55" s="12"/>
    </row>
    <row r="56" ht="15.75" customHeight="1">
      <c r="A56" s="13" t="s">
        <v>846</v>
      </c>
      <c r="B56" s="13" t="s">
        <v>847</v>
      </c>
      <c r="C56" s="11" t="s">
        <v>848</v>
      </c>
      <c r="D56" s="13" t="s">
        <v>554</v>
      </c>
      <c r="E56" s="11" t="s">
        <v>849</v>
      </c>
      <c r="F56" s="11" t="s">
        <v>22</v>
      </c>
      <c r="G56" s="13" t="s">
        <v>556</v>
      </c>
      <c r="H56" s="13" t="s">
        <v>25</v>
      </c>
      <c r="I56" s="13">
        <v>1986.0</v>
      </c>
      <c r="J56" s="13">
        <v>1989.0</v>
      </c>
      <c r="K56" s="11" t="s">
        <v>850</v>
      </c>
      <c r="L56" s="12"/>
      <c r="M56" s="11" t="s">
        <v>851</v>
      </c>
      <c r="N56" s="11" t="s">
        <v>771</v>
      </c>
      <c r="O56" s="17" t="s">
        <v>852</v>
      </c>
      <c r="P56" s="12"/>
      <c r="Q56" s="12"/>
      <c r="R56" s="12"/>
      <c r="S56" s="12"/>
      <c r="T56" s="12"/>
      <c r="U56" s="12"/>
      <c r="V56" s="12"/>
      <c r="W56" s="12"/>
      <c r="X56" s="12"/>
      <c r="Y56" s="12"/>
      <c r="Z56" s="12"/>
    </row>
    <row r="57" ht="15.75" customHeight="1">
      <c r="A57" s="13" t="s">
        <v>853</v>
      </c>
      <c r="B57" s="13" t="s">
        <v>854</v>
      </c>
      <c r="C57" s="11" t="s">
        <v>855</v>
      </c>
      <c r="D57" s="13" t="s">
        <v>381</v>
      </c>
      <c r="E57" s="13" t="s">
        <v>856</v>
      </c>
      <c r="F57" s="11" t="s">
        <v>22</v>
      </c>
      <c r="G57" s="13" t="s">
        <v>556</v>
      </c>
      <c r="H57" s="13" t="s">
        <v>25</v>
      </c>
      <c r="I57" s="13">
        <v>1986.0</v>
      </c>
      <c r="J57" s="13">
        <v>1989.0</v>
      </c>
      <c r="K57" s="11" t="s">
        <v>850</v>
      </c>
      <c r="L57" s="12"/>
      <c r="M57" s="12"/>
      <c r="N57" s="12"/>
      <c r="O57" s="12"/>
      <c r="P57" s="12"/>
      <c r="Q57" s="12"/>
      <c r="R57" s="12"/>
      <c r="S57" s="12"/>
      <c r="T57" s="12"/>
      <c r="U57" s="12"/>
      <c r="V57" s="12"/>
      <c r="W57" s="12"/>
      <c r="X57" s="12"/>
      <c r="Y57" s="12"/>
      <c r="Z57" s="12"/>
    </row>
    <row r="58" ht="15.75" customHeight="1">
      <c r="A58" s="13" t="s">
        <v>857</v>
      </c>
      <c r="B58" s="13" t="s">
        <v>858</v>
      </c>
      <c r="C58" s="11" t="s">
        <v>859</v>
      </c>
      <c r="D58" s="13" t="s">
        <v>554</v>
      </c>
      <c r="E58" s="11" t="s">
        <v>860</v>
      </c>
      <c r="F58" s="11" t="s">
        <v>22</v>
      </c>
      <c r="G58" s="13" t="s">
        <v>556</v>
      </c>
      <c r="H58" s="13" t="s">
        <v>25</v>
      </c>
      <c r="I58" s="13">
        <v>1961.0</v>
      </c>
      <c r="J58" s="13">
        <v>1989.0</v>
      </c>
      <c r="K58" s="11" t="s">
        <v>861</v>
      </c>
      <c r="L58" s="12"/>
      <c r="M58" s="12"/>
      <c r="N58" s="12"/>
      <c r="O58" s="12"/>
      <c r="P58" s="12"/>
      <c r="Q58" s="12"/>
      <c r="R58" s="12"/>
      <c r="S58" s="12"/>
      <c r="T58" s="12"/>
      <c r="U58" s="12"/>
      <c r="V58" s="12"/>
      <c r="W58" s="12"/>
      <c r="X58" s="12"/>
      <c r="Y58" s="12"/>
      <c r="Z58" s="12"/>
    </row>
    <row r="59" ht="15.75" customHeight="1">
      <c r="A59" s="13" t="s">
        <v>862</v>
      </c>
      <c r="B59" s="13" t="s">
        <v>863</v>
      </c>
      <c r="C59" s="11" t="s">
        <v>864</v>
      </c>
      <c r="D59" s="13" t="s">
        <v>381</v>
      </c>
      <c r="E59" s="11" t="s">
        <v>865</v>
      </c>
      <c r="F59" s="11" t="s">
        <v>22</v>
      </c>
      <c r="G59" s="13" t="s">
        <v>556</v>
      </c>
      <c r="H59" s="13" t="s">
        <v>25</v>
      </c>
      <c r="I59" s="13">
        <v>1974.0</v>
      </c>
      <c r="J59" s="13">
        <v>1989.0</v>
      </c>
      <c r="K59" s="11" t="s">
        <v>866</v>
      </c>
      <c r="L59" s="12"/>
      <c r="M59" s="12"/>
      <c r="N59" s="12"/>
      <c r="O59" s="12"/>
      <c r="P59" s="12"/>
      <c r="Q59" s="12"/>
      <c r="R59" s="12"/>
      <c r="S59" s="12"/>
      <c r="T59" s="12"/>
      <c r="U59" s="12"/>
      <c r="V59" s="12"/>
      <c r="W59" s="12"/>
      <c r="X59" s="12"/>
      <c r="Y59" s="12"/>
      <c r="Z59" s="12"/>
    </row>
    <row r="60" ht="15.75" customHeight="1">
      <c r="A60" s="13" t="s">
        <v>867</v>
      </c>
      <c r="B60" s="13" t="s">
        <v>868</v>
      </c>
      <c r="C60" s="11" t="s">
        <v>869</v>
      </c>
      <c r="D60" s="13" t="s">
        <v>381</v>
      </c>
      <c r="E60" s="11" t="s">
        <v>870</v>
      </c>
      <c r="F60" s="11" t="s">
        <v>22</v>
      </c>
      <c r="G60" s="13" t="s">
        <v>556</v>
      </c>
      <c r="H60" s="13" t="s">
        <v>25</v>
      </c>
      <c r="I60" s="13">
        <v>1982.0</v>
      </c>
      <c r="J60" s="13">
        <v>1989.0</v>
      </c>
      <c r="K60" s="11" t="s">
        <v>871</v>
      </c>
      <c r="L60" s="12"/>
      <c r="M60" s="11" t="s">
        <v>872</v>
      </c>
      <c r="N60" s="11" t="s">
        <v>873</v>
      </c>
      <c r="O60" s="17" t="s">
        <v>871</v>
      </c>
      <c r="P60" s="12"/>
      <c r="Q60" s="12"/>
      <c r="R60" s="12"/>
      <c r="S60" s="12"/>
      <c r="T60" s="12"/>
      <c r="U60" s="12"/>
      <c r="V60" s="12"/>
      <c r="W60" s="12"/>
      <c r="X60" s="12"/>
      <c r="Y60" s="12"/>
      <c r="Z60" s="12"/>
    </row>
    <row r="61" ht="15.75" customHeight="1">
      <c r="A61" s="13" t="s">
        <v>874</v>
      </c>
      <c r="B61" s="13" t="s">
        <v>875</v>
      </c>
      <c r="C61" s="11" t="s">
        <v>876</v>
      </c>
      <c r="D61" s="13" t="s">
        <v>381</v>
      </c>
      <c r="E61" s="11" t="s">
        <v>877</v>
      </c>
      <c r="F61" s="11" t="s">
        <v>22</v>
      </c>
      <c r="G61" s="13" t="s">
        <v>556</v>
      </c>
      <c r="H61" s="13" t="s">
        <v>25</v>
      </c>
      <c r="I61" s="13">
        <v>1973.0</v>
      </c>
      <c r="J61" s="13">
        <v>1989.0</v>
      </c>
      <c r="K61" s="11" t="s">
        <v>878</v>
      </c>
      <c r="L61" s="12"/>
      <c r="M61" s="12"/>
      <c r="N61" s="12"/>
      <c r="O61" s="12"/>
      <c r="P61" s="12"/>
      <c r="Q61" s="12"/>
      <c r="R61" s="12"/>
      <c r="S61" s="12"/>
      <c r="T61" s="12"/>
      <c r="U61" s="12"/>
      <c r="V61" s="12"/>
      <c r="W61" s="12"/>
      <c r="X61" s="12"/>
      <c r="Y61" s="12"/>
      <c r="Z61" s="12"/>
    </row>
    <row r="62" ht="15.75" customHeight="1">
      <c r="A62" s="13" t="s">
        <v>879</v>
      </c>
      <c r="B62" s="13" t="s">
        <v>880</v>
      </c>
      <c r="C62" s="13" t="s">
        <v>881</v>
      </c>
      <c r="D62" s="13" t="s">
        <v>381</v>
      </c>
      <c r="E62" s="11" t="s">
        <v>882</v>
      </c>
      <c r="F62" s="11" t="s">
        <v>22</v>
      </c>
      <c r="G62" s="13" t="s">
        <v>556</v>
      </c>
      <c r="H62" s="13" t="s">
        <v>25</v>
      </c>
      <c r="I62" s="13">
        <v>1973.0</v>
      </c>
      <c r="J62" s="13">
        <v>1989.0</v>
      </c>
      <c r="K62" s="11" t="s">
        <v>883</v>
      </c>
      <c r="L62" s="12"/>
      <c r="M62" s="11" t="s">
        <v>884</v>
      </c>
      <c r="N62" s="11" t="s">
        <v>771</v>
      </c>
      <c r="O62" s="17" t="s">
        <v>885</v>
      </c>
      <c r="P62" s="12"/>
      <c r="Q62" s="12"/>
      <c r="R62" s="12"/>
      <c r="S62" s="12"/>
      <c r="T62" s="12"/>
      <c r="U62" s="12"/>
      <c r="V62" s="12"/>
      <c r="W62" s="12"/>
      <c r="X62" s="12"/>
      <c r="Y62" s="12"/>
      <c r="Z62" s="12"/>
    </row>
    <row r="63" ht="15.75" customHeight="1">
      <c r="A63" s="13" t="s">
        <v>886</v>
      </c>
      <c r="B63" s="13" t="s">
        <v>887</v>
      </c>
      <c r="C63" s="11" t="s">
        <v>888</v>
      </c>
      <c r="D63" s="13" t="s">
        <v>381</v>
      </c>
      <c r="E63" s="11" t="s">
        <v>889</v>
      </c>
      <c r="F63" s="11" t="s">
        <v>22</v>
      </c>
      <c r="G63" s="13" t="s">
        <v>556</v>
      </c>
      <c r="H63" s="13" t="s">
        <v>25</v>
      </c>
      <c r="I63" s="13">
        <v>1961.0</v>
      </c>
      <c r="J63" s="13">
        <v>1989.0</v>
      </c>
      <c r="K63" s="11" t="s">
        <v>890</v>
      </c>
      <c r="L63" s="12"/>
      <c r="M63" s="11" t="s">
        <v>891</v>
      </c>
      <c r="N63" s="11" t="s">
        <v>892</v>
      </c>
      <c r="O63" s="17" t="s">
        <v>893</v>
      </c>
      <c r="P63" s="12"/>
      <c r="Q63" s="12"/>
      <c r="R63" s="12"/>
      <c r="S63" s="12"/>
      <c r="T63" s="12"/>
      <c r="U63" s="12"/>
      <c r="V63" s="12"/>
      <c r="W63" s="12"/>
      <c r="X63" s="12"/>
      <c r="Y63" s="12"/>
      <c r="Z63" s="12"/>
    </row>
    <row r="64" ht="15.75" customHeight="1">
      <c r="A64" s="13" t="s">
        <v>894</v>
      </c>
      <c r="B64" s="13" t="s">
        <v>895</v>
      </c>
      <c r="C64" s="13" t="s">
        <v>896</v>
      </c>
      <c r="D64" s="13" t="s">
        <v>381</v>
      </c>
      <c r="E64" s="13" t="s">
        <v>897</v>
      </c>
      <c r="F64" s="11" t="s">
        <v>22</v>
      </c>
      <c r="G64" s="13" t="s">
        <v>556</v>
      </c>
      <c r="H64" s="13" t="s">
        <v>25</v>
      </c>
      <c r="I64" s="13">
        <v>1978.0</v>
      </c>
      <c r="J64" s="13">
        <v>1989.0</v>
      </c>
      <c r="K64" s="11" t="s">
        <v>898</v>
      </c>
      <c r="L64" s="12"/>
      <c r="M64" s="12"/>
      <c r="N64" s="12"/>
      <c r="O64" s="12"/>
      <c r="P64" s="12"/>
      <c r="Q64" s="12"/>
      <c r="R64" s="12"/>
      <c r="S64" s="12"/>
      <c r="T64" s="12"/>
      <c r="U64" s="12"/>
      <c r="V64" s="12"/>
      <c r="W64" s="12"/>
      <c r="X64" s="12"/>
      <c r="Y64" s="12"/>
      <c r="Z64" s="12"/>
    </row>
    <row r="65" ht="15.75" customHeight="1">
      <c r="A65" s="13" t="s">
        <v>899</v>
      </c>
      <c r="B65" s="13" t="s">
        <v>900</v>
      </c>
      <c r="C65" s="11" t="s">
        <v>901</v>
      </c>
      <c r="D65" s="13" t="s">
        <v>381</v>
      </c>
      <c r="E65" s="11" t="s">
        <v>902</v>
      </c>
      <c r="F65" s="11" t="s">
        <v>22</v>
      </c>
      <c r="G65" s="13" t="s">
        <v>556</v>
      </c>
      <c r="H65" s="13" t="s">
        <v>25</v>
      </c>
      <c r="I65" s="13">
        <v>1984.0</v>
      </c>
      <c r="J65" s="13">
        <v>1989.0</v>
      </c>
      <c r="K65" s="11" t="s">
        <v>903</v>
      </c>
      <c r="L65" s="12"/>
      <c r="M65" s="12"/>
      <c r="N65" s="12"/>
      <c r="O65" s="12"/>
      <c r="P65" s="12"/>
      <c r="Q65" s="12"/>
      <c r="R65" s="12"/>
      <c r="S65" s="12"/>
      <c r="T65" s="12"/>
      <c r="U65" s="12"/>
      <c r="V65" s="12"/>
      <c r="W65" s="12"/>
      <c r="X65" s="12"/>
      <c r="Y65" s="12"/>
      <c r="Z65" s="12"/>
    </row>
    <row r="66" ht="15.75" customHeight="1">
      <c r="A66" s="13" t="s">
        <v>904</v>
      </c>
      <c r="B66" s="13" t="s">
        <v>905</v>
      </c>
      <c r="C66" s="11" t="s">
        <v>906</v>
      </c>
      <c r="D66" s="13" t="s">
        <v>381</v>
      </c>
      <c r="E66" s="11" t="s">
        <v>907</v>
      </c>
      <c r="F66" s="11" t="s">
        <v>22</v>
      </c>
      <c r="G66" s="13" t="s">
        <v>556</v>
      </c>
      <c r="H66" s="13" t="s">
        <v>25</v>
      </c>
      <c r="I66" s="13">
        <v>1987.0</v>
      </c>
      <c r="J66" s="13">
        <v>1989.0</v>
      </c>
      <c r="K66" s="11" t="s">
        <v>908</v>
      </c>
      <c r="L66" s="12"/>
      <c r="M66" s="12"/>
      <c r="N66" s="12"/>
      <c r="O66" s="12"/>
      <c r="P66" s="12"/>
      <c r="Q66" s="12"/>
      <c r="R66" s="12"/>
      <c r="S66" s="12"/>
      <c r="T66" s="12"/>
      <c r="U66" s="12"/>
      <c r="V66" s="12"/>
      <c r="W66" s="12"/>
      <c r="X66" s="12"/>
      <c r="Y66" s="12"/>
      <c r="Z66" s="12"/>
    </row>
    <row r="67" ht="15.75" customHeight="1">
      <c r="A67" s="13" t="s">
        <v>909</v>
      </c>
      <c r="B67" s="13" t="s">
        <v>910</v>
      </c>
      <c r="C67" s="13" t="s">
        <v>911</v>
      </c>
      <c r="D67" s="13" t="s">
        <v>381</v>
      </c>
      <c r="E67" s="11" t="s">
        <v>912</v>
      </c>
      <c r="F67" s="11" t="s">
        <v>22</v>
      </c>
      <c r="G67" s="13" t="s">
        <v>556</v>
      </c>
      <c r="H67" s="13" t="s">
        <v>25</v>
      </c>
      <c r="I67" s="13">
        <v>1974.0</v>
      </c>
      <c r="J67" s="13">
        <v>1989.0</v>
      </c>
      <c r="K67" s="11" t="s">
        <v>913</v>
      </c>
      <c r="L67" s="12"/>
      <c r="M67" s="12"/>
      <c r="N67" s="12"/>
      <c r="O67" s="12"/>
      <c r="P67" s="12"/>
      <c r="Q67" s="12"/>
      <c r="R67" s="12"/>
      <c r="S67" s="12"/>
      <c r="T67" s="12"/>
      <c r="U67" s="12"/>
      <c r="V67" s="12"/>
      <c r="W67" s="12"/>
      <c r="X67" s="12"/>
      <c r="Y67" s="12"/>
      <c r="Z67" s="12"/>
    </row>
    <row r="68" ht="15.75" customHeight="1">
      <c r="A68" s="13" t="s">
        <v>914</v>
      </c>
      <c r="B68" s="13" t="s">
        <v>915</v>
      </c>
      <c r="C68" s="11" t="s">
        <v>916</v>
      </c>
      <c r="D68" s="13" t="s">
        <v>381</v>
      </c>
      <c r="E68" s="13" t="s">
        <v>917</v>
      </c>
      <c r="F68" s="11" t="s">
        <v>22</v>
      </c>
      <c r="G68" s="13" t="s">
        <v>556</v>
      </c>
      <c r="H68" s="13" t="s">
        <v>25</v>
      </c>
      <c r="I68" s="13">
        <v>1974.0</v>
      </c>
      <c r="J68" s="13">
        <v>1989.0</v>
      </c>
      <c r="K68" s="11" t="s">
        <v>918</v>
      </c>
      <c r="L68" s="12"/>
      <c r="M68" s="12"/>
      <c r="N68" s="12"/>
      <c r="O68" s="12"/>
      <c r="P68" s="12"/>
      <c r="Q68" s="12"/>
      <c r="R68" s="12"/>
      <c r="S68" s="12"/>
      <c r="T68" s="12"/>
      <c r="U68" s="12"/>
      <c r="V68" s="12"/>
      <c r="W68" s="12"/>
      <c r="X68" s="12"/>
      <c r="Y68" s="12"/>
      <c r="Z68" s="12"/>
    </row>
    <row r="69" ht="15.75" customHeight="1">
      <c r="A69" s="13" t="s">
        <v>919</v>
      </c>
      <c r="B69" s="13" t="s">
        <v>920</v>
      </c>
      <c r="C69" s="13" t="s">
        <v>921</v>
      </c>
      <c r="D69" s="13" t="s">
        <v>381</v>
      </c>
      <c r="E69" s="13" t="s">
        <v>922</v>
      </c>
      <c r="F69" s="11" t="s">
        <v>22</v>
      </c>
      <c r="G69" s="13" t="s">
        <v>556</v>
      </c>
      <c r="H69" s="13" t="s">
        <v>25</v>
      </c>
      <c r="I69" s="13">
        <v>1976.0</v>
      </c>
      <c r="J69" s="13">
        <v>1989.0</v>
      </c>
      <c r="K69" s="11" t="s">
        <v>923</v>
      </c>
      <c r="L69" s="12"/>
      <c r="M69" s="12"/>
      <c r="N69" s="12"/>
      <c r="O69" s="12"/>
      <c r="P69" s="12"/>
      <c r="Q69" s="12"/>
      <c r="R69" s="12"/>
      <c r="S69" s="12"/>
      <c r="T69" s="12"/>
      <c r="U69" s="12"/>
      <c r="V69" s="12"/>
      <c r="W69" s="12"/>
      <c r="X69" s="12"/>
      <c r="Y69" s="12"/>
      <c r="Z69" s="12"/>
    </row>
    <row r="70" ht="15.75" customHeight="1">
      <c r="A70" s="13" t="s">
        <v>924</v>
      </c>
      <c r="B70" s="13" t="s">
        <v>925</v>
      </c>
      <c r="C70" s="11" t="s">
        <v>926</v>
      </c>
      <c r="D70" s="13" t="s">
        <v>381</v>
      </c>
      <c r="E70" s="11" t="s">
        <v>927</v>
      </c>
      <c r="F70" s="11" t="s">
        <v>22</v>
      </c>
      <c r="G70" s="13" t="s">
        <v>556</v>
      </c>
      <c r="H70" s="13" t="s">
        <v>25</v>
      </c>
      <c r="I70" s="13">
        <v>1978.0</v>
      </c>
      <c r="J70" s="13">
        <v>1989.0</v>
      </c>
      <c r="K70" s="11" t="s">
        <v>923</v>
      </c>
      <c r="L70" s="12"/>
      <c r="M70" s="11" t="s">
        <v>928</v>
      </c>
      <c r="N70" s="11" t="s">
        <v>771</v>
      </c>
      <c r="O70" s="17" t="s">
        <v>923</v>
      </c>
      <c r="P70" s="12"/>
      <c r="Q70" s="12"/>
      <c r="R70" s="12"/>
      <c r="S70" s="12"/>
      <c r="T70" s="12"/>
      <c r="U70" s="12"/>
      <c r="V70" s="12"/>
      <c r="W70" s="12"/>
      <c r="X70" s="12"/>
      <c r="Y70" s="12"/>
      <c r="Z70" s="12"/>
    </row>
    <row r="71" ht="15.75" customHeight="1">
      <c r="A71" s="13" t="s">
        <v>929</v>
      </c>
      <c r="B71" s="13" t="s">
        <v>930</v>
      </c>
      <c r="C71" s="11" t="s">
        <v>931</v>
      </c>
      <c r="D71" s="13" t="s">
        <v>381</v>
      </c>
      <c r="E71" s="13" t="s">
        <v>932</v>
      </c>
      <c r="F71" s="11" t="s">
        <v>22</v>
      </c>
      <c r="G71" s="13" t="s">
        <v>556</v>
      </c>
      <c r="H71" s="12"/>
      <c r="I71" s="13">
        <v>1987.0</v>
      </c>
      <c r="J71" s="13">
        <v>1989.0</v>
      </c>
      <c r="K71" s="11" t="s">
        <v>933</v>
      </c>
      <c r="L71" s="12"/>
      <c r="M71" s="12"/>
      <c r="N71" s="12"/>
      <c r="O71" s="12"/>
      <c r="P71" s="12"/>
      <c r="Q71" s="12"/>
      <c r="R71" s="12"/>
      <c r="S71" s="12"/>
      <c r="T71" s="12"/>
      <c r="U71" s="12"/>
      <c r="V71" s="12"/>
      <c r="W71" s="12"/>
      <c r="X71" s="12"/>
      <c r="Y71" s="12"/>
      <c r="Z71" s="12"/>
    </row>
    <row r="72" ht="15.75" customHeight="1">
      <c r="A72" s="13" t="s">
        <v>934</v>
      </c>
      <c r="B72" s="13" t="s">
        <v>935</v>
      </c>
      <c r="C72" s="13" t="s">
        <v>936</v>
      </c>
      <c r="D72" s="13" t="s">
        <v>381</v>
      </c>
      <c r="E72" s="13" t="s">
        <v>937</v>
      </c>
      <c r="F72" s="11" t="s">
        <v>22</v>
      </c>
      <c r="G72" s="13" t="s">
        <v>556</v>
      </c>
      <c r="H72" s="13" t="s">
        <v>25</v>
      </c>
      <c r="I72" s="13">
        <v>1985.0</v>
      </c>
      <c r="J72" s="13">
        <v>1989.0</v>
      </c>
      <c r="K72" s="11" t="s">
        <v>938</v>
      </c>
      <c r="L72" s="12"/>
      <c r="M72" s="12"/>
      <c r="N72" s="12"/>
      <c r="O72" s="12"/>
      <c r="P72" s="12"/>
      <c r="Q72" s="12"/>
      <c r="R72" s="12"/>
      <c r="S72" s="12"/>
      <c r="T72" s="12"/>
      <c r="U72" s="12"/>
      <c r="V72" s="12"/>
      <c r="W72" s="12"/>
      <c r="X72" s="12"/>
      <c r="Y72" s="12"/>
      <c r="Z72" s="12"/>
    </row>
    <row r="73" ht="15.75" customHeight="1">
      <c r="A73" s="13" t="s">
        <v>939</v>
      </c>
      <c r="B73" s="13" t="s">
        <v>940</v>
      </c>
      <c r="C73" s="11" t="s">
        <v>941</v>
      </c>
      <c r="D73" s="13" t="s">
        <v>381</v>
      </c>
      <c r="E73" s="13" t="s">
        <v>942</v>
      </c>
      <c r="F73" s="11" t="s">
        <v>22</v>
      </c>
      <c r="G73" s="13" t="s">
        <v>556</v>
      </c>
      <c r="H73" s="13" t="s">
        <v>75</v>
      </c>
      <c r="I73" s="13">
        <v>1984.0</v>
      </c>
      <c r="J73" s="12"/>
      <c r="K73" s="17" t="s">
        <v>943</v>
      </c>
      <c r="L73" s="12"/>
      <c r="M73" s="12"/>
      <c r="N73" s="12"/>
      <c r="O73" s="12"/>
      <c r="P73" s="12"/>
      <c r="Q73" s="12"/>
      <c r="R73" s="12"/>
      <c r="S73" s="12"/>
      <c r="T73" s="12"/>
      <c r="U73" s="12"/>
      <c r="V73" s="12"/>
      <c r="W73" s="12"/>
      <c r="X73" s="12"/>
      <c r="Y73" s="12"/>
      <c r="Z73" s="12"/>
    </row>
    <row r="74" ht="15.75" customHeight="1">
      <c r="A74" s="13" t="s">
        <v>944</v>
      </c>
      <c r="B74" s="13" t="s">
        <v>945</v>
      </c>
      <c r="C74" s="11" t="s">
        <v>946</v>
      </c>
      <c r="D74" s="13" t="s">
        <v>381</v>
      </c>
      <c r="E74" s="11" t="s">
        <v>947</v>
      </c>
      <c r="F74" s="11" t="s">
        <v>22</v>
      </c>
      <c r="G74" s="13" t="s">
        <v>556</v>
      </c>
      <c r="H74" s="13" t="s">
        <v>25</v>
      </c>
      <c r="I74" s="13">
        <v>1983.0</v>
      </c>
      <c r="J74" s="13">
        <v>1989.0</v>
      </c>
      <c r="K74" s="11" t="s">
        <v>948</v>
      </c>
      <c r="L74" s="12"/>
      <c r="M74" s="12"/>
      <c r="N74" s="12"/>
      <c r="O74" s="12"/>
      <c r="P74" s="12"/>
      <c r="Q74" s="12"/>
      <c r="R74" s="12"/>
      <c r="S74" s="12"/>
      <c r="T74" s="12"/>
      <c r="U74" s="12"/>
      <c r="V74" s="12"/>
      <c r="W74" s="12"/>
      <c r="X74" s="12"/>
      <c r="Y74" s="12"/>
      <c r="Z74" s="12"/>
    </row>
    <row r="75" ht="15.75" customHeight="1">
      <c r="A75" s="13" t="s">
        <v>949</v>
      </c>
      <c r="B75" s="13" t="s">
        <v>950</v>
      </c>
      <c r="C75" s="11" t="s">
        <v>951</v>
      </c>
      <c r="D75" s="13" t="s">
        <v>381</v>
      </c>
      <c r="E75" s="11" t="s">
        <v>952</v>
      </c>
      <c r="F75" s="11" t="s">
        <v>22</v>
      </c>
      <c r="G75" s="13" t="s">
        <v>556</v>
      </c>
      <c r="H75" s="13" t="s">
        <v>25</v>
      </c>
      <c r="I75" s="13">
        <v>1985.0</v>
      </c>
      <c r="J75" s="13">
        <v>1989.0</v>
      </c>
      <c r="K75" s="11" t="s">
        <v>953</v>
      </c>
      <c r="L75" s="12"/>
      <c r="M75" s="12"/>
      <c r="N75" s="12"/>
      <c r="O75" s="12"/>
      <c r="P75" s="12"/>
      <c r="Q75" s="12"/>
      <c r="R75" s="12"/>
      <c r="S75" s="12"/>
      <c r="T75" s="12"/>
      <c r="U75" s="12"/>
      <c r="V75" s="12"/>
      <c r="W75" s="12"/>
      <c r="X75" s="12"/>
      <c r="Y75" s="12"/>
      <c r="Z75" s="12"/>
    </row>
    <row r="76" ht="15.75" customHeight="1">
      <c r="A76" s="13" t="s">
        <v>954</v>
      </c>
      <c r="B76" s="13" t="s">
        <v>955</v>
      </c>
      <c r="C76" s="11" t="s">
        <v>956</v>
      </c>
      <c r="D76" s="13" t="s">
        <v>381</v>
      </c>
      <c r="E76" s="11" t="s">
        <v>957</v>
      </c>
      <c r="F76" s="11" t="s">
        <v>22</v>
      </c>
      <c r="G76" s="13" t="s">
        <v>556</v>
      </c>
      <c r="H76" s="13" t="s">
        <v>25</v>
      </c>
      <c r="I76" s="13">
        <v>1984.0</v>
      </c>
      <c r="J76" s="13">
        <v>1989.0</v>
      </c>
      <c r="K76" s="11" t="s">
        <v>958</v>
      </c>
      <c r="L76" s="12"/>
      <c r="M76" s="11" t="s">
        <v>959</v>
      </c>
      <c r="N76" s="11" t="s">
        <v>960</v>
      </c>
      <c r="O76" s="17" t="s">
        <v>961</v>
      </c>
      <c r="P76" s="12"/>
      <c r="Q76" s="17"/>
      <c r="R76" s="12"/>
      <c r="S76" s="12"/>
      <c r="T76" s="12"/>
      <c r="U76" s="12"/>
      <c r="V76" s="12"/>
      <c r="W76" s="12"/>
      <c r="X76" s="12"/>
      <c r="Y76" s="12"/>
      <c r="Z76" s="12"/>
    </row>
    <row r="77" ht="15.75" customHeight="1">
      <c r="A77" s="13" t="s">
        <v>962</v>
      </c>
      <c r="B77" s="13" t="s">
        <v>963</v>
      </c>
      <c r="C77" s="11" t="s">
        <v>964</v>
      </c>
      <c r="D77" s="13" t="s">
        <v>554</v>
      </c>
      <c r="E77" s="11" t="s">
        <v>965</v>
      </c>
      <c r="F77" s="11" t="s">
        <v>22</v>
      </c>
      <c r="G77" s="13" t="s">
        <v>556</v>
      </c>
      <c r="H77" s="13" t="s">
        <v>25</v>
      </c>
      <c r="I77" s="13">
        <v>1986.0</v>
      </c>
      <c r="J77" s="13">
        <v>1989.0</v>
      </c>
      <c r="K77" s="11" t="s">
        <v>966</v>
      </c>
      <c r="L77" s="12"/>
      <c r="M77" s="12"/>
      <c r="N77" s="12"/>
      <c r="O77" s="12"/>
      <c r="P77" s="12"/>
      <c r="Q77" s="12"/>
      <c r="R77" s="12"/>
      <c r="S77" s="12"/>
      <c r="T77" s="12"/>
      <c r="U77" s="12"/>
      <c r="V77" s="12"/>
      <c r="W77" s="12"/>
      <c r="X77" s="12"/>
      <c r="Y77" s="12"/>
      <c r="Z77" s="12"/>
    </row>
    <row r="78" ht="15.75" customHeight="1">
      <c r="A78" s="13" t="s">
        <v>967</v>
      </c>
      <c r="B78" s="13" t="s">
        <v>968</v>
      </c>
      <c r="C78" s="11" t="s">
        <v>969</v>
      </c>
      <c r="D78" s="13" t="s">
        <v>381</v>
      </c>
      <c r="E78" s="13" t="s">
        <v>970</v>
      </c>
      <c r="F78" s="11" t="s">
        <v>22</v>
      </c>
      <c r="G78" s="13" t="s">
        <v>556</v>
      </c>
      <c r="H78" s="13" t="s">
        <v>25</v>
      </c>
      <c r="I78" s="13">
        <v>1978.0</v>
      </c>
      <c r="J78" s="13">
        <v>1989.0</v>
      </c>
      <c r="K78" s="11" t="s">
        <v>971</v>
      </c>
      <c r="L78" s="12"/>
      <c r="M78" s="12"/>
      <c r="N78" s="12"/>
      <c r="O78" s="12"/>
      <c r="P78" s="12"/>
      <c r="Q78" s="12"/>
      <c r="R78" s="12"/>
      <c r="S78" s="12"/>
      <c r="T78" s="12"/>
      <c r="U78" s="12"/>
      <c r="V78" s="12"/>
      <c r="W78" s="12"/>
      <c r="X78" s="12"/>
      <c r="Y78" s="12"/>
      <c r="Z78" s="12"/>
    </row>
    <row r="79" ht="15.75" customHeight="1">
      <c r="A79" s="13" t="s">
        <v>972</v>
      </c>
      <c r="B79" s="13" t="s">
        <v>973</v>
      </c>
      <c r="C79" s="11" t="s">
        <v>974</v>
      </c>
      <c r="D79" s="13" t="s">
        <v>381</v>
      </c>
      <c r="E79" s="11" t="s">
        <v>975</v>
      </c>
      <c r="F79" s="11" t="s">
        <v>22</v>
      </c>
      <c r="G79" s="13" t="s">
        <v>556</v>
      </c>
      <c r="H79" s="13" t="s">
        <v>25</v>
      </c>
      <c r="I79" s="13">
        <v>1974.0</v>
      </c>
      <c r="J79" s="13">
        <v>1989.0</v>
      </c>
      <c r="K79" s="11" t="s">
        <v>976</v>
      </c>
      <c r="L79" s="12"/>
      <c r="M79" s="11" t="s">
        <v>977</v>
      </c>
      <c r="N79" s="11" t="s">
        <v>89</v>
      </c>
      <c r="O79" s="17" t="s">
        <v>971</v>
      </c>
      <c r="P79" s="12"/>
      <c r="Q79" s="12"/>
      <c r="R79" s="12"/>
      <c r="S79" s="12"/>
      <c r="T79" s="12"/>
      <c r="U79" s="12"/>
      <c r="V79" s="12"/>
      <c r="W79" s="12"/>
      <c r="X79" s="12"/>
      <c r="Y79" s="12"/>
      <c r="Z79" s="12"/>
    </row>
    <row r="80" ht="15.75" customHeight="1">
      <c r="A80" s="13" t="s">
        <v>978</v>
      </c>
      <c r="B80" s="13" t="s">
        <v>979</v>
      </c>
      <c r="C80" s="13" t="s">
        <v>980</v>
      </c>
      <c r="D80" s="13" t="s">
        <v>381</v>
      </c>
      <c r="E80" s="33" t="s">
        <v>981</v>
      </c>
      <c r="F80" s="11" t="s">
        <v>22</v>
      </c>
      <c r="G80" s="13" t="s">
        <v>556</v>
      </c>
      <c r="H80" s="13" t="s">
        <v>25</v>
      </c>
      <c r="I80" s="13">
        <v>1986.0</v>
      </c>
      <c r="J80" s="13">
        <v>1989.0</v>
      </c>
      <c r="K80" s="11" t="s">
        <v>982</v>
      </c>
      <c r="L80" s="12"/>
      <c r="M80" s="12"/>
      <c r="N80" s="12"/>
      <c r="O80" s="12"/>
      <c r="P80" s="12"/>
      <c r="Q80" s="12"/>
      <c r="R80" s="12"/>
      <c r="S80" s="12"/>
      <c r="T80" s="12"/>
      <c r="U80" s="12"/>
      <c r="V80" s="12"/>
      <c r="W80" s="12"/>
      <c r="X80" s="12"/>
      <c r="Y80" s="12"/>
      <c r="Z80" s="12"/>
    </row>
    <row r="81" ht="15.75" customHeight="1">
      <c r="A81" s="13" t="s">
        <v>983</v>
      </c>
      <c r="B81" s="13" t="s">
        <v>984</v>
      </c>
      <c r="C81" s="13" t="s">
        <v>985</v>
      </c>
      <c r="D81" s="13" t="s">
        <v>381</v>
      </c>
      <c r="E81" s="11" t="s">
        <v>986</v>
      </c>
      <c r="F81" s="11" t="s">
        <v>22</v>
      </c>
      <c r="G81" s="13" t="s">
        <v>556</v>
      </c>
      <c r="H81" s="13" t="s">
        <v>25</v>
      </c>
      <c r="I81" s="13">
        <v>1974.0</v>
      </c>
      <c r="J81" s="13">
        <v>1989.0</v>
      </c>
      <c r="K81" s="17" t="s">
        <v>987</v>
      </c>
      <c r="L81" s="12"/>
      <c r="M81" s="11" t="s">
        <v>988</v>
      </c>
      <c r="N81" s="11" t="s">
        <v>305</v>
      </c>
      <c r="O81" s="17" t="s">
        <v>989</v>
      </c>
      <c r="P81" s="12"/>
      <c r="Q81" s="12"/>
      <c r="R81" s="12"/>
      <c r="S81" s="12"/>
      <c r="T81" s="12"/>
      <c r="U81" s="12"/>
      <c r="V81" s="12"/>
      <c r="W81" s="12"/>
      <c r="X81" s="12"/>
      <c r="Y81" s="12"/>
      <c r="Z81" s="12"/>
    </row>
    <row r="82" ht="15.75" customHeight="1">
      <c r="A82" s="13" t="s">
        <v>990</v>
      </c>
      <c r="B82" s="13" t="s">
        <v>991</v>
      </c>
      <c r="C82" s="11" t="s">
        <v>992</v>
      </c>
      <c r="D82" s="13" t="s">
        <v>381</v>
      </c>
      <c r="E82" s="13" t="s">
        <v>993</v>
      </c>
      <c r="F82" s="11" t="s">
        <v>22</v>
      </c>
      <c r="G82" s="13" t="s">
        <v>556</v>
      </c>
      <c r="H82" s="13" t="s">
        <v>25</v>
      </c>
      <c r="I82" s="13">
        <v>1974.0</v>
      </c>
      <c r="J82" s="13">
        <v>1989.0</v>
      </c>
      <c r="K82" s="11" t="s">
        <v>994</v>
      </c>
      <c r="L82" s="12"/>
      <c r="M82" s="12"/>
      <c r="N82" s="12"/>
      <c r="O82" s="12"/>
      <c r="P82" s="12"/>
      <c r="Q82" s="12"/>
      <c r="R82" s="12"/>
      <c r="S82" s="12"/>
      <c r="T82" s="12"/>
      <c r="U82" s="12"/>
      <c r="V82" s="12"/>
      <c r="W82" s="12"/>
      <c r="X82" s="12"/>
      <c r="Y82" s="12"/>
      <c r="Z82" s="12"/>
    </row>
    <row r="83" ht="15.75" customHeight="1">
      <c r="A83" s="13" t="s">
        <v>995</v>
      </c>
      <c r="B83" s="13" t="s">
        <v>996</v>
      </c>
      <c r="C83" s="11" t="s">
        <v>997</v>
      </c>
      <c r="D83" s="13" t="s">
        <v>554</v>
      </c>
      <c r="E83" s="11" t="s">
        <v>998</v>
      </c>
      <c r="F83" s="11" t="s">
        <v>22</v>
      </c>
      <c r="G83" s="13" t="s">
        <v>556</v>
      </c>
      <c r="H83" s="13" t="s">
        <v>25</v>
      </c>
      <c r="I83" s="13">
        <v>1973.0</v>
      </c>
      <c r="J83" s="13">
        <v>1989.0</v>
      </c>
      <c r="K83" s="11" t="s">
        <v>999</v>
      </c>
      <c r="L83" s="12"/>
      <c r="M83" s="11" t="s">
        <v>1000</v>
      </c>
      <c r="N83" s="11" t="s">
        <v>188</v>
      </c>
      <c r="O83" s="17" t="s">
        <v>1001</v>
      </c>
      <c r="P83" s="12"/>
      <c r="Q83" s="12"/>
      <c r="R83" s="12"/>
      <c r="S83" s="12"/>
      <c r="T83" s="12"/>
      <c r="U83" s="12"/>
      <c r="V83" s="12"/>
      <c r="W83" s="12"/>
      <c r="X83" s="12"/>
      <c r="Y83" s="12"/>
      <c r="Z83" s="12"/>
    </row>
    <row r="84" ht="15.75" customHeight="1">
      <c r="A84" s="13" t="s">
        <v>1002</v>
      </c>
      <c r="B84" s="13" t="s">
        <v>1003</v>
      </c>
      <c r="C84" s="11" t="s">
        <v>1004</v>
      </c>
      <c r="D84" s="13" t="s">
        <v>381</v>
      </c>
      <c r="E84" s="11" t="s">
        <v>1005</v>
      </c>
      <c r="F84" s="11" t="s">
        <v>22</v>
      </c>
      <c r="G84" s="13" t="s">
        <v>556</v>
      </c>
      <c r="H84" s="13" t="s">
        <v>25</v>
      </c>
      <c r="I84" s="13">
        <v>1984.0</v>
      </c>
      <c r="J84" s="13">
        <v>1989.0</v>
      </c>
      <c r="K84" s="11" t="s">
        <v>1006</v>
      </c>
      <c r="L84" s="12"/>
      <c r="M84" s="11" t="s">
        <v>1007</v>
      </c>
      <c r="N84" s="11" t="s">
        <v>188</v>
      </c>
      <c r="O84" s="17" t="s">
        <v>1008</v>
      </c>
      <c r="P84" s="12"/>
      <c r="Q84" s="12"/>
      <c r="R84" s="12"/>
      <c r="S84" s="12"/>
      <c r="T84" s="12"/>
      <c r="U84" s="12"/>
      <c r="V84" s="12"/>
      <c r="W84" s="12"/>
      <c r="X84" s="12"/>
      <c r="Y84" s="12"/>
      <c r="Z84" s="12"/>
    </row>
    <row r="85" ht="15.75" customHeight="1">
      <c r="A85" s="13" t="s">
        <v>1009</v>
      </c>
      <c r="B85" s="13" t="s">
        <v>1010</v>
      </c>
      <c r="C85" s="11" t="s">
        <v>1011</v>
      </c>
      <c r="D85" s="13" t="s">
        <v>381</v>
      </c>
      <c r="E85" s="11" t="s">
        <v>1012</v>
      </c>
      <c r="F85" s="11" t="s">
        <v>22</v>
      </c>
      <c r="G85" s="13" t="s">
        <v>556</v>
      </c>
      <c r="H85" s="13" t="s">
        <v>25</v>
      </c>
      <c r="I85" s="13">
        <v>1969.0</v>
      </c>
      <c r="J85" s="13">
        <v>1989.0</v>
      </c>
      <c r="K85" s="17" t="s">
        <v>1013</v>
      </c>
      <c r="L85" s="12"/>
      <c r="M85" s="11" t="s">
        <v>1014</v>
      </c>
      <c r="N85" s="11" t="s">
        <v>1015</v>
      </c>
      <c r="O85" s="17" t="s">
        <v>1016</v>
      </c>
      <c r="P85" s="12"/>
      <c r="Q85" s="12"/>
      <c r="R85" s="12"/>
      <c r="S85" s="12"/>
      <c r="T85" s="12"/>
      <c r="U85" s="12"/>
      <c r="V85" s="12"/>
      <c r="W85" s="12"/>
      <c r="X85" s="12"/>
      <c r="Y85" s="12"/>
      <c r="Z85" s="12"/>
    </row>
    <row r="86" ht="15.75" customHeight="1">
      <c r="A86" s="13" t="s">
        <v>1017</v>
      </c>
      <c r="B86" s="13" t="s">
        <v>1018</v>
      </c>
      <c r="C86" s="11" t="s">
        <v>1019</v>
      </c>
      <c r="D86" s="13" t="s">
        <v>381</v>
      </c>
      <c r="E86" s="11" t="s">
        <v>1020</v>
      </c>
      <c r="F86" s="11" t="s">
        <v>22</v>
      </c>
      <c r="G86" s="13" t="s">
        <v>556</v>
      </c>
      <c r="H86" s="13" t="s">
        <v>25</v>
      </c>
      <c r="I86" s="13">
        <v>1974.0</v>
      </c>
      <c r="J86" s="13">
        <v>1989.0</v>
      </c>
      <c r="K86" s="11" t="s">
        <v>1021</v>
      </c>
      <c r="L86" s="12"/>
      <c r="M86" s="12"/>
      <c r="N86" s="12"/>
      <c r="O86" s="12"/>
      <c r="P86" s="12"/>
      <c r="Q86" s="12"/>
      <c r="R86" s="12"/>
      <c r="S86" s="12"/>
      <c r="T86" s="12"/>
      <c r="U86" s="12"/>
      <c r="V86" s="12"/>
      <c r="W86" s="12"/>
      <c r="X86" s="12"/>
      <c r="Y86" s="12"/>
      <c r="Z86" s="12"/>
    </row>
    <row r="87" ht="15.75" customHeight="1">
      <c r="A87" s="13" t="s">
        <v>1022</v>
      </c>
      <c r="B87" s="13" t="s">
        <v>1023</v>
      </c>
      <c r="C87" s="13" t="s">
        <v>1024</v>
      </c>
      <c r="D87" s="13" t="s">
        <v>381</v>
      </c>
      <c r="E87" s="11" t="s">
        <v>1025</v>
      </c>
      <c r="F87" s="11" t="s">
        <v>22</v>
      </c>
      <c r="G87" s="13" t="s">
        <v>556</v>
      </c>
      <c r="H87" s="13" t="s">
        <v>25</v>
      </c>
      <c r="I87" s="13">
        <v>1980.0</v>
      </c>
      <c r="J87" s="13">
        <v>1989.0</v>
      </c>
      <c r="K87" s="11" t="s">
        <v>1026</v>
      </c>
      <c r="L87" s="12"/>
      <c r="M87" s="12"/>
      <c r="N87" s="12"/>
      <c r="O87" s="12"/>
      <c r="P87" s="12"/>
      <c r="Q87" s="12"/>
      <c r="R87" s="12"/>
      <c r="S87" s="12"/>
      <c r="T87" s="12"/>
      <c r="U87" s="12"/>
      <c r="V87" s="12"/>
      <c r="W87" s="12"/>
      <c r="X87" s="12"/>
      <c r="Y87" s="12"/>
      <c r="Z87" s="12"/>
    </row>
    <row r="88" ht="15.75" customHeight="1">
      <c r="A88" s="13" t="s">
        <v>1027</v>
      </c>
      <c r="B88" s="13" t="s">
        <v>1028</v>
      </c>
      <c r="C88" s="13" t="s">
        <v>1029</v>
      </c>
      <c r="D88" s="13" t="s">
        <v>381</v>
      </c>
      <c r="E88" s="13" t="s">
        <v>1030</v>
      </c>
      <c r="F88" s="11" t="s">
        <v>22</v>
      </c>
      <c r="G88" s="13" t="s">
        <v>556</v>
      </c>
      <c r="H88" s="13" t="s">
        <v>25</v>
      </c>
      <c r="I88" s="13">
        <v>1973.0</v>
      </c>
      <c r="J88" s="13">
        <v>1989.0</v>
      </c>
      <c r="K88" s="11" t="s">
        <v>1031</v>
      </c>
      <c r="L88" s="12"/>
      <c r="M88" s="12"/>
      <c r="N88" s="12"/>
      <c r="O88" s="12"/>
      <c r="P88" s="12"/>
      <c r="Q88" s="12"/>
      <c r="R88" s="12"/>
      <c r="S88" s="12"/>
      <c r="T88" s="12"/>
      <c r="U88" s="12"/>
      <c r="V88" s="12"/>
      <c r="W88" s="12"/>
      <c r="X88" s="12"/>
      <c r="Y88" s="12"/>
      <c r="Z88" s="12"/>
    </row>
    <row r="89" ht="15.75" customHeight="1">
      <c r="A89" s="13" t="s">
        <v>1032</v>
      </c>
      <c r="B89" s="13" t="s">
        <v>1033</v>
      </c>
      <c r="C89" s="11" t="s">
        <v>1034</v>
      </c>
      <c r="D89" s="13" t="s">
        <v>381</v>
      </c>
      <c r="E89" s="13" t="s">
        <v>1035</v>
      </c>
      <c r="F89" s="11" t="s">
        <v>22</v>
      </c>
      <c r="G89" s="13" t="s">
        <v>556</v>
      </c>
      <c r="H89" s="13" t="s">
        <v>25</v>
      </c>
      <c r="I89" s="13">
        <v>1974.0</v>
      </c>
      <c r="J89" s="13">
        <v>1989.0</v>
      </c>
      <c r="K89" s="11" t="s">
        <v>1036</v>
      </c>
      <c r="L89" s="12"/>
      <c r="M89" s="12"/>
      <c r="N89" s="12"/>
      <c r="O89" s="12"/>
      <c r="P89" s="12"/>
      <c r="Q89" s="12"/>
      <c r="R89" s="12"/>
      <c r="S89" s="12"/>
      <c r="T89" s="12"/>
      <c r="U89" s="12"/>
      <c r="V89" s="12"/>
      <c r="W89" s="12"/>
      <c r="X89" s="12"/>
      <c r="Y89" s="12"/>
      <c r="Z89" s="12"/>
    </row>
    <row r="90" ht="15.75" customHeight="1">
      <c r="A90" s="13" t="s">
        <v>1037</v>
      </c>
      <c r="B90" s="13" t="s">
        <v>1038</v>
      </c>
      <c r="C90" s="11" t="s">
        <v>1039</v>
      </c>
      <c r="D90" s="13" t="s">
        <v>381</v>
      </c>
      <c r="E90" s="11" t="s">
        <v>1040</v>
      </c>
      <c r="F90" s="11" t="s">
        <v>22</v>
      </c>
      <c r="G90" s="13" t="s">
        <v>556</v>
      </c>
      <c r="H90" s="13" t="s">
        <v>25</v>
      </c>
      <c r="I90" s="13">
        <v>1978.0</v>
      </c>
      <c r="J90" s="13">
        <v>1989.0</v>
      </c>
      <c r="K90" s="11" t="s">
        <v>1041</v>
      </c>
      <c r="L90" s="12"/>
      <c r="M90" s="12"/>
      <c r="N90" s="12"/>
      <c r="O90" s="12"/>
      <c r="P90" s="12"/>
      <c r="Q90" s="12"/>
      <c r="R90" s="12"/>
      <c r="S90" s="12"/>
      <c r="T90" s="12"/>
      <c r="U90" s="12"/>
      <c r="V90" s="12"/>
      <c r="W90" s="12"/>
      <c r="X90" s="12"/>
      <c r="Y90" s="12"/>
      <c r="Z90" s="12"/>
    </row>
    <row r="91" ht="15.75" customHeight="1">
      <c r="A91" s="13" t="s">
        <v>1042</v>
      </c>
      <c r="B91" s="13" t="s">
        <v>1043</v>
      </c>
      <c r="C91" s="13" t="s">
        <v>1044</v>
      </c>
      <c r="D91" s="13" t="s">
        <v>381</v>
      </c>
      <c r="E91" s="11" t="s">
        <v>1045</v>
      </c>
      <c r="F91" s="11" t="s">
        <v>22</v>
      </c>
      <c r="G91" s="13" t="s">
        <v>556</v>
      </c>
      <c r="H91" s="13" t="s">
        <v>25</v>
      </c>
      <c r="I91" s="13">
        <v>1979.0</v>
      </c>
      <c r="J91" s="13">
        <v>1989.0</v>
      </c>
      <c r="K91" s="11" t="s">
        <v>1046</v>
      </c>
      <c r="L91" s="12"/>
      <c r="M91" s="11" t="s">
        <v>1047</v>
      </c>
      <c r="N91" s="11" t="s">
        <v>1048</v>
      </c>
      <c r="O91" s="17" t="s">
        <v>1049</v>
      </c>
      <c r="P91" s="12"/>
      <c r="Q91" s="12"/>
      <c r="R91" s="12"/>
      <c r="S91" s="12"/>
      <c r="T91" s="12"/>
      <c r="U91" s="12"/>
      <c r="V91" s="12"/>
      <c r="W91" s="12"/>
      <c r="X91" s="12"/>
      <c r="Y91" s="12"/>
      <c r="Z91" s="12"/>
    </row>
    <row r="92" ht="15.75" customHeight="1">
      <c r="A92" s="13" t="s">
        <v>1050</v>
      </c>
      <c r="B92" s="13" t="s">
        <v>1051</v>
      </c>
      <c r="C92" s="11" t="s">
        <v>1052</v>
      </c>
      <c r="D92" s="13" t="s">
        <v>381</v>
      </c>
      <c r="E92" s="11" t="s">
        <v>1053</v>
      </c>
      <c r="F92" s="11" t="s">
        <v>22</v>
      </c>
      <c r="G92" s="13" t="s">
        <v>556</v>
      </c>
      <c r="H92" s="13" t="s">
        <v>25</v>
      </c>
      <c r="I92" s="13">
        <v>1980.0</v>
      </c>
      <c r="J92" s="13">
        <v>1989.0</v>
      </c>
      <c r="K92" s="11" t="s">
        <v>1054</v>
      </c>
      <c r="L92" s="12"/>
      <c r="M92" s="12"/>
      <c r="N92" s="12"/>
      <c r="O92" s="12"/>
      <c r="P92" s="12"/>
      <c r="Q92" s="12"/>
      <c r="R92" s="12"/>
      <c r="S92" s="12"/>
      <c r="T92" s="12"/>
      <c r="U92" s="12"/>
      <c r="V92" s="12"/>
      <c r="W92" s="12"/>
      <c r="X92" s="12"/>
      <c r="Y92" s="12"/>
      <c r="Z92" s="12"/>
    </row>
    <row r="93" ht="15.75" customHeight="1">
      <c r="A93" s="13" t="s">
        <v>1055</v>
      </c>
      <c r="B93" s="13" t="s">
        <v>1056</v>
      </c>
      <c r="C93" s="13" t="s">
        <v>1057</v>
      </c>
      <c r="D93" s="13" t="s">
        <v>381</v>
      </c>
      <c r="E93" s="11" t="s">
        <v>1058</v>
      </c>
      <c r="F93" s="11" t="s">
        <v>22</v>
      </c>
      <c r="G93" s="13" t="s">
        <v>556</v>
      </c>
      <c r="H93" s="13" t="s">
        <v>25</v>
      </c>
      <c r="I93" s="13">
        <v>1964.0</v>
      </c>
      <c r="J93" s="13">
        <v>1989.0</v>
      </c>
      <c r="K93" s="17" t="s">
        <v>1059</v>
      </c>
      <c r="L93" s="12"/>
      <c r="M93" s="12"/>
      <c r="N93" s="12"/>
      <c r="O93" s="12"/>
      <c r="P93" s="12"/>
      <c r="Q93" s="12"/>
      <c r="R93" s="12"/>
      <c r="S93" s="12"/>
      <c r="T93" s="12"/>
      <c r="U93" s="12"/>
      <c r="V93" s="12"/>
      <c r="W93" s="12"/>
      <c r="X93" s="12"/>
      <c r="Y93" s="12"/>
      <c r="Z93" s="12"/>
    </row>
    <row r="94" ht="15.75" customHeight="1">
      <c r="A94" s="13" t="s">
        <v>1060</v>
      </c>
      <c r="B94" s="13" t="s">
        <v>1061</v>
      </c>
      <c r="C94" s="13" t="s">
        <v>1062</v>
      </c>
      <c r="D94" s="13" t="s">
        <v>381</v>
      </c>
      <c r="E94" s="11" t="s">
        <v>1063</v>
      </c>
      <c r="F94" s="11" t="s">
        <v>22</v>
      </c>
      <c r="G94" s="13" t="s">
        <v>556</v>
      </c>
      <c r="H94" s="13" t="s">
        <v>25</v>
      </c>
      <c r="I94" s="13">
        <v>1983.0</v>
      </c>
      <c r="J94" s="13">
        <v>1989.0</v>
      </c>
      <c r="K94" s="11" t="s">
        <v>1064</v>
      </c>
      <c r="L94" s="12"/>
      <c r="M94" s="12"/>
      <c r="N94" s="12"/>
      <c r="O94" s="12"/>
      <c r="P94" s="12"/>
      <c r="Q94" s="12"/>
      <c r="R94" s="12"/>
      <c r="S94" s="12"/>
      <c r="T94" s="12"/>
      <c r="U94" s="12"/>
      <c r="V94" s="12"/>
      <c r="W94" s="12"/>
      <c r="X94" s="12"/>
      <c r="Y94" s="12"/>
      <c r="Z94" s="12"/>
    </row>
    <row r="95" ht="15.75" customHeight="1">
      <c r="A95" s="13" t="s">
        <v>1065</v>
      </c>
      <c r="B95" s="13" t="s">
        <v>1066</v>
      </c>
      <c r="C95" s="13" t="s">
        <v>1067</v>
      </c>
      <c r="D95" s="13" t="s">
        <v>381</v>
      </c>
      <c r="E95" s="13" t="s">
        <v>1068</v>
      </c>
      <c r="F95" s="11" t="s">
        <v>22</v>
      </c>
      <c r="G95" s="13" t="s">
        <v>556</v>
      </c>
      <c r="H95" s="13" t="s">
        <v>25</v>
      </c>
      <c r="I95" s="13">
        <v>1980.0</v>
      </c>
      <c r="J95" s="13">
        <v>1989.0</v>
      </c>
      <c r="K95" s="11" t="s">
        <v>1069</v>
      </c>
      <c r="L95" s="12"/>
      <c r="M95" s="12"/>
      <c r="N95" s="12"/>
      <c r="O95" s="12"/>
      <c r="P95" s="12"/>
      <c r="Q95" s="12"/>
      <c r="R95" s="12"/>
      <c r="S95" s="12"/>
      <c r="T95" s="12"/>
      <c r="U95" s="12"/>
      <c r="V95" s="12"/>
      <c r="W95" s="12"/>
      <c r="X95" s="12"/>
      <c r="Y95" s="12"/>
      <c r="Z95" s="12"/>
    </row>
    <row r="96" ht="15.75" customHeight="1">
      <c r="A96" s="13" t="s">
        <v>1070</v>
      </c>
      <c r="B96" s="13" t="s">
        <v>1071</v>
      </c>
      <c r="C96" s="13" t="s">
        <v>1072</v>
      </c>
      <c r="D96" s="13" t="s">
        <v>381</v>
      </c>
      <c r="E96" s="11" t="s">
        <v>1073</v>
      </c>
      <c r="F96" s="11" t="s">
        <v>22</v>
      </c>
      <c r="G96" s="13" t="s">
        <v>556</v>
      </c>
      <c r="H96" s="13" t="s">
        <v>25</v>
      </c>
      <c r="I96" s="13">
        <v>1977.0</v>
      </c>
      <c r="J96" s="13">
        <v>1989.0</v>
      </c>
      <c r="K96" s="17" t="s">
        <v>1074</v>
      </c>
      <c r="L96" s="12"/>
      <c r="M96" s="11" t="s">
        <v>1075</v>
      </c>
      <c r="N96" s="11" t="s">
        <v>188</v>
      </c>
      <c r="O96" s="17" t="s">
        <v>1076</v>
      </c>
      <c r="P96" s="12"/>
      <c r="Q96" s="12"/>
      <c r="R96" s="12"/>
      <c r="S96" s="12"/>
      <c r="T96" s="12"/>
      <c r="U96" s="12"/>
      <c r="V96" s="12"/>
      <c r="W96" s="12"/>
      <c r="X96" s="12"/>
      <c r="Y96" s="12"/>
      <c r="Z96" s="12"/>
    </row>
    <row r="97" ht="15.75" customHeight="1">
      <c r="A97" s="13" t="s">
        <v>1077</v>
      </c>
      <c r="B97" s="13" t="s">
        <v>1078</v>
      </c>
      <c r="C97" s="13" t="s">
        <v>1079</v>
      </c>
      <c r="D97" s="13" t="s">
        <v>381</v>
      </c>
      <c r="E97" s="11" t="s">
        <v>1080</v>
      </c>
      <c r="F97" s="11" t="s">
        <v>22</v>
      </c>
      <c r="G97" s="13" t="s">
        <v>556</v>
      </c>
      <c r="H97" s="13" t="s">
        <v>25</v>
      </c>
      <c r="I97" s="13">
        <v>1983.0</v>
      </c>
      <c r="J97" s="13">
        <v>1989.0</v>
      </c>
      <c r="K97" s="11" t="s">
        <v>1081</v>
      </c>
      <c r="L97" s="12"/>
      <c r="M97" s="11" t="s">
        <v>1082</v>
      </c>
      <c r="N97" s="11" t="s">
        <v>305</v>
      </c>
      <c r="O97" s="17" t="s">
        <v>1083</v>
      </c>
      <c r="P97" s="12"/>
      <c r="Q97" s="12"/>
      <c r="R97" s="12"/>
      <c r="S97" s="12"/>
      <c r="T97" s="12"/>
      <c r="U97" s="12"/>
      <c r="V97" s="12"/>
      <c r="W97" s="12"/>
      <c r="X97" s="12"/>
      <c r="Y97" s="12"/>
      <c r="Z97" s="12"/>
    </row>
    <row r="98" ht="15.75" customHeight="1">
      <c r="A98" s="13" t="s">
        <v>1084</v>
      </c>
      <c r="B98" s="13" t="s">
        <v>1085</v>
      </c>
      <c r="C98" s="13" t="s">
        <v>1086</v>
      </c>
      <c r="D98" s="13" t="s">
        <v>381</v>
      </c>
      <c r="E98" s="13" t="s">
        <v>1087</v>
      </c>
      <c r="F98" s="11" t="s">
        <v>22</v>
      </c>
      <c r="G98" s="13" t="s">
        <v>556</v>
      </c>
      <c r="H98" s="13" t="s">
        <v>25</v>
      </c>
      <c r="I98" s="13">
        <v>1984.0</v>
      </c>
      <c r="J98" s="13">
        <v>1989.0</v>
      </c>
      <c r="K98" s="11" t="s">
        <v>1088</v>
      </c>
      <c r="L98" s="12"/>
      <c r="M98" s="12"/>
      <c r="N98" s="12"/>
      <c r="O98" s="12"/>
      <c r="P98" s="12"/>
      <c r="Q98" s="12"/>
      <c r="R98" s="12"/>
      <c r="S98" s="12"/>
      <c r="T98" s="12"/>
      <c r="U98" s="12"/>
      <c r="V98" s="12"/>
      <c r="W98" s="12"/>
      <c r="X98" s="12"/>
      <c r="Y98" s="12"/>
      <c r="Z98" s="12"/>
    </row>
    <row r="99" ht="15.75" customHeight="1">
      <c r="A99" s="13" t="s">
        <v>1089</v>
      </c>
      <c r="B99" s="13" t="s">
        <v>1090</v>
      </c>
      <c r="C99" s="13" t="s">
        <v>1091</v>
      </c>
      <c r="D99" s="13" t="s">
        <v>381</v>
      </c>
      <c r="E99" s="11" t="s">
        <v>1092</v>
      </c>
      <c r="F99" s="11" t="s">
        <v>22</v>
      </c>
      <c r="G99" s="13" t="s">
        <v>556</v>
      </c>
      <c r="H99" s="13" t="s">
        <v>25</v>
      </c>
      <c r="I99" s="13">
        <v>1984.0</v>
      </c>
      <c r="J99" s="13">
        <v>1989.0</v>
      </c>
      <c r="K99" s="11" t="s">
        <v>1093</v>
      </c>
      <c r="L99" s="12"/>
      <c r="M99" s="11" t="s">
        <v>1094</v>
      </c>
      <c r="N99" s="11" t="s">
        <v>1095</v>
      </c>
      <c r="O99" s="17" t="s">
        <v>1096</v>
      </c>
      <c r="P99" s="12"/>
      <c r="Q99" s="12"/>
      <c r="R99" s="12"/>
      <c r="S99" s="12"/>
      <c r="T99" s="12"/>
      <c r="U99" s="12"/>
      <c r="V99" s="12"/>
      <c r="W99" s="12"/>
      <c r="X99" s="12"/>
      <c r="Y99" s="12"/>
      <c r="Z99" s="12"/>
    </row>
    <row r="100" ht="15.75" customHeight="1">
      <c r="A100" s="13" t="s">
        <v>1097</v>
      </c>
      <c r="B100" s="13" t="s">
        <v>1098</v>
      </c>
      <c r="C100" s="13" t="s">
        <v>1099</v>
      </c>
      <c r="D100" s="13" t="s">
        <v>381</v>
      </c>
      <c r="E100" s="11" t="s">
        <v>1100</v>
      </c>
      <c r="F100" s="11" t="s">
        <v>22</v>
      </c>
      <c r="G100" s="13" t="s">
        <v>556</v>
      </c>
      <c r="H100" s="13" t="s">
        <v>25</v>
      </c>
      <c r="I100" s="13">
        <v>1987.0</v>
      </c>
      <c r="J100" s="13">
        <v>1989.0</v>
      </c>
      <c r="K100" s="11" t="s">
        <v>1101</v>
      </c>
      <c r="L100" s="12"/>
      <c r="M100" s="12"/>
      <c r="N100" s="12"/>
      <c r="O100" s="12"/>
      <c r="P100" s="12"/>
      <c r="Q100" s="12"/>
      <c r="R100" s="12"/>
      <c r="S100" s="12"/>
      <c r="T100" s="12"/>
      <c r="U100" s="12"/>
      <c r="V100" s="12"/>
      <c r="W100" s="12"/>
      <c r="X100" s="12"/>
      <c r="Y100" s="12"/>
      <c r="Z100" s="12"/>
    </row>
    <row r="101" ht="15.75" customHeight="1">
      <c r="A101" s="13" t="s">
        <v>1102</v>
      </c>
      <c r="B101" s="13" t="s">
        <v>1103</v>
      </c>
      <c r="C101" s="13" t="s">
        <v>1104</v>
      </c>
      <c r="D101" s="13" t="s">
        <v>381</v>
      </c>
      <c r="E101" s="11" t="s">
        <v>1105</v>
      </c>
      <c r="F101" s="11" t="s">
        <v>22</v>
      </c>
      <c r="G101" s="13" t="s">
        <v>556</v>
      </c>
      <c r="H101" s="13" t="s">
        <v>25</v>
      </c>
      <c r="I101" s="13">
        <v>1984.0</v>
      </c>
      <c r="J101" s="13">
        <v>1989.0</v>
      </c>
      <c r="K101" s="17" t="s">
        <v>1106</v>
      </c>
      <c r="L101" s="12"/>
      <c r="M101" s="12"/>
      <c r="N101" s="12"/>
      <c r="O101" s="12"/>
      <c r="P101" s="12"/>
      <c r="Q101" s="12"/>
      <c r="R101" s="12"/>
      <c r="S101" s="12"/>
      <c r="T101" s="12"/>
      <c r="U101" s="12"/>
      <c r="V101" s="12"/>
      <c r="W101" s="12"/>
      <c r="X101" s="12"/>
      <c r="Y101" s="12"/>
      <c r="Z101" s="12"/>
    </row>
    <row r="102" ht="15.75" customHeight="1">
      <c r="A102" s="13" t="s">
        <v>1107</v>
      </c>
      <c r="B102" s="13" t="s">
        <v>1108</v>
      </c>
      <c r="C102" s="13" t="s">
        <v>1109</v>
      </c>
      <c r="D102" s="13" t="s">
        <v>381</v>
      </c>
      <c r="E102" s="11" t="s">
        <v>1110</v>
      </c>
      <c r="F102" s="11" t="s">
        <v>22</v>
      </c>
      <c r="G102" s="13" t="s">
        <v>556</v>
      </c>
      <c r="H102" s="13" t="s">
        <v>25</v>
      </c>
      <c r="I102" s="13">
        <v>1983.0</v>
      </c>
      <c r="J102" s="13">
        <v>1989.0</v>
      </c>
      <c r="K102" s="11" t="s">
        <v>1111</v>
      </c>
      <c r="L102" s="12"/>
      <c r="M102" s="12"/>
      <c r="N102" s="12"/>
      <c r="O102" s="12"/>
      <c r="P102" s="12"/>
      <c r="Q102" s="12"/>
      <c r="R102" s="12"/>
      <c r="S102" s="12"/>
      <c r="T102" s="12"/>
      <c r="U102" s="12"/>
      <c r="V102" s="12"/>
      <c r="W102" s="12"/>
      <c r="X102" s="12"/>
      <c r="Y102" s="12"/>
      <c r="Z102" s="12"/>
    </row>
    <row r="103" ht="15.75" customHeight="1">
      <c r="A103" s="13" t="s">
        <v>1112</v>
      </c>
      <c r="B103" s="13" t="s">
        <v>1113</v>
      </c>
      <c r="C103" s="13" t="s">
        <v>1114</v>
      </c>
      <c r="D103" s="13" t="s">
        <v>381</v>
      </c>
      <c r="E103" s="11" t="s">
        <v>1115</v>
      </c>
      <c r="F103" s="11" t="s">
        <v>22</v>
      </c>
      <c r="G103" s="13" t="s">
        <v>556</v>
      </c>
      <c r="H103" s="13" t="s">
        <v>25</v>
      </c>
      <c r="I103" s="13">
        <v>1987.0</v>
      </c>
      <c r="J103" s="13">
        <v>1989.0</v>
      </c>
      <c r="K103" s="11" t="s">
        <v>1116</v>
      </c>
      <c r="L103" s="12"/>
      <c r="M103" s="12"/>
      <c r="N103" s="12"/>
      <c r="O103" s="12"/>
      <c r="P103" s="12"/>
      <c r="Q103" s="12"/>
      <c r="R103" s="12"/>
      <c r="S103" s="12"/>
      <c r="T103" s="12"/>
      <c r="U103" s="12"/>
      <c r="V103" s="12"/>
      <c r="W103" s="12"/>
      <c r="X103" s="12"/>
      <c r="Y103" s="12"/>
      <c r="Z103" s="12"/>
    </row>
    <row r="104" ht="15.75" customHeight="1">
      <c r="A104" s="13" t="s">
        <v>1117</v>
      </c>
      <c r="B104" s="13" t="s">
        <v>1118</v>
      </c>
      <c r="C104" s="13" t="s">
        <v>1119</v>
      </c>
      <c r="D104" s="13" t="s">
        <v>554</v>
      </c>
      <c r="E104" s="11" t="s">
        <v>1120</v>
      </c>
      <c r="F104" s="11" t="s">
        <v>22</v>
      </c>
      <c r="G104" s="13" t="s">
        <v>556</v>
      </c>
      <c r="H104" s="13" t="s">
        <v>25</v>
      </c>
      <c r="I104" s="13" t="s">
        <v>131</v>
      </c>
      <c r="J104" s="13" t="s">
        <v>131</v>
      </c>
      <c r="K104" s="11" t="s">
        <v>1121</v>
      </c>
      <c r="L104" s="12"/>
      <c r="M104" s="11" t="s">
        <v>1122</v>
      </c>
      <c r="N104" s="11" t="s">
        <v>1123</v>
      </c>
      <c r="O104" s="17" t="s">
        <v>1124</v>
      </c>
      <c r="P104" s="12"/>
      <c r="Q104" s="12"/>
      <c r="R104" s="12"/>
      <c r="S104" s="12"/>
      <c r="T104" s="12"/>
      <c r="U104" s="12"/>
      <c r="V104" s="12"/>
      <c r="W104" s="12"/>
      <c r="X104" s="12"/>
      <c r="Y104" s="12"/>
      <c r="Z104" s="12"/>
    </row>
    <row r="105" ht="15.75" customHeight="1">
      <c r="A105" s="13" t="s">
        <v>1125</v>
      </c>
      <c r="B105" s="13" t="s">
        <v>1126</v>
      </c>
      <c r="C105" s="13" t="s">
        <v>1127</v>
      </c>
      <c r="D105" s="13" t="s">
        <v>381</v>
      </c>
      <c r="E105" s="11" t="s">
        <v>1128</v>
      </c>
      <c r="F105" s="11" t="s">
        <v>22</v>
      </c>
      <c r="G105" s="13" t="s">
        <v>556</v>
      </c>
      <c r="H105" s="13" t="s">
        <v>25</v>
      </c>
      <c r="I105" s="13">
        <v>1978.0</v>
      </c>
      <c r="J105" s="13">
        <v>1989.0</v>
      </c>
      <c r="K105" s="11" t="s">
        <v>1129</v>
      </c>
      <c r="L105" s="12"/>
      <c r="M105" s="11" t="s">
        <v>1130</v>
      </c>
      <c r="N105" s="11" t="s">
        <v>1131</v>
      </c>
      <c r="O105" s="17" t="s">
        <v>1129</v>
      </c>
      <c r="P105" s="12"/>
      <c r="Q105" s="12"/>
      <c r="R105" s="12"/>
      <c r="S105" s="12"/>
      <c r="T105" s="12"/>
      <c r="U105" s="12"/>
      <c r="V105" s="12"/>
      <c r="W105" s="12"/>
      <c r="X105" s="12"/>
      <c r="Y105" s="12"/>
      <c r="Z105" s="12"/>
    </row>
    <row r="106" ht="15.75" customHeight="1">
      <c r="A106" s="13" t="s">
        <v>1132</v>
      </c>
      <c r="B106" s="13" t="s">
        <v>1133</v>
      </c>
      <c r="C106" s="13" t="s">
        <v>1134</v>
      </c>
      <c r="D106" s="13" t="s">
        <v>381</v>
      </c>
      <c r="E106" s="11" t="s">
        <v>1135</v>
      </c>
      <c r="F106" s="11" t="s">
        <v>22</v>
      </c>
      <c r="G106" s="13" t="s">
        <v>556</v>
      </c>
      <c r="H106" s="13" t="s">
        <v>25</v>
      </c>
      <c r="I106" s="13">
        <v>1974.0</v>
      </c>
      <c r="J106" s="13">
        <v>1989.0</v>
      </c>
      <c r="K106" s="11" t="s">
        <v>1136</v>
      </c>
      <c r="L106" s="12"/>
      <c r="M106" s="12"/>
      <c r="N106" s="12"/>
      <c r="O106" s="12"/>
      <c r="P106" s="12"/>
      <c r="Q106" s="12"/>
      <c r="R106" s="12"/>
      <c r="S106" s="12"/>
      <c r="T106" s="12"/>
      <c r="U106" s="12"/>
      <c r="V106" s="12"/>
      <c r="W106" s="12"/>
      <c r="X106" s="12"/>
      <c r="Y106" s="12"/>
      <c r="Z106" s="12"/>
    </row>
    <row r="107" ht="15.75" customHeight="1">
      <c r="A107" s="13" t="s">
        <v>1137</v>
      </c>
      <c r="B107" s="13" t="s">
        <v>1138</v>
      </c>
      <c r="C107" s="13" t="s">
        <v>1139</v>
      </c>
      <c r="D107" s="13" t="s">
        <v>381</v>
      </c>
      <c r="E107" s="11" t="s">
        <v>1140</v>
      </c>
      <c r="F107" s="11" t="s">
        <v>22</v>
      </c>
      <c r="G107" s="13" t="s">
        <v>556</v>
      </c>
      <c r="H107" s="13" t="s">
        <v>25</v>
      </c>
      <c r="I107" s="13">
        <v>1978.0</v>
      </c>
      <c r="J107" s="13">
        <v>1989.0</v>
      </c>
      <c r="K107" s="11" t="s">
        <v>1141</v>
      </c>
      <c r="L107" s="12"/>
      <c r="M107" s="11" t="s">
        <v>1142</v>
      </c>
      <c r="N107" s="11" t="s">
        <v>1143</v>
      </c>
      <c r="O107" s="17" t="s">
        <v>1144</v>
      </c>
      <c r="P107" s="12"/>
      <c r="Q107" s="12"/>
      <c r="R107" s="12"/>
      <c r="S107" s="12"/>
      <c r="T107" s="12"/>
      <c r="U107" s="12"/>
      <c r="V107" s="12"/>
      <c r="W107" s="12"/>
      <c r="X107" s="12"/>
      <c r="Y107" s="12"/>
      <c r="Z107" s="12"/>
    </row>
    <row r="108" ht="15.75" customHeight="1">
      <c r="A108" s="13" t="s">
        <v>1145</v>
      </c>
      <c r="B108" s="13" t="s">
        <v>1146</v>
      </c>
      <c r="C108" s="13" t="s">
        <v>1147</v>
      </c>
      <c r="D108" s="13" t="s">
        <v>381</v>
      </c>
      <c r="E108" s="11" t="s">
        <v>1148</v>
      </c>
      <c r="F108" s="11" t="s">
        <v>22</v>
      </c>
      <c r="G108" s="13" t="s">
        <v>556</v>
      </c>
      <c r="H108" s="13" t="s">
        <v>25</v>
      </c>
      <c r="I108" s="13">
        <v>1978.0</v>
      </c>
      <c r="J108" s="13">
        <v>1989.0</v>
      </c>
      <c r="K108" s="11" t="s">
        <v>1149</v>
      </c>
      <c r="L108" s="12"/>
      <c r="M108" s="11" t="s">
        <v>1150</v>
      </c>
      <c r="N108" s="11" t="s">
        <v>771</v>
      </c>
      <c r="O108" s="17" t="s">
        <v>1151</v>
      </c>
      <c r="P108" s="12"/>
      <c r="Q108" s="12"/>
      <c r="R108" s="12"/>
      <c r="S108" s="12"/>
      <c r="T108" s="12"/>
      <c r="U108" s="12"/>
      <c r="V108" s="12"/>
      <c r="W108" s="12"/>
      <c r="X108" s="12"/>
      <c r="Y108" s="12"/>
      <c r="Z108" s="12"/>
    </row>
    <row r="109" ht="15.75" customHeight="1">
      <c r="A109" s="13" t="s">
        <v>1152</v>
      </c>
      <c r="B109" s="13" t="s">
        <v>1153</v>
      </c>
      <c r="C109" s="13" t="s">
        <v>1154</v>
      </c>
      <c r="D109" s="13" t="s">
        <v>381</v>
      </c>
      <c r="E109" s="11" t="s">
        <v>1155</v>
      </c>
      <c r="F109" s="11" t="s">
        <v>22</v>
      </c>
      <c r="G109" s="13" t="s">
        <v>556</v>
      </c>
      <c r="H109" s="13" t="s">
        <v>25</v>
      </c>
      <c r="I109" s="13">
        <v>1973.0</v>
      </c>
      <c r="J109" s="13">
        <v>1989.0</v>
      </c>
      <c r="K109" s="11" t="s">
        <v>1156</v>
      </c>
      <c r="L109" s="12"/>
      <c r="M109" s="11" t="s">
        <v>1157</v>
      </c>
      <c r="N109" s="11" t="s">
        <v>1158</v>
      </c>
      <c r="O109" s="12"/>
      <c r="P109" s="12"/>
      <c r="Q109" s="12"/>
      <c r="R109" s="12"/>
      <c r="S109" s="12"/>
      <c r="T109" s="12"/>
      <c r="U109" s="12"/>
      <c r="V109" s="12"/>
      <c r="W109" s="12"/>
      <c r="X109" s="12"/>
      <c r="Y109" s="12"/>
      <c r="Z109" s="12"/>
    </row>
    <row r="110" ht="15.75" customHeight="1">
      <c r="A110" s="13" t="s">
        <v>1159</v>
      </c>
      <c r="B110" s="13" t="s">
        <v>1160</v>
      </c>
      <c r="C110" s="13" t="s">
        <v>1161</v>
      </c>
      <c r="D110" s="13" t="s">
        <v>381</v>
      </c>
      <c r="E110" s="11" t="s">
        <v>1162</v>
      </c>
      <c r="F110" s="11" t="s">
        <v>22</v>
      </c>
      <c r="G110" s="13" t="s">
        <v>556</v>
      </c>
      <c r="H110" s="13" t="s">
        <v>25</v>
      </c>
      <c r="I110" s="13">
        <v>1985.0</v>
      </c>
      <c r="J110" s="13">
        <v>1989.0</v>
      </c>
      <c r="K110" s="11" t="s">
        <v>1163</v>
      </c>
      <c r="L110" s="12"/>
      <c r="M110" s="11" t="s">
        <v>1164</v>
      </c>
      <c r="N110" s="11" t="s">
        <v>188</v>
      </c>
      <c r="O110" s="17" t="s">
        <v>1165</v>
      </c>
      <c r="P110" s="12"/>
      <c r="Q110" s="12"/>
      <c r="R110" s="12"/>
      <c r="S110" s="12"/>
      <c r="T110" s="12"/>
      <c r="U110" s="12"/>
      <c r="V110" s="12"/>
      <c r="W110" s="12"/>
      <c r="X110" s="12"/>
      <c r="Y110" s="12"/>
      <c r="Z110" s="12"/>
    </row>
    <row r="111" ht="15.75" customHeight="1">
      <c r="A111" s="13" t="s">
        <v>1166</v>
      </c>
      <c r="B111" s="13" t="s">
        <v>1167</v>
      </c>
      <c r="C111" s="13" t="s">
        <v>1168</v>
      </c>
      <c r="D111" s="13" t="s">
        <v>381</v>
      </c>
      <c r="E111" s="11" t="s">
        <v>1169</v>
      </c>
      <c r="F111" s="11" t="s">
        <v>22</v>
      </c>
      <c r="G111" s="13" t="s">
        <v>556</v>
      </c>
      <c r="H111" s="13" t="s">
        <v>25</v>
      </c>
      <c r="I111" s="13">
        <v>1983.0</v>
      </c>
      <c r="J111" s="13">
        <v>1989.0</v>
      </c>
      <c r="K111" s="11" t="s">
        <v>1170</v>
      </c>
      <c r="L111" s="12"/>
      <c r="M111" s="11" t="s">
        <v>1171</v>
      </c>
      <c r="N111" s="11" t="s">
        <v>305</v>
      </c>
      <c r="O111" s="17" t="s">
        <v>1170</v>
      </c>
      <c r="P111" s="12"/>
      <c r="Q111" s="12"/>
      <c r="R111" s="12"/>
      <c r="S111" s="12"/>
      <c r="T111" s="12"/>
      <c r="U111" s="12"/>
      <c r="V111" s="12"/>
      <c r="W111" s="12"/>
      <c r="X111" s="12"/>
      <c r="Y111" s="12"/>
      <c r="Z111" s="12"/>
    </row>
    <row r="112" ht="15.75" customHeight="1">
      <c r="A112" s="13" t="s">
        <v>1172</v>
      </c>
      <c r="B112" s="13" t="s">
        <v>1173</v>
      </c>
      <c r="C112" s="13" t="s">
        <v>1174</v>
      </c>
      <c r="D112" s="13" t="s">
        <v>381</v>
      </c>
      <c r="E112" s="11" t="s">
        <v>1175</v>
      </c>
      <c r="F112" s="11" t="s">
        <v>22</v>
      </c>
      <c r="G112" s="13" t="s">
        <v>556</v>
      </c>
      <c r="H112" s="13" t="s">
        <v>25</v>
      </c>
      <c r="I112" s="13">
        <v>1971.0</v>
      </c>
      <c r="J112" s="13">
        <v>1989.0</v>
      </c>
      <c r="K112" s="11" t="s">
        <v>1176</v>
      </c>
      <c r="L112" s="12"/>
      <c r="M112" s="11" t="s">
        <v>1177</v>
      </c>
      <c r="N112" s="11" t="s">
        <v>1178</v>
      </c>
      <c r="O112" s="17" t="s">
        <v>1179</v>
      </c>
      <c r="P112" s="12"/>
      <c r="Q112" s="12"/>
      <c r="R112" s="12"/>
      <c r="S112" s="12"/>
      <c r="T112" s="12"/>
      <c r="U112" s="12"/>
      <c r="V112" s="12"/>
      <c r="W112" s="12"/>
      <c r="X112" s="12"/>
      <c r="Y112" s="12"/>
      <c r="Z112" s="12"/>
    </row>
    <row r="113" ht="15.75" customHeight="1">
      <c r="A113" s="13" t="s">
        <v>1180</v>
      </c>
      <c r="B113" s="13" t="s">
        <v>1181</v>
      </c>
      <c r="C113" s="13" t="s">
        <v>1182</v>
      </c>
      <c r="D113" s="13" t="s">
        <v>381</v>
      </c>
      <c r="E113" s="11" t="s">
        <v>1183</v>
      </c>
      <c r="F113" s="11" t="s">
        <v>22</v>
      </c>
      <c r="G113" s="13" t="s">
        <v>556</v>
      </c>
      <c r="H113" s="13" t="s">
        <v>25</v>
      </c>
      <c r="I113" s="13">
        <v>1966.0</v>
      </c>
      <c r="J113" s="13">
        <v>1989.0</v>
      </c>
      <c r="K113" s="11" t="s">
        <v>1184</v>
      </c>
      <c r="L113" s="12"/>
      <c r="M113" s="11" t="s">
        <v>1185</v>
      </c>
      <c r="N113" s="11" t="s">
        <v>305</v>
      </c>
      <c r="O113" s="17" t="s">
        <v>1186</v>
      </c>
      <c r="P113" s="12"/>
      <c r="Q113" s="12"/>
      <c r="R113" s="12"/>
      <c r="S113" s="12"/>
      <c r="T113" s="12"/>
      <c r="U113" s="12"/>
      <c r="V113" s="12"/>
      <c r="W113" s="12"/>
      <c r="X113" s="12"/>
      <c r="Y113" s="12"/>
      <c r="Z113" s="12"/>
    </row>
    <row r="114" ht="15.75" customHeight="1">
      <c r="A114" s="12"/>
      <c r="B114" s="12"/>
      <c r="C114" s="13"/>
      <c r="D114" s="13"/>
      <c r="E114" s="13"/>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12"/>
      <c r="C115" s="13"/>
      <c r="D115" s="13"/>
      <c r="E115" s="13"/>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12"/>
      <c r="C116" s="13"/>
      <c r="D116" s="13"/>
      <c r="E116" s="13"/>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12"/>
      <c r="C117" s="13"/>
      <c r="D117" s="13"/>
      <c r="E117" s="13"/>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12"/>
      <c r="C118" s="13"/>
      <c r="D118" s="13"/>
      <c r="E118" s="13"/>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12"/>
      <c r="C119" s="13"/>
      <c r="D119" s="13"/>
      <c r="E119" s="13"/>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12"/>
      <c r="C120" s="13"/>
      <c r="D120" s="13"/>
      <c r="E120" s="13"/>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12"/>
      <c r="C121" s="13"/>
      <c r="D121" s="13"/>
      <c r="E121" s="13"/>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12"/>
      <c r="C122" s="13"/>
      <c r="D122" s="13"/>
      <c r="E122" s="13"/>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12"/>
      <c r="C123" s="13"/>
      <c r="D123" s="13"/>
      <c r="E123" s="13"/>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12"/>
      <c r="C124" s="13"/>
      <c r="D124" s="13"/>
      <c r="E124" s="13"/>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12"/>
      <c r="C125" s="13"/>
      <c r="D125" s="13"/>
      <c r="E125" s="13"/>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12"/>
      <c r="C126" s="13"/>
      <c r="D126" s="13"/>
      <c r="E126" s="13"/>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12"/>
      <c r="C127" s="13"/>
      <c r="D127" s="13"/>
      <c r="E127" s="13"/>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12"/>
      <c r="C128" s="13"/>
      <c r="D128" s="13"/>
      <c r="E128" s="13"/>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12"/>
      <c r="C129" s="13"/>
      <c r="D129" s="13"/>
      <c r="E129" s="13"/>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12"/>
      <c r="C130" s="13"/>
      <c r="D130" s="13"/>
      <c r="E130" s="13"/>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12"/>
      <c r="C131" s="13"/>
      <c r="D131" s="13"/>
      <c r="E131" s="13"/>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12"/>
      <c r="C132" s="13"/>
      <c r="D132" s="13"/>
      <c r="E132" s="13"/>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12"/>
      <c r="C133" s="13"/>
      <c r="D133" s="13"/>
      <c r="E133" s="13"/>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12"/>
      <c r="C134" s="13"/>
      <c r="D134" s="13"/>
      <c r="E134" s="13"/>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12"/>
      <c r="C135" s="13"/>
      <c r="D135" s="13"/>
      <c r="E135" s="13"/>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12"/>
      <c r="C136" s="13"/>
      <c r="D136" s="13"/>
      <c r="E136" s="13"/>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12"/>
      <c r="C137" s="13"/>
      <c r="D137" s="13"/>
      <c r="E137" s="13"/>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12"/>
      <c r="C138" s="13"/>
      <c r="D138" s="13"/>
      <c r="E138" s="13"/>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12"/>
      <c r="C139" s="13"/>
      <c r="D139" s="13"/>
      <c r="E139" s="13"/>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12"/>
      <c r="C140" s="13"/>
      <c r="D140" s="13"/>
      <c r="E140" s="13"/>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12"/>
      <c r="C141" s="13"/>
      <c r="D141" s="13"/>
      <c r="E141" s="13"/>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12"/>
      <c r="C142" s="13"/>
      <c r="D142" s="13"/>
      <c r="E142" s="13"/>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12"/>
      <c r="C143" s="13"/>
      <c r="D143" s="13"/>
      <c r="E143" s="13"/>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12"/>
      <c r="C144" s="13"/>
      <c r="D144" s="13"/>
      <c r="E144" s="13"/>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12"/>
      <c r="C145" s="13"/>
      <c r="D145" s="13"/>
      <c r="E145" s="13"/>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12"/>
      <c r="C146" s="13"/>
      <c r="D146" s="13"/>
      <c r="E146" s="13"/>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12"/>
      <c r="C147" s="13"/>
      <c r="D147" s="13"/>
      <c r="E147" s="13"/>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12"/>
      <c r="C148" s="13"/>
      <c r="D148" s="13"/>
      <c r="E148" s="13"/>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12"/>
      <c r="C149" s="13"/>
      <c r="D149" s="13"/>
      <c r="E149" s="13"/>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12"/>
      <c r="C150" s="13"/>
      <c r="D150" s="13"/>
      <c r="E150" s="13"/>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12"/>
      <c r="C151" s="13"/>
      <c r="D151" s="13"/>
      <c r="E151" s="13"/>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12"/>
      <c r="C152" s="13"/>
      <c r="D152" s="13"/>
      <c r="E152" s="13"/>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12"/>
      <c r="C153" s="13"/>
      <c r="D153" s="13"/>
      <c r="E153" s="13"/>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12"/>
      <c r="C154" s="13"/>
      <c r="D154" s="13"/>
      <c r="E154" s="13"/>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12"/>
      <c r="C155" s="13"/>
      <c r="D155" s="13"/>
      <c r="E155" s="13"/>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12"/>
      <c r="C156" s="13"/>
      <c r="D156" s="13"/>
      <c r="E156" s="13"/>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12"/>
      <c r="C157" s="13"/>
      <c r="D157" s="13"/>
      <c r="E157" s="13"/>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12"/>
      <c r="C158" s="13"/>
      <c r="D158" s="13"/>
      <c r="E158" s="13"/>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12"/>
      <c r="C159" s="13"/>
      <c r="D159" s="13"/>
      <c r="E159" s="13"/>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12"/>
      <c r="C160" s="13"/>
      <c r="D160" s="13"/>
      <c r="E160" s="13"/>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12"/>
      <c r="C161" s="13"/>
      <c r="D161" s="13"/>
      <c r="E161" s="13"/>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12"/>
      <c r="C162" s="13"/>
      <c r="D162" s="13"/>
      <c r="E162" s="13"/>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12"/>
      <c r="C163" s="13"/>
      <c r="D163" s="13"/>
      <c r="E163" s="13"/>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12"/>
      <c r="C164" s="13"/>
      <c r="D164" s="13"/>
      <c r="E164" s="13"/>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12"/>
      <c r="C165" s="13"/>
      <c r="D165" s="13"/>
      <c r="E165" s="13"/>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12"/>
      <c r="C166" s="13"/>
      <c r="D166" s="13"/>
      <c r="E166" s="13"/>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12"/>
      <c r="C167" s="13"/>
      <c r="D167" s="13"/>
      <c r="E167" s="13"/>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12"/>
      <c r="C168" s="13"/>
      <c r="D168" s="13"/>
      <c r="E168" s="13"/>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12"/>
      <c r="C169" s="13"/>
      <c r="D169" s="13"/>
      <c r="E169" s="13"/>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12"/>
      <c r="C170" s="13"/>
      <c r="D170" s="13"/>
      <c r="E170" s="13"/>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12"/>
      <c r="C171" s="13"/>
      <c r="D171" s="13"/>
      <c r="E171" s="13"/>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12"/>
      <c r="C172" s="13"/>
      <c r="D172" s="13"/>
      <c r="E172" s="13"/>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12"/>
      <c r="C173" s="13"/>
      <c r="D173" s="13"/>
      <c r="E173" s="13"/>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12"/>
      <c r="C174" s="13"/>
      <c r="D174" s="13"/>
      <c r="E174" s="13"/>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12"/>
      <c r="C175" s="13"/>
      <c r="D175" s="13"/>
      <c r="E175" s="13"/>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12"/>
      <c r="C176" s="13"/>
      <c r="D176" s="13"/>
      <c r="E176" s="13"/>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12"/>
      <c r="C177" s="13"/>
      <c r="D177" s="13"/>
      <c r="E177" s="13"/>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12"/>
      <c r="C178" s="13"/>
      <c r="D178" s="13"/>
      <c r="E178" s="13"/>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12"/>
      <c r="C179" s="13"/>
      <c r="D179" s="13"/>
      <c r="E179" s="13"/>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12"/>
      <c r="C180" s="13"/>
      <c r="D180" s="13"/>
      <c r="E180" s="13"/>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12"/>
      <c r="C181" s="13"/>
      <c r="D181" s="13"/>
      <c r="E181" s="13"/>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12"/>
      <c r="C182" s="13"/>
      <c r="D182" s="13"/>
      <c r="E182" s="13"/>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12"/>
      <c r="C183" s="13"/>
      <c r="D183" s="13"/>
      <c r="E183" s="13"/>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12"/>
      <c r="C184" s="13"/>
      <c r="D184" s="13"/>
      <c r="E184" s="13"/>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12"/>
      <c r="C185" s="13"/>
      <c r="D185" s="13"/>
      <c r="E185" s="13"/>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12"/>
      <c r="C186" s="13"/>
      <c r="D186" s="13"/>
      <c r="E186" s="13"/>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12"/>
      <c r="C187" s="13"/>
      <c r="D187" s="13"/>
      <c r="E187" s="13"/>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12"/>
      <c r="C188" s="13"/>
      <c r="D188" s="13"/>
      <c r="E188" s="13"/>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12"/>
      <c r="C189" s="13"/>
      <c r="D189" s="13"/>
      <c r="E189" s="13"/>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12"/>
      <c r="C190" s="13"/>
      <c r="D190" s="13"/>
      <c r="E190" s="13"/>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13"/>
      <c r="D191" s="13"/>
      <c r="E191" s="13"/>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13"/>
      <c r="D192" s="13"/>
      <c r="E192" s="13"/>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13"/>
      <c r="D193" s="13"/>
      <c r="E193" s="13"/>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13"/>
      <c r="D194" s="13"/>
      <c r="E194" s="13"/>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13"/>
      <c r="D195" s="13"/>
      <c r="E195" s="13"/>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13"/>
      <c r="D196" s="13"/>
      <c r="E196" s="13"/>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13"/>
      <c r="D197" s="13"/>
      <c r="E197" s="13"/>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13"/>
      <c r="D198" s="13"/>
      <c r="E198" s="13"/>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13"/>
      <c r="D199" s="13"/>
      <c r="E199" s="13"/>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13"/>
      <c r="D200" s="13"/>
      <c r="E200" s="13"/>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13"/>
      <c r="D201" s="13"/>
      <c r="E201" s="13"/>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13"/>
      <c r="D202" s="13"/>
      <c r="E202" s="13"/>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13"/>
      <c r="D203" s="13"/>
      <c r="E203" s="13"/>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13"/>
      <c r="D204" s="13"/>
      <c r="E204" s="13"/>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13"/>
      <c r="D205" s="13"/>
      <c r="E205" s="13"/>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13"/>
      <c r="D206" s="13"/>
      <c r="E206" s="13"/>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13"/>
      <c r="D207" s="13"/>
      <c r="E207" s="13"/>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13"/>
      <c r="D208" s="13"/>
      <c r="E208" s="13"/>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13"/>
      <c r="D209" s="13"/>
      <c r="E209" s="13"/>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13"/>
      <c r="D210" s="13"/>
      <c r="E210" s="13"/>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13"/>
      <c r="D211" s="13"/>
      <c r="E211" s="13"/>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13"/>
      <c r="D212" s="13"/>
      <c r="E212" s="13"/>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13"/>
      <c r="D213" s="13"/>
      <c r="E213" s="13"/>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13"/>
      <c r="D214" s="13"/>
      <c r="E214" s="13"/>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13"/>
      <c r="D215" s="13"/>
      <c r="E215" s="13"/>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13"/>
      <c r="D216" s="13"/>
      <c r="E216" s="13"/>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13"/>
      <c r="D217" s="13"/>
      <c r="E217" s="13"/>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13"/>
      <c r="D218" s="13"/>
      <c r="E218" s="13"/>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13"/>
      <c r="D219" s="13"/>
      <c r="E219" s="13"/>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13"/>
      <c r="D220" s="13"/>
      <c r="E220" s="13"/>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2"/>
      <c r="B221" s="12"/>
      <c r="C221" s="13"/>
      <c r="D221" s="13"/>
      <c r="E221" s="13"/>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2"/>
      <c r="B222" s="12"/>
      <c r="C222" s="13"/>
      <c r="D222" s="13"/>
      <c r="E222" s="13"/>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2"/>
      <c r="B223" s="12"/>
      <c r="C223" s="13"/>
      <c r="D223" s="13"/>
      <c r="E223" s="13"/>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2"/>
      <c r="B224" s="12"/>
      <c r="C224" s="13"/>
      <c r="D224" s="13"/>
      <c r="E224" s="13"/>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2"/>
      <c r="B225" s="12"/>
      <c r="C225" s="13"/>
      <c r="D225" s="13"/>
      <c r="E225" s="13"/>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2"/>
      <c r="B226" s="12"/>
      <c r="C226" s="13"/>
      <c r="D226" s="13"/>
      <c r="E226" s="13"/>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2"/>
      <c r="B227" s="12"/>
      <c r="C227" s="13"/>
      <c r="D227" s="13"/>
      <c r="E227" s="13"/>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2"/>
      <c r="B228" s="12"/>
      <c r="C228" s="13"/>
      <c r="D228" s="13"/>
      <c r="E228" s="13"/>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2"/>
      <c r="B229" s="12"/>
      <c r="C229" s="13"/>
      <c r="D229" s="13"/>
      <c r="E229" s="13"/>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2"/>
      <c r="B230" s="12"/>
      <c r="C230" s="13"/>
      <c r="D230" s="13"/>
      <c r="E230" s="13"/>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2"/>
      <c r="B231" s="12"/>
      <c r="C231" s="13"/>
      <c r="D231" s="13"/>
      <c r="E231" s="13"/>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2"/>
      <c r="B232" s="12"/>
      <c r="C232" s="13"/>
      <c r="D232" s="13"/>
      <c r="E232" s="13"/>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2"/>
      <c r="B233" s="12"/>
      <c r="C233" s="13"/>
      <c r="D233" s="13"/>
      <c r="E233" s="13"/>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2"/>
      <c r="B234" s="12"/>
      <c r="C234" s="13"/>
      <c r="D234" s="13"/>
      <c r="E234" s="13"/>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2"/>
      <c r="B235" s="12"/>
      <c r="C235" s="13"/>
      <c r="D235" s="13"/>
      <c r="E235" s="13"/>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2"/>
      <c r="B236" s="12"/>
      <c r="C236" s="13"/>
      <c r="D236" s="13"/>
      <c r="E236" s="13"/>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2"/>
      <c r="B237" s="12"/>
      <c r="C237" s="13"/>
      <c r="D237" s="13"/>
      <c r="E237" s="13"/>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2"/>
      <c r="B238" s="12"/>
      <c r="C238" s="13"/>
      <c r="D238" s="13"/>
      <c r="E238" s="13"/>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2"/>
      <c r="B239" s="12"/>
      <c r="C239" s="13"/>
      <c r="D239" s="13"/>
      <c r="E239" s="13"/>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2"/>
      <c r="B240" s="12"/>
      <c r="C240" s="13"/>
      <c r="D240" s="13"/>
      <c r="E240" s="13"/>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2"/>
      <c r="B241" s="12"/>
      <c r="C241" s="13"/>
      <c r="D241" s="13"/>
      <c r="E241" s="13"/>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2"/>
      <c r="B242" s="12"/>
      <c r="C242" s="13"/>
      <c r="D242" s="13"/>
      <c r="E242" s="13"/>
      <c r="F242" s="1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2"/>
      <c r="B243" s="12"/>
      <c r="C243" s="13"/>
      <c r="D243" s="13"/>
      <c r="E243" s="13"/>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2"/>
      <c r="B244" s="12"/>
      <c r="C244" s="13"/>
      <c r="D244" s="13"/>
      <c r="E244" s="13"/>
      <c r="F244" s="1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2"/>
      <c r="B245" s="12"/>
      <c r="C245" s="13"/>
      <c r="D245" s="13"/>
      <c r="E245" s="13"/>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2"/>
      <c r="B246" s="12"/>
      <c r="C246" s="13"/>
      <c r="D246" s="13"/>
      <c r="E246" s="13"/>
      <c r="F246" s="1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12"/>
      <c r="B247" s="12"/>
      <c r="C247" s="13"/>
      <c r="D247" s="13"/>
      <c r="E247" s="13"/>
      <c r="F247" s="1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12"/>
      <c r="B248" s="12"/>
      <c r="C248" s="13"/>
      <c r="D248" s="13"/>
      <c r="E248" s="13"/>
      <c r="F248" s="1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12"/>
      <c r="B249" s="12"/>
      <c r="C249" s="13"/>
      <c r="D249" s="13"/>
      <c r="E249" s="13"/>
      <c r="F249" s="1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12"/>
      <c r="B250" s="12"/>
      <c r="C250" s="13"/>
      <c r="D250" s="13"/>
      <c r="E250" s="13"/>
      <c r="F250" s="1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12"/>
      <c r="B251" s="12"/>
      <c r="C251" s="13"/>
      <c r="D251" s="13"/>
      <c r="E251" s="13"/>
      <c r="F251" s="1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12"/>
      <c r="B252" s="12"/>
      <c r="C252" s="13"/>
      <c r="D252" s="13"/>
      <c r="E252" s="13"/>
      <c r="F252" s="1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12"/>
      <c r="B253" s="12"/>
      <c r="C253" s="13"/>
      <c r="D253" s="13"/>
      <c r="E253" s="13"/>
      <c r="F253" s="1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12"/>
      <c r="B254" s="12"/>
      <c r="C254" s="13"/>
      <c r="D254" s="13"/>
      <c r="E254" s="13"/>
      <c r="F254" s="1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12"/>
      <c r="B255" s="12"/>
      <c r="C255" s="13"/>
      <c r="D255" s="13"/>
      <c r="E255" s="13"/>
      <c r="F255" s="1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12"/>
      <c r="B256" s="12"/>
      <c r="C256" s="13"/>
      <c r="D256" s="13"/>
      <c r="E256" s="13"/>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2"/>
      <c r="B257" s="12"/>
      <c r="C257" s="13"/>
      <c r="D257" s="13"/>
      <c r="E257" s="13"/>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2"/>
      <c r="B258" s="12"/>
      <c r="C258" s="13"/>
      <c r="D258" s="13"/>
      <c r="E258" s="13"/>
      <c r="F258" s="1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12"/>
      <c r="B259" s="12"/>
      <c r="C259" s="13"/>
      <c r="D259" s="13"/>
      <c r="E259" s="13"/>
      <c r="F259" s="1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12"/>
      <c r="B260" s="12"/>
      <c r="C260" s="13"/>
      <c r="D260" s="13"/>
      <c r="E260" s="13"/>
      <c r="F260" s="1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12"/>
      <c r="B261" s="12"/>
      <c r="C261" s="13"/>
      <c r="D261" s="13"/>
      <c r="E261" s="13"/>
      <c r="F261" s="1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12"/>
      <c r="B262" s="12"/>
      <c r="C262" s="13"/>
      <c r="D262" s="13"/>
      <c r="E262" s="13"/>
      <c r="F262" s="1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12"/>
      <c r="B263" s="12"/>
      <c r="C263" s="13"/>
      <c r="D263" s="13"/>
      <c r="E263" s="13"/>
      <c r="F263" s="1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12"/>
      <c r="B264" s="12"/>
      <c r="C264" s="13"/>
      <c r="D264" s="13"/>
      <c r="E264" s="13"/>
      <c r="F264" s="1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12"/>
      <c r="B265" s="12"/>
      <c r="C265" s="13"/>
      <c r="D265" s="13"/>
      <c r="E265" s="13"/>
      <c r="F265" s="1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12"/>
      <c r="B266" s="12"/>
      <c r="C266" s="13"/>
      <c r="D266" s="13"/>
      <c r="E266" s="13"/>
      <c r="F266" s="1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12"/>
      <c r="B267" s="12"/>
      <c r="C267" s="13"/>
      <c r="D267" s="13"/>
      <c r="E267" s="13"/>
      <c r="F267" s="1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12"/>
      <c r="B268" s="12"/>
      <c r="C268" s="13"/>
      <c r="D268" s="13"/>
      <c r="E268" s="13"/>
      <c r="F268" s="1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12"/>
      <c r="B269" s="12"/>
      <c r="C269" s="13"/>
      <c r="D269" s="13"/>
      <c r="E269" s="13"/>
      <c r="F269" s="1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12"/>
      <c r="B270" s="12"/>
      <c r="C270" s="13"/>
      <c r="D270" s="13"/>
      <c r="E270" s="13"/>
      <c r="F270" s="1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12"/>
      <c r="B271" s="12"/>
      <c r="C271" s="13"/>
      <c r="D271" s="13"/>
      <c r="E271" s="13"/>
      <c r="F271" s="1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12"/>
      <c r="B272" s="12"/>
      <c r="C272" s="13"/>
      <c r="D272" s="13"/>
      <c r="E272" s="13"/>
      <c r="F272" s="1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12"/>
      <c r="B273" s="12"/>
      <c r="C273" s="13"/>
      <c r="D273" s="13"/>
      <c r="E273" s="13"/>
      <c r="F273" s="1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12"/>
      <c r="B274" s="12"/>
      <c r="C274" s="13"/>
      <c r="D274" s="13"/>
      <c r="E274" s="13"/>
      <c r="F274" s="1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12"/>
      <c r="B275" s="12"/>
      <c r="C275" s="13"/>
      <c r="D275" s="13"/>
      <c r="E275" s="13"/>
      <c r="F275" s="1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12"/>
      <c r="B276" s="12"/>
      <c r="C276" s="13"/>
      <c r="D276" s="13"/>
      <c r="E276" s="13"/>
      <c r="F276" s="1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12"/>
      <c r="B277" s="12"/>
      <c r="C277" s="13"/>
      <c r="D277" s="13"/>
      <c r="E277" s="13"/>
      <c r="F277" s="1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12"/>
      <c r="B278" s="12"/>
      <c r="C278" s="13"/>
      <c r="D278" s="13"/>
      <c r="E278" s="13"/>
      <c r="F278" s="1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12"/>
      <c r="B279" s="12"/>
      <c r="C279" s="13"/>
      <c r="D279" s="13"/>
      <c r="E279" s="13"/>
      <c r="F279" s="1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12"/>
      <c r="B280" s="12"/>
      <c r="C280" s="13"/>
      <c r="D280" s="13"/>
      <c r="E280" s="13"/>
      <c r="F280" s="1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12"/>
      <c r="B281" s="12"/>
      <c r="C281" s="13"/>
      <c r="D281" s="13"/>
      <c r="E281" s="13"/>
      <c r="F281" s="1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12"/>
      <c r="B282" s="12"/>
      <c r="C282" s="13"/>
      <c r="D282" s="13"/>
      <c r="E282" s="13"/>
      <c r="F282" s="1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12"/>
      <c r="B283" s="12"/>
      <c r="C283" s="13"/>
      <c r="D283" s="13"/>
      <c r="E283" s="13"/>
      <c r="F283" s="1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12"/>
      <c r="B284" s="12"/>
      <c r="C284" s="13"/>
      <c r="D284" s="13"/>
      <c r="E284" s="13"/>
      <c r="F284" s="1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12"/>
      <c r="B285" s="12"/>
      <c r="C285" s="13"/>
      <c r="D285" s="13"/>
      <c r="E285" s="13"/>
      <c r="F285" s="1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12"/>
      <c r="B286" s="12"/>
      <c r="C286" s="13"/>
      <c r="D286" s="13"/>
      <c r="E286" s="13"/>
      <c r="F286" s="1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12"/>
      <c r="B287" s="12"/>
      <c r="C287" s="13"/>
      <c r="D287" s="13"/>
      <c r="E287" s="13"/>
      <c r="F287" s="1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12"/>
      <c r="B288" s="12"/>
      <c r="C288" s="13"/>
      <c r="D288" s="13"/>
      <c r="E288" s="13"/>
      <c r="F288" s="1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12"/>
      <c r="B289" s="12"/>
      <c r="C289" s="13"/>
      <c r="D289" s="13"/>
      <c r="E289" s="13"/>
      <c r="F289" s="1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12"/>
      <c r="B290" s="12"/>
      <c r="C290" s="13"/>
      <c r="D290" s="13"/>
      <c r="E290" s="13"/>
      <c r="F290" s="1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12"/>
      <c r="B291" s="12"/>
      <c r="C291" s="13"/>
      <c r="D291" s="13"/>
      <c r="E291" s="13"/>
      <c r="F291" s="1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12"/>
      <c r="B292" s="12"/>
      <c r="C292" s="13"/>
      <c r="D292" s="13"/>
      <c r="E292" s="13"/>
      <c r="F292" s="1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12"/>
      <c r="B293" s="12"/>
      <c r="C293" s="13"/>
      <c r="D293" s="13"/>
      <c r="E293" s="13"/>
      <c r="F293" s="1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12"/>
      <c r="B294" s="12"/>
      <c r="C294" s="13"/>
      <c r="D294" s="13"/>
      <c r="E294" s="13"/>
      <c r="F294" s="1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12"/>
      <c r="B295" s="12"/>
      <c r="C295" s="13"/>
      <c r="D295" s="13"/>
      <c r="E295" s="13"/>
      <c r="F295" s="1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12"/>
      <c r="B296" s="12"/>
      <c r="C296" s="13"/>
      <c r="D296" s="13"/>
      <c r="E296" s="13"/>
      <c r="F296" s="1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12"/>
      <c r="B297" s="12"/>
      <c r="C297" s="13"/>
      <c r="D297" s="13"/>
      <c r="E297" s="13"/>
      <c r="F297" s="1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12"/>
      <c r="B298" s="12"/>
      <c r="C298" s="13"/>
      <c r="D298" s="13"/>
      <c r="E298" s="13"/>
      <c r="F298" s="1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12"/>
      <c r="B299" s="12"/>
      <c r="C299" s="13"/>
      <c r="D299" s="13"/>
      <c r="E299" s="13"/>
      <c r="F299" s="1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12"/>
      <c r="B300" s="12"/>
      <c r="C300" s="13"/>
      <c r="D300" s="13"/>
      <c r="E300" s="13"/>
      <c r="F300" s="1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12"/>
      <c r="B301" s="12"/>
      <c r="C301" s="13"/>
      <c r="D301" s="13"/>
      <c r="E301" s="13"/>
      <c r="F301" s="1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12"/>
      <c r="B302" s="12"/>
      <c r="C302" s="13"/>
      <c r="D302" s="13"/>
      <c r="E302" s="13"/>
      <c r="F302" s="1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12"/>
      <c r="B303" s="12"/>
      <c r="C303" s="13"/>
      <c r="D303" s="13"/>
      <c r="E303" s="13"/>
      <c r="F303" s="1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12"/>
      <c r="B304" s="12"/>
      <c r="C304" s="13"/>
      <c r="D304" s="13"/>
      <c r="E304" s="13"/>
      <c r="F304" s="1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12"/>
      <c r="B305" s="12"/>
      <c r="C305" s="13"/>
      <c r="D305" s="13"/>
      <c r="E305" s="13"/>
      <c r="F305" s="1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12"/>
      <c r="B306" s="12"/>
      <c r="C306" s="13"/>
      <c r="D306" s="13"/>
      <c r="E306" s="13"/>
      <c r="F306" s="1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12"/>
      <c r="B307" s="12"/>
      <c r="C307" s="13"/>
      <c r="D307" s="13"/>
      <c r="E307" s="13"/>
      <c r="F307" s="1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12"/>
      <c r="B308" s="12"/>
      <c r="C308" s="13"/>
      <c r="D308" s="13"/>
      <c r="E308" s="13"/>
      <c r="F308" s="1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12"/>
      <c r="B309" s="12"/>
      <c r="C309" s="13"/>
      <c r="D309" s="13"/>
      <c r="E309" s="13"/>
      <c r="F309" s="1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12"/>
      <c r="B310" s="12"/>
      <c r="C310" s="13"/>
      <c r="D310" s="13"/>
      <c r="E310" s="13"/>
      <c r="F310" s="1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12"/>
      <c r="B311" s="12"/>
      <c r="C311" s="13"/>
      <c r="D311" s="13"/>
      <c r="E311" s="13"/>
      <c r="F311" s="1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12"/>
      <c r="B312" s="12"/>
      <c r="C312" s="13"/>
      <c r="D312" s="13"/>
      <c r="E312" s="13"/>
      <c r="F312" s="1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12"/>
      <c r="B313" s="12"/>
      <c r="C313" s="13"/>
      <c r="D313" s="13"/>
      <c r="E313" s="13"/>
      <c r="F313" s="1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autoFilter ref="$A$1:$Z$113"/>
  <hyperlinks>
    <hyperlink r:id="rId1" ref="K38"/>
  </hyperlinks>
  <drawing r:id="rId2"/>
</worksheet>
</file>