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2.CAMPUS.013\Desktop\"/>
    </mc:Choice>
  </mc:AlternateContent>
  <xr:revisionPtr revIDLastSave="0" documentId="13_ncr:1_{C93502F9-5053-42B9-B18D-3A2229626726}" xr6:coauthVersionLast="47" xr6:coauthVersionMax="47" xr10:uidLastSave="{00000000-0000-0000-0000-000000000000}"/>
  <bookViews>
    <workbookView xWindow="-120" yWindow="-120" windowWidth="29040" windowHeight="15840" firstSheet="1" activeTab="2" xr2:uid="{19EE711A-3283-4873-9107-9C9869A047C7}"/>
  </bookViews>
  <sheets>
    <sheet name="operacje" sheetId="1" r:id="rId1"/>
    <sheet name="kategorie" sheetId="2" r:id="rId2"/>
    <sheet name="bilans" sheetId="15" r:id="rId3"/>
    <sheet name="styczeń" sheetId="3" r:id="rId4"/>
    <sheet name="luty" sheetId="4" r:id="rId5"/>
    <sheet name="marzec" sheetId="5" r:id="rId6"/>
    <sheet name="kwiecień" sheetId="6" r:id="rId7"/>
    <sheet name="maj" sheetId="7" r:id="rId8"/>
    <sheet name="czerwiec" sheetId="8" r:id="rId9"/>
    <sheet name="lipiec" sheetId="9" r:id="rId10"/>
    <sheet name="sierpień" sheetId="10" r:id="rId11"/>
    <sheet name="wrzesień" sheetId="11" r:id="rId12"/>
    <sheet name="październik" sheetId="12" r:id="rId13"/>
    <sheet name="listopad" sheetId="13" r:id="rId14"/>
    <sheet name="grudzień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5" l="1" a="1"/>
  <c r="B12" i="15" s="1"/>
  <c r="C9" i="14"/>
  <c r="C31" i="14"/>
  <c r="C30" i="14"/>
  <c r="C29" i="14"/>
  <c r="C28" i="14"/>
  <c r="C27" i="14"/>
  <c r="C26" i="14"/>
  <c r="C25" i="14"/>
  <c r="C24" i="14"/>
  <c r="C23" i="14"/>
  <c r="C21" i="14"/>
  <c r="C20" i="14"/>
  <c r="C19" i="14"/>
  <c r="C18" i="14"/>
  <c r="C17" i="14"/>
  <c r="C16" i="14"/>
  <c r="C14" i="14"/>
  <c r="C11" i="14"/>
  <c r="E8" i="14"/>
  <c r="E7" i="14"/>
  <c r="E6" i="14"/>
  <c r="E5" i="14"/>
  <c r="E4" i="14"/>
  <c r="E3" i="14"/>
  <c r="E2" i="14"/>
  <c r="C31" i="13"/>
  <c r="C30" i="13"/>
  <c r="C29" i="13"/>
  <c r="C28" i="13"/>
  <c r="C27" i="13"/>
  <c r="C26" i="13"/>
  <c r="C25" i="13"/>
  <c r="C24" i="13"/>
  <c r="C23" i="13"/>
  <c r="C21" i="13"/>
  <c r="C20" i="13"/>
  <c r="C19" i="13"/>
  <c r="C18" i="13"/>
  <c r="C17" i="13"/>
  <c r="C16" i="13"/>
  <c r="C14" i="13"/>
  <c r="C11" i="13"/>
  <c r="C9" i="13"/>
  <c r="E8" i="13"/>
  <c r="E7" i="13"/>
  <c r="E6" i="13"/>
  <c r="E5" i="13"/>
  <c r="E4" i="13"/>
  <c r="E3" i="13"/>
  <c r="E2" i="13"/>
  <c r="C31" i="12"/>
  <c r="C30" i="12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4" i="12"/>
  <c r="C11" i="12"/>
  <c r="C9" i="12"/>
  <c r="E8" i="12"/>
  <c r="E7" i="12"/>
  <c r="E6" i="12"/>
  <c r="E5" i="12"/>
  <c r="E4" i="12"/>
  <c r="E3" i="12"/>
  <c r="E2" i="12"/>
  <c r="C31" i="11"/>
  <c r="C30" i="11"/>
  <c r="C29" i="11"/>
  <c r="C28" i="11"/>
  <c r="C27" i="11"/>
  <c r="C26" i="11"/>
  <c r="C25" i="11"/>
  <c r="C24" i="11"/>
  <c r="C23" i="11"/>
  <c r="C21" i="11"/>
  <c r="C20" i="11"/>
  <c r="C19" i="11"/>
  <c r="C18" i="11"/>
  <c r="C17" i="11"/>
  <c r="C16" i="11"/>
  <c r="C14" i="11"/>
  <c r="C11" i="11"/>
  <c r="C9" i="11"/>
  <c r="E8" i="11"/>
  <c r="E7" i="11"/>
  <c r="E6" i="11"/>
  <c r="E5" i="11"/>
  <c r="E4" i="11"/>
  <c r="E3" i="11"/>
  <c r="E2" i="11"/>
  <c r="C31" i="10"/>
  <c r="C30" i="10"/>
  <c r="C29" i="10"/>
  <c r="C28" i="10"/>
  <c r="C27" i="10"/>
  <c r="C26" i="10"/>
  <c r="C25" i="10"/>
  <c r="C24" i="10"/>
  <c r="C23" i="10"/>
  <c r="C21" i="10"/>
  <c r="C20" i="10"/>
  <c r="C19" i="10"/>
  <c r="C18" i="10"/>
  <c r="C17" i="10"/>
  <c r="C16" i="10"/>
  <c r="C14" i="10"/>
  <c r="C11" i="10"/>
  <c r="C9" i="10"/>
  <c r="E8" i="10"/>
  <c r="E7" i="10"/>
  <c r="E6" i="10"/>
  <c r="E5" i="10"/>
  <c r="E4" i="10"/>
  <c r="E3" i="10"/>
  <c r="E2" i="10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4" i="9"/>
  <c r="C11" i="9"/>
  <c r="C9" i="9"/>
  <c r="E8" i="9"/>
  <c r="E7" i="9"/>
  <c r="E6" i="9"/>
  <c r="E5" i="9"/>
  <c r="E4" i="9"/>
  <c r="E3" i="9"/>
  <c r="E2" i="9"/>
  <c r="C31" i="8"/>
  <c r="C30" i="8"/>
  <c r="C29" i="8"/>
  <c r="C28" i="8"/>
  <c r="C27" i="8"/>
  <c r="C26" i="8"/>
  <c r="C25" i="8"/>
  <c r="C24" i="8"/>
  <c r="C23" i="8"/>
  <c r="C21" i="8"/>
  <c r="C20" i="8"/>
  <c r="C19" i="8"/>
  <c r="C18" i="8"/>
  <c r="C17" i="8"/>
  <c r="C16" i="8"/>
  <c r="C14" i="8"/>
  <c r="C11" i="8"/>
  <c r="C9" i="8"/>
  <c r="E8" i="8"/>
  <c r="E7" i="8"/>
  <c r="E6" i="8"/>
  <c r="E5" i="8"/>
  <c r="E4" i="8"/>
  <c r="E3" i="8"/>
  <c r="E2" i="8"/>
  <c r="C31" i="7"/>
  <c r="C30" i="7"/>
  <c r="C29" i="7"/>
  <c r="C28" i="7"/>
  <c r="C27" i="7"/>
  <c r="C26" i="7"/>
  <c r="C25" i="7"/>
  <c r="C24" i="7"/>
  <c r="C23" i="7"/>
  <c r="C21" i="7"/>
  <c r="C20" i="7"/>
  <c r="C19" i="7"/>
  <c r="C18" i="7"/>
  <c r="C17" i="7"/>
  <c r="C16" i="7"/>
  <c r="C14" i="7"/>
  <c r="C11" i="7"/>
  <c r="C9" i="7"/>
  <c r="E8" i="7"/>
  <c r="E7" i="7"/>
  <c r="E6" i="7"/>
  <c r="E5" i="7"/>
  <c r="E4" i="7"/>
  <c r="E3" i="7"/>
  <c r="E2" i="7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1" i="6"/>
  <c r="C9" i="6"/>
  <c r="E8" i="6"/>
  <c r="E7" i="6"/>
  <c r="E6" i="6"/>
  <c r="E5" i="6"/>
  <c r="E4" i="6"/>
  <c r="E3" i="6"/>
  <c r="E2" i="6"/>
  <c r="C31" i="5"/>
  <c r="C30" i="5"/>
  <c r="C29" i="5"/>
  <c r="C28" i="5"/>
  <c r="C27" i="5"/>
  <c r="C26" i="5"/>
  <c r="C25" i="5"/>
  <c r="C24" i="5"/>
  <c r="C23" i="5"/>
  <c r="C21" i="5"/>
  <c r="C20" i="5"/>
  <c r="C19" i="5"/>
  <c r="C18" i="5"/>
  <c r="C17" i="5"/>
  <c r="C16" i="5"/>
  <c r="C14" i="5"/>
  <c r="C11" i="5"/>
  <c r="C9" i="5"/>
  <c r="E8" i="5"/>
  <c r="E7" i="5"/>
  <c r="E6" i="5"/>
  <c r="E5" i="5"/>
  <c r="E4" i="5"/>
  <c r="E3" i="5"/>
  <c r="E2" i="5"/>
  <c r="C11" i="3"/>
  <c r="D12" i="15" a="1"/>
  <c r="F12" i="15" a="1"/>
  <c r="H12" i="15" a="1"/>
  <c r="J12" i="15" a="1"/>
  <c r="L12" i="15" a="1"/>
  <c r="N12" i="15" a="1"/>
  <c r="E13" i="15" a="1"/>
  <c r="G13" i="15" a="1"/>
  <c r="I13" i="15" a="1"/>
  <c r="K13" i="15" a="1"/>
  <c r="M13" i="15" a="1"/>
  <c r="D14" i="15" a="1"/>
  <c r="F14" i="15" a="1"/>
  <c r="H14" i="15" a="1"/>
  <c r="J14" i="15" a="1"/>
  <c r="L14" i="15" a="1"/>
  <c r="N14" i="15" a="1"/>
  <c r="E14" i="15" a="1"/>
  <c r="E12" i="15" a="1"/>
  <c r="G12" i="15" a="1"/>
  <c r="I12" i="15" a="1"/>
  <c r="K12" i="15" a="1"/>
  <c r="M12" i="15" a="1"/>
  <c r="D13" i="15" a="1"/>
  <c r="F13" i="15" a="1"/>
  <c r="H13" i="15" a="1"/>
  <c r="J13" i="15" a="1"/>
  <c r="L13" i="15" a="1"/>
  <c r="N13" i="15" a="1"/>
  <c r="G14" i="15" a="1"/>
  <c r="I14" i="15" a="1"/>
  <c r="K14" i="15" a="1"/>
  <c r="M14" i="15" a="1"/>
  <c r="C13" i="15" a="1"/>
  <c r="C14" i="15" a="1"/>
  <c r="C12" i="15" a="1"/>
  <c r="C2" i="15" a="1"/>
  <c r="C4" i="15" a="1"/>
  <c r="C6" i="15" a="1"/>
  <c r="C8" i="15" a="1"/>
  <c r="C3" i="15" a="1"/>
  <c r="C5" i="15" a="1"/>
  <c r="C7" i="15" a="1"/>
  <c r="M14" i="15" l="1"/>
  <c r="K14" i="15"/>
  <c r="I14" i="15"/>
  <c r="G14" i="15"/>
  <c r="N13" i="15"/>
  <c r="L13" i="15"/>
  <c r="J13" i="15"/>
  <c r="H13" i="15"/>
  <c r="F13" i="15"/>
  <c r="D13" i="15"/>
  <c r="M12" i="15"/>
  <c r="K12" i="15"/>
  <c r="I12" i="15"/>
  <c r="G12" i="15"/>
  <c r="E12" i="15"/>
  <c r="E14" i="15"/>
  <c r="N14" i="15"/>
  <c r="L14" i="15"/>
  <c r="J14" i="15"/>
  <c r="H14" i="15"/>
  <c r="F14" i="15"/>
  <c r="D14" i="15"/>
  <c r="M13" i="15"/>
  <c r="K13" i="15"/>
  <c r="I13" i="15"/>
  <c r="G13" i="15"/>
  <c r="E13" i="15"/>
  <c r="N12" i="15"/>
  <c r="N15" i="15" s="1"/>
  <c r="L12" i="15"/>
  <c r="J12" i="15"/>
  <c r="H12" i="15"/>
  <c r="F12" i="15"/>
  <c r="F15" i="15" s="1"/>
  <c r="D12" i="15"/>
  <c r="C14" i="15"/>
  <c r="C13" i="15"/>
  <c r="C12" i="15"/>
  <c r="C15" i="15" s="1"/>
  <c r="C7" i="15"/>
  <c r="C5" i="15"/>
  <c r="C3" i="15"/>
  <c r="C8" i="15"/>
  <c r="C6" i="15"/>
  <c r="C4" i="15"/>
  <c r="C2" i="15"/>
  <c r="C22" i="14"/>
  <c r="C32" i="14"/>
  <c r="E9" i="14"/>
  <c r="C15" i="14"/>
  <c r="C33" i="14" s="1"/>
  <c r="C22" i="13"/>
  <c r="C32" i="13"/>
  <c r="C33" i="13"/>
  <c r="E9" i="13"/>
  <c r="C15" i="13"/>
  <c r="C22" i="12"/>
  <c r="C32" i="12"/>
  <c r="E9" i="12"/>
  <c r="C15" i="12"/>
  <c r="C33" i="12" s="1"/>
  <c r="C22" i="11"/>
  <c r="C32" i="11"/>
  <c r="E9" i="11"/>
  <c r="C15" i="11"/>
  <c r="C33" i="11" s="1"/>
  <c r="C22" i="10"/>
  <c r="C32" i="10"/>
  <c r="C33" i="10"/>
  <c r="E9" i="10"/>
  <c r="C15" i="10"/>
  <c r="C22" i="9"/>
  <c r="C32" i="9"/>
  <c r="C33" i="9"/>
  <c r="E9" i="9"/>
  <c r="C15" i="9"/>
  <c r="E9" i="8"/>
  <c r="C22" i="8"/>
  <c r="C32" i="8"/>
  <c r="C15" i="8"/>
  <c r="C33" i="8" s="1"/>
  <c r="C22" i="7"/>
  <c r="C32" i="7"/>
  <c r="E9" i="7"/>
  <c r="C15" i="7"/>
  <c r="C33" i="7" s="1"/>
  <c r="C22" i="6"/>
  <c r="C32" i="6"/>
  <c r="E9" i="6"/>
  <c r="C15" i="6"/>
  <c r="C22" i="5"/>
  <c r="C32" i="5"/>
  <c r="E9" i="5"/>
  <c r="C15" i="5"/>
  <c r="C33" i="5" s="1"/>
  <c r="C11" i="4"/>
  <c r="C31" i="4"/>
  <c r="C30" i="4"/>
  <c r="C29" i="4"/>
  <c r="C28" i="4"/>
  <c r="C27" i="4"/>
  <c r="C26" i="4"/>
  <c r="C25" i="4"/>
  <c r="C24" i="4"/>
  <c r="C23" i="4"/>
  <c r="C21" i="4"/>
  <c r="C20" i="4"/>
  <c r="C19" i="4"/>
  <c r="C18" i="4"/>
  <c r="C17" i="4"/>
  <c r="C16" i="4"/>
  <c r="C14" i="4"/>
  <c r="C9" i="4"/>
  <c r="E8" i="4"/>
  <c r="E7" i="4"/>
  <c r="E6" i="4"/>
  <c r="E5" i="4"/>
  <c r="E4" i="4"/>
  <c r="E3" i="4"/>
  <c r="E2" i="4"/>
  <c r="C16" i="3"/>
  <c r="C17" i="3"/>
  <c r="C18" i="3"/>
  <c r="C22" i="3" s="1"/>
  <c r="C19" i="3"/>
  <c r="C20" i="3"/>
  <c r="C21" i="3"/>
  <c r="C23" i="3"/>
  <c r="C32" i="3" s="1"/>
  <c r="C24" i="3"/>
  <c r="C25" i="3"/>
  <c r="C26" i="3"/>
  <c r="C27" i="3"/>
  <c r="C28" i="3"/>
  <c r="C29" i="3"/>
  <c r="C30" i="3"/>
  <c r="C31" i="3"/>
  <c r="C14" i="3"/>
  <c r="G2" i="1"/>
  <c r="F7" i="3"/>
  <c r="E2" i="3"/>
  <c r="F2" i="3" s="1"/>
  <c r="E3" i="3"/>
  <c r="F3" i="3" s="1"/>
  <c r="E4" i="3"/>
  <c r="F4" i="3" s="1"/>
  <c r="E5" i="3"/>
  <c r="F5" i="3" s="1"/>
  <c r="E6" i="3"/>
  <c r="F6" i="3" s="1"/>
  <c r="E7" i="3"/>
  <c r="E8" i="3"/>
  <c r="F8" i="3" s="1"/>
  <c r="C9" i="3"/>
  <c r="D9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D2" i="4" a="1"/>
  <c r="D8" i="4" a="1"/>
  <c r="D5" i="4" a="1"/>
  <c r="D7" i="4" a="1"/>
  <c r="D6" i="4" a="1"/>
  <c r="D3" i="4" a="1"/>
  <c r="D4" i="4" a="1"/>
  <c r="K15" i="15" l="1"/>
  <c r="H15" i="15"/>
  <c r="E15" i="15"/>
  <c r="M15" i="15"/>
  <c r="J15" i="15"/>
  <c r="G15" i="15"/>
  <c r="D15" i="15"/>
  <c r="L15" i="15"/>
  <c r="I15" i="15"/>
  <c r="C9" i="15"/>
  <c r="C33" i="6"/>
  <c r="D4" i="4"/>
  <c r="F4" i="4" s="1"/>
  <c r="D3" i="4"/>
  <c r="F3" i="4" s="1"/>
  <c r="D6" i="4"/>
  <c r="F6" i="4" s="1"/>
  <c r="D7" i="4"/>
  <c r="D5" i="4"/>
  <c r="F5" i="4" s="1"/>
  <c r="D8" i="4"/>
  <c r="F8" i="4" s="1"/>
  <c r="D2" i="4"/>
  <c r="F2" i="4" s="1"/>
  <c r="C22" i="4"/>
  <c r="C32" i="4"/>
  <c r="E9" i="4"/>
  <c r="C15" i="4"/>
  <c r="C33" i="4" s="1"/>
  <c r="C33" i="3"/>
  <c r="C15" i="3"/>
  <c r="F9" i="3"/>
  <c r="E9" i="3"/>
  <c r="D8" i="15" a="1"/>
  <c r="D6" i="15" a="1"/>
  <c r="D5" i="15" a="1"/>
  <c r="D4" i="15" a="1"/>
  <c r="D3" i="15" a="1"/>
  <c r="D2" i="15" a="1"/>
  <c r="D2" i="5" a="1"/>
  <c r="D6" i="5" a="1"/>
  <c r="D5" i="5" a="1"/>
  <c r="D4" i="5" a="1"/>
  <c r="D3" i="5" a="1"/>
  <c r="D8" i="5" a="1"/>
  <c r="D8" i="15" l="1"/>
  <c r="D6" i="15"/>
  <c r="D5" i="15"/>
  <c r="D4" i="15"/>
  <c r="D3" i="15"/>
  <c r="D2" i="15"/>
  <c r="D2" i="5"/>
  <c r="D8" i="5"/>
  <c r="F8" i="5" s="1"/>
  <c r="D3" i="5"/>
  <c r="F3" i="5" s="1"/>
  <c r="D4" i="5"/>
  <c r="F4" i="5" s="1"/>
  <c r="D5" i="5"/>
  <c r="F5" i="5" s="1"/>
  <c r="D6" i="5"/>
  <c r="F6" i="5" s="1"/>
  <c r="D9" i="4"/>
  <c r="F7" i="4"/>
  <c r="E8" i="15" a="1"/>
  <c r="D7" i="15" a="1"/>
  <c r="E6" i="15" a="1"/>
  <c r="E5" i="15" a="1"/>
  <c r="E4" i="15" a="1"/>
  <c r="E3" i="15" a="1"/>
  <c r="D5" i="6" a="1"/>
  <c r="D8" i="6" a="1"/>
  <c r="D6" i="6" a="1"/>
  <c r="D3" i="6" a="1"/>
  <c r="D4" i="6" a="1"/>
  <c r="D7" i="5" a="1"/>
  <c r="E8" i="15" l="1"/>
  <c r="D7" i="15"/>
  <c r="D9" i="15" s="1"/>
  <c r="E6" i="15"/>
  <c r="E5" i="15"/>
  <c r="E4" i="15"/>
  <c r="E3" i="15"/>
  <c r="D4" i="6"/>
  <c r="F4" i="6" s="1"/>
  <c r="D3" i="6"/>
  <c r="F3" i="6" s="1"/>
  <c r="D6" i="6"/>
  <c r="F6" i="6" s="1"/>
  <c r="D8" i="6"/>
  <c r="F8" i="6" s="1"/>
  <c r="D5" i="6"/>
  <c r="F5" i="6" s="1"/>
  <c r="D7" i="5"/>
  <c r="F7" i="5" s="1"/>
  <c r="F9" i="4"/>
  <c r="F2" i="5"/>
  <c r="F8" i="15" a="1"/>
  <c r="E7" i="15" a="1"/>
  <c r="F6" i="15" a="1"/>
  <c r="F5" i="15" a="1"/>
  <c r="F4" i="15" a="1"/>
  <c r="F3" i="15" a="1"/>
  <c r="E2" i="15" a="1"/>
  <c r="D8" i="7" a="1"/>
  <c r="D5" i="7" a="1"/>
  <c r="D3" i="7" a="1"/>
  <c r="D4" i="7" a="1"/>
  <c r="D6" i="7" a="1"/>
  <c r="D7" i="6" a="1"/>
  <c r="D2" i="6" a="1"/>
  <c r="F8" i="15" l="1"/>
  <c r="E7" i="15"/>
  <c r="F6" i="15"/>
  <c r="F5" i="15"/>
  <c r="F4" i="15"/>
  <c r="F3" i="15"/>
  <c r="E2" i="15"/>
  <c r="D6" i="7"/>
  <c r="F6" i="7" s="1"/>
  <c r="D4" i="7"/>
  <c r="F4" i="7" s="1"/>
  <c r="D3" i="7"/>
  <c r="F3" i="7" s="1"/>
  <c r="D5" i="7"/>
  <c r="F5" i="7" s="1"/>
  <c r="D8" i="7"/>
  <c r="F8" i="7" s="1"/>
  <c r="D2" i="6"/>
  <c r="D7" i="6"/>
  <c r="F7" i="6" s="1"/>
  <c r="D9" i="5"/>
  <c r="F9" i="5"/>
  <c r="G8" i="15" a="1"/>
  <c r="F7" i="15" a="1"/>
  <c r="G6" i="15" a="1"/>
  <c r="G5" i="15" a="1"/>
  <c r="G4" i="15" a="1"/>
  <c r="G3" i="15" a="1"/>
  <c r="D6" i="8" a="1"/>
  <c r="D8" i="8" a="1"/>
  <c r="D4" i="8" a="1"/>
  <c r="D3" i="8" a="1"/>
  <c r="D5" i="8" a="1"/>
  <c r="D7" i="7" a="1"/>
  <c r="E9" i="15" l="1"/>
  <c r="G8" i="15"/>
  <c r="F7" i="15"/>
  <c r="G6" i="15"/>
  <c r="G5" i="15"/>
  <c r="G4" i="15"/>
  <c r="G3" i="15"/>
  <c r="D5" i="8"/>
  <c r="F5" i="8" s="1"/>
  <c r="D3" i="8"/>
  <c r="F3" i="8" s="1"/>
  <c r="D4" i="8"/>
  <c r="F4" i="8" s="1"/>
  <c r="D8" i="8"/>
  <c r="F8" i="8" s="1"/>
  <c r="D6" i="8"/>
  <c r="F6" i="8" s="1"/>
  <c r="D7" i="7"/>
  <c r="F7" i="7" s="1"/>
  <c r="D9" i="6"/>
  <c r="F2" i="6"/>
  <c r="H8" i="15" a="1"/>
  <c r="G7" i="15" a="1"/>
  <c r="H6" i="15" a="1"/>
  <c r="H5" i="15" a="1"/>
  <c r="H4" i="15" a="1"/>
  <c r="H3" i="15" a="1"/>
  <c r="F2" i="15" a="1"/>
  <c r="D8" i="9" a="1"/>
  <c r="D5" i="9" a="1"/>
  <c r="D6" i="9" a="1"/>
  <c r="D4" i="9" a="1"/>
  <c r="D3" i="9" a="1"/>
  <c r="D7" i="8" a="1"/>
  <c r="D2" i="7" a="1"/>
  <c r="H8" i="15" l="1"/>
  <c r="G7" i="15"/>
  <c r="H6" i="15"/>
  <c r="H5" i="15"/>
  <c r="H4" i="15"/>
  <c r="H3" i="15"/>
  <c r="F2" i="15"/>
  <c r="F9" i="15" s="1"/>
  <c r="D3" i="9"/>
  <c r="F3" i="9" s="1"/>
  <c r="D4" i="9"/>
  <c r="F4" i="9" s="1"/>
  <c r="D6" i="9"/>
  <c r="F6" i="9" s="1"/>
  <c r="D5" i="9"/>
  <c r="F5" i="9" s="1"/>
  <c r="D8" i="9"/>
  <c r="F8" i="9" s="1"/>
  <c r="D7" i="8"/>
  <c r="F7" i="8" s="1"/>
  <c r="D2" i="7"/>
  <c r="F9" i="6"/>
  <c r="I8" i="15" a="1"/>
  <c r="H7" i="15" a="1"/>
  <c r="I6" i="15" a="1"/>
  <c r="I5" i="15" a="1"/>
  <c r="I4" i="15" a="1"/>
  <c r="I3" i="15" a="1"/>
  <c r="D5" i="10" a="1"/>
  <c r="D3" i="10" a="1"/>
  <c r="D8" i="10" a="1"/>
  <c r="D4" i="10" a="1"/>
  <c r="D6" i="10" a="1"/>
  <c r="D7" i="9" a="1"/>
  <c r="I8" i="15" l="1"/>
  <c r="H7" i="15"/>
  <c r="I6" i="15"/>
  <c r="I5" i="15"/>
  <c r="I4" i="15"/>
  <c r="I3" i="15"/>
  <c r="D6" i="10"/>
  <c r="F6" i="10" s="1"/>
  <c r="D4" i="10"/>
  <c r="F4" i="10" s="1"/>
  <c r="D8" i="10"/>
  <c r="F8" i="10" s="1"/>
  <c r="D3" i="10"/>
  <c r="F3" i="10" s="1"/>
  <c r="D5" i="10"/>
  <c r="F5" i="10" s="1"/>
  <c r="D7" i="9"/>
  <c r="F7" i="9" s="1"/>
  <c r="D9" i="7"/>
  <c r="F2" i="7"/>
  <c r="J8" i="15" a="1"/>
  <c r="I7" i="15" a="1"/>
  <c r="J6" i="15" a="1"/>
  <c r="J5" i="15" a="1"/>
  <c r="J4" i="15" a="1"/>
  <c r="J3" i="15" a="1"/>
  <c r="G2" i="15" a="1"/>
  <c r="D3" i="11" a="1"/>
  <c r="D6" i="11" a="1"/>
  <c r="D5" i="11" a="1"/>
  <c r="D4" i="11" a="1"/>
  <c r="D8" i="11" a="1"/>
  <c r="D7" i="10" a="1"/>
  <c r="D2" i="8" a="1"/>
  <c r="J8" i="15" l="1"/>
  <c r="I7" i="15"/>
  <c r="J6" i="15"/>
  <c r="J5" i="15"/>
  <c r="J4" i="15"/>
  <c r="J3" i="15"/>
  <c r="G2" i="15"/>
  <c r="G9" i="15" s="1"/>
  <c r="D8" i="11"/>
  <c r="F8" i="11" s="1"/>
  <c r="D4" i="11"/>
  <c r="F4" i="11" s="1"/>
  <c r="D5" i="11"/>
  <c r="F5" i="11" s="1"/>
  <c r="D6" i="11"/>
  <c r="F6" i="11" s="1"/>
  <c r="D3" i="11"/>
  <c r="F3" i="11" s="1"/>
  <c r="D7" i="10"/>
  <c r="F7" i="10" s="1"/>
  <c r="D2" i="8"/>
  <c r="F9" i="7"/>
  <c r="K8" i="15" a="1"/>
  <c r="J7" i="15" a="1"/>
  <c r="K6" i="15" a="1"/>
  <c r="K5" i="15" a="1"/>
  <c r="K4" i="15" a="1"/>
  <c r="K3" i="15" a="1"/>
  <c r="D6" i="12" a="1"/>
  <c r="D8" i="12" a="1"/>
  <c r="D3" i="12" a="1"/>
  <c r="D5" i="12" a="1"/>
  <c r="D4" i="12" a="1"/>
  <c r="D7" i="11" a="1"/>
  <c r="K8" i="15" l="1"/>
  <c r="J7" i="15"/>
  <c r="K6" i="15"/>
  <c r="K5" i="15"/>
  <c r="K4" i="15"/>
  <c r="K3" i="15"/>
  <c r="D4" i="12"/>
  <c r="F4" i="12" s="1"/>
  <c r="D5" i="12"/>
  <c r="F5" i="12" s="1"/>
  <c r="D3" i="12"/>
  <c r="F3" i="12" s="1"/>
  <c r="D8" i="12"/>
  <c r="F8" i="12" s="1"/>
  <c r="D6" i="12"/>
  <c r="F6" i="12" s="1"/>
  <c r="D7" i="11"/>
  <c r="F7" i="11" s="1"/>
  <c r="D9" i="8"/>
  <c r="F2" i="8"/>
  <c r="L8" i="15" a="1"/>
  <c r="K7" i="15" a="1"/>
  <c r="L6" i="15" a="1"/>
  <c r="L5" i="15" a="1"/>
  <c r="L4" i="15" a="1"/>
  <c r="L3" i="15" a="1"/>
  <c r="H2" i="15" a="1"/>
  <c r="D8" i="13" a="1"/>
  <c r="D6" i="13" a="1"/>
  <c r="D4" i="13" a="1"/>
  <c r="D3" i="13" a="1"/>
  <c r="D5" i="13" a="1"/>
  <c r="D7" i="12" a="1"/>
  <c r="D2" i="9" a="1"/>
  <c r="L8" i="15" l="1"/>
  <c r="K7" i="15"/>
  <c r="L6" i="15"/>
  <c r="L5" i="15"/>
  <c r="L4" i="15"/>
  <c r="L3" i="15"/>
  <c r="H2" i="15"/>
  <c r="H9" i="15" s="1"/>
  <c r="D5" i="13"/>
  <c r="F5" i="13" s="1"/>
  <c r="D3" i="13"/>
  <c r="F3" i="13" s="1"/>
  <c r="D4" i="13"/>
  <c r="F4" i="13" s="1"/>
  <c r="D6" i="13"/>
  <c r="F6" i="13" s="1"/>
  <c r="D8" i="13"/>
  <c r="F8" i="13" s="1"/>
  <c r="D7" i="12"/>
  <c r="F7" i="12" s="1"/>
  <c r="D2" i="9"/>
  <c r="F9" i="8"/>
  <c r="M8" i="15" a="1"/>
  <c r="L7" i="15" a="1"/>
  <c r="M6" i="15" a="1"/>
  <c r="M5" i="15" a="1"/>
  <c r="M4" i="15" a="1"/>
  <c r="M3" i="15" a="1"/>
  <c r="D5" i="14" a="1"/>
  <c r="D8" i="14" a="1"/>
  <c r="D3" i="14" a="1"/>
  <c r="D4" i="14" a="1"/>
  <c r="D6" i="14" a="1"/>
  <c r="D7" i="13" a="1"/>
  <c r="M8" i="15" l="1"/>
  <c r="L7" i="15"/>
  <c r="M6" i="15"/>
  <c r="M5" i="15"/>
  <c r="M4" i="15"/>
  <c r="M3" i="15"/>
  <c r="D6" i="14"/>
  <c r="F6" i="14" s="1"/>
  <c r="D4" i="14"/>
  <c r="F4" i="14" s="1"/>
  <c r="D3" i="14"/>
  <c r="F3" i="14" s="1"/>
  <c r="D8" i="14"/>
  <c r="F8" i="14" s="1"/>
  <c r="D5" i="14"/>
  <c r="F5" i="14" s="1"/>
  <c r="D7" i="13"/>
  <c r="F7" i="13" s="1"/>
  <c r="D9" i="9"/>
  <c r="F2" i="9"/>
  <c r="N8" i="15" a="1"/>
  <c r="M7" i="15" a="1"/>
  <c r="N6" i="15" a="1"/>
  <c r="N5" i="15" a="1"/>
  <c r="N4" i="15" a="1"/>
  <c r="N3" i="15" a="1"/>
  <c r="I2" i="15" a="1"/>
  <c r="D7" i="14" a="1"/>
  <c r="D2" i="10" a="1"/>
  <c r="N8" i="15" l="1"/>
  <c r="M7" i="15"/>
  <c r="N6" i="15"/>
  <c r="N5" i="15"/>
  <c r="N4" i="15"/>
  <c r="N3" i="15"/>
  <c r="I2" i="15"/>
  <c r="I9" i="15" s="1"/>
  <c r="D7" i="14"/>
  <c r="F7" i="14" s="1"/>
  <c r="D2" i="10"/>
  <c r="F9" i="9"/>
  <c r="N7" i="15" a="1"/>
  <c r="N7" i="15" l="1"/>
  <c r="D9" i="10"/>
  <c r="F2" i="10"/>
  <c r="J2" i="15" a="1"/>
  <c r="D2" i="11" a="1"/>
  <c r="J2" i="15" l="1"/>
  <c r="J9" i="15" s="1"/>
  <c r="D2" i="11"/>
  <c r="F9" i="10"/>
  <c r="D9" i="11" l="1"/>
  <c r="F2" i="11"/>
  <c r="K2" i="15" a="1"/>
  <c r="D2" i="12" a="1"/>
  <c r="K2" i="15" l="1"/>
  <c r="K9" i="15" s="1"/>
  <c r="D2" i="12"/>
  <c r="F9" i="11"/>
  <c r="D9" i="12" l="1"/>
  <c r="F2" i="12"/>
  <c r="L2" i="15" a="1"/>
  <c r="D2" i="13" a="1"/>
  <c r="L2" i="15" l="1"/>
  <c r="L9" i="15" s="1"/>
  <c r="D2" i="13"/>
  <c r="F9" i="12"/>
  <c r="D9" i="13" l="1"/>
  <c r="F2" i="13"/>
  <c r="M2" i="15" a="1"/>
  <c r="D2" i="14" a="1"/>
  <c r="M2" i="15" l="1"/>
  <c r="M9" i="15" s="1"/>
  <c r="D2" i="14"/>
  <c r="F9" i="13"/>
  <c r="D9" i="14" l="1"/>
  <c r="F2" i="14"/>
  <c r="N2" i="15" a="1"/>
  <c r="N2" i="15" l="1"/>
  <c r="N9" i="15" s="1"/>
  <c r="F9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<sst xmlns="http://schemas.openxmlformats.org/spreadsheetml/2006/main" count="1459" uniqueCount="60">
  <si>
    <t>Kwota</t>
  </si>
  <si>
    <t>Bank</t>
  </si>
  <si>
    <t>Produkt</t>
  </si>
  <si>
    <t>Kategoria</t>
  </si>
  <si>
    <t>Data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</si>
  <si>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</si>
  <si>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</si>
  <si>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</si>
  <si>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</si>
  <si>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</si>
  <si>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</si>
  <si>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</si>
  <si>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</si>
  <si>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</si>
  <si>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</si>
  <si>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</si>
  <si>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</si>
  <si>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</si>
  <si>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</si>
  <si>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</si>
  <si>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</si>
  <si>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</si>
  <si>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</si>
  <si>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</si>
  <si>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</si>
  <si>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</si>
  <si>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</si>
  <si>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</si>
  <si>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</si>
  <si>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</si>
  <si>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</si>
  <si>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</si>
  <si>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Kategorie</t>
  </si>
  <si>
    <t xml:space="preserve">Typ </t>
  </si>
  <si>
    <t>Transfer</t>
  </si>
  <si>
    <t>Kolumna1</t>
  </si>
  <si>
    <t>Kolumna2</t>
  </si>
  <si>
    <t xml:space="preserve">Saldo początkowe </t>
  </si>
  <si>
    <t>Operacje</t>
  </si>
  <si>
    <t>Saldo końcowe</t>
  </si>
  <si>
    <t>Produkt2</t>
  </si>
  <si>
    <t>Suma</t>
  </si>
  <si>
    <t>Miesiąc: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</si>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</sst>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4" formatCode="#,##0.00\ &quot;zł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8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0" xfId="0" applyNumberFormat="1"/>
  </cellXfs>
  <cellStyles count="1">
    <cellStyle name="Normalny" xfId="0" builtinId="0"/>
  </cellStyles>
  <dxfs count="79">
    <dxf>
      <numFmt numFmtId="0" formatCode="General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8D561-EAC4-4E40-8628-14DAA5E8CF27}" name="operacje" displayName="operacje" ref="A1:G207" totalsRowShown="0" headerRowDxfId="78" dataDxfId="77">
  <autoFilter ref="A1:G207" xr:uid="{0BF8D561-EAC4-4E40-8628-14DAA5E8CF27}"/>
  <tableColumns count="7">
    <tableColumn id="1" xr3:uid="{B8857B41-0690-4140-9508-8EB2F86C2418}" name="Kwota" dataDxfId="76"/>
    <tableColumn id="2" xr3:uid="{8737DB25-07FD-44EB-805B-1641B976A182}" name="Bank" dataDxfId="75"/>
    <tableColumn id="3" xr3:uid="{4A9094D1-E12A-4CE8-AB00-1DFB7FB177DB}" name="Produkt" dataDxfId="74"/>
    <tableColumn id="4" xr3:uid="{1224FC88-5012-46A9-A6E9-0D5DA9C8C6C9}" name="Kategoria" dataDxfId="73"/>
    <tableColumn id="5" xr3:uid="{0154B310-56AF-4FB1-8E2D-85895B1AD7F1}" name="Kolumna1" dataDxfId="72">
      <calculatedColumnFormula>_xlfn.XLOOKUP(operacje[[#This Row],[Kategoria]],Kategorie[Kategorie],Kategorie[[Typ ]],"",0)</calculatedColumnFormula>
    </tableColumn>
    <tableColumn id="6" xr3:uid="{09FE7463-68E1-4ED3-9920-5871C0F8E8B6}" name="Data" dataDxfId="71"/>
    <tableColumn id="7" xr3:uid="{AAFC0472-B768-483D-85E9-17952F581F91}" name="Kolumna2" dataDxfId="70">
      <calculatedColumnFormula>IF(ISBLANK(operacje[[#This Row],[Data]]),,MONTH(operacje[[#This Row],[Data]]))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FE8D46-834C-4B29-976C-09E2D1865963}" name="Kategorie" displayName="Kategorie" ref="A1:B17" totalsRowShown="0">
  <autoFilter ref="A1:B17" xr:uid="{75FE8D46-834C-4B29-976C-09E2D1865963}"/>
  <tableColumns count="2">
    <tableColumn id="1" xr3:uid="{9C986E9A-C862-4E52-9D01-DC5B91F5B1DE}" name="Kategorie"/>
    <tableColumn id="2" xr3:uid="{60388899-6691-4385-8547-BC1E293BE319}" name="Typ 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90D73-08C2-4CF9-BA84-FFDE1BC12234}" name="Produkty" displayName="Produkty" ref="H1:I8" totalsRowShown="0">
  <autoFilter ref="H1:I8" xr:uid="{B0390D73-08C2-4CF9-BA84-FFDE1BC12234}"/>
  <tableColumns count="2">
    <tableColumn id="1" xr3:uid="{B8EA36D7-4BD5-45A7-8779-11581A0583E6}" name="Bank"/>
    <tableColumn id="2" xr3:uid="{9100F58C-237E-4BF7-BFAC-CD51CF38FA24}" name="Produk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5F071D5-AB05-40ED-8D14-ADED159710BD}" name="saldo" displayName="saldo" ref="A1:N9" totalsRowShown="0">
  <autoFilter ref="A1:N9" xr:uid="{B5F071D5-AB05-40ED-8D14-ADED159710BD}"/>
  <tableColumns count="14">
    <tableColumn id="1" xr3:uid="{F762E80F-A310-467C-BFA4-7220E9DE91F3}" name="Bank"/>
    <tableColumn id="2" xr3:uid="{376187AE-EAD7-4B99-BDB6-D9D6620803F3}" name="Produkt"/>
    <tableColumn id="3" xr3:uid="{F3894BA7-F710-47E2-8EEC-D625895A7D6A}" name="Styczeń" dataDxfId="0">
      <calculatedColumnFormula array="1">INDIRECT(saldo[[#Headers],[Styczeń]]&amp;"_saldo[@[Saldo końcowe]]")</calculatedColumnFormula>
    </tableColumn>
    <tableColumn id="4" xr3:uid="{339115D1-E59D-44D5-9AC1-BCAB3AD62E95}" name="Luty"/>
    <tableColumn id="5" xr3:uid="{E5807B97-B093-4E58-9981-FB203305F3F5}" name="Marzec"/>
    <tableColumn id="6" xr3:uid="{EF451B81-8C5F-4BD7-B623-9FA2715B5773}" name="Kwiecień"/>
    <tableColumn id="7" xr3:uid="{F7EAB9B9-8722-46DC-9657-77E5D153255F}" name="Maj"/>
    <tableColumn id="8" xr3:uid="{A2E6EDEF-E2A0-4BF8-AA3C-ECB3FC8FE8F4}" name="Czerwiec"/>
    <tableColumn id="9" xr3:uid="{721B3774-6838-4A71-B4B1-8FE0E8F1ED5D}" name="Lipiec"/>
    <tableColumn id="10" xr3:uid="{D05D78B2-6132-4F22-9516-4BEEFF3781EE}" name="Sierpień"/>
    <tableColumn id="11" xr3:uid="{BCE7FBDF-72EE-40BF-A4A6-02BE76778E93}" name="Wrzesień"/>
    <tableColumn id="12" xr3:uid="{6850F26A-E2A4-4983-8F55-C137CF213312}" name="Październik"/>
    <tableColumn id="13" xr3:uid="{EB7B81C0-A9DA-4BCB-91EC-70C6D57F48F9}" name="Listopad"/>
    <tableColumn id="14" xr3:uid="{FFEC4BA8-CD09-486B-8DFE-2D941275F097}" name="Grudzień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77112F-60D3-4D46-A880-C37DF1D9F6D0}" name="Styczeń_saldo" displayName="Styczeń_saldo" ref="A1:F9" totalsRowCount="1">
  <autoFilter ref="A1:F8" xr:uid="{C877112F-60D3-4D46-A880-C37DF1D9F6D0}"/>
  <tableColumns count="6">
    <tableColumn id="1" xr3:uid="{E1CE7BD9-2C02-45B3-937A-98422F17EC1C}" name="Bank" totalsRowLabel="Suma"/>
    <tableColumn id="2" xr3:uid="{BCCB0B33-9DE4-4F24-9E7E-2EAEEBF51470}" name="Produkt"/>
    <tableColumn id="3" xr3:uid="{01E76974-3FD1-4247-A180-2945781A1C10}" name="Produkt2" totalsRowFunction="sum"/>
    <tableColumn id="4" xr3:uid="{956FAFED-38DB-487A-8067-83A56F7AFAF7}" name="Saldo początkowe " totalsRowFunction="sum" dataDxfId="69"/>
    <tableColumn id="5" xr3:uid="{4AA7C108-18B1-478C-84FC-FC16A8E3F900}" name="Operacje" totalsRowFunction="sum" dataDxfId="68">
      <calculatedColumnFormula>SUMIFS(operacje[Kwota],operacje[Bank],Styczeń_saldo[[#This Row],[Bank]],operacje[Produkt],Styczeń_saldo[[#This Row],[Produkt]],operacje[Kolumna2],$B$11)</calculatedColumnFormula>
    </tableColumn>
    <tableColumn id="6" xr3:uid="{22ACA09F-EF6D-4C49-B1E8-01FA6558FF82}" name="Saldo końcowe" totalsRowFunction="sum" dataDxfId="67">
      <calculatedColumnFormula>Styczeń_saldo[[#This Row],[Operacje]]+Styczeń_saldo[[#This Row],[Saldo początkowe ]]</calculatedColumnFormula>
    </tableColumn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B656F4-D0F6-4033-832F-AB226369FB46}" name="Luty_saldo" displayName="Luty_saldo" ref="A1:F9" totalsRowCount="1">
  <autoFilter ref="A1:F8" xr:uid="{C877112F-60D3-4D46-A880-C37DF1D9F6D0}"/>
  <tableColumns count="6">
    <tableColumn id="1" xr3:uid="{D0BDFA6C-0C91-4590-BB68-B2BB0FEDE8D0}" name="Bank" totalsRowLabel="Suma"/>
    <tableColumn id="2" xr3:uid="{61C38380-261C-4565-B47F-929C3E966D1B}" name="Produkt"/>
    <tableColumn id="3" xr3:uid="{EE4A1FCB-5FF0-4EA2-8818-CAF231AE433A}" name="Produkt2" totalsRowFunction="sum"/>
    <tableColumn id="4" xr3:uid="{0FA5BBAC-E459-4AD8-8ED9-DF9B3EABB258}" name="Saldo początkowe " totalsRowFunction="sum" dataDxfId="61" totalsRowDxfId="64">
      <calculatedColumnFormula array="1">INDIRECT(TEXT(DATE(2025,$B$11-1,1),"mmmm")&amp;"_saldo[@[Saldo końcowe]]")</calculatedColumnFormula>
    </tableColumn>
    <tableColumn id="5" xr3:uid="{B86D289B-5B3F-4B2C-84F5-A3A7489EB279}" name="Operacje" totalsRowFunction="sum" dataDxfId="66" totalsRowDxfId="63">
      <calculatedColumnFormula>SUMIFS(operacje[Kwota],operacje[Bank],Luty_saldo[[#This Row],[Bank]],operacje[Produkt],Luty_saldo[[#This Row],[Produkt]],operacje[Kolumna2],$B$11)</calculatedColumnFormula>
    </tableColumn>
    <tableColumn id="6" xr3:uid="{68695D09-E984-40BB-B044-63FC5C0E0077}" name="Saldo końcowe" totalsRowFunction="sum" dataDxfId="65" totalsRowDxfId="62">
      <calculatedColumnFormula>Luty_saldo[[#This Row],[Operacje]]+Luty_saldo[[#This Row],[Saldo początkowe ]]</calculatedColumnFormula>
    </tableColumn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E46AAB-503B-4EE2-A067-C3EF66323D57}" name="Marzec_saldo" displayName="Marzec_saldo" ref="A1:F9" totalsRowCount="1">
  <autoFilter ref="A1:F8" xr:uid="{C877112F-60D3-4D46-A880-C37DF1D9F6D0}"/>
  <tableColumns count="6">
    <tableColumn id="1" xr3:uid="{4EA676FD-54A7-4DB9-A61B-34933511E53E}" name="Bank" totalsRowLabel="Suma"/>
    <tableColumn id="2" xr3:uid="{F88C7F9C-0666-419F-B1DB-CC73EB746AF7}" name="Produkt"/>
    <tableColumn id="3" xr3:uid="{FB16F737-1625-4F5F-A9E4-2176E0D8CDB9}" name="Produkt2" totalsRowFunction="sum"/>
    <tableColumn id="4" xr3:uid="{6992A275-E813-4FDB-85A3-94C7AA699CEB}" name="Saldo początkowe " totalsRowFunction="sum" dataDxfId="60" totalsRowDxfId="57">
      <calculatedColumnFormula array="1">INDIRECT(TEXT(DATE(2025,$B$11-1,1),"mmmm")&amp;"_saldo[@[Saldo końcowe]]")</calculatedColumnFormula>
    </tableColumn>
    <tableColumn id="5" xr3:uid="{84E85FE1-DA53-489A-AD89-5E4B6042163F}" name="Operacje" totalsRowFunction="sum" dataDxfId="59" totalsRowDxfId="56">
      <calculatedColumnFormula>SUMIFS(operacje[Kwota],operacje[Bank],Marzec_saldo[[#This Row],[Bank]],operacje[Produkt],Marzec_saldo[[#This Row],[Produkt]],operacje[Kolumna2],$B$11)</calculatedColumnFormula>
    </tableColumn>
    <tableColumn id="6" xr3:uid="{A48B3E53-31A7-423D-B41B-7FA0583DFCFE}" name="Saldo końcowe" totalsRowFunction="sum" dataDxfId="58" totalsRowDxfId="55">
      <calculatedColumnFormula>Marzec_saldo[[#This Row],[Operacje]]+Marzec_saldo[[#This Row],[Saldo początkowe ]]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8218AD-E40B-4898-B097-53A3A9EE9403}" name="Kwiecień_saldo" displayName="Kwiecień_saldo" ref="A1:F9" totalsRowCount="1">
  <autoFilter ref="A1:F8" xr:uid="{C877112F-60D3-4D46-A880-C37DF1D9F6D0}"/>
  <tableColumns count="6">
    <tableColumn id="1" xr3:uid="{8A2ED6CB-9CED-4BC5-8E56-EEA00BB52A4F}" name="Bank" totalsRowLabel="Suma"/>
    <tableColumn id="2" xr3:uid="{81BA9055-D3AB-4A4C-A280-E303A9CCD9BC}" name="Produkt"/>
    <tableColumn id="3" xr3:uid="{EF982CF7-2736-452F-AB5A-DBF7CAECB9B3}" name="Produkt2" totalsRowFunction="sum"/>
    <tableColumn id="4" xr3:uid="{C9305C3E-E643-4DA8-A510-BF89F92E83E9}" name="Saldo początkowe " totalsRowFunction="sum" dataDxfId="53" totalsRowDxfId="54">
      <calculatedColumnFormula array="1">INDIRECT(TEXT(DATE(2025,$B$11-1,1),"mmmm")&amp;"_saldo[@[Saldo końcowe]]")</calculatedColumnFormula>
    </tableColumn>
    <tableColumn id="5" xr3:uid="{B4D896B2-C843-4B3A-8750-9E980DA94848}" name="Operacje" totalsRowFunction="sum" dataDxfId="51" totalsRowDxfId="52">
      <calculatedColumnFormula>SUMIFS(operacje[Kwota],operacje[Bank],Kwiecień_saldo[[#This Row],[Bank]],operacje[Produkt],Kwiecień_saldo[[#This Row],[Produkt]],operacje[Kolumna2],$B$11)</calculatedColumnFormula>
    </tableColumn>
    <tableColumn id="6" xr3:uid="{E2DC1F0F-9010-48F8-BAE2-A141676D3693}" name="Saldo końcowe" totalsRowFunction="sum" dataDxfId="49" totalsRowDxfId="50">
      <calculatedColumnFormula>Kwiecień_saldo[[#This Row],[Operacje]]+Kwiecień_saldo[[#This Row],[Saldo początkowe ]]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C36D4B-59C7-415B-A06C-016604343AF3}" name="Maj_saldo" displayName="Maj_saldo" ref="A1:F9" totalsRowCount="1">
  <autoFilter ref="A1:F8" xr:uid="{C877112F-60D3-4D46-A880-C37DF1D9F6D0}"/>
  <tableColumns count="6">
    <tableColumn id="1" xr3:uid="{92E26F88-B54D-4548-A2CF-E85AD6F91DD2}" name="Bank" totalsRowLabel="Suma"/>
    <tableColumn id="2" xr3:uid="{BD4C528E-888C-419A-9F9F-133A40C2BBE9}" name="Produkt"/>
    <tableColumn id="3" xr3:uid="{3CD14C51-B5BB-4025-8059-224869159B17}" name="Produkt2" totalsRowFunction="sum"/>
    <tableColumn id="4" xr3:uid="{7C7C562D-890C-4833-9429-58FCA5F497CC}" name="Saldo początkowe " totalsRowFunction="sum" dataDxfId="47" totalsRowDxfId="48">
      <calculatedColumnFormula array="1">INDIRECT(TEXT(DATE(2025,$B$11-1,1),"mmmm")&amp;"_saldo[@[Saldo końcowe]]")</calculatedColumnFormula>
    </tableColumn>
    <tableColumn id="5" xr3:uid="{D89802FB-A8E8-4F65-B7AE-84F26E97F7E5}" name="Operacje" totalsRowFunction="sum" dataDxfId="45" totalsRowDxfId="46">
      <calculatedColumnFormula>SUMIFS(operacje[Kwota],operacje[Bank],Maj_saldo[[#This Row],[Bank]],operacje[Produkt],Maj_saldo[[#This Row],[Produkt]],operacje[Kolumna2],$B$11)</calculatedColumnFormula>
    </tableColumn>
    <tableColumn id="6" xr3:uid="{A3485344-BBD5-48E6-87C7-B08292F8BF8E}" name="Saldo końcowe" totalsRowFunction="sum" dataDxfId="43" totalsRowDxfId="44">
      <calculatedColumnFormula>Maj_saldo[[#This Row],[Operacje]]+Maj_saldo[[#This Row],[Saldo początkowe ]]</calculatedColumnFormula>
    </tableColumn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2755E9-94E2-4FDF-B44D-398D3083FC0B}" name="Czerwiec_saldo" displayName="Czerwiec_saldo" ref="A1:F9" totalsRowCount="1">
  <autoFilter ref="A1:F8" xr:uid="{C877112F-60D3-4D46-A880-C37DF1D9F6D0}"/>
  <tableColumns count="6">
    <tableColumn id="1" xr3:uid="{60AD479A-4120-468B-8334-58C88B772250}" name="Bank" totalsRowLabel="Suma"/>
    <tableColumn id="2" xr3:uid="{87A220EA-64E8-4D63-A263-E76348E88B45}" name="Produkt"/>
    <tableColumn id="3" xr3:uid="{8ED21787-4AA5-4123-82CD-1F122A57253C}" name="Produkt2" totalsRowFunction="sum"/>
    <tableColumn id="4" xr3:uid="{8811E4AB-CAC6-42D7-BAC4-90CF4BAFDA03}" name="Saldo początkowe " totalsRowFunction="sum" dataDxfId="41" totalsRowDxfId="42">
      <calculatedColumnFormula array="1">INDIRECT(TEXT(DATE(2025,$B$11-1,1),"mmmm")&amp;"_saldo[@[Saldo końcowe]]")</calculatedColumnFormula>
    </tableColumn>
    <tableColumn id="5" xr3:uid="{1F8B34D5-FEC1-4C9A-829F-2FD6361CE195}" name="Operacje" totalsRowFunction="sum" dataDxfId="39" totalsRowDxfId="40">
      <calculatedColumnFormula>SUMIFS(operacje[Kwota],operacje[Bank],Czerwiec_saldo[[#This Row],[Bank]],operacje[Produkt],Czerwiec_saldo[[#This Row],[Produkt]],operacje[Kolumna2],$B$11)</calculatedColumnFormula>
    </tableColumn>
    <tableColumn id="6" xr3:uid="{43ED895D-7AD0-4470-86FC-3C4EDA971882}" name="Saldo końcowe" totalsRowFunction="sum" dataDxfId="37" totalsRowDxfId="38">
      <calculatedColumnFormula>Czerwiec_saldo[[#This Row],[Operacje]]+Czerwiec_saldo[[#This Row],[Saldo początkowe ]]</calculatedColumnFormula>
    </tableColumn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E63296-7CC1-4426-BD9F-1E63DADD0506}" name="Lipiec_saldo" displayName="Lipiec_saldo" ref="A1:F9" totalsRowCount="1">
  <autoFilter ref="A1:F8" xr:uid="{C877112F-60D3-4D46-A880-C37DF1D9F6D0}"/>
  <tableColumns count="6">
    <tableColumn id="1" xr3:uid="{E25BB350-88E7-4775-916B-3A94F4BBA77C}" name="Bank" totalsRowLabel="Suma"/>
    <tableColumn id="2" xr3:uid="{8DD60B4B-A3BC-4268-A86A-AEBD0B8BB112}" name="Produkt"/>
    <tableColumn id="3" xr3:uid="{0E3EBDAD-AE56-49BE-8064-67A66D15D5DE}" name="Produkt2" totalsRowFunction="sum"/>
    <tableColumn id="4" xr3:uid="{4128BD9D-ADF0-4A12-B96E-29607CCE7619}" name="Saldo początkowe " totalsRowFunction="sum" dataDxfId="35" totalsRowDxfId="36">
      <calculatedColumnFormula array="1">INDIRECT(TEXT(DATE(2025,$B$11-1,1),"mmmm")&amp;"_saldo[@[Saldo końcowe]]")</calculatedColumnFormula>
    </tableColumn>
    <tableColumn id="5" xr3:uid="{FAE2B30F-415D-4CC3-97B4-1267BD8A186E}" name="Operacje" totalsRowFunction="sum" dataDxfId="33" totalsRowDxfId="34">
      <calculatedColumnFormula>SUMIFS(operacje[Kwota],operacje[Bank],Lipiec_saldo[[#This Row],[Bank]],operacje[Produkt],Lipiec_saldo[[#This Row],[Produkt]],operacje[Kolumna2],$B$11)</calculatedColumnFormula>
    </tableColumn>
    <tableColumn id="6" xr3:uid="{6BDBF6CB-42F8-4F42-8C12-E8D8BB9E39BE}" name="Saldo końcowe" totalsRowFunction="sum" dataDxfId="31" totalsRowDxfId="32">
      <calculatedColumnFormula>Lipiec_saldo[[#This Row],[Operacje]]+Lipiec_saldo[[#This Row],[Saldo początkowe ]]</calculatedColumnFormula>
    </tableColumn>
  </tableColumns>
  <tableStyleInfo name="TableStyleMedium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81CEE1-119B-43A8-A4CD-67DC0B1E0727}" name="Sierpień_saldo" displayName="Sierpień_saldo" ref="A1:F9" totalsRowCount="1">
  <autoFilter ref="A1:F8" xr:uid="{C877112F-60D3-4D46-A880-C37DF1D9F6D0}"/>
  <tableColumns count="6">
    <tableColumn id="1" xr3:uid="{2E92BE2A-7A96-425A-B136-0F973815ADAF}" name="Bank" totalsRowLabel="Suma"/>
    <tableColumn id="2" xr3:uid="{940A1623-6602-441B-8CE0-92D5417CD865}" name="Produkt"/>
    <tableColumn id="3" xr3:uid="{4AB096FF-505F-46FA-B485-6DF53CC2E5D6}" name="Produkt2" totalsRowFunction="sum"/>
    <tableColumn id="4" xr3:uid="{D675AAF2-D3BE-4DAC-AB1D-627EEBD1F158}" name="Saldo początkowe " totalsRowFunction="sum" dataDxfId="29" totalsRowDxfId="30">
      <calculatedColumnFormula array="1">INDIRECT(TEXT(DATE(2025,$B$11-1,1),"mmmm")&amp;"_saldo[@[Saldo końcowe]]")</calculatedColumnFormula>
    </tableColumn>
    <tableColumn id="5" xr3:uid="{24BCB945-24E1-4DF5-9F9F-3375ACCFF6E2}" name="Operacje" totalsRowFunction="sum" dataDxfId="27" totalsRowDxfId="28">
      <calculatedColumnFormula>SUMIFS(operacje[Kwota],operacje[Bank],Sierpień_saldo[[#This Row],[Bank]],operacje[Produkt],Sierpień_saldo[[#This Row],[Produkt]],operacje[Kolumna2],$B$11)</calculatedColumnFormula>
    </tableColumn>
    <tableColumn id="6" xr3:uid="{1289A631-852A-44CB-B172-805EC85722DF}" name="Saldo końcowe" totalsRowFunction="sum" dataDxfId="25" totalsRowDxfId="26">
      <calculatedColumnFormula>Sierpień_saldo[[#This Row],[Operacje]]+Sierpień_saldo[[#This Row],[Saldo początkowe ]]</calculatedColumnFormula>
    </tableColumn>
  </tableColumns>
  <tableStyleInfo name="TableStyleMedium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EC1975-86AC-4FD8-A6F6-8F23C7519BFE}" name="Wrzesień_saldo" displayName="Wrzesień_saldo" ref="A1:F9" totalsRowCount="1">
  <autoFilter ref="A1:F8" xr:uid="{C877112F-60D3-4D46-A880-C37DF1D9F6D0}"/>
  <tableColumns count="6">
    <tableColumn id="1" xr3:uid="{2F4063BD-CC7C-4ECD-BD43-3CF917F20F7C}" name="Bank" totalsRowLabel="Suma"/>
    <tableColumn id="2" xr3:uid="{D1653947-132B-4488-BD23-393DA248594D}" name="Produkt"/>
    <tableColumn id="3" xr3:uid="{FB8A769E-01BC-4941-9DB7-485BCE782204}" name="Produkt2" totalsRowFunction="sum"/>
    <tableColumn id="4" xr3:uid="{8A4E6919-B6FD-41CF-A4E8-58FC8144DD77}" name="Saldo początkowe " totalsRowFunction="sum" dataDxfId="23" totalsRowDxfId="24">
      <calculatedColumnFormula array="1">INDIRECT(TEXT(DATE(2025,$B$11-1,1),"mmmm")&amp;"_saldo[@[Saldo końcowe]]")</calculatedColumnFormula>
    </tableColumn>
    <tableColumn id="5" xr3:uid="{0DD1BFE1-51BB-45D4-A161-4E3086C163E6}" name="Operacje" totalsRowFunction="sum" dataDxfId="21" totalsRowDxfId="22">
      <calculatedColumnFormula>SUMIFS(operacje[Kwota],operacje[Bank],Wrzesień_saldo[[#This Row],[Bank]],operacje[Produkt],Wrzesień_saldo[[#This Row],[Produkt]],operacje[Kolumna2],$B$11)</calculatedColumnFormula>
    </tableColumn>
    <tableColumn id="6" xr3:uid="{A845FBB3-639B-47F3-9139-3F9F445375FE}" name="Saldo końcowe" totalsRowFunction="sum" dataDxfId="19" totalsRowDxfId="20">
      <calculatedColumnFormula>Wrzesień_saldo[[#This Row],[Operacje]]+Wrzesień_saldo[[#This Row],[Saldo początkowe ]]</calculatedColumnFormula>
    </tableColumn>
  </tableColumns>
  <tableStyleInfo name="TableStyleMedium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AABBDC-7354-4F70-A35A-E721A2C37F3F}" name="Październik_saldo" displayName="Październik_saldo" ref="A1:F9" totalsRowCount="1">
  <autoFilter ref="A1:F8" xr:uid="{C877112F-60D3-4D46-A880-C37DF1D9F6D0}"/>
  <tableColumns count="6">
    <tableColumn id="1" xr3:uid="{D7188BF3-F785-476C-8D23-B8106C05CF9A}" name="Bank" totalsRowLabel="Suma"/>
    <tableColumn id="2" xr3:uid="{BF9DCFCC-D298-4899-858E-134A0003DA18}" name="Produkt"/>
    <tableColumn id="3" xr3:uid="{99A3AF22-EA0D-43B5-9371-BBE885742C13}" name="Produkt2" totalsRowFunction="sum"/>
    <tableColumn id="4" xr3:uid="{3828B720-6D28-4737-9124-7AF284EC3480}" name="Saldo początkowe " totalsRowFunction="sum" dataDxfId="17" totalsRowDxfId="18">
      <calculatedColumnFormula array="1">INDIRECT(TEXT(DATE(2025,$B$11-1,1),"mmmm")&amp;"_saldo[@[Saldo końcowe]]")</calculatedColumnFormula>
    </tableColumn>
    <tableColumn id="5" xr3:uid="{4FCFEA17-9982-4AEF-9F46-C38E47F928D7}" name="Operacje" totalsRowFunction="sum" dataDxfId="15" totalsRowDxfId="16">
      <calculatedColumnFormula>SUMIFS(operacje[Kwota],operacje[Bank],Październik_saldo[[#This Row],[Bank]],operacje[Produkt],Październik_saldo[[#This Row],[Produkt]],operacje[Kolumna2],$B$11)</calculatedColumnFormula>
    </tableColumn>
    <tableColumn id="6" xr3:uid="{3C54C93E-BCAD-4B9D-9C23-2E45653C6B54}" name="Saldo końcowe" totalsRowFunction="sum" dataDxfId="13" totalsRowDxfId="14">
      <calculatedColumnFormula>Październik_saldo[[#This Row],[Operacje]]+Październik_saldo[[#This Row],[Saldo początkowe ]]</calculatedColumnFormula>
    </tableColumn>
  </tableColumns>
  <tableStyleInfo name="TableStyleMedium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987DE9-8B38-4DC0-8D4C-DE634C747748}" name="Listopad_saldo" displayName="Listopad_saldo" ref="A1:F9" totalsRowCount="1">
  <autoFilter ref="A1:F8" xr:uid="{C877112F-60D3-4D46-A880-C37DF1D9F6D0}"/>
  <tableColumns count="6">
    <tableColumn id="1" xr3:uid="{A135D2F0-5B73-490A-B0FF-0E1DBED9DE50}" name="Bank" totalsRowLabel="Suma"/>
    <tableColumn id="2" xr3:uid="{12F7E3F6-66EB-4DB0-AEE4-2B9730974821}" name="Produkt"/>
    <tableColumn id="3" xr3:uid="{7E029B46-DCD8-41EB-9A5C-74ACC0E656AE}" name="Produkt2" totalsRowFunction="sum"/>
    <tableColumn id="4" xr3:uid="{4259EEFB-816F-4DE7-9566-79E3D175A9AA}" name="Saldo początkowe " totalsRowFunction="sum" dataDxfId="11" totalsRowDxfId="12">
      <calculatedColumnFormula array="1">INDIRECT(TEXT(DATE(2025,$B$11-1,1),"mmmm")&amp;"_saldo[@[Saldo końcowe]]")</calculatedColumnFormula>
    </tableColumn>
    <tableColumn id="5" xr3:uid="{EF8FB88C-7E5F-42DE-AA24-D39176217E5A}" name="Operacje" totalsRowFunction="sum" dataDxfId="9" totalsRowDxfId="10">
      <calculatedColumnFormula>SUMIFS(operacje[Kwota],operacje[Bank],Listopad_saldo[[#This Row],[Bank]],operacje[Produkt],Listopad_saldo[[#This Row],[Produkt]],operacje[Kolumna2],$B$11)</calculatedColumnFormula>
    </tableColumn>
    <tableColumn id="6" xr3:uid="{D08B675C-5C2D-4F39-9199-A71F1F63B860}" name="Saldo końcowe" totalsRowFunction="sum" dataDxfId="7" totalsRowDxfId="8">
      <calculatedColumnFormula>Listopad_saldo[[#This Row],[Operacje]]+Listopad_saldo[[#This Row],[Saldo początkowe ]]</calculatedColumnFormula>
    </tableColumn>
  </tableColumns>
  <tableStyleInfo name="TableStyleMedium1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55CE27F-17B8-4CCB-9464-4B3ABB534458}" name="Grudzień_saldo" displayName="Grudzień_saldo" ref="A1:F9" totalsRowCount="1">
  <autoFilter ref="A1:F8" xr:uid="{C877112F-60D3-4D46-A880-C37DF1D9F6D0}"/>
  <tableColumns count="6">
    <tableColumn id="1" xr3:uid="{96818E45-3AFF-45D9-A62C-63C40A4D643A}" name="Bank" totalsRowLabel="Suma"/>
    <tableColumn id="2" xr3:uid="{30BDC1CC-3674-4817-9DB3-7D8912C465EE}" name="Produkt"/>
    <tableColumn id="3" xr3:uid="{F077B0B5-C594-49CC-A4E7-A16917CBB36B}" name="Produkt2" totalsRowFunction="sum"/>
    <tableColumn id="4" xr3:uid="{07F9A32A-BABE-492A-AC76-8AEE2BA44A7E}" name="Saldo początkowe " totalsRowFunction="sum" dataDxfId="6" totalsRowDxfId="5">
      <calculatedColumnFormula array="1">INDIRECT(TEXT(DATE(2025,$B$11-1,1),"mmmm")&amp;"_saldo[@[Saldo końcowe]]")</calculatedColumnFormula>
    </tableColumn>
    <tableColumn id="5" xr3:uid="{7DAE6587-3988-491C-9CBB-0EB9507CC017}" name="Operacje" totalsRowFunction="sum" dataDxfId="4" totalsRowDxfId="3">
      <calculatedColumnFormula>SUMIFS(operacje[Kwota],operacje[Bank],Grudzień_saldo[[#This Row],[Bank]],operacje[Produkt],Grudzień_saldo[[#This Row],[Produkt]],operacje[Kolumna2],$B$11)</calculatedColumnFormula>
    </tableColumn>
    <tableColumn id="6" xr3:uid="{4943EDD5-E4A0-4361-A4DF-583F79322AE5}" name="Saldo końcowe" totalsRowFunction="sum" dataDxfId="2" totalsRowDxfId="1">
      <calculatedColumnFormula>Grudzień_saldo[[#This Row],[Operacje]]+Grudzień_saldo[[#This Row],[Saldo początkowe ]]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G207"/>
  <sheetViews>
    <sheetView workbookViewId="0">
      <selection activeCell="I6" sqref="I6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  <col min="9" max="9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36</v>
      </c>
    </row>
    <row r="2" spans="1:7" x14ac:dyDescent="0.25">
      <c r="A2" s="2">
        <v>-1500</v>
      </c>
      <c r="B2" s="1" t="s">
        <v>5</v>
      </c>
      <c r="C2" s="1" t="s">
        <v>6</v>
      </c>
      <c r="D2" s="1" t="s">
        <v>7</v>
      </c>
      <c r="E2" s="1" t="str">
        <f>_xlfn.XLOOKUP(operacje[[#This Row],[Kategoria]],Kategorie[Kategorie],Kategorie[[Typ ]],"",0)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7" x14ac:dyDescent="0.25">
      <c r="A3" s="2">
        <v>4500</v>
      </c>
      <c r="B3" s="1" t="s">
        <v>5</v>
      </c>
      <c r="C3" s="1" t="s">
        <v>6</v>
      </c>
      <c r="D3" s="1" t="s">
        <v>9</v>
      </c>
      <c r="E3" s="1" t="str">
        <f>_xlfn.XLOOKUP(operacje[[#This Row],[Kategoria]],Kategorie[Kategorie],Kategorie[[Typ ]],"",0)</f>
        <v>Wpływy</v>
      </c>
      <c r="F3" s="3">
        <v>45301</v>
      </c>
      <c r="G3" s="1">
        <f>IF(ISBLANK(operacje[[#This Row],[Data]]),,MONTH(operacje[[#This Row],[Data]]))</f>
        <v>1</v>
      </c>
    </row>
    <row r="4" spans="1:7" x14ac:dyDescent="0.25">
      <c r="A4" s="2">
        <v>-2000</v>
      </c>
      <c r="B4" s="1" t="s">
        <v>5</v>
      </c>
      <c r="C4" s="1" t="s">
        <v>6</v>
      </c>
      <c r="D4" s="1" t="s">
        <v>11</v>
      </c>
      <c r="E4" s="1" t="str">
        <f>_xlfn.XLOOKUP(operacje[[#This Row],[Kategoria]],Kategorie[Kategorie],Kategorie[[Typ ]],"",0)</f>
        <v>Wydatki</v>
      </c>
      <c r="F4" s="3">
        <v>45302</v>
      </c>
      <c r="G4" s="1">
        <f>IF(ISBLANK(operacje[[#This Row],[Data]]),,MONTH(operacje[[#This Row],[Data]]))</f>
        <v>1</v>
      </c>
    </row>
    <row r="5" spans="1:7" x14ac:dyDescent="0.25">
      <c r="A5" s="2">
        <v>-45</v>
      </c>
      <c r="B5" s="1" t="s">
        <v>12</v>
      </c>
      <c r="C5" s="1" t="s">
        <v>6</v>
      </c>
      <c r="D5" s="1" t="s">
        <v>7</v>
      </c>
      <c r="E5" s="1" t="str">
        <f>_xlfn.XLOOKUP(operacje[[#This Row],[Kategoria]],Kategorie[Kategorie],Kategorie[[Typ ]],"",0)</f>
        <v>Wydatki</v>
      </c>
      <c r="F5" s="3">
        <v>45305</v>
      </c>
      <c r="G5" s="1">
        <f>IF(ISBLANK(operacje[[#This Row],[Data]]),,MONTH(operacje[[#This Row],[Data]]))</f>
        <v>1</v>
      </c>
    </row>
    <row r="6" spans="1:7" x14ac:dyDescent="0.25">
      <c r="A6" s="2">
        <v>-150</v>
      </c>
      <c r="B6" s="1" t="s">
        <v>5</v>
      </c>
      <c r="C6" s="1" t="s">
        <v>13</v>
      </c>
      <c r="D6" s="1" t="s">
        <v>14</v>
      </c>
      <c r="E6" s="1" t="str">
        <f>_xlfn.XLOOKUP(operacje[[#This Row],[Kategoria]],Kategorie[Kategorie],Kategorie[[Typ ]],"",0)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7" x14ac:dyDescent="0.25">
      <c r="A7" s="2">
        <v>-120</v>
      </c>
      <c r="B7" s="1" t="s">
        <v>5</v>
      </c>
      <c r="C7" s="1" t="s">
        <v>6</v>
      </c>
      <c r="D7" s="1" t="s">
        <v>7</v>
      </c>
      <c r="E7" s="1" t="str">
        <f>_xlfn.XLOOKUP(operacje[[#This Row],[Kategoria]],Kategorie[Kategorie],Kategorie[[Typ ]],"",0)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7" x14ac:dyDescent="0.25">
      <c r="A8" s="2">
        <v>500</v>
      </c>
      <c r="B8" s="1" t="s">
        <v>5</v>
      </c>
      <c r="C8" s="1" t="s">
        <v>6</v>
      </c>
      <c r="D8" s="1" t="s">
        <v>15</v>
      </c>
      <c r="E8" s="1" t="str">
        <f>_xlfn.XLOOKUP(operacje[[#This Row],[Kategoria]],Kategorie[Kategorie],Kategorie[[Typ ]],"",0)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7" x14ac:dyDescent="0.25">
      <c r="A9" s="2">
        <v>-500</v>
      </c>
      <c r="B9" s="1" t="s">
        <v>5</v>
      </c>
      <c r="C9" s="1" t="s">
        <v>16</v>
      </c>
      <c r="D9" s="1" t="s">
        <v>17</v>
      </c>
      <c r="E9" s="1" t="str">
        <f>_xlfn.XLOOKUP(operacje[[#This Row],[Kategoria]],Kategorie[Kategorie],Kategorie[[Typ ]],"",0)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7" x14ac:dyDescent="0.25">
      <c r="A10" s="2">
        <v>250</v>
      </c>
      <c r="B10" s="1" t="s">
        <v>12</v>
      </c>
      <c r="C10" s="1" t="s">
        <v>18</v>
      </c>
      <c r="D10" s="1" t="s">
        <v>19</v>
      </c>
      <c r="E10" s="1" t="str">
        <f>_xlfn.XLOOKUP(operacje[[#This Row],[Kategoria]],Kategorie[Kategorie],Kategorie[[Typ ]],"",0)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7" x14ac:dyDescent="0.25">
      <c r="A11" s="2">
        <v>-25</v>
      </c>
      <c r="B11" s="1" t="s">
        <v>5</v>
      </c>
      <c r="C11" s="1" t="s">
        <v>13</v>
      </c>
      <c r="D11" s="1" t="s">
        <v>20</v>
      </c>
      <c r="E11" s="1" t="str">
        <f>_xlfn.XLOOKUP(operacje[[#This Row],[Kategoria]],Kategorie[Kategorie],Kategorie[[Typ ]],"",0)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7" x14ac:dyDescent="0.25">
      <c r="A12" s="2">
        <v>-80</v>
      </c>
      <c r="B12" s="1" t="s">
        <v>5</v>
      </c>
      <c r="C12" s="1" t="s">
        <v>6</v>
      </c>
      <c r="D12" s="1" t="s">
        <v>21</v>
      </c>
      <c r="E12" s="1" t="str">
        <f>_xlfn.XLOOKUP(operacje[[#This Row],[Kategoria]],Kategorie[Kategorie],Kategorie[[Typ ]],"",0)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7" x14ac:dyDescent="0.25">
      <c r="A13" s="2">
        <v>150</v>
      </c>
      <c r="B13" s="1" t="s">
        <v>12</v>
      </c>
      <c r="C13" s="1" t="s">
        <v>6</v>
      </c>
      <c r="D13" s="1" t="s">
        <v>15</v>
      </c>
      <c r="E13" s="1" t="str">
        <f>_xlfn.XLOOKUP(operacje[[#This Row],[Kategoria]],Kategorie[Kategorie],Kategorie[[Typ ]],"",0)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7" x14ac:dyDescent="0.25">
      <c r="A14" s="2">
        <v>-80</v>
      </c>
      <c r="B14" s="1" t="s">
        <v>12</v>
      </c>
      <c r="C14" s="1" t="s">
        <v>6</v>
      </c>
      <c r="D14" s="1" t="s">
        <v>22</v>
      </c>
      <c r="E14" s="1" t="str">
        <f>_xlfn.XLOOKUP(operacje[[#This Row],[Kategoria]],Kategorie[Kategorie],Kategorie[[Typ ]],"",0)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7" x14ac:dyDescent="0.25">
      <c r="A15" s="2">
        <v>-60</v>
      </c>
      <c r="B15" s="1" t="s">
        <v>12</v>
      </c>
      <c r="C15" s="1" t="s">
        <v>6</v>
      </c>
      <c r="D15" s="1" t="s">
        <v>20</v>
      </c>
      <c r="E15" s="1" t="str">
        <f>_xlfn.XLOOKUP(operacje[[#This Row],[Kategoria]],Kategorie[Kategorie],Kategorie[[Typ ]],"",0)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7" x14ac:dyDescent="0.25">
      <c r="A16" s="2">
        <v>-100</v>
      </c>
      <c r="B16" s="1" t="s">
        <v>5</v>
      </c>
      <c r="C16" s="1" t="s">
        <v>6</v>
      </c>
      <c r="D16" s="1" t="s">
        <v>23</v>
      </c>
      <c r="E16" s="1" t="str">
        <f>_xlfn.XLOOKUP(operacje[[#This Row],[Kategoria]],Kategorie[Kategorie],Kategorie[[Typ ]],"",0)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24</v>
      </c>
      <c r="C17" s="1" t="s">
        <v>25</v>
      </c>
      <c r="D17" s="1" t="s">
        <v>7</v>
      </c>
      <c r="E17" s="1" t="str">
        <f>_xlfn.XLOOKUP(operacje[[#This Row],[Kategoria]],Kategorie[Kategorie],Kategorie[[Typ ]],"",0)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24</v>
      </c>
      <c r="C18" s="1" t="s">
        <v>26</v>
      </c>
      <c r="D18" s="1" t="s">
        <v>15</v>
      </c>
      <c r="E18" s="1" t="str">
        <f>_xlfn.XLOOKUP(operacje[[#This Row],[Kategoria]],Kategorie[Kategorie],Kategorie[[Typ ]],"",0)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12</v>
      </c>
      <c r="C19" s="1" t="s">
        <v>18</v>
      </c>
      <c r="D19" s="1" t="s">
        <v>27</v>
      </c>
      <c r="E19" s="1" t="str">
        <f>_xlfn.XLOOKUP(operacje[[#This Row],[Kategoria]],Kategorie[Kategorie],Kategorie[[Typ ]],"",0)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5</v>
      </c>
      <c r="C20" s="1" t="s">
        <v>16</v>
      </c>
      <c r="D20" s="1" t="s">
        <v>27</v>
      </c>
      <c r="E20" s="1" t="str">
        <f>_xlfn.XLOOKUP(operacje[[#This Row],[Kategoria]],Kategorie[Kategorie],Kategorie[[Typ ]],"",0)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5</v>
      </c>
      <c r="C21" s="1" t="s">
        <v>6</v>
      </c>
      <c r="D21" s="1" t="s">
        <v>28</v>
      </c>
      <c r="E21" s="1" t="str">
        <f>_xlfn.XLOOKUP(operacje[[#This Row],[Kategoria]],Kategorie[Kategorie],Kategorie[[Typ ]],"",0)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12</v>
      </c>
      <c r="C22" s="1" t="s">
        <v>6</v>
      </c>
      <c r="D22" s="1" t="s">
        <v>15</v>
      </c>
      <c r="E22" s="1" t="str">
        <f>_xlfn.XLOOKUP(operacje[[#This Row],[Kategoria]],Kategorie[Kategorie],Kategorie[[Typ ]],"",0)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12</v>
      </c>
      <c r="C23" s="1" t="s">
        <v>6</v>
      </c>
      <c r="D23" s="1" t="s">
        <v>17</v>
      </c>
      <c r="E23" s="1" t="str">
        <f>_xlfn.XLOOKUP(operacje[[#This Row],[Kategoria]],Kategorie[Kategorie],Kategorie[[Typ ]],"",0)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5</v>
      </c>
      <c r="C24" s="1" t="s">
        <v>6</v>
      </c>
      <c r="D24" s="1" t="s">
        <v>7</v>
      </c>
      <c r="E24" s="1" t="str">
        <f>_xlfn.XLOOKUP(operacje[[#This Row],[Kategoria]],Kategorie[Kategorie],Kategorie[[Typ ]],"",0)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5</v>
      </c>
      <c r="C25" s="1" t="s">
        <v>6</v>
      </c>
      <c r="D25" s="1" t="s">
        <v>9</v>
      </c>
      <c r="E25" s="1" t="str">
        <f>_xlfn.XLOOKUP(operacje[[#This Row],[Kategoria]],Kategorie[Kategorie],Kategorie[[Typ ]],"",0)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5</v>
      </c>
      <c r="C26" s="1" t="s">
        <v>6</v>
      </c>
      <c r="D26" s="1" t="s">
        <v>11</v>
      </c>
      <c r="E26" s="1" t="str">
        <f>_xlfn.XLOOKUP(operacje[[#This Row],[Kategoria]],Kategorie[Kategorie],Kategorie[[Typ ]],"",0)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5</v>
      </c>
      <c r="C27" s="1" t="s">
        <v>6</v>
      </c>
      <c r="D27" s="1" t="s">
        <v>20</v>
      </c>
      <c r="E27" s="1" t="str">
        <f>_xlfn.XLOOKUP(operacje[[#This Row],[Kategoria]],Kategorie[Kategorie],Kategorie[[Typ ]],"",0)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5</v>
      </c>
      <c r="C28" s="1" t="s">
        <v>6</v>
      </c>
      <c r="D28" s="1" t="s">
        <v>15</v>
      </c>
      <c r="E28" s="1" t="str">
        <f>_xlfn.XLOOKUP(operacje[[#This Row],[Kategoria]],Kategorie[Kategorie],Kategorie[[Typ ]],"",0)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5</v>
      </c>
      <c r="C29" s="1" t="s">
        <v>6</v>
      </c>
      <c r="D29" s="1" t="s">
        <v>7</v>
      </c>
      <c r="E29" s="1" t="str">
        <f>_xlfn.XLOOKUP(operacje[[#This Row],[Kategoria]],Kategorie[Kategorie],Kategorie[[Typ ]],"",0)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5</v>
      </c>
      <c r="C30" s="1" t="s">
        <v>16</v>
      </c>
      <c r="D30" s="1" t="s">
        <v>17</v>
      </c>
      <c r="E30" s="1" t="str">
        <f>_xlfn.XLOOKUP(operacje[[#This Row],[Kategoria]],Kategorie[Kategorie],Kategorie[[Typ ]],"",0)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24</v>
      </c>
      <c r="C31" s="1" t="s">
        <v>26</v>
      </c>
      <c r="D31" s="1" t="s">
        <v>17</v>
      </c>
      <c r="E31" s="1" t="str">
        <f>_xlfn.XLOOKUP(operacje[[#This Row],[Kategoria]],Kategorie[Kategorie],Kategorie[[Typ ]],"",0)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5</v>
      </c>
      <c r="C32" s="1" t="s">
        <v>13</v>
      </c>
      <c r="D32" s="1" t="s">
        <v>29</v>
      </c>
      <c r="E32" s="1" t="str">
        <f>_xlfn.XLOOKUP(operacje[[#This Row],[Kategoria]],Kategorie[Kategorie],Kategorie[[Typ ]],"",0)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5</v>
      </c>
      <c r="C33" s="1" t="s">
        <v>6</v>
      </c>
      <c r="D33" s="1" t="s">
        <v>29</v>
      </c>
      <c r="E33" s="1" t="str">
        <f>_xlfn.XLOOKUP(operacje[[#This Row],[Kategoria]],Kategorie[Kategorie],Kategorie[[Typ ]],"",0)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5</v>
      </c>
      <c r="C34" s="1" t="s">
        <v>6</v>
      </c>
      <c r="D34" s="1" t="s">
        <v>23</v>
      </c>
      <c r="E34" s="1" t="str">
        <f>_xlfn.XLOOKUP(operacje[[#This Row],[Kategoria]],Kategorie[Kategorie],Kategorie[[Typ ]],"",0)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5</v>
      </c>
      <c r="C35" s="1" t="s">
        <v>6</v>
      </c>
      <c r="D35" s="1" t="s">
        <v>21</v>
      </c>
      <c r="E35" s="1" t="str">
        <f>_xlfn.XLOOKUP(operacje[[#This Row],[Kategoria]],Kategorie[Kategorie],Kategorie[[Typ ]],"",0)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24</v>
      </c>
      <c r="C36" s="1" t="s">
        <v>26</v>
      </c>
      <c r="D36" s="1" t="s">
        <v>15</v>
      </c>
      <c r="E36" s="1" t="str">
        <f>_xlfn.XLOOKUP(operacje[[#This Row],[Kategoria]],Kategorie[Kategorie],Kategorie[[Typ ]],"",0)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24</v>
      </c>
      <c r="C37" s="1" t="s">
        <v>25</v>
      </c>
      <c r="D37" s="1" t="s">
        <v>15</v>
      </c>
      <c r="E37" s="1" t="str">
        <f>_xlfn.XLOOKUP(operacje[[#This Row],[Kategoria]],Kategorie[Kategorie],Kategorie[[Typ ]],"",0)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24</v>
      </c>
      <c r="C38" s="1" t="s">
        <v>26</v>
      </c>
      <c r="D38" s="1" t="s">
        <v>20</v>
      </c>
      <c r="E38" s="1" t="str">
        <f>_xlfn.XLOOKUP(operacje[[#This Row],[Kategoria]],Kategorie[Kategorie],Kategorie[[Typ ]],"",0)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24</v>
      </c>
      <c r="C39" s="1" t="s">
        <v>26</v>
      </c>
      <c r="D39" s="1" t="s">
        <v>15</v>
      </c>
      <c r="E39" s="1" t="str">
        <f>_xlfn.XLOOKUP(operacje[[#This Row],[Kategoria]],Kategorie[Kategorie],Kategorie[[Typ ]],"",0)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24</v>
      </c>
      <c r="C40" s="1" t="s">
        <v>26</v>
      </c>
      <c r="D40" s="1" t="s">
        <v>28</v>
      </c>
      <c r="E40" s="1" t="str">
        <f>_xlfn.XLOOKUP(operacje[[#This Row],[Kategoria]],Kategorie[Kategorie],Kategorie[[Typ ]],"",0)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12</v>
      </c>
      <c r="C41" s="1" t="s">
        <v>6</v>
      </c>
      <c r="D41" s="1" t="s">
        <v>7</v>
      </c>
      <c r="E41" s="1" t="str">
        <f>_xlfn.XLOOKUP(operacje[[#This Row],[Kategoria]],Kategorie[Kategorie],Kategorie[[Typ ]],"",0)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12</v>
      </c>
      <c r="C42" s="1" t="s">
        <v>6</v>
      </c>
      <c r="D42" s="1" t="s">
        <v>17</v>
      </c>
      <c r="E42" s="1" t="str">
        <f>_xlfn.XLOOKUP(operacje[[#This Row],[Kategoria]],Kategorie[Kategorie],Kategorie[[Typ ]],"",0)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12</v>
      </c>
      <c r="C43" s="1" t="s">
        <v>18</v>
      </c>
      <c r="D43" s="1" t="s">
        <v>27</v>
      </c>
      <c r="E43" s="1" t="str">
        <f>_xlfn.XLOOKUP(operacje[[#This Row],[Kategoria]],Kategorie[Kategorie],Kategorie[[Typ ]],"",0)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5</v>
      </c>
      <c r="C44" s="1" t="s">
        <v>6</v>
      </c>
      <c r="D44" s="1" t="s">
        <v>14</v>
      </c>
      <c r="E44" s="1" t="str">
        <f>_xlfn.XLOOKUP(operacje[[#This Row],[Kategoria]],Kategorie[Kategorie],Kategorie[[Typ ]],"",0)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5</v>
      </c>
      <c r="C45" s="1" t="s">
        <v>16</v>
      </c>
      <c r="D45" s="1" t="s">
        <v>27</v>
      </c>
      <c r="E45" s="1" t="str">
        <f>_xlfn.XLOOKUP(operacje[[#This Row],[Kategoria]],Kategorie[Kategorie],Kategorie[[Typ ]],"",0)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5</v>
      </c>
      <c r="C46" s="1" t="s">
        <v>13</v>
      </c>
      <c r="D46" s="1" t="s">
        <v>7</v>
      </c>
      <c r="E46" s="1" t="str">
        <f>_xlfn.XLOOKUP(operacje[[#This Row],[Kategoria]],Kategorie[Kategorie],Kategorie[[Typ ]],"",0)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5</v>
      </c>
      <c r="C47" s="1" t="s">
        <v>6</v>
      </c>
      <c r="D47" s="1" t="s">
        <v>7</v>
      </c>
      <c r="E47" s="1" t="str">
        <f>_xlfn.XLOOKUP(operacje[[#This Row],[Kategoria]],Kategorie[Kategorie],Kategorie[[Typ ]],"",0)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12</v>
      </c>
      <c r="C48" s="1" t="s">
        <v>6</v>
      </c>
      <c r="D48" s="1" t="s">
        <v>21</v>
      </c>
      <c r="E48" s="1" t="str">
        <f>_xlfn.XLOOKUP(operacje[[#This Row],[Kategoria]],Kategorie[Kategorie],Kategorie[[Typ ]],"",0)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5</v>
      </c>
      <c r="C49" s="1" t="s">
        <v>6</v>
      </c>
      <c r="D49" s="1" t="s">
        <v>20</v>
      </c>
      <c r="E49" s="1" t="str">
        <f>_xlfn.XLOOKUP(operacje[[#This Row],[Kategoria]],Kategorie[Kategorie],Kategorie[[Typ ]],"",0)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12</v>
      </c>
      <c r="C50" s="1" t="s">
        <v>6</v>
      </c>
      <c r="D50" s="1" t="s">
        <v>27</v>
      </c>
      <c r="E50" s="1" t="str">
        <f>_xlfn.XLOOKUP(operacje[[#This Row],[Kategoria]],Kategorie[Kategorie],Kategorie[[Typ ]],"",0)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24</v>
      </c>
      <c r="C51" s="1" t="s">
        <v>25</v>
      </c>
      <c r="D51" s="1" t="s">
        <v>7</v>
      </c>
      <c r="E51" s="1" t="str">
        <f>_xlfn.XLOOKUP(operacje[[#This Row],[Kategoria]],Kategorie[Kategorie],Kategorie[[Typ ]],"",0)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5</v>
      </c>
      <c r="C52" s="1" t="s">
        <v>6</v>
      </c>
      <c r="D52" s="1" t="s">
        <v>9</v>
      </c>
      <c r="E52" s="1" t="str">
        <f>_xlfn.XLOOKUP(operacje[[#This Row],[Kategoria]],Kategorie[Kategorie],Kategorie[[Typ ]],"",0)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5</v>
      </c>
      <c r="C53" s="1" t="s">
        <v>6</v>
      </c>
      <c r="D53" s="1" t="s">
        <v>11</v>
      </c>
      <c r="E53" s="1" t="str">
        <f>_xlfn.XLOOKUP(operacje[[#This Row],[Kategoria]],Kategorie[Kategorie],Kategorie[[Typ ]],"",0)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5</v>
      </c>
      <c r="C54" s="1" t="s">
        <v>6</v>
      </c>
      <c r="D54" s="1" t="s">
        <v>7</v>
      </c>
      <c r="E54" s="1" t="str">
        <f>_xlfn.XLOOKUP(operacje[[#This Row],[Kategoria]],Kategorie[Kategorie],Kategorie[[Typ ]],"",0)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5</v>
      </c>
      <c r="C55" s="1" t="s">
        <v>6</v>
      </c>
      <c r="D55" s="1" t="s">
        <v>22</v>
      </c>
      <c r="E55" s="1" t="str">
        <f>_xlfn.XLOOKUP(operacje[[#This Row],[Kategoria]],Kategorie[Kategorie],Kategorie[[Typ ]],"",0)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24</v>
      </c>
      <c r="C56" s="1" t="s">
        <v>26</v>
      </c>
      <c r="D56" s="1" t="s">
        <v>28</v>
      </c>
      <c r="E56" s="1" t="str">
        <f>_xlfn.XLOOKUP(operacje[[#This Row],[Kategoria]],Kategorie[Kategorie],Kategorie[[Typ ]],"",0)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5</v>
      </c>
      <c r="C57" s="1" t="s">
        <v>6</v>
      </c>
      <c r="D57" s="1" t="s">
        <v>14</v>
      </c>
      <c r="E57" s="1" t="str">
        <f>_xlfn.XLOOKUP(operacje[[#This Row],[Kategoria]],Kategorie[Kategorie],Kategorie[[Typ ]],"",0)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5</v>
      </c>
      <c r="C58" s="1" t="s">
        <v>6</v>
      </c>
      <c r="D58" s="1" t="s">
        <v>7</v>
      </c>
      <c r="E58" s="1" t="str">
        <f>_xlfn.XLOOKUP(operacje[[#This Row],[Kategoria]],Kategorie[Kategorie],Kategorie[[Typ ]],"",0)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5</v>
      </c>
      <c r="C59" s="1" t="s">
        <v>6</v>
      </c>
      <c r="D59" s="1" t="s">
        <v>17</v>
      </c>
      <c r="E59" s="1" t="str">
        <f>_xlfn.XLOOKUP(operacje[[#This Row],[Kategoria]],Kategorie[Kategorie],Kategorie[[Typ ]],"",0)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12</v>
      </c>
      <c r="C60" s="1" t="s">
        <v>18</v>
      </c>
      <c r="D60" s="1" t="s">
        <v>30</v>
      </c>
      <c r="E60" s="1" t="str">
        <f>_xlfn.XLOOKUP(operacje[[#This Row],[Kategoria]],Kategorie[Kategorie],Kategorie[[Typ ]],"",0)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5</v>
      </c>
      <c r="C61" s="1" t="s">
        <v>13</v>
      </c>
      <c r="D61" s="1" t="s">
        <v>23</v>
      </c>
      <c r="E61" s="1" t="str">
        <f>_xlfn.XLOOKUP(operacje[[#This Row],[Kategoria]],Kategorie[Kategorie],Kategorie[[Typ ]],"",0)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5</v>
      </c>
      <c r="C62" s="1" t="s">
        <v>6</v>
      </c>
      <c r="D62" s="1" t="s">
        <v>7</v>
      </c>
      <c r="E62" s="1" t="str">
        <f>_xlfn.XLOOKUP(operacje[[#This Row],[Kategoria]],Kategorie[Kategorie],Kategorie[[Typ ]],"",0)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5</v>
      </c>
      <c r="C63" s="1" t="s">
        <v>13</v>
      </c>
      <c r="D63" s="1" t="s">
        <v>28</v>
      </c>
      <c r="E63" s="1" t="str">
        <f>_xlfn.XLOOKUP(operacje[[#This Row],[Kategoria]],Kategorie[Kategorie],Kategorie[[Typ ]],"",0)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5</v>
      </c>
      <c r="C64" s="1" t="s">
        <v>6</v>
      </c>
      <c r="D64" s="1" t="s">
        <v>21</v>
      </c>
      <c r="E64" s="1" t="str">
        <f>_xlfn.XLOOKUP(operacje[[#This Row],[Kategoria]],Kategorie[Kategorie],Kategorie[[Typ ]],"",0)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12</v>
      </c>
      <c r="C65" s="1" t="s">
        <v>6</v>
      </c>
      <c r="D65" s="1" t="s">
        <v>27</v>
      </c>
      <c r="E65" s="1" t="str">
        <f>_xlfn.XLOOKUP(operacje[[#This Row],[Kategoria]],Kategorie[Kategorie],Kategorie[[Typ ]],"",0)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5</v>
      </c>
      <c r="C66" s="1" t="s">
        <v>6</v>
      </c>
      <c r="D66" s="1" t="s">
        <v>7</v>
      </c>
      <c r="E66" s="1" t="str">
        <f>_xlfn.XLOOKUP(operacje[[#This Row],[Kategoria]],Kategorie[Kategorie],Kategorie[[Typ ]],"",0)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5</v>
      </c>
      <c r="C67" s="1" t="s">
        <v>6</v>
      </c>
      <c r="D67" s="1" t="s">
        <v>9</v>
      </c>
      <c r="E67" s="1" t="str">
        <f>_xlfn.XLOOKUP(operacje[[#This Row],[Kategoria]],Kategorie[Kategorie],Kategorie[[Typ ]],"",0)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5</v>
      </c>
      <c r="C68" s="1" t="s">
        <v>6</v>
      </c>
      <c r="D68" s="1" t="s">
        <v>11</v>
      </c>
      <c r="E68" s="1" t="str">
        <f>_xlfn.XLOOKUP(operacje[[#This Row],[Kategoria]],Kategorie[Kategorie],Kategorie[[Typ ]],"",0)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5</v>
      </c>
      <c r="C69" s="1" t="s">
        <v>6</v>
      </c>
      <c r="D69" s="1" t="s">
        <v>22</v>
      </c>
      <c r="E69" s="1" t="str">
        <f>_xlfn.XLOOKUP(operacje[[#This Row],[Kategoria]],Kategorie[Kategorie],Kategorie[[Typ ]],"",0)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5</v>
      </c>
      <c r="C70" s="1" t="s">
        <v>13</v>
      </c>
      <c r="D70" s="1" t="s">
        <v>29</v>
      </c>
      <c r="E70" s="1" t="str">
        <f>_xlfn.XLOOKUP(operacje[[#This Row],[Kategoria]],Kategorie[Kategorie],Kategorie[[Typ ]],"",0)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5</v>
      </c>
      <c r="C71" s="1" t="s">
        <v>6</v>
      </c>
      <c r="D71" s="1" t="s">
        <v>29</v>
      </c>
      <c r="E71" s="1" t="str">
        <f>_xlfn.XLOOKUP(operacje[[#This Row],[Kategoria]],Kategorie[Kategorie],Kategorie[[Typ ]],"",0)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12</v>
      </c>
      <c r="C72" s="1" t="s">
        <v>6</v>
      </c>
      <c r="D72" s="1" t="s">
        <v>14</v>
      </c>
      <c r="E72" s="1" t="str">
        <f>_xlfn.XLOOKUP(operacje[[#This Row],[Kategoria]],Kategorie[Kategorie],Kategorie[[Typ ]],"",0)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5</v>
      </c>
      <c r="C73" s="1" t="s">
        <v>13</v>
      </c>
      <c r="D73" s="1" t="s">
        <v>7</v>
      </c>
      <c r="E73" s="1" t="str">
        <f>_xlfn.XLOOKUP(operacje[[#This Row],[Kategoria]],Kategorie[Kategorie],Kategorie[[Typ ]],"",0)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5</v>
      </c>
      <c r="C74" s="1" t="s">
        <v>6</v>
      </c>
      <c r="D74" s="1" t="s">
        <v>17</v>
      </c>
      <c r="E74" s="1" t="str">
        <f>_xlfn.XLOOKUP(operacje[[#This Row],[Kategoria]],Kategorie[Kategorie],Kategorie[[Typ ]],"",0)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5</v>
      </c>
      <c r="C75" s="1" t="s">
        <v>13</v>
      </c>
      <c r="D75" s="1" t="s">
        <v>20</v>
      </c>
      <c r="E75" s="1" t="str">
        <f>_xlfn.XLOOKUP(operacje[[#This Row],[Kategoria]],Kategorie[Kategorie],Kategorie[[Typ ]],"",0)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5</v>
      </c>
      <c r="C76" s="1" t="s">
        <v>6</v>
      </c>
      <c r="D76" s="1" t="s">
        <v>7</v>
      </c>
      <c r="E76" s="1" t="str">
        <f>_xlfn.XLOOKUP(operacje[[#This Row],[Kategoria]],Kategorie[Kategorie],Kategorie[[Typ ]],"",0)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5</v>
      </c>
      <c r="C77" s="1" t="s">
        <v>6</v>
      </c>
      <c r="D77" s="1" t="s">
        <v>20</v>
      </c>
      <c r="E77" s="1" t="str">
        <f>_xlfn.XLOOKUP(operacje[[#This Row],[Kategoria]],Kategorie[Kategorie],Kategorie[[Typ ]],"",0)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12</v>
      </c>
      <c r="C78" s="1" t="s">
        <v>18</v>
      </c>
      <c r="D78" s="1" t="s">
        <v>30</v>
      </c>
      <c r="E78" s="1" t="str">
        <f>_xlfn.XLOOKUP(operacje[[#This Row],[Kategoria]],Kategorie[Kategorie],Kategorie[[Typ ]],"",0)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5</v>
      </c>
      <c r="C79" s="1" t="s">
        <v>6</v>
      </c>
      <c r="D79" s="1" t="s">
        <v>7</v>
      </c>
      <c r="E79" s="1" t="str">
        <f>_xlfn.XLOOKUP(operacje[[#This Row],[Kategoria]],Kategorie[Kategorie],Kategorie[[Typ ]],"",0)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5</v>
      </c>
      <c r="C80" s="1" t="s">
        <v>6</v>
      </c>
      <c r="D80" s="1" t="s">
        <v>7</v>
      </c>
      <c r="E80" s="1" t="str">
        <f>_xlfn.XLOOKUP(operacje[[#This Row],[Kategoria]],Kategorie[Kategorie],Kategorie[[Typ ]],"",0)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5</v>
      </c>
      <c r="C81" s="1" t="s">
        <v>6</v>
      </c>
      <c r="D81" s="1" t="s">
        <v>23</v>
      </c>
      <c r="E81" s="1" t="str">
        <f>_xlfn.XLOOKUP(operacje[[#This Row],[Kategoria]],Kategorie[Kategorie],Kategorie[[Typ ]],"",0)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5</v>
      </c>
      <c r="C82" s="1" t="s">
        <v>13</v>
      </c>
      <c r="D82" s="1" t="s">
        <v>7</v>
      </c>
      <c r="E82" s="1" t="str">
        <f>_xlfn.XLOOKUP(operacje[[#This Row],[Kategoria]],Kategorie[Kategorie],Kategorie[[Typ ]],"",0)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5</v>
      </c>
      <c r="C83" s="1" t="s">
        <v>6</v>
      </c>
      <c r="D83" s="1" t="s">
        <v>21</v>
      </c>
      <c r="E83" s="1" t="str">
        <f>_xlfn.XLOOKUP(operacje[[#This Row],[Kategoria]],Kategorie[Kategorie],Kategorie[[Typ ]],"",0)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5</v>
      </c>
      <c r="C84" s="1" t="s">
        <v>6</v>
      </c>
      <c r="D84" s="1" t="s">
        <v>9</v>
      </c>
      <c r="E84" s="1" t="str">
        <f>_xlfn.XLOOKUP(operacje[[#This Row],[Kategoria]],Kategorie[Kategorie],Kategorie[[Typ ]],"",0)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5</v>
      </c>
      <c r="C85" s="1" t="s">
        <v>6</v>
      </c>
      <c r="D85" s="1" t="s">
        <v>11</v>
      </c>
      <c r="E85" s="1" t="str">
        <f>_xlfn.XLOOKUP(operacje[[#This Row],[Kategoria]],Kategorie[Kategorie],Kategorie[[Typ ]],"",0)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5</v>
      </c>
      <c r="C86" s="1" t="s">
        <v>13</v>
      </c>
      <c r="D86" s="1" t="s">
        <v>7</v>
      </c>
      <c r="E86" s="1" t="str">
        <f>_xlfn.XLOOKUP(operacje[[#This Row],[Kategoria]],Kategorie[Kategorie],Kategorie[[Typ ]],"",0)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5</v>
      </c>
      <c r="C87" s="1" t="s">
        <v>13</v>
      </c>
      <c r="D87" s="1" t="s">
        <v>29</v>
      </c>
      <c r="E87" s="1" t="str">
        <f>_xlfn.XLOOKUP(operacje[[#This Row],[Kategoria]],Kategorie[Kategorie],Kategorie[[Typ ]],"",0)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5</v>
      </c>
      <c r="C88" s="1" t="s">
        <v>6</v>
      </c>
      <c r="D88" s="1" t="s">
        <v>29</v>
      </c>
      <c r="E88" s="1" t="str">
        <f>_xlfn.XLOOKUP(operacje[[#This Row],[Kategoria]],Kategorie[Kategorie],Kategorie[[Typ ]],"",0)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5</v>
      </c>
      <c r="C89" s="1" t="s">
        <v>13</v>
      </c>
      <c r="D89" s="1" t="s">
        <v>7</v>
      </c>
      <c r="E89" s="1" t="str">
        <f>_xlfn.XLOOKUP(operacje[[#This Row],[Kategoria]],Kategorie[Kategorie],Kategorie[[Typ ]],"",0)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5</v>
      </c>
      <c r="C90" s="1" t="s">
        <v>13</v>
      </c>
      <c r="D90" s="1" t="s">
        <v>7</v>
      </c>
      <c r="E90" s="1" t="str">
        <f>_xlfn.XLOOKUP(operacje[[#This Row],[Kategoria]],Kategorie[Kategorie],Kategorie[[Typ ]],"",0)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12</v>
      </c>
      <c r="C91" s="1" t="s">
        <v>6</v>
      </c>
      <c r="D91" s="1" t="s">
        <v>14</v>
      </c>
      <c r="E91" s="1" t="str">
        <f>_xlfn.XLOOKUP(operacje[[#This Row],[Kategoria]],Kategorie[Kategorie],Kategorie[[Typ ]],"",0)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24</v>
      </c>
      <c r="C92" s="1" t="s">
        <v>26</v>
      </c>
      <c r="D92" s="1" t="s">
        <v>20</v>
      </c>
      <c r="E92" s="1" t="str">
        <f>_xlfn.XLOOKUP(operacje[[#This Row],[Kategoria]],Kategorie[Kategorie],Kategorie[[Typ ]],"",0)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5</v>
      </c>
      <c r="C93" s="1" t="s">
        <v>13</v>
      </c>
      <c r="D93" s="1" t="s">
        <v>7</v>
      </c>
      <c r="E93" s="1" t="str">
        <f>_xlfn.XLOOKUP(operacje[[#This Row],[Kategoria]],Kategorie[Kategorie],Kategorie[[Typ ]],"",0)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5</v>
      </c>
      <c r="C94" s="1" t="s">
        <v>6</v>
      </c>
      <c r="D94" s="1" t="s">
        <v>21</v>
      </c>
      <c r="E94" s="1" t="str">
        <f>_xlfn.XLOOKUP(operacje[[#This Row],[Kategoria]],Kategorie[Kategorie],Kategorie[[Typ ]],"",0)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5</v>
      </c>
      <c r="C95" s="1" t="s">
        <v>6</v>
      </c>
      <c r="D95" s="1" t="s">
        <v>9</v>
      </c>
      <c r="E95" s="1" t="str">
        <f>_xlfn.XLOOKUP(operacje[[#This Row],[Kategoria]],Kategorie[Kategorie],Kategorie[[Typ ]],"",0)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5</v>
      </c>
      <c r="C96" s="1" t="s">
        <v>6</v>
      </c>
      <c r="D96" s="1" t="s">
        <v>11</v>
      </c>
      <c r="E96" s="1" t="str">
        <f>_xlfn.XLOOKUP(operacje[[#This Row],[Kategoria]],Kategorie[Kategorie],Kategorie[[Typ ]],"",0)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5</v>
      </c>
      <c r="C97" s="1" t="s">
        <v>13</v>
      </c>
      <c r="D97" s="1" t="s">
        <v>7</v>
      </c>
      <c r="E97" s="1" t="str">
        <f>_xlfn.XLOOKUP(operacje[[#This Row],[Kategoria]],Kategorie[Kategorie],Kategorie[[Typ ]],"",0)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5</v>
      </c>
      <c r="C98" s="1" t="s">
        <v>13</v>
      </c>
      <c r="D98" s="1" t="s">
        <v>29</v>
      </c>
      <c r="E98" s="1" t="str">
        <f>_xlfn.XLOOKUP(operacje[[#This Row],[Kategoria]],Kategorie[Kategorie],Kategorie[[Typ ]],"",0)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5</v>
      </c>
      <c r="C99" s="1" t="s">
        <v>6</v>
      </c>
      <c r="D99" s="1" t="s">
        <v>29</v>
      </c>
      <c r="E99" s="1" t="str">
        <f>_xlfn.XLOOKUP(operacje[[#This Row],[Kategoria]],Kategorie[Kategorie],Kategorie[[Typ ]],"",0)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12</v>
      </c>
      <c r="C100" s="1" t="s">
        <v>6</v>
      </c>
      <c r="D100" s="1" t="s">
        <v>28</v>
      </c>
      <c r="E100" s="1" t="str">
        <f>_xlfn.XLOOKUP(operacje[[#This Row],[Kategoria]],Kategorie[Kategorie],Kategorie[[Typ ]],"",0)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5</v>
      </c>
      <c r="C101" s="1" t="s">
        <v>13</v>
      </c>
      <c r="D101" s="1" t="s">
        <v>7</v>
      </c>
      <c r="E101" s="1" t="str">
        <f>_xlfn.XLOOKUP(operacje[[#This Row],[Kategoria]],Kategorie[Kategorie],Kategorie[[Typ ]],"",0)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5</v>
      </c>
      <c r="C102" s="1" t="s">
        <v>13</v>
      </c>
      <c r="D102" s="1" t="s">
        <v>7</v>
      </c>
      <c r="E102" s="1" t="str">
        <f>_xlfn.XLOOKUP(operacje[[#This Row],[Kategoria]],Kategorie[Kategorie],Kategorie[[Typ ]],"",0)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5</v>
      </c>
      <c r="C103" s="1" t="s">
        <v>13</v>
      </c>
      <c r="D103" s="1" t="s">
        <v>22</v>
      </c>
      <c r="E103" s="1" t="str">
        <f>_xlfn.XLOOKUP(operacje[[#This Row],[Kategoria]],Kategorie[Kategorie],Kategorie[[Typ ]],"",0)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12</v>
      </c>
      <c r="C104" s="1" t="s">
        <v>6</v>
      </c>
      <c r="D104" s="1" t="s">
        <v>14</v>
      </c>
      <c r="E104" s="1" t="str">
        <f>_xlfn.XLOOKUP(operacje[[#This Row],[Kategoria]],Kategorie[Kategorie],Kategorie[[Typ ]],"",0)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12</v>
      </c>
      <c r="C105" s="1" t="s">
        <v>6</v>
      </c>
      <c r="D105" s="1" t="s">
        <v>19</v>
      </c>
      <c r="E105" s="1" t="str">
        <f>_xlfn.XLOOKUP(operacje[[#This Row],[Kategoria]],Kategorie[Kategorie],Kategorie[[Typ ]],"",0)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24</v>
      </c>
      <c r="C106" s="1" t="s">
        <v>26</v>
      </c>
      <c r="D106" s="1" t="s">
        <v>20</v>
      </c>
      <c r="E106" s="1" t="str">
        <f>_xlfn.XLOOKUP(operacje[[#This Row],[Kategoria]],Kategorie[Kategorie],Kategorie[[Typ ]],"",0)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24</v>
      </c>
      <c r="C107" s="1" t="s">
        <v>25</v>
      </c>
      <c r="D107" s="1" t="s">
        <v>7</v>
      </c>
      <c r="E107" s="1" t="str">
        <f>_xlfn.XLOOKUP(operacje[[#This Row],[Kategoria]],Kategorie[Kategorie],Kategorie[[Typ ]],"",0)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5</v>
      </c>
      <c r="C108" s="1" t="s">
        <v>6</v>
      </c>
      <c r="D108" s="1" t="s">
        <v>20</v>
      </c>
      <c r="E108" s="1" t="str">
        <f>_xlfn.XLOOKUP(operacje[[#This Row],[Kategoria]],Kategorie[Kategorie],Kategorie[[Typ ]],"",0)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5</v>
      </c>
      <c r="C109" s="1" t="s">
        <v>6</v>
      </c>
      <c r="D109" s="1" t="s">
        <v>9</v>
      </c>
      <c r="E109" s="1" t="str">
        <f>_xlfn.XLOOKUP(operacje[[#This Row],[Kategoria]],Kategorie[Kategorie],Kategorie[[Typ ]],"",0)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5</v>
      </c>
      <c r="C110" s="1" t="s">
        <v>6</v>
      </c>
      <c r="D110" s="1" t="s">
        <v>11</v>
      </c>
      <c r="E110" s="1" t="str">
        <f>_xlfn.XLOOKUP(operacje[[#This Row],[Kategoria]],Kategorie[Kategorie],Kategorie[[Typ ]],"",0)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5</v>
      </c>
      <c r="C111" s="1" t="s">
        <v>13</v>
      </c>
      <c r="D111" s="1" t="s">
        <v>7</v>
      </c>
      <c r="E111" s="1" t="str">
        <f>_xlfn.XLOOKUP(operacje[[#This Row],[Kategoria]],Kategorie[Kategorie],Kategorie[[Typ ]],"",0)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5</v>
      </c>
      <c r="C112" s="1" t="s">
        <v>13</v>
      </c>
      <c r="D112" s="1" t="s">
        <v>29</v>
      </c>
      <c r="E112" s="1" t="str">
        <f>_xlfn.XLOOKUP(operacje[[#This Row],[Kategoria]],Kategorie[Kategorie],Kategorie[[Typ ]],"",0)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5</v>
      </c>
      <c r="C113" s="1" t="s">
        <v>6</v>
      </c>
      <c r="D113" s="1" t="s">
        <v>29</v>
      </c>
      <c r="E113" s="1" t="str">
        <f>_xlfn.XLOOKUP(operacje[[#This Row],[Kategoria]],Kategorie[Kategorie],Kategorie[[Typ ]],"",0)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5</v>
      </c>
      <c r="C114" s="1" t="s">
        <v>16</v>
      </c>
      <c r="D114" s="1" t="s">
        <v>28</v>
      </c>
      <c r="E114" s="1" t="str">
        <f>_xlfn.XLOOKUP(operacje[[#This Row],[Kategoria]],Kategorie[Kategorie],Kategorie[[Typ ]],"",0)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12</v>
      </c>
      <c r="C115" s="1" t="s">
        <v>18</v>
      </c>
      <c r="D115" s="1" t="s">
        <v>30</v>
      </c>
      <c r="E115" s="1" t="str">
        <f>_xlfn.XLOOKUP(operacje[[#This Row],[Kategoria]],Kategorie[Kategorie],Kategorie[[Typ ]],"",0)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12</v>
      </c>
      <c r="C116" s="1" t="s">
        <v>6</v>
      </c>
      <c r="D116" s="1" t="s">
        <v>20</v>
      </c>
      <c r="E116" s="1" t="str">
        <f>_xlfn.XLOOKUP(operacje[[#This Row],[Kategoria]],Kategorie[Kategorie],Kategorie[[Typ ]],"",0)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5</v>
      </c>
      <c r="C117" s="1" t="s">
        <v>16</v>
      </c>
      <c r="D117" s="1" t="s">
        <v>27</v>
      </c>
      <c r="E117" s="1" t="str">
        <f>_xlfn.XLOOKUP(operacje[[#This Row],[Kategoria]],Kategorie[Kategorie],Kategorie[[Typ ]],"",0)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5</v>
      </c>
      <c r="C118" s="1" t="s">
        <v>6</v>
      </c>
      <c r="D118" s="1" t="s">
        <v>21</v>
      </c>
      <c r="E118" s="1" t="str">
        <f>_xlfn.XLOOKUP(operacje[[#This Row],[Kategoria]],Kategorie[Kategorie],Kategorie[[Typ ]],"",0)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5</v>
      </c>
      <c r="C119" s="1" t="s">
        <v>13</v>
      </c>
      <c r="D119" s="1" t="s">
        <v>7</v>
      </c>
      <c r="E119" s="1" t="str">
        <f>_xlfn.XLOOKUP(operacje[[#This Row],[Kategoria]],Kategorie[Kategorie],Kategorie[[Typ ]],"",0)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12</v>
      </c>
      <c r="C120" s="1" t="s">
        <v>18</v>
      </c>
      <c r="D120" s="1" t="s">
        <v>22</v>
      </c>
      <c r="E120" s="1" t="str">
        <f>_xlfn.XLOOKUP(operacje[[#This Row],[Kategoria]],Kategorie[Kategorie],Kategorie[[Typ ]],"",0)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12</v>
      </c>
      <c r="C121" s="1" t="s">
        <v>6</v>
      </c>
      <c r="D121" s="1" t="s">
        <v>31</v>
      </c>
      <c r="E121" s="1" t="str">
        <f>_xlfn.XLOOKUP(operacje[[#This Row],[Kategoria]],Kategorie[Kategorie],Kategorie[[Typ ]],"",0)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5</v>
      </c>
      <c r="C122" s="1" t="s">
        <v>13</v>
      </c>
      <c r="D122" s="1" t="s">
        <v>7</v>
      </c>
      <c r="E122" s="1" t="str">
        <f>_xlfn.XLOOKUP(operacje[[#This Row],[Kategoria]],Kategorie[Kategorie],Kategorie[[Typ ]],"",0)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5</v>
      </c>
      <c r="C123" s="1" t="s">
        <v>6</v>
      </c>
      <c r="D123" s="1" t="s">
        <v>7</v>
      </c>
      <c r="E123" s="1" t="str">
        <f>_xlfn.XLOOKUP(operacje[[#This Row],[Kategoria]],Kategorie[Kategorie],Kategorie[[Typ ]],"",0)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5</v>
      </c>
      <c r="C124" s="1" t="s">
        <v>16</v>
      </c>
      <c r="D124" s="1" t="s">
        <v>29</v>
      </c>
      <c r="E124" s="1" t="str">
        <f>_xlfn.XLOOKUP(operacje[[#This Row],[Kategoria]],Kategorie[Kategorie],Kategorie[[Typ ]],"",0)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12</v>
      </c>
      <c r="C125" s="1" t="s">
        <v>6</v>
      </c>
      <c r="D125" s="1" t="s">
        <v>21</v>
      </c>
      <c r="E125" s="1" t="str">
        <f>_xlfn.XLOOKUP(operacje[[#This Row],[Kategoria]],Kategorie[Kategorie],Kategorie[[Typ ]],"",0)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5</v>
      </c>
      <c r="C126" s="1" t="s">
        <v>13</v>
      </c>
      <c r="D126" s="1" t="s">
        <v>7</v>
      </c>
      <c r="E126" s="1" t="str">
        <f>_xlfn.XLOOKUP(operacje[[#This Row],[Kategoria]],Kategorie[Kategorie],Kategorie[[Typ ]],"",0)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5</v>
      </c>
      <c r="C127" s="1" t="s">
        <v>6</v>
      </c>
      <c r="D127" s="1" t="s">
        <v>9</v>
      </c>
      <c r="E127" s="1" t="str">
        <f>_xlfn.XLOOKUP(operacje[[#This Row],[Kategoria]],Kategorie[Kategorie],Kategorie[[Typ ]],"",0)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5</v>
      </c>
      <c r="C128" s="1" t="s">
        <v>6</v>
      </c>
      <c r="D128" s="1" t="s">
        <v>11</v>
      </c>
      <c r="E128" s="1" t="str">
        <f>_xlfn.XLOOKUP(operacje[[#This Row],[Kategoria]],Kategorie[Kategorie],Kategorie[[Typ ]],"",0)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12</v>
      </c>
      <c r="C129" s="1" t="s">
        <v>6</v>
      </c>
      <c r="D129" s="1" t="s">
        <v>20</v>
      </c>
      <c r="E129" s="1" t="str">
        <f>_xlfn.XLOOKUP(operacje[[#This Row],[Kategoria]],Kategorie[Kategorie],Kategorie[[Typ ]],"",0)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5</v>
      </c>
      <c r="C130" s="1" t="s">
        <v>13</v>
      </c>
      <c r="D130" s="1" t="s">
        <v>29</v>
      </c>
      <c r="E130" s="1" t="str">
        <f>_xlfn.XLOOKUP(operacje[[#This Row],[Kategoria]],Kategorie[Kategorie],Kategorie[[Typ ]],"",0)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5</v>
      </c>
      <c r="C131" s="1" t="s">
        <v>6</v>
      </c>
      <c r="D131" s="1" t="s">
        <v>29</v>
      </c>
      <c r="E131" s="1" t="str">
        <f>_xlfn.XLOOKUP(operacje[[#This Row],[Kategoria]],Kategorie[Kategorie],Kategorie[[Typ ]],"",0)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5</v>
      </c>
      <c r="C132" s="1" t="s">
        <v>6</v>
      </c>
      <c r="D132" s="1" t="s">
        <v>28</v>
      </c>
      <c r="E132" s="1" t="str">
        <f>_xlfn.XLOOKUP(operacje[[#This Row],[Kategoria]],Kategorie[Kategorie],Kategorie[[Typ ]],"",0)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5</v>
      </c>
      <c r="C133" s="1" t="s">
        <v>13</v>
      </c>
      <c r="D133" s="1" t="s">
        <v>7</v>
      </c>
      <c r="E133" s="1" t="str">
        <f>_xlfn.XLOOKUP(operacje[[#This Row],[Kategoria]],Kategorie[Kategorie],Kategorie[[Typ ]],"",0)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24</v>
      </c>
      <c r="C134" s="1" t="s">
        <v>26</v>
      </c>
      <c r="D134" s="1" t="s">
        <v>30</v>
      </c>
      <c r="E134" s="1" t="str">
        <f>_xlfn.XLOOKUP(operacje[[#This Row],[Kategoria]],Kategorie[Kategorie],Kategorie[[Typ ]],"",0)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24</v>
      </c>
      <c r="C135" s="1" t="s">
        <v>26</v>
      </c>
      <c r="D135" s="1" t="s">
        <v>20</v>
      </c>
      <c r="E135" s="1" t="str">
        <f>_xlfn.XLOOKUP(operacje[[#This Row],[Kategoria]],Kategorie[Kategorie],Kategorie[[Typ ]],"",0)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24</v>
      </c>
      <c r="C136" s="1" t="s">
        <v>26</v>
      </c>
      <c r="D136" s="1" t="s">
        <v>7</v>
      </c>
      <c r="E136" s="1" t="str">
        <f>_xlfn.XLOOKUP(operacje[[#This Row],[Kategoria]],Kategorie[Kategorie],Kategorie[[Typ ]],"",0)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5</v>
      </c>
      <c r="C137" s="1" t="s">
        <v>6</v>
      </c>
      <c r="D137" s="1" t="s">
        <v>21</v>
      </c>
      <c r="E137" s="1" t="str">
        <f>_xlfn.XLOOKUP(operacje[[#This Row],[Kategoria]],Kategorie[Kategorie],Kategorie[[Typ ]],"",0)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12</v>
      </c>
      <c r="C138" s="1" t="s">
        <v>18</v>
      </c>
      <c r="D138" s="1" t="s">
        <v>22</v>
      </c>
      <c r="E138" s="1" t="str">
        <f>_xlfn.XLOOKUP(operacje[[#This Row],[Kategoria]],Kategorie[Kategorie],Kategorie[[Typ ]],"",0)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12</v>
      </c>
      <c r="C139" s="1" t="s">
        <v>6</v>
      </c>
      <c r="D139" s="1" t="s">
        <v>31</v>
      </c>
      <c r="E139" s="1" t="str">
        <f>_xlfn.XLOOKUP(operacje[[#This Row],[Kategoria]],Kategorie[Kategorie],Kategorie[[Typ ]],"",0)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5</v>
      </c>
      <c r="C140" s="1" t="s">
        <v>6</v>
      </c>
      <c r="D140" s="1" t="s">
        <v>30</v>
      </c>
      <c r="E140" s="1" t="str">
        <f>_xlfn.XLOOKUP(operacje[[#This Row],[Kategoria]],Kategorie[Kategorie],Kategorie[[Typ ]],"",0)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5</v>
      </c>
      <c r="C141" s="1" t="s">
        <v>6</v>
      </c>
      <c r="D141" s="1" t="s">
        <v>21</v>
      </c>
      <c r="E141" s="1" t="str">
        <f>_xlfn.XLOOKUP(operacje[[#This Row],[Kategoria]],Kategorie[Kategorie],Kategorie[[Typ ]],"",0)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12</v>
      </c>
      <c r="C142" s="1" t="s">
        <v>6</v>
      </c>
      <c r="D142" s="1" t="s">
        <v>7</v>
      </c>
      <c r="E142" s="1" t="str">
        <f>_xlfn.XLOOKUP(operacje[[#This Row],[Kategoria]],Kategorie[Kategorie],Kategorie[[Typ ]],"",0)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5</v>
      </c>
      <c r="C143" s="1" t="s">
        <v>6</v>
      </c>
      <c r="D143" s="1" t="s">
        <v>14</v>
      </c>
      <c r="E143" s="1" t="str">
        <f>_xlfn.XLOOKUP(operacje[[#This Row],[Kategoria]],Kategorie[Kategorie],Kategorie[[Typ ]],"",0)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5</v>
      </c>
      <c r="C144" s="1" t="s">
        <v>6</v>
      </c>
      <c r="D144" s="1" t="s">
        <v>7</v>
      </c>
      <c r="E144" s="1" t="str">
        <f>_xlfn.XLOOKUP(operacje[[#This Row],[Kategoria]],Kategorie[Kategorie],Kategorie[[Typ ]],"",0)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5</v>
      </c>
      <c r="C145" s="1" t="s">
        <v>6</v>
      </c>
      <c r="D145" s="1" t="s">
        <v>9</v>
      </c>
      <c r="E145" s="1" t="str">
        <f>_xlfn.XLOOKUP(operacje[[#This Row],[Kategoria]],Kategorie[Kategorie],Kategorie[[Typ ]],"",0)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5</v>
      </c>
      <c r="C146" s="1" t="s">
        <v>13</v>
      </c>
      <c r="D146" s="1" t="s">
        <v>20</v>
      </c>
      <c r="E146" s="1" t="str">
        <f>_xlfn.XLOOKUP(operacje[[#This Row],[Kategoria]],Kategorie[Kategorie],Kategorie[[Typ ]],"",0)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5</v>
      </c>
      <c r="C147" s="1" t="s">
        <v>6</v>
      </c>
      <c r="D147" s="1" t="s">
        <v>11</v>
      </c>
      <c r="E147" s="1" t="str">
        <f>_xlfn.XLOOKUP(operacje[[#This Row],[Kategoria]],Kategorie[Kategorie],Kategorie[[Typ ]],"",0)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5</v>
      </c>
      <c r="C148" s="1" t="s">
        <v>13</v>
      </c>
      <c r="D148" s="1" t="s">
        <v>29</v>
      </c>
      <c r="E148" s="1" t="str">
        <f>_xlfn.XLOOKUP(operacje[[#This Row],[Kategoria]],Kategorie[Kategorie],Kategorie[[Typ ]],"",0)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5</v>
      </c>
      <c r="C149" s="1" t="s">
        <v>6</v>
      </c>
      <c r="D149" s="1" t="s">
        <v>29</v>
      </c>
      <c r="E149" s="1" t="str">
        <f>_xlfn.XLOOKUP(operacje[[#This Row],[Kategoria]],Kategorie[Kategorie],Kategorie[[Typ ]],"",0)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5</v>
      </c>
      <c r="C150" s="1" t="s">
        <v>6</v>
      </c>
      <c r="D150" s="1" t="s">
        <v>7</v>
      </c>
      <c r="E150" s="1" t="str">
        <f>_xlfn.XLOOKUP(operacje[[#This Row],[Kategoria]],Kategorie[Kategorie],Kategorie[[Typ ]],"",0)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5</v>
      </c>
      <c r="C151" s="1" t="s">
        <v>6</v>
      </c>
      <c r="D151" s="1" t="s">
        <v>21</v>
      </c>
      <c r="E151" s="1" t="str">
        <f>_xlfn.XLOOKUP(operacje[[#This Row],[Kategoria]],Kategorie[Kategorie],Kategorie[[Typ ]],"",0)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5</v>
      </c>
      <c r="C152" s="1" t="s">
        <v>6</v>
      </c>
      <c r="D152" s="1" t="s">
        <v>14</v>
      </c>
      <c r="E152" s="1" t="str">
        <f>_xlfn.XLOOKUP(operacje[[#This Row],[Kategoria]],Kategorie[Kategorie],Kategorie[[Typ ]],"",0)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5</v>
      </c>
      <c r="C153" s="1" t="s">
        <v>6</v>
      </c>
      <c r="D153" s="1" t="s">
        <v>7</v>
      </c>
      <c r="E153" s="1" t="str">
        <f>_xlfn.XLOOKUP(operacje[[#This Row],[Kategoria]],Kategorie[Kategorie],Kategorie[[Typ ]],"",0)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5</v>
      </c>
      <c r="C154" s="1" t="s">
        <v>6</v>
      </c>
      <c r="D154" s="1" t="s">
        <v>9</v>
      </c>
      <c r="E154" s="1" t="str">
        <f>_xlfn.XLOOKUP(operacje[[#This Row],[Kategoria]],Kategorie[Kategorie],Kategorie[[Typ ]],"",0)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5</v>
      </c>
      <c r="C155" s="1" t="s">
        <v>13</v>
      </c>
      <c r="D155" s="1" t="s">
        <v>20</v>
      </c>
      <c r="E155" s="1" t="str">
        <f>_xlfn.XLOOKUP(operacje[[#This Row],[Kategoria]],Kategorie[Kategorie],Kategorie[[Typ ]],"",0)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5</v>
      </c>
      <c r="C156" s="1" t="s">
        <v>6</v>
      </c>
      <c r="D156" s="1" t="s">
        <v>11</v>
      </c>
      <c r="E156" s="1" t="str">
        <f>_xlfn.XLOOKUP(operacje[[#This Row],[Kategoria]],Kategorie[Kategorie],Kategorie[[Typ ]],"",0)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5</v>
      </c>
      <c r="C157" s="1" t="s">
        <v>13</v>
      </c>
      <c r="D157" s="1" t="s">
        <v>29</v>
      </c>
      <c r="E157" s="1" t="str">
        <f>_xlfn.XLOOKUP(operacje[[#This Row],[Kategoria]],Kategorie[Kategorie],Kategorie[[Typ ]],"",0)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5</v>
      </c>
      <c r="C158" s="1" t="s">
        <v>6</v>
      </c>
      <c r="D158" s="1" t="s">
        <v>29</v>
      </c>
      <c r="E158" s="1" t="str">
        <f>_xlfn.XLOOKUP(operacje[[#This Row],[Kategoria]],Kategorie[Kategorie],Kategorie[[Typ ]],"",0)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5</v>
      </c>
      <c r="C159" s="1" t="s">
        <v>6</v>
      </c>
      <c r="D159" s="1" t="s">
        <v>9</v>
      </c>
      <c r="E159" s="1" t="str">
        <f>_xlfn.XLOOKUP(operacje[[#This Row],[Kategoria]],Kategorie[Kategorie],Kategorie[[Typ ]],"",0)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5</v>
      </c>
      <c r="C160" s="1" t="s">
        <v>6</v>
      </c>
      <c r="D160" s="1" t="s">
        <v>11</v>
      </c>
      <c r="E160" s="1" t="str">
        <f>_xlfn.XLOOKUP(operacje[[#This Row],[Kategoria]],Kategorie[Kategorie],Kategorie[[Typ ]],"",0)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5</v>
      </c>
      <c r="C161" s="1" t="s">
        <v>6</v>
      </c>
      <c r="D161" s="1" t="s">
        <v>21</v>
      </c>
      <c r="E161" s="1" t="str">
        <f>_xlfn.XLOOKUP(operacje[[#This Row],[Kategoria]],Kategorie[Kategorie],Kategorie[[Typ ]],"",0)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5</v>
      </c>
      <c r="C162" s="1" t="s">
        <v>6</v>
      </c>
      <c r="D162" s="1" t="s">
        <v>7</v>
      </c>
      <c r="E162" s="1" t="str">
        <f>_xlfn.XLOOKUP(operacje[[#This Row],[Kategoria]],Kategorie[Kategorie],Kategorie[[Typ ]],"",0)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5</v>
      </c>
      <c r="C163" s="1" t="s">
        <v>6</v>
      </c>
      <c r="D163" s="1" t="s">
        <v>14</v>
      </c>
      <c r="E163" s="1" t="str">
        <f>_xlfn.XLOOKUP(operacje[[#This Row],[Kategoria]],Kategorie[Kategorie],Kategorie[[Typ ]],"",0)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5</v>
      </c>
      <c r="C164" s="1" t="s">
        <v>6</v>
      </c>
      <c r="D164" s="1" t="s">
        <v>20</v>
      </c>
      <c r="E164" s="1" t="str">
        <f>_xlfn.XLOOKUP(operacje[[#This Row],[Kategoria]],Kategorie[Kategorie],Kategorie[[Typ ]],"",0)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5</v>
      </c>
      <c r="C165" s="1" t="s">
        <v>13</v>
      </c>
      <c r="D165" s="1" t="s">
        <v>29</v>
      </c>
      <c r="E165" s="1" t="str">
        <f>_xlfn.XLOOKUP(operacje[[#This Row],[Kategoria]],Kategorie[Kategorie],Kategorie[[Typ ]],"",0)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5</v>
      </c>
      <c r="C166" s="1" t="s">
        <v>6</v>
      </c>
      <c r="D166" s="1" t="s">
        <v>29</v>
      </c>
      <c r="E166" s="1" t="str">
        <f>_xlfn.XLOOKUP(operacje[[#This Row],[Kategoria]],Kategorie[Kategorie],Kategorie[[Typ ]],"",0)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5</v>
      </c>
      <c r="C167" s="1" t="s">
        <v>6</v>
      </c>
      <c r="D167" s="1" t="s">
        <v>7</v>
      </c>
      <c r="E167" s="1" t="str">
        <f>_xlfn.XLOOKUP(operacje[[#This Row],[Kategoria]],Kategorie[Kategorie],Kategorie[[Typ ]],"",0)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5</v>
      </c>
      <c r="C168" s="1" t="s">
        <v>6</v>
      </c>
      <c r="D168" s="1" t="s">
        <v>28</v>
      </c>
      <c r="E168" s="1" t="str">
        <f>_xlfn.XLOOKUP(operacje[[#This Row],[Kategoria]],Kategorie[Kategorie],Kategorie[[Typ ]],"",0)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5</v>
      </c>
      <c r="C169" s="1" t="s">
        <v>6</v>
      </c>
      <c r="D169" s="1" t="s">
        <v>21</v>
      </c>
      <c r="E169" s="1" t="str">
        <f>_xlfn.XLOOKUP(operacje[[#This Row],[Kategoria]],Kategorie[Kategorie],Kategorie[[Typ ]],"",0)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5</v>
      </c>
      <c r="C170" s="1" t="s">
        <v>6</v>
      </c>
      <c r="D170" s="1" t="s">
        <v>7</v>
      </c>
      <c r="E170" s="1" t="str">
        <f>_xlfn.XLOOKUP(operacje[[#This Row],[Kategoria]],Kategorie[Kategorie],Kategorie[[Typ ]],"",0)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5</v>
      </c>
      <c r="C171" s="1" t="s">
        <v>6</v>
      </c>
      <c r="D171" s="1" t="s">
        <v>22</v>
      </c>
      <c r="E171" s="1" t="str">
        <f>_xlfn.XLOOKUP(operacje[[#This Row],[Kategoria]],Kategorie[Kategorie],Kategorie[[Typ ]],"",0)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5</v>
      </c>
      <c r="C172" s="1" t="s">
        <v>6</v>
      </c>
      <c r="D172" s="1" t="s">
        <v>17</v>
      </c>
      <c r="E172" s="1" t="str">
        <f>_xlfn.XLOOKUP(operacje[[#This Row],[Kategoria]],Kategorie[Kategorie],Kategorie[[Typ ]],"",0)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5</v>
      </c>
      <c r="C173" s="1" t="s">
        <v>6</v>
      </c>
      <c r="D173" s="1" t="s">
        <v>22</v>
      </c>
      <c r="E173" s="1" t="str">
        <f>_xlfn.XLOOKUP(operacje[[#This Row],[Kategoria]],Kategorie[Kategorie],Kategorie[[Typ ]],"",0)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5</v>
      </c>
      <c r="C174" s="1" t="s">
        <v>6</v>
      </c>
      <c r="D174" s="1" t="s">
        <v>7</v>
      </c>
      <c r="E174" s="1" t="str">
        <f>_xlfn.XLOOKUP(operacje[[#This Row],[Kategoria]],Kategorie[Kategorie],Kategorie[[Typ ]],"",0)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5</v>
      </c>
      <c r="C175" s="1" t="s">
        <v>6</v>
      </c>
      <c r="D175" s="1" t="s">
        <v>28</v>
      </c>
      <c r="E175" s="1" t="str">
        <f>_xlfn.XLOOKUP(operacje[[#This Row],[Kategoria]],Kategorie[Kategorie],Kategorie[[Typ ]],"",0)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5</v>
      </c>
      <c r="C176" s="1" t="s">
        <v>6</v>
      </c>
      <c r="D176" s="1" t="s">
        <v>14</v>
      </c>
      <c r="E176" s="1" t="str">
        <f>_xlfn.XLOOKUP(operacje[[#This Row],[Kategoria]],Kategorie[Kategorie],Kategorie[[Typ ]],"",0)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5</v>
      </c>
      <c r="C177" s="1" t="s">
        <v>6</v>
      </c>
      <c r="D177" s="1" t="s">
        <v>21</v>
      </c>
      <c r="E177" s="1" t="str">
        <f>_xlfn.XLOOKUP(operacje[[#This Row],[Kategoria]],Kategorie[Kategorie],Kategorie[[Typ ]],"",0)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5</v>
      </c>
      <c r="C178" s="1" t="s">
        <v>6</v>
      </c>
      <c r="D178" s="1" t="s">
        <v>20</v>
      </c>
      <c r="E178" s="1" t="str">
        <f>_xlfn.XLOOKUP(operacje[[#This Row],[Kategoria]],Kategorie[Kategorie],Kategorie[[Typ ]],"",0)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5</v>
      </c>
      <c r="C179" s="1" t="s">
        <v>6</v>
      </c>
      <c r="D179" s="1" t="s">
        <v>7</v>
      </c>
      <c r="E179" s="1" t="str">
        <f>_xlfn.XLOOKUP(operacje[[#This Row],[Kategoria]],Kategorie[Kategorie],Kategorie[[Typ ]],"",0)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5</v>
      </c>
      <c r="C180" s="1" t="s">
        <v>6</v>
      </c>
      <c r="D180" s="1" t="s">
        <v>21</v>
      </c>
      <c r="E180" s="1" t="str">
        <f>_xlfn.XLOOKUP(operacje[[#This Row],[Kategoria]],Kategorie[Kategorie],Kategorie[[Typ ]],"",0)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5</v>
      </c>
      <c r="C181" s="1" t="s">
        <v>6</v>
      </c>
      <c r="D181" s="1" t="s">
        <v>20</v>
      </c>
      <c r="E181" s="1" t="str">
        <f>_xlfn.XLOOKUP(operacje[[#This Row],[Kategoria]],Kategorie[Kategorie],Kategorie[[Typ ]],"",0)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5</v>
      </c>
      <c r="C182" s="1" t="s">
        <v>6</v>
      </c>
      <c r="D182" s="1" t="s">
        <v>21</v>
      </c>
      <c r="E182" s="1" t="str">
        <f>_xlfn.XLOOKUP(operacje[[#This Row],[Kategoria]],Kategorie[Kategorie],Kategorie[[Typ ]],"",0)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5</v>
      </c>
      <c r="C183" s="1" t="s">
        <v>6</v>
      </c>
      <c r="D183" s="1" t="s">
        <v>17</v>
      </c>
      <c r="E183" s="1" t="str">
        <f>_xlfn.XLOOKUP(operacje[[#This Row],[Kategoria]],Kategorie[Kategorie],Kategorie[[Typ ]],"",0)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24</v>
      </c>
      <c r="C184" s="1" t="s">
        <v>26</v>
      </c>
      <c r="D184" s="1" t="s">
        <v>30</v>
      </c>
      <c r="E184" s="1" t="str">
        <f>_xlfn.XLOOKUP(operacje[[#This Row],[Kategoria]],Kategorie[Kategorie],Kategorie[[Typ ]],"",0)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5</v>
      </c>
      <c r="C185" s="1" t="s">
        <v>6</v>
      </c>
      <c r="D185" s="1" t="s">
        <v>7</v>
      </c>
      <c r="E185" s="1" t="str">
        <f>_xlfn.XLOOKUP(operacje[[#This Row],[Kategoria]],Kategorie[Kategorie],Kategorie[[Typ ]],"",0)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5</v>
      </c>
      <c r="C186" s="1" t="s">
        <v>6</v>
      </c>
      <c r="D186" s="1" t="s">
        <v>7</v>
      </c>
      <c r="E186" s="1" t="str">
        <f>_xlfn.XLOOKUP(operacje[[#This Row],[Kategoria]],Kategorie[Kategorie],Kategorie[[Typ ]],"",0)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5</v>
      </c>
      <c r="C187" s="1" t="s">
        <v>6</v>
      </c>
      <c r="D187" s="1" t="s">
        <v>7</v>
      </c>
      <c r="E187" s="1" t="str">
        <f>_xlfn.XLOOKUP(operacje[[#This Row],[Kategoria]],Kategorie[Kategorie],Kategorie[[Typ ]],"",0)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5</v>
      </c>
      <c r="C188" s="1" t="s">
        <v>6</v>
      </c>
      <c r="D188" s="1" t="s">
        <v>28</v>
      </c>
      <c r="E188" s="1" t="str">
        <f>_xlfn.XLOOKUP(operacje[[#This Row],[Kategoria]],Kategorie[Kategorie],Kategorie[[Typ ]],"",0)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5</v>
      </c>
      <c r="C189" s="1" t="s">
        <v>6</v>
      </c>
      <c r="D189" s="1" t="s">
        <v>17</v>
      </c>
      <c r="E189" s="1" t="str">
        <f>_xlfn.XLOOKUP(operacje[[#This Row],[Kategoria]],Kategorie[Kategorie],Kategorie[[Typ ]],"",0)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5</v>
      </c>
      <c r="C190" s="1" t="s">
        <v>6</v>
      </c>
      <c r="D190" s="1" t="s">
        <v>22</v>
      </c>
      <c r="E190" s="1" t="str">
        <f>_xlfn.XLOOKUP(operacje[[#This Row],[Kategoria]],Kategorie[Kategorie],Kategorie[[Typ ]],"",0)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5</v>
      </c>
      <c r="C191" s="1" t="s">
        <v>6</v>
      </c>
      <c r="D191" s="1" t="s">
        <v>28</v>
      </c>
      <c r="E191" s="1" t="str">
        <f>_xlfn.XLOOKUP(operacje[[#This Row],[Kategoria]],Kategorie[Kategorie],Kategorie[[Typ ]],"",0)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5</v>
      </c>
      <c r="C192" s="1" t="s">
        <v>6</v>
      </c>
      <c r="D192" s="1" t="s">
        <v>17</v>
      </c>
      <c r="E192" s="1" t="str">
        <f>_xlfn.XLOOKUP(operacje[[#This Row],[Kategoria]],Kategorie[Kategorie],Kategorie[[Typ ]],"",0)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5</v>
      </c>
      <c r="C193" s="1" t="s">
        <v>6</v>
      </c>
      <c r="D193" s="1" t="s">
        <v>22</v>
      </c>
      <c r="E193" s="1" t="str">
        <f>_xlfn.XLOOKUP(operacje[[#This Row],[Kategoria]],Kategorie[Kategorie],Kategorie[[Typ ]],"",0)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5</v>
      </c>
      <c r="C194" s="1" t="s">
        <v>6</v>
      </c>
      <c r="D194" s="1" t="s">
        <v>20</v>
      </c>
      <c r="E194" s="1" t="str">
        <f>_xlfn.XLOOKUP(operacje[[#This Row],[Kategoria]],Kategorie[Kategorie],Kategorie[[Typ ]],"",0)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5</v>
      </c>
      <c r="C195" s="1" t="s">
        <v>6</v>
      </c>
      <c r="D195" s="1" t="s">
        <v>20</v>
      </c>
      <c r="E195" s="1" t="str">
        <f>_xlfn.XLOOKUP(operacje[[#This Row],[Kategoria]],Kategorie[Kategorie],Kategorie[[Typ ]],"",0)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5</v>
      </c>
      <c r="C196" s="1" t="s">
        <v>6</v>
      </c>
      <c r="D196" s="1" t="s">
        <v>7</v>
      </c>
      <c r="E196" s="1" t="str">
        <f>_xlfn.XLOOKUP(operacje[[#This Row],[Kategoria]],Kategorie[Kategorie],Kategorie[[Typ ]],"",0)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5</v>
      </c>
      <c r="C197" s="1" t="s">
        <v>6</v>
      </c>
      <c r="D197" s="1" t="s">
        <v>7</v>
      </c>
      <c r="E197" s="1" t="str">
        <f>_xlfn.XLOOKUP(operacje[[#This Row],[Kategoria]],Kategorie[Kategorie],Kategorie[[Typ ]],"",0)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5</v>
      </c>
      <c r="C198" s="1" t="s">
        <v>6</v>
      </c>
      <c r="D198" s="1" t="s">
        <v>9</v>
      </c>
      <c r="E198" s="1" t="str">
        <f>_xlfn.XLOOKUP(operacje[[#This Row],[Kategoria]],Kategorie[Kategorie],Kategorie[[Typ ]],"",0)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5</v>
      </c>
      <c r="C199" s="1" t="s">
        <v>6</v>
      </c>
      <c r="D199" s="1" t="s">
        <v>11</v>
      </c>
      <c r="E199" s="1" t="str">
        <f>_xlfn.XLOOKUP(operacje[[#This Row],[Kategoria]],Kategorie[Kategorie],Kategorie[[Typ ]],"",0)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5</v>
      </c>
      <c r="C200" s="1" t="s">
        <v>6</v>
      </c>
      <c r="D200" s="1" t="s">
        <v>20</v>
      </c>
      <c r="E200" s="1" t="str">
        <f>_xlfn.XLOOKUP(operacje[[#This Row],[Kategoria]],Kategorie[Kategorie],Kategorie[[Typ ]],"",0)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5</v>
      </c>
      <c r="C201" s="1" t="s">
        <v>6</v>
      </c>
      <c r="D201" s="1" t="s">
        <v>23</v>
      </c>
      <c r="E201" s="1" t="str">
        <f>_xlfn.XLOOKUP(operacje[[#This Row],[Kategoria]],Kategorie[Kategorie],Kategorie[[Typ ]],"",0)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5</v>
      </c>
      <c r="C202" s="1" t="s">
        <v>6</v>
      </c>
      <c r="D202" s="1" t="s">
        <v>7</v>
      </c>
      <c r="E202" s="1" t="str">
        <f>_xlfn.XLOOKUP(operacje[[#This Row],[Kategoria]],Kategorie[Kategorie],Kategorie[[Typ ]],"",0)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24</v>
      </c>
      <c r="C203" s="1" t="s">
        <v>26</v>
      </c>
      <c r="D203" s="1" t="s">
        <v>30</v>
      </c>
      <c r="E203" s="1" t="str">
        <f>_xlfn.XLOOKUP(operacje[[#This Row],[Kategoria]],Kategorie[Kategorie],Kategorie[[Typ ]],"",0)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24</v>
      </c>
      <c r="C204" s="1" t="s">
        <v>26</v>
      </c>
      <c r="D204" s="1" t="s">
        <v>20</v>
      </c>
      <c r="E204" s="1" t="str">
        <f>_xlfn.XLOOKUP(operacje[[#This Row],[Kategoria]],Kategorie[Kategorie],Kategorie[[Typ ]],"",0)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24</v>
      </c>
      <c r="C205" s="1" t="s">
        <v>26</v>
      </c>
      <c r="D205" s="1" t="s">
        <v>30</v>
      </c>
      <c r="E205" s="1" t="str">
        <f>_xlfn.XLOOKUP(operacje[[#This Row],[Kategoria]],Kategorie[Kategorie],Kategorie[[Typ ]],"",0)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24</v>
      </c>
      <c r="C206" s="1" t="s">
        <v>26</v>
      </c>
      <c r="D206" s="1" t="s">
        <v>17</v>
      </c>
      <c r="E206" s="1" t="str">
        <f>_xlfn.XLOOKUP(operacje[[#This Row],[Kategoria]],Kategorie[Kategorie],Kategorie[[Typ ]],"",0)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24</v>
      </c>
      <c r="C207" s="1" t="s">
        <v>26</v>
      </c>
      <c r="D207" s="1" t="s">
        <v>7</v>
      </c>
      <c r="E207" s="1" t="str">
        <f>_xlfn.XLOOKUP(operacje[[#This Row],[Kategoria]],Kategorie[Kategorie],Kategorie[[Typ ]],"",0)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DB5B9A-9636-4365-BD21-361E1BC40E1D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69AF9B47-CC34-4C35-ADF9-F5A273FE33F3}">
          <x14:formula1>
            <xm:f>kategorie!$D$1:$F$1</xm:f>
          </x14:formula1>
          <xm:sqref>B2:B1048576</xm:sqref>
        </x14:dataValidation>
        <x14:dataValidation type="list" allowBlank="1" showInputMessage="1" showErrorMessage="1" xr:uid="{66631D0E-06C2-457C-ABCB-C27D01D4CFE9}">
          <x14:formula1>
            <xm:f>CHOOSE(MATCH(B2,kategorie!$D$1:$F$1,0),kategorie!$D$2:$D$4,kategorie!$E$2:$E$3,kategorie!$F$2:$F$3)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762E-6571-4124-9655-4068B9A8DD41}">
  <dimension ref="A1:I17"/>
  <sheetViews>
    <sheetView workbookViewId="0">
      <selection activeCell="D13" sqref="D13"/>
    </sheetView>
  </sheetViews>
  <sheetFormatPr defaultRowHeight="15" x14ac:dyDescent="0.25"/>
  <cols>
    <col min="1" max="1" width="19.7109375" customWidth="1"/>
    <col min="4" max="4" width="12" customWidth="1"/>
    <col min="5" max="5" width="12.42578125" customWidth="1"/>
    <col min="6" max="6" width="12" customWidth="1"/>
    <col min="9" max="9" width="10.140625" customWidth="1"/>
  </cols>
  <sheetData>
    <row r="1" spans="1:9" x14ac:dyDescent="0.25">
      <c r="A1" t="s">
        <v>32</v>
      </c>
      <c r="B1" t="s">
        <v>33</v>
      </c>
      <c r="D1" t="s">
        <v>5</v>
      </c>
      <c r="E1" t="s">
        <v>12</v>
      </c>
      <c r="F1" t="s">
        <v>24</v>
      </c>
      <c r="H1" t="s">
        <v>1</v>
      </c>
      <c r="I1" t="s">
        <v>2</v>
      </c>
    </row>
    <row r="2" spans="1:9" x14ac:dyDescent="0.25">
      <c r="A2" t="s">
        <v>29</v>
      </c>
      <c r="B2" t="s">
        <v>34</v>
      </c>
      <c r="D2" t="s">
        <v>6</v>
      </c>
      <c r="E2" t="s">
        <v>6</v>
      </c>
      <c r="F2" t="s">
        <v>26</v>
      </c>
      <c r="H2" t="s">
        <v>5</v>
      </c>
      <c r="I2" t="s">
        <v>13</v>
      </c>
    </row>
    <row r="3" spans="1:9" x14ac:dyDescent="0.25">
      <c r="A3" t="s">
        <v>30</v>
      </c>
      <c r="B3" t="s">
        <v>10</v>
      </c>
      <c r="D3" t="s">
        <v>13</v>
      </c>
      <c r="E3" t="s">
        <v>18</v>
      </c>
      <c r="F3" t="s">
        <v>25</v>
      </c>
      <c r="H3" t="s">
        <v>5</v>
      </c>
      <c r="I3" t="s">
        <v>6</v>
      </c>
    </row>
    <row r="4" spans="1:9" x14ac:dyDescent="0.25">
      <c r="A4" t="s">
        <v>27</v>
      </c>
      <c r="B4" t="s">
        <v>10</v>
      </c>
      <c r="D4" t="s">
        <v>16</v>
      </c>
      <c r="H4" t="s">
        <v>5</v>
      </c>
      <c r="I4" t="s">
        <v>16</v>
      </c>
    </row>
    <row r="5" spans="1:9" x14ac:dyDescent="0.25">
      <c r="A5" t="s">
        <v>19</v>
      </c>
      <c r="B5" t="s">
        <v>10</v>
      </c>
      <c r="H5" t="s">
        <v>12</v>
      </c>
      <c r="I5" t="s">
        <v>6</v>
      </c>
    </row>
    <row r="6" spans="1:9" x14ac:dyDescent="0.25">
      <c r="A6" t="s">
        <v>15</v>
      </c>
      <c r="B6" t="s">
        <v>10</v>
      </c>
      <c r="H6" t="s">
        <v>12</v>
      </c>
      <c r="I6" t="s">
        <v>18</v>
      </c>
    </row>
    <row r="7" spans="1:9" x14ac:dyDescent="0.25">
      <c r="A7" t="s">
        <v>31</v>
      </c>
      <c r="B7" t="s">
        <v>10</v>
      </c>
      <c r="H7" t="s">
        <v>24</v>
      </c>
      <c r="I7" t="s">
        <v>25</v>
      </c>
    </row>
    <row r="8" spans="1:9" x14ac:dyDescent="0.25">
      <c r="A8" t="s">
        <v>9</v>
      </c>
      <c r="B8" t="s">
        <v>10</v>
      </c>
      <c r="H8" t="s">
        <v>24</v>
      </c>
      <c r="I8" t="s">
        <v>26</v>
      </c>
    </row>
    <row r="9" spans="1:9" x14ac:dyDescent="0.25">
      <c r="A9" t="s">
        <v>7</v>
      </c>
      <c r="B9" t="s">
        <v>8</v>
      </c>
    </row>
    <row r="10" spans="1:9" x14ac:dyDescent="0.25">
      <c r="A10" t="s">
        <v>11</v>
      </c>
      <c r="B10" t="s">
        <v>8</v>
      </c>
    </row>
    <row r="11" spans="1:9" x14ac:dyDescent="0.25">
      <c r="A11" t="s">
        <v>22</v>
      </c>
      <c r="B11" t="s">
        <v>8</v>
      </c>
    </row>
    <row r="12" spans="1:9" x14ac:dyDescent="0.25">
      <c r="A12" t="s">
        <v>17</v>
      </c>
      <c r="B12" t="s">
        <v>8</v>
      </c>
    </row>
    <row r="13" spans="1:9" x14ac:dyDescent="0.25">
      <c r="A13" t="s">
        <v>20</v>
      </c>
      <c r="B13" t="s">
        <v>8</v>
      </c>
    </row>
    <row r="14" spans="1:9" x14ac:dyDescent="0.25">
      <c r="A14" t="s">
        <v>23</v>
      </c>
      <c r="B14" t="s">
        <v>8</v>
      </c>
    </row>
    <row r="15" spans="1:9" x14ac:dyDescent="0.25">
      <c r="A15" t="s">
        <v>14</v>
      </c>
      <c r="B15" t="s">
        <v>8</v>
      </c>
    </row>
    <row r="16" spans="1:9" x14ac:dyDescent="0.25">
      <c r="A16" t="s">
        <v>21</v>
      </c>
      <c r="B16" t="s">
        <v>8</v>
      </c>
    </row>
    <row r="17" spans="1:2" x14ac:dyDescent="0.25">
      <c r="A17" t="s">
        <v>28</v>
      </c>
      <c r="B17" t="s">
        <v>8</v>
      </c>
    </row>
  </sheetData>
  <sortState xmlns:xlrd2="http://schemas.microsoft.com/office/spreadsheetml/2017/richdata2" ref="H2:I8">
    <sortCondition ref="H2:H8"/>
    <sortCondition ref="I2:I8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46D4-D5A6-44DE-A082-21AFE7C988DC}">
  <dimension ref="A1:N15"/>
  <sheetViews>
    <sheetView tabSelected="1" workbookViewId="0">
      <selection activeCell="O14" sqref="O14"/>
    </sheetView>
  </sheetViews>
  <sheetFormatPr defaultRowHeight="15" x14ac:dyDescent="0.25"/>
  <cols>
    <col min="1" max="1" width="10.42578125" customWidth="1"/>
    <col min="2" max="2" width="10.85546875" customWidth="1"/>
    <col min="3" max="3" width="11.85546875" customWidth="1"/>
    <col min="4" max="4" width="14.140625" customWidth="1"/>
    <col min="5" max="5" width="17.140625" customWidth="1"/>
    <col min="6" max="6" width="15.5703125" customWidth="1"/>
    <col min="7" max="7" width="12.42578125" customWidth="1"/>
    <col min="8" max="8" width="14" customWidth="1"/>
    <col min="9" max="9" width="13.28515625" customWidth="1"/>
    <col min="10" max="10" width="13" customWidth="1"/>
    <col min="11" max="11" width="14.7109375" customWidth="1"/>
    <col min="12" max="13" width="13.28515625" customWidth="1"/>
    <col min="14" max="14" width="17.85546875" customWidth="1"/>
  </cols>
  <sheetData>
    <row r="1" spans="1:14" x14ac:dyDescent="0.25">
      <c r="A1" t="s">
        <v>1</v>
      </c>
      <c r="B1" t="s">
        <v>2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5</v>
      </c>
      <c r="B2" t="s">
        <v>13</v>
      </c>
      <c r="C2" s="8" cm="1">
        <f t="array" aca="1" ref="C2" ca="1">INDIRECT(saldo[[#Headers],[Styczeń]]&amp;"_saldo[@[Saldo końcowe]]")</f>
        <v>-175</v>
      </c>
      <c r="D2" s="8" cm="1">
        <f t="array" aca="1" ref="D2" ca="1">INDIRECT(saldo[[#Headers],[Luty]]&amp;"_saldo[@[Saldo końcowe]]")</f>
        <v>0</v>
      </c>
      <c r="E2" s="8" cm="1">
        <f t="array" aca="1" ref="E2" ca="1">INDIRECT(saldo[[#Headers],[Marzec]]&amp;"_saldo[@[Saldo końcowe]]")</f>
        <v>-104.5</v>
      </c>
      <c r="F2" s="8" cm="1">
        <f t="array" aca="1" ref="F2" ca="1">INDIRECT(saldo[[#Headers],[Kwiecień]]&amp;"_saldo[@[Saldo końcowe]]")</f>
        <v>-91.389999999999986</v>
      </c>
      <c r="G2" s="8" cm="1">
        <f t="array" aca="1" ref="G2" ca="1">INDIRECT(saldo[[#Headers],[Maj]]&amp;"_saldo[@[Saldo końcowe]]")</f>
        <v>-1000</v>
      </c>
      <c r="H2" s="8" cm="1">
        <f t="array" aca="1" ref="H2" ca="1">INDIRECT(saldo[[#Headers],[Czerwiec]]&amp;"_saldo[@[Saldo końcowe]]")</f>
        <v>-1300</v>
      </c>
      <c r="I2" s="8" cm="1">
        <f t="array" aca="1" ref="I2" ca="1">INDIRECT(saldo[[#Headers],[Lipiec]]&amp;"_saldo[@[Saldo końcowe]]")</f>
        <v>-135</v>
      </c>
      <c r="J2" s="8" cm="1">
        <f t="array" aca="1" ref="J2" ca="1">INDIRECT(saldo[[#Headers],[Sierpień]]&amp;"_saldo[@[Saldo końcowe]]")</f>
        <v>-102</v>
      </c>
      <c r="K2" s="8" cm="1">
        <f t="array" aca="1" ref="K2" ca="1">INDIRECT(saldo[[#Headers],[Wrzesień]]&amp;"_saldo[@[Saldo końcowe]]")</f>
        <v>-20</v>
      </c>
      <c r="L2" s="8" cm="1">
        <f t="array" aca="1" ref="L2" ca="1">INDIRECT(saldo[[#Headers],[Październik]]&amp;"_saldo[@[Saldo końcowe]]")</f>
        <v>-40</v>
      </c>
      <c r="M2" s="8" cm="1">
        <f t="array" aca="1" ref="M2" ca="1">INDIRECT(saldo[[#Headers],[Listopad]]&amp;"_saldo[@[Saldo końcowe]]")</f>
        <v>0</v>
      </c>
      <c r="N2" s="8" cm="1">
        <f t="array" aca="1" ref="N2" ca="1">INDIRECT(saldo[[#Headers],[Grudzień]]&amp;"_saldo[@[Saldo końcowe]]")</f>
        <v>0</v>
      </c>
    </row>
    <row r="3" spans="1:14" x14ac:dyDescent="0.25">
      <c r="A3" t="s">
        <v>5</v>
      </c>
      <c r="B3" t="s">
        <v>6</v>
      </c>
      <c r="C3" s="8" cm="1">
        <f t="array" aca="1" ref="C3" ca="1">INDIRECT(saldo[[#Headers],[Styczeń]]&amp;"_saldo[@[Saldo końcowe]]")</f>
        <v>1700</v>
      </c>
      <c r="D3" s="8" cm="1">
        <f t="array" aca="1" ref="D3" ca="1">INDIRECT(saldo[[#Headers],[Luty]]&amp;"_saldo[@[Saldo końcowe]]")</f>
        <v>3739.5</v>
      </c>
      <c r="E3" s="8" cm="1">
        <f t="array" aca="1" ref="E3" ca="1">INDIRECT(saldo[[#Headers],[Marzec]]&amp;"_saldo[@[Saldo końcowe]]")</f>
        <v>4561.1000000000004</v>
      </c>
      <c r="F3" s="8" cm="1">
        <f t="array" aca="1" ref="F3" ca="1">INDIRECT(saldo[[#Headers],[Kwiecień]]&amp;"_saldo[@[Saldo końcowe]]")</f>
        <v>5123.83</v>
      </c>
      <c r="G3" s="8" cm="1">
        <f t="array" aca="1" ref="G3" ca="1">INDIRECT(saldo[[#Headers],[Maj]]&amp;"_saldo[@[Saldo końcowe]]")</f>
        <v>7452.4400000000005</v>
      </c>
      <c r="H3" s="8" cm="1">
        <f t="array" aca="1" ref="H3" ca="1">INDIRECT(saldo[[#Headers],[Czerwiec]]&amp;"_saldo[@[Saldo końcowe]]")</f>
        <v>8872.44</v>
      </c>
      <c r="I3" s="8" cm="1">
        <f t="array" aca="1" ref="I3" ca="1">INDIRECT(saldo[[#Headers],[Lipiec]]&amp;"_saldo[@[Saldo końcowe]]")</f>
        <v>9882.44</v>
      </c>
      <c r="J3" s="8" cm="1">
        <f t="array" aca="1" ref="J3" ca="1">INDIRECT(saldo[[#Headers],[Sierpień]]&amp;"_saldo[@[Saldo końcowe]]")</f>
        <v>11357.44</v>
      </c>
      <c r="K3" s="8" cm="1">
        <f t="array" aca="1" ref="K3" ca="1">INDIRECT(saldo[[#Headers],[Wrzesień]]&amp;"_saldo[@[Saldo końcowe]]")</f>
        <v>13046.94</v>
      </c>
      <c r="L3" s="8" cm="1">
        <f t="array" aca="1" ref="L3" ca="1">INDIRECT(saldo[[#Headers],[Październik]]&amp;"_saldo[@[Saldo końcowe]]")</f>
        <v>14736.94</v>
      </c>
      <c r="M3" s="8" cm="1">
        <f t="array" aca="1" ref="M3" ca="1">INDIRECT(saldo[[#Headers],[Listopad]]&amp;"_saldo[@[Saldo końcowe]]")</f>
        <v>15696.94</v>
      </c>
      <c r="N3" s="8" cm="1">
        <f t="array" aca="1" ref="N3" ca="1">INDIRECT(saldo[[#Headers],[Grudzień]]&amp;"_saldo[@[Saldo końcowe]]")</f>
        <v>17016.940000000002</v>
      </c>
    </row>
    <row r="4" spans="1:14" x14ac:dyDescent="0.25">
      <c r="A4" t="s">
        <v>5</v>
      </c>
      <c r="B4" t="s">
        <v>16</v>
      </c>
      <c r="C4" s="8" cm="1">
        <f t="array" aca="1" ref="C4" ca="1">INDIRECT(saldo[[#Headers],[Styczeń]]&amp;"_saldo[@[Saldo końcowe]]")</f>
        <v>1600</v>
      </c>
      <c r="D4" s="8" cm="1">
        <f t="array" aca="1" ref="D4" ca="1">INDIRECT(saldo[[#Headers],[Luty]]&amp;"_saldo[@[Saldo końcowe]]")</f>
        <v>1200</v>
      </c>
      <c r="E4" s="8" cm="1">
        <f t="array" aca="1" ref="E4" ca="1">INDIRECT(saldo[[#Headers],[Marzec]]&amp;"_saldo[@[Saldo końcowe]]")</f>
        <v>1200</v>
      </c>
      <c r="F4" s="8" cm="1">
        <f t="array" aca="1" ref="F4" ca="1">INDIRECT(saldo[[#Headers],[Kwiecień]]&amp;"_saldo[@[Saldo końcowe]]")</f>
        <v>1200</v>
      </c>
      <c r="G4" s="8" cm="1">
        <f t="array" aca="1" ref="G4" ca="1">INDIRECT(saldo[[#Headers],[Maj]]&amp;"_saldo[@[Saldo końcowe]]")</f>
        <v>1200</v>
      </c>
      <c r="H4" s="8" cm="1">
        <f t="array" aca="1" ref="H4" ca="1">INDIRECT(saldo[[#Headers],[Czerwiec]]&amp;"_saldo[@[Saldo końcowe]]")</f>
        <v>1200</v>
      </c>
      <c r="I4" s="8" cm="1">
        <f t="array" aca="1" ref="I4" ca="1">INDIRECT(saldo[[#Headers],[Lipiec]]&amp;"_saldo[@[Saldo końcowe]]")</f>
        <v>1020</v>
      </c>
      <c r="J4" s="8" cm="1">
        <f t="array" aca="1" ref="J4" ca="1">INDIRECT(saldo[[#Headers],[Sierpień]]&amp;"_saldo[@[Saldo końcowe]]")</f>
        <v>0</v>
      </c>
      <c r="K4" s="8" cm="1">
        <f t="array" aca="1" ref="K4" ca="1">INDIRECT(saldo[[#Headers],[Wrzesień]]&amp;"_saldo[@[Saldo końcowe]]")</f>
        <v>0</v>
      </c>
      <c r="L4" s="8" cm="1">
        <f t="array" aca="1" ref="L4" ca="1">INDIRECT(saldo[[#Headers],[Październik]]&amp;"_saldo[@[Saldo końcowe]]")</f>
        <v>0</v>
      </c>
      <c r="M4" s="8" cm="1">
        <f t="array" aca="1" ref="M4" ca="1">INDIRECT(saldo[[#Headers],[Listopad]]&amp;"_saldo[@[Saldo końcowe]]")</f>
        <v>0</v>
      </c>
      <c r="N4" s="8" cm="1">
        <f t="array" aca="1" ref="N4" ca="1">INDIRECT(saldo[[#Headers],[Grudzień]]&amp;"_saldo[@[Saldo końcowe]]")</f>
        <v>0</v>
      </c>
    </row>
    <row r="5" spans="1:14" x14ac:dyDescent="0.25">
      <c r="A5" t="s">
        <v>12</v>
      </c>
      <c r="B5" t="s">
        <v>6</v>
      </c>
      <c r="C5" s="8" cm="1">
        <f t="array" aca="1" ref="C5" ca="1">INDIRECT(saldo[[#Headers],[Styczeń]]&amp;"_saldo[@[Saldo końcowe]]")</f>
        <v>65</v>
      </c>
      <c r="D5" s="8" cm="1">
        <f t="array" aca="1" ref="D5" ca="1">INDIRECT(saldo[[#Headers],[Luty]]&amp;"_saldo[@[Saldo końcowe]]")</f>
        <v>100</v>
      </c>
      <c r="E5" s="8" cm="1">
        <f t="array" aca="1" ref="E5" ca="1">INDIRECT(saldo[[#Headers],[Marzec]]&amp;"_saldo[@[Saldo końcowe]]")</f>
        <v>167.5</v>
      </c>
      <c r="F5" s="8" cm="1">
        <f t="array" aca="1" ref="F5" ca="1">INDIRECT(saldo[[#Headers],[Kwiecień]]&amp;"_saldo[@[Saldo końcowe]]")</f>
        <v>268.5</v>
      </c>
      <c r="G5" s="8" cm="1">
        <f t="array" aca="1" ref="G5" ca="1">INDIRECT(saldo[[#Headers],[Maj]]&amp;"_saldo[@[Saldo końcowe]]")</f>
        <v>218.5</v>
      </c>
      <c r="H5" s="8" cm="1">
        <f t="array" aca="1" ref="H5" ca="1">INDIRECT(saldo[[#Headers],[Czerwiec]]&amp;"_saldo[@[Saldo końcowe]]")</f>
        <v>468.5</v>
      </c>
      <c r="I5" s="8" cm="1">
        <f t="array" aca="1" ref="I5" ca="1">INDIRECT(saldo[[#Headers],[Lipiec]]&amp;"_saldo[@[Saldo końcowe]]")</f>
        <v>368.5</v>
      </c>
      <c r="J5" s="8" cm="1">
        <f t="array" aca="1" ref="J5" ca="1">INDIRECT(saldo[[#Headers],[Sierpień]]&amp;"_saldo[@[Saldo końcowe]]")</f>
        <v>568.5</v>
      </c>
      <c r="K5" s="8" cm="1">
        <f t="array" aca="1" ref="K5" ca="1">INDIRECT(saldo[[#Headers],[Wrzesień]]&amp;"_saldo[@[Saldo końcowe]]")</f>
        <v>548.5</v>
      </c>
      <c r="L5" s="8" cm="1">
        <f t="array" aca="1" ref="L5" ca="1">INDIRECT(saldo[[#Headers],[Październik]]&amp;"_saldo[@[Saldo końcowe]]")</f>
        <v>548.5</v>
      </c>
      <c r="M5" s="8" cm="1">
        <f t="array" aca="1" ref="M5" ca="1">INDIRECT(saldo[[#Headers],[Listopad]]&amp;"_saldo[@[Saldo końcowe]]")</f>
        <v>548.5</v>
      </c>
      <c r="N5" s="8" cm="1">
        <f t="array" aca="1" ref="N5" ca="1">INDIRECT(saldo[[#Headers],[Grudzień]]&amp;"_saldo[@[Saldo końcowe]]")</f>
        <v>548.5</v>
      </c>
    </row>
    <row r="6" spans="1:14" x14ac:dyDescent="0.25">
      <c r="A6" t="s">
        <v>12</v>
      </c>
      <c r="B6" t="s">
        <v>18</v>
      </c>
      <c r="C6" s="8" cm="1">
        <f t="array" aca="1" ref="C6" ca="1">INDIRECT(saldo[[#Headers],[Styczeń]]&amp;"_saldo[@[Saldo końcowe]]")</f>
        <v>266</v>
      </c>
      <c r="D6" s="8" cm="1">
        <f t="array" aca="1" ref="D6" ca="1">INDIRECT(saldo[[#Headers],[Luty]]&amp;"_saldo[@[Saldo końcowe]]")</f>
        <v>281</v>
      </c>
      <c r="E6" s="8" cm="1">
        <f t="array" aca="1" ref="E6" ca="1">INDIRECT(saldo[[#Headers],[Marzec]]&amp;"_saldo[@[Saldo końcowe]]")</f>
        <v>286</v>
      </c>
      <c r="F6" s="8" cm="1">
        <f t="array" aca="1" ref="F6" ca="1">INDIRECT(saldo[[#Headers],[Kwiecień]]&amp;"_saldo[@[Saldo końcowe]]")</f>
        <v>336</v>
      </c>
      <c r="G6" s="8" cm="1">
        <f t="array" aca="1" ref="G6" ca="1">INDIRECT(saldo[[#Headers],[Maj]]&amp;"_saldo[@[Saldo końcowe]]")</f>
        <v>336</v>
      </c>
      <c r="H6" s="8" cm="1">
        <f t="array" aca="1" ref="H6" ca="1">INDIRECT(saldo[[#Headers],[Czerwiec]]&amp;"_saldo[@[Saldo końcowe]]")</f>
        <v>336</v>
      </c>
      <c r="I6" s="8" cm="1">
        <f t="array" aca="1" ref="I6" ca="1">INDIRECT(saldo[[#Headers],[Lipiec]]&amp;"_saldo[@[Saldo końcowe]]")</f>
        <v>1386</v>
      </c>
      <c r="J6" s="8" cm="1">
        <f t="array" aca="1" ref="J6" ca="1">INDIRECT(saldo[[#Headers],[Sierpień]]&amp;"_saldo[@[Saldo końcowe]]")</f>
        <v>1086</v>
      </c>
      <c r="K6" s="8" cm="1">
        <f t="array" aca="1" ref="K6" ca="1">INDIRECT(saldo[[#Headers],[Wrzesień]]&amp;"_saldo[@[Saldo końcowe]]")</f>
        <v>1086</v>
      </c>
      <c r="L6" s="8" cm="1">
        <f t="array" aca="1" ref="L6" ca="1">INDIRECT(saldo[[#Headers],[Październik]]&amp;"_saldo[@[Saldo końcowe]]")</f>
        <v>1086</v>
      </c>
      <c r="M6" s="8" cm="1">
        <f t="array" aca="1" ref="M6" ca="1">INDIRECT(saldo[[#Headers],[Listopad]]&amp;"_saldo[@[Saldo końcowe]]")</f>
        <v>1086</v>
      </c>
      <c r="N6" s="8" cm="1">
        <f t="array" aca="1" ref="N6" ca="1">INDIRECT(saldo[[#Headers],[Grudzień]]&amp;"_saldo[@[Saldo końcowe]]")</f>
        <v>1086</v>
      </c>
    </row>
    <row r="7" spans="1:14" x14ac:dyDescent="0.25">
      <c r="A7" t="s">
        <v>24</v>
      </c>
      <c r="B7" t="s">
        <v>25</v>
      </c>
      <c r="C7" s="8" cm="1">
        <f t="array" aca="1" ref="C7" ca="1">INDIRECT(saldo[[#Headers],[Styczeń]]&amp;"_saldo[@[Saldo końcowe]]")</f>
        <v>150</v>
      </c>
      <c r="D7" s="8" cm="1">
        <f t="array" aca="1" ref="D7" ca="1">INDIRECT(saldo[[#Headers],[Luty]]&amp;"_saldo[@[Saldo końcowe]]")</f>
        <v>250</v>
      </c>
      <c r="E7" s="8" cm="1">
        <f t="array" aca="1" ref="E7" ca="1">INDIRECT(saldo[[#Headers],[Marzec]]&amp;"_saldo[@[Saldo końcowe]]")</f>
        <v>225.51</v>
      </c>
      <c r="F7" s="8" cm="1">
        <f t="array" aca="1" ref="F7" ca="1">INDIRECT(saldo[[#Headers],[Kwiecień]]&amp;"_saldo[@[Saldo końcowe]]")</f>
        <v>225.51</v>
      </c>
      <c r="G7" s="8" cm="1">
        <f t="array" aca="1" ref="G7" ca="1">INDIRECT(saldo[[#Headers],[Maj]]&amp;"_saldo[@[Saldo końcowe]]")</f>
        <v>225.51</v>
      </c>
      <c r="H7" s="8" cm="1">
        <f t="array" aca="1" ref="H7" ca="1">INDIRECT(saldo[[#Headers],[Czerwiec]]&amp;"_saldo[@[Saldo końcowe]]")</f>
        <v>225.51</v>
      </c>
      <c r="I7" s="8" cm="1">
        <f t="array" aca="1" ref="I7" ca="1">INDIRECT(saldo[[#Headers],[Lipiec]]&amp;"_saldo[@[Saldo końcowe]]")</f>
        <v>195.51</v>
      </c>
      <c r="J7" s="8" cm="1">
        <f t="array" aca="1" ref="J7" ca="1">INDIRECT(saldo[[#Headers],[Sierpień]]&amp;"_saldo[@[Saldo końcowe]]")</f>
        <v>195.51</v>
      </c>
      <c r="K7" s="8" cm="1">
        <f t="array" aca="1" ref="K7" ca="1">INDIRECT(saldo[[#Headers],[Wrzesień]]&amp;"_saldo[@[Saldo końcowe]]")</f>
        <v>195.51</v>
      </c>
      <c r="L7" s="8" cm="1">
        <f t="array" aca="1" ref="L7" ca="1">INDIRECT(saldo[[#Headers],[Październik]]&amp;"_saldo[@[Saldo końcowe]]")</f>
        <v>195.51</v>
      </c>
      <c r="M7" s="8" cm="1">
        <f t="array" aca="1" ref="M7" ca="1">INDIRECT(saldo[[#Headers],[Listopad]]&amp;"_saldo[@[Saldo końcowe]]")</f>
        <v>195.51</v>
      </c>
      <c r="N7" s="8" cm="1">
        <f t="array" aca="1" ref="N7" ca="1">INDIRECT(saldo[[#Headers],[Grudzień]]&amp;"_saldo[@[Saldo końcowe]]")</f>
        <v>195.51</v>
      </c>
    </row>
    <row r="8" spans="1:14" x14ac:dyDescent="0.25">
      <c r="A8" t="s">
        <v>24</v>
      </c>
      <c r="B8" t="s">
        <v>26</v>
      </c>
      <c r="C8" s="8" cm="1">
        <f t="array" aca="1" ref="C8" ca="1">INDIRECT(saldo[[#Headers],[Styczeń]]&amp;"_saldo[@[Saldo końcowe]]")</f>
        <v>180</v>
      </c>
      <c r="D8" s="8" cm="1">
        <f t="array" aca="1" ref="D8" ca="1">INDIRECT(saldo[[#Headers],[Luty]]&amp;"_saldo[@[Saldo końcowe]]")</f>
        <v>680</v>
      </c>
      <c r="E8" s="8" cm="1">
        <f t="array" aca="1" ref="E8" ca="1">INDIRECT(saldo[[#Headers],[Marzec]]&amp;"_saldo[@[Saldo końcowe]]")</f>
        <v>670.5</v>
      </c>
      <c r="F8" s="8" cm="1">
        <f t="array" aca="1" ref="F8" ca="1">INDIRECT(saldo[[#Headers],[Kwiecień]]&amp;"_saldo[@[Saldo końcowe]]")</f>
        <v>670.5</v>
      </c>
      <c r="G8" s="8" cm="1">
        <f t="array" aca="1" ref="G8" ca="1">INDIRECT(saldo[[#Headers],[Maj]]&amp;"_saldo[@[Saldo końcowe]]")</f>
        <v>590.5</v>
      </c>
      <c r="H8" s="8" cm="1">
        <f t="array" aca="1" ref="H8" ca="1">INDIRECT(saldo[[#Headers],[Czerwiec]]&amp;"_saldo[@[Saldo końcowe]]")</f>
        <v>390.5</v>
      </c>
      <c r="I8" s="8" cm="1">
        <f t="array" aca="1" ref="I8" ca="1">INDIRECT(saldo[[#Headers],[Lipiec]]&amp;"_saldo[@[Saldo końcowe]]")</f>
        <v>390.5</v>
      </c>
      <c r="J8" s="8" cm="1">
        <f t="array" aca="1" ref="J8" ca="1">INDIRECT(saldo[[#Headers],[Sierpień]]&amp;"_saldo[@[Saldo końcowe]]")</f>
        <v>393</v>
      </c>
      <c r="K8" s="8" cm="1">
        <f t="array" aca="1" ref="K8" ca="1">INDIRECT(saldo[[#Headers],[Wrzesień]]&amp;"_saldo[@[Saldo końcowe]]")</f>
        <v>393</v>
      </c>
      <c r="L8" s="8" cm="1">
        <f t="array" aca="1" ref="L8" ca="1">INDIRECT(saldo[[#Headers],[Październik]]&amp;"_saldo[@[Saldo końcowe]]")</f>
        <v>393</v>
      </c>
      <c r="M8" s="8" cm="1">
        <f t="array" aca="1" ref="M8" ca="1">INDIRECT(saldo[[#Headers],[Listopad]]&amp;"_saldo[@[Saldo końcowe]]")</f>
        <v>793</v>
      </c>
      <c r="N8" s="8" cm="1">
        <f t="array" aca="1" ref="N8" ca="1">INDIRECT(saldo[[#Headers],[Grudzień]]&amp;"_saldo[@[Saldo końcowe]]")</f>
        <v>1893</v>
      </c>
    </row>
    <row r="9" spans="1:14" x14ac:dyDescent="0.25">
      <c r="A9" t="s">
        <v>59</v>
      </c>
      <c r="C9" s="8">
        <f ca="1">SUM(C2:C8)</f>
        <v>3786</v>
      </c>
      <c r="D9" s="8">
        <f t="shared" ref="D9:N9" ca="1" si="0">SUM(D2:D8)</f>
        <v>6250.5</v>
      </c>
      <c r="E9" s="8">
        <f t="shared" ca="1" si="0"/>
        <v>7006.1100000000006</v>
      </c>
      <c r="F9" s="8">
        <f t="shared" ca="1" si="0"/>
        <v>7732.95</v>
      </c>
      <c r="G9" s="8">
        <f t="shared" ca="1" si="0"/>
        <v>9022.9500000000007</v>
      </c>
      <c r="H9" s="8">
        <f t="shared" ca="1" si="0"/>
        <v>10192.950000000001</v>
      </c>
      <c r="I9" s="8">
        <f t="shared" ca="1" si="0"/>
        <v>13107.95</v>
      </c>
      <c r="J9" s="8">
        <f t="shared" ca="1" si="0"/>
        <v>13498.45</v>
      </c>
      <c r="K9" s="8">
        <f t="shared" ca="1" si="0"/>
        <v>15249.95</v>
      </c>
      <c r="L9" s="8">
        <f t="shared" ca="1" si="0"/>
        <v>16919.95</v>
      </c>
      <c r="M9" s="8">
        <f t="shared" ca="1" si="0"/>
        <v>18319.95</v>
      </c>
      <c r="N9" s="8">
        <f t="shared" ca="1" si="0"/>
        <v>20739.95</v>
      </c>
    </row>
    <row r="11" spans="1:14" x14ac:dyDescent="0.25"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 spans="1:14" x14ac:dyDescent="0.25">
      <c r="B12" t="str" cm="1">
        <f t="array" ref="B12:B14">_xlfn.UNIQUE(Kategorie[[Typ ]])</f>
        <v>Transfer</v>
      </c>
      <c r="C12" s="8" cm="1">
        <f t="array" aca="1" ref="C12" ca="1">_xlfn.XLOOKUP($B12&amp;" Suma",INDIRECT(C$11&amp;"!$B$14:$B$32"),INDIRECT(C$11&amp;"!$C$14:$C$32"))</f>
        <v>0</v>
      </c>
      <c r="D12" s="8" cm="1">
        <f t="array" aca="1" ref="D12" ca="1">_xlfn.XLOOKUP($B12&amp;" Suma",INDIRECT(D$11&amp;"!$B$14:$B$32"),INDIRECT(D$11&amp;"!$C$14:$C$32"))</f>
        <v>0</v>
      </c>
      <c r="E12" s="8" cm="1">
        <f t="array" aca="1" ref="E12" ca="1">_xlfn.XLOOKUP($B12&amp;" Suma",INDIRECT(E$11&amp;"!$B$14:$B$32"),INDIRECT(E$11&amp;"!$C$14:$C$32"))</f>
        <v>0</v>
      </c>
      <c r="F12" s="8" cm="1">
        <f t="array" aca="1" ref="F12" ca="1">_xlfn.XLOOKUP($B12&amp;" Suma",INDIRECT(F$11&amp;"!$B$14:$B$32"),INDIRECT(F$11&amp;"!$C$14:$C$32"))</f>
        <v>0</v>
      </c>
      <c r="G12" s="8" cm="1">
        <f t="array" aca="1" ref="G12" ca="1">_xlfn.XLOOKUP($B12&amp;" Suma",INDIRECT(G$11&amp;"!$B$14:$B$32"),INDIRECT(G$11&amp;"!$C$14:$C$32"))</f>
        <v>0</v>
      </c>
      <c r="H12" s="8" cm="1">
        <f t="array" aca="1" ref="H12" ca="1">_xlfn.XLOOKUP($B12&amp;" Suma",INDIRECT(H$11&amp;"!$B$14:$B$32"),INDIRECT(H$11&amp;"!$C$14:$C$32"))</f>
        <v>0</v>
      </c>
      <c r="I12" s="8" cm="1">
        <f t="array" aca="1" ref="I12" ca="1">_xlfn.XLOOKUP($B12&amp;" Suma",INDIRECT(I$11&amp;"!$B$14:$B$32"),INDIRECT(I$11&amp;"!$C$14:$C$32"))</f>
        <v>0</v>
      </c>
      <c r="J12" s="8" cm="1">
        <f t="array" aca="1" ref="J12" ca="1">_xlfn.XLOOKUP($B12&amp;" Suma",INDIRECT(J$11&amp;"!$B$14:$B$32"),INDIRECT(J$11&amp;"!$C$14:$C$32"))</f>
        <v>-1020</v>
      </c>
      <c r="K12" s="8" cm="1">
        <f t="array" aca="1" ref="K12" ca="1">_xlfn.XLOOKUP($B12&amp;" Suma",INDIRECT(K$11&amp;"!$B$14:$B$32"),INDIRECT(K$11&amp;"!$C$14:$C$32"))</f>
        <v>0</v>
      </c>
      <c r="L12" s="8" cm="1">
        <f t="array" aca="1" ref="L12" ca="1">_xlfn.XLOOKUP($B12&amp;" Suma",INDIRECT(L$11&amp;"!$B$14:$B$32"),INDIRECT(L$11&amp;"!$C$14:$C$32"))</f>
        <v>0</v>
      </c>
      <c r="M12" s="8" cm="1">
        <f t="array" aca="1" ref="M12" ca="1">_xlfn.XLOOKUP($B12&amp;" Suma",INDIRECT(M$11&amp;"!$B$14:$B$32"),INDIRECT(M$11&amp;"!$C$14:$C$32"))</f>
        <v>0</v>
      </c>
      <c r="N12" s="8" cm="1">
        <f t="array" aca="1" ref="N12" ca="1">_xlfn.XLOOKUP($B12&amp;" Suma",INDIRECT(N$11&amp;"!$B$14:$B$32"),INDIRECT(N$11&amp;"!$C$14:$C$32"))</f>
        <v>0</v>
      </c>
    </row>
    <row r="13" spans="1:14" x14ac:dyDescent="0.25">
      <c r="B13" t="str">
        <v>Wpływy</v>
      </c>
      <c r="C13" s="8" cm="1">
        <f t="array" aca="1" ref="C13" ca="1">_xlfn.XLOOKUP($B13&amp;" Suma",INDIRECT(C$11&amp;"!$B$14:$B$32"),INDIRECT(C$11&amp;"!$C$14:$C$32"))</f>
        <v>5655.5</v>
      </c>
      <c r="D13" s="8" cm="1">
        <f t="array" aca="1" ref="D13" ca="1">_xlfn.XLOOKUP($B13&amp;" Suma",INDIRECT(D$11&amp;"!$B$14:$B$32"),INDIRECT(D$11&amp;"!$C$14:$C$32"))</f>
        <v>6565</v>
      </c>
      <c r="E13" s="8" cm="1">
        <f t="array" aca="1" ref="E13" ca="1">_xlfn.XLOOKUP($B13&amp;" Suma",INDIRECT(E$11&amp;"!$B$14:$B$32"),INDIRECT(E$11&amp;"!$C$14:$C$32"))</f>
        <v>4655</v>
      </c>
      <c r="F13" s="8" cm="1">
        <f t="array" aca="1" ref="F13" ca="1">_xlfn.XLOOKUP($B13&amp;" Suma",INDIRECT(F$11&amp;"!$B$14:$B$32"),INDIRECT(F$11&amp;"!$C$14:$C$32"))</f>
        <v>4700</v>
      </c>
      <c r="G13" s="8" cm="1">
        <f t="array" aca="1" ref="G13" ca="1">_xlfn.XLOOKUP($B13&amp;" Suma",INDIRECT(G$11&amp;"!$B$14:$B$32"),INDIRECT(G$11&amp;"!$C$14:$C$32"))</f>
        <v>4500</v>
      </c>
      <c r="H13" s="8" cm="1">
        <f t="array" aca="1" ref="H13" ca="1">_xlfn.XLOOKUP($B13&amp;" Suma",INDIRECT(H$11&amp;"!$B$14:$B$32"),INDIRECT(H$11&amp;"!$C$14:$C$32"))</f>
        <v>4900</v>
      </c>
      <c r="I13" s="8" cm="1">
        <f t="array" aca="1" ref="I13" ca="1">_xlfn.XLOOKUP($B13&amp;" Suma",INDIRECT(I$11&amp;"!$B$14:$B$32"),INDIRECT(I$11&amp;"!$C$14:$C$32"))</f>
        <v>5920</v>
      </c>
      <c r="J13" s="8" cm="1">
        <f t="array" aca="1" ref="J13" ca="1">_xlfn.XLOOKUP($B13&amp;" Suma",INDIRECT(J$11&amp;"!$B$14:$B$32"),INDIRECT(J$11&amp;"!$C$14:$C$32"))</f>
        <v>5400</v>
      </c>
      <c r="K13" s="8" cm="1">
        <f t="array" aca="1" ref="K13" ca="1">_xlfn.XLOOKUP($B13&amp;" Suma",INDIRECT(K$11&amp;"!$B$14:$B$32"),INDIRECT(K$11&amp;"!$C$14:$C$32"))</f>
        <v>4500</v>
      </c>
      <c r="L13" s="8" cm="1">
        <f t="array" aca="1" ref="L13" ca="1">_xlfn.XLOOKUP($B13&amp;" Suma",INDIRECT(L$11&amp;"!$B$14:$B$32"),INDIRECT(L$11&amp;"!$C$14:$C$32"))</f>
        <v>4500</v>
      </c>
      <c r="M13" s="8" cm="1">
        <f t="array" aca="1" ref="M13" ca="1">_xlfn.XLOOKUP($B13&amp;" Suma",INDIRECT(M$11&amp;"!$B$14:$B$32"),INDIRECT(M$11&amp;"!$C$14:$C$32"))</f>
        <v>4900</v>
      </c>
      <c r="N13" s="8" cm="1">
        <f t="array" aca="1" ref="N13" ca="1">_xlfn.XLOOKUP($B13&amp;" Suma",INDIRECT(N$11&amp;"!$B$14:$B$32"),INDIRECT(N$11&amp;"!$C$14:$C$32"))</f>
        <v>6500</v>
      </c>
    </row>
    <row r="14" spans="1:14" x14ac:dyDescent="0.25">
      <c r="B14" t="str">
        <v>Wydatki</v>
      </c>
      <c r="C14" s="8" cm="1">
        <f t="array" aca="1" ref="C14" ca="1">_xlfn.XLOOKUP($B14&amp;" Suma",INDIRECT(C$11&amp;"!$B$14:$B$32"),INDIRECT(C$11&amp;"!$C$14:$C$32"))</f>
        <v>-4810</v>
      </c>
      <c r="D14" s="8" cm="1">
        <f t="array" aca="1" ref="D14" ca="1">_xlfn.XLOOKUP($B14&amp;" Suma",INDIRECT(D$11&amp;"!$B$14:$B$32"),INDIRECT(D$11&amp;"!$C$14:$C$32"))</f>
        <v>-4100.5</v>
      </c>
      <c r="E14" s="8" cm="1">
        <f t="array" aca="1" ref="E14" ca="1">_xlfn.XLOOKUP($B14&amp;" Suma",INDIRECT(E$11&amp;"!$B$14:$B$32"),INDIRECT(E$11&amp;"!$C$14:$C$32"))</f>
        <v>-3899.39</v>
      </c>
      <c r="F14" s="8" cm="1">
        <f t="array" aca="1" ref="F14" ca="1">_xlfn.XLOOKUP($B14&amp;" Suma",INDIRECT(F$11&amp;"!$B$14:$B$32"),INDIRECT(F$11&amp;"!$C$14:$C$32"))</f>
        <v>-3973.1600000000003</v>
      </c>
      <c r="G14" s="8" cm="1">
        <f t="array" aca="1" ref="G14" ca="1">_xlfn.XLOOKUP($B14&amp;" Suma",INDIRECT(G$11&amp;"!$B$14:$B$32"),INDIRECT(G$11&amp;"!$C$14:$C$32"))</f>
        <v>-3210</v>
      </c>
      <c r="H14" s="8" cm="1">
        <f t="array" aca="1" ref="H14" ca="1">_xlfn.XLOOKUP($B14&amp;" Suma",INDIRECT(H$11&amp;"!$B$14:$B$32"),INDIRECT(H$11&amp;"!$C$14:$C$32"))</f>
        <v>-3730</v>
      </c>
      <c r="I14" s="8" cm="1">
        <f t="array" aca="1" ref="I14" ca="1">_xlfn.XLOOKUP($B14&amp;" Suma",INDIRECT(I$11&amp;"!$B$14:$B$32"),INDIRECT(I$11&amp;"!$C$14:$C$32"))</f>
        <v>-3005</v>
      </c>
      <c r="J14" s="8" cm="1">
        <f t="array" aca="1" ref="J14" ca="1">_xlfn.XLOOKUP($B14&amp;" Suma",INDIRECT(J$11&amp;"!$B$14:$B$32"),INDIRECT(J$11&amp;"!$C$14:$C$32"))</f>
        <v>-3989.5</v>
      </c>
      <c r="K14" s="8" cm="1">
        <f t="array" aca="1" ref="K14" ca="1">_xlfn.XLOOKUP($B14&amp;" Suma",INDIRECT(K$11&amp;"!$B$14:$B$32"),INDIRECT(K$11&amp;"!$C$14:$C$32"))</f>
        <v>-2748.5</v>
      </c>
      <c r="L14" s="8" cm="1">
        <f t="array" aca="1" ref="L14" ca="1">_xlfn.XLOOKUP($B14&amp;" Suma",INDIRECT(L$11&amp;"!$B$14:$B$32"),INDIRECT(L$11&amp;"!$C$14:$C$32"))</f>
        <v>-2830</v>
      </c>
      <c r="M14" s="8" cm="1">
        <f t="array" aca="1" ref="M14" ca="1">_xlfn.XLOOKUP($B14&amp;" Suma",INDIRECT(M$11&amp;"!$B$14:$B$32"),INDIRECT(M$11&amp;"!$C$14:$C$32"))</f>
        <v>-3500</v>
      </c>
      <c r="N14" s="8" cm="1">
        <f t="array" aca="1" ref="N14" ca="1">_xlfn.XLOOKUP($B14&amp;" Suma",INDIRECT(N$11&amp;"!$B$14:$B$32"),INDIRECT(N$11&amp;"!$C$14:$C$32"))</f>
        <v>-4080</v>
      </c>
    </row>
    <row r="15" spans="1:14" x14ac:dyDescent="0.25">
      <c r="B15" t="s">
        <v>41</v>
      </c>
      <c r="C15" s="8">
        <f ca="1">SUM(C12:C14)</f>
        <v>845.5</v>
      </c>
      <c r="D15" s="8">
        <f t="shared" ref="D15:N15" ca="1" si="1">SUM(D12:D14)</f>
        <v>2464.5</v>
      </c>
      <c r="E15" s="8">
        <f t="shared" ca="1" si="1"/>
        <v>755.61000000000013</v>
      </c>
      <c r="F15" s="8">
        <f t="shared" ca="1" si="1"/>
        <v>726.83999999999969</v>
      </c>
      <c r="G15" s="8">
        <f t="shared" ca="1" si="1"/>
        <v>1290</v>
      </c>
      <c r="H15" s="8">
        <f t="shared" ca="1" si="1"/>
        <v>1170</v>
      </c>
      <c r="I15" s="8">
        <f t="shared" ca="1" si="1"/>
        <v>2915</v>
      </c>
      <c r="J15" s="8">
        <f t="shared" ca="1" si="1"/>
        <v>390.5</v>
      </c>
      <c r="K15" s="8">
        <f t="shared" ca="1" si="1"/>
        <v>1751.5</v>
      </c>
      <c r="L15" s="8">
        <f t="shared" ca="1" si="1"/>
        <v>1670</v>
      </c>
      <c r="M15" s="8">
        <f t="shared" ca="1" si="1"/>
        <v>1400</v>
      </c>
      <c r="N15" s="8">
        <f t="shared" ca="1" si="1"/>
        <v>2420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5727-7DDF-4499-8218-2FBB92129661}">
  <dimension ref="A1:F33"/>
  <sheetViews>
    <sheetView workbookViewId="0">
      <selection activeCell="C13" sqref="C13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>
        <v>0</v>
      </c>
      <c r="E2" s="4">
        <f>SUMIFS(operacje[Kwota],operacje[Bank],Styczeń_saldo[[#This Row],[Bank]],operacje[Produkt],Styczeń_saldo[[#This Row],[Produkt]],operacje[Kolumna2],$B$11)</f>
        <v>-175</v>
      </c>
      <c r="F2" s="4">
        <f>Styczeń_saldo[[#This Row],[Operacje]]+Styczeń_saldo[[#This Row],[Saldo początkowe ]]</f>
        <v>-175</v>
      </c>
    </row>
    <row r="3" spans="1:6" x14ac:dyDescent="0.25">
      <c r="A3" t="s">
        <v>5</v>
      </c>
      <c r="B3" t="s">
        <v>6</v>
      </c>
      <c r="D3" s="4">
        <v>600</v>
      </c>
      <c r="E3" s="4">
        <f>SUMIFS(operacje[Kwota],operacje[Bank],Styczeń_saldo[[#This Row],[Bank]],operacje[Produkt],Styczeń_saldo[[#This Row],[Produkt]],operacje[Kolumna2],$B$11)</f>
        <v>1100</v>
      </c>
      <c r="F3" s="4">
        <f>Styczeń_saldo[[#This Row],[Operacje]]+Styczeń_saldo[[#This Row],[Saldo początkowe ]]</f>
        <v>1700</v>
      </c>
    </row>
    <row r="4" spans="1:6" x14ac:dyDescent="0.25">
      <c r="A4" t="s">
        <v>5</v>
      </c>
      <c r="B4" t="s">
        <v>16</v>
      </c>
      <c r="D4" s="4">
        <v>2000</v>
      </c>
      <c r="E4" s="4">
        <f>SUMIFS(operacje[Kwota],operacje[Bank],Styczeń_saldo[[#This Row],[Bank]],operacje[Produkt],Styczeń_saldo[[#This Row],[Produkt]],operacje[Kolumna2],$B$11)</f>
        <v>-400</v>
      </c>
      <c r="F4" s="4">
        <f>Styczeń_saldo[[#This Row],[Operacje]]+Styczeń_saldo[[#This Row],[Saldo początkowe ]]</f>
        <v>1600</v>
      </c>
    </row>
    <row r="5" spans="1:6" x14ac:dyDescent="0.25">
      <c r="A5" t="s">
        <v>12</v>
      </c>
      <c r="B5" t="s">
        <v>6</v>
      </c>
      <c r="D5" s="4">
        <v>100</v>
      </c>
      <c r="E5" s="4">
        <f>SUMIFS(operacje[Kwota],operacje[Bank],Styczeń_saldo[[#This Row],[Bank]],operacje[Produkt],Styczeń_saldo[[#This Row],[Produkt]],operacje[Kolumna2],$B$11)</f>
        <v>-35</v>
      </c>
      <c r="F5" s="4">
        <f>Styczeń_saldo[[#This Row],[Operacje]]+Styczeń_saldo[[#This Row],[Saldo początkowe ]]</f>
        <v>65</v>
      </c>
    </row>
    <row r="6" spans="1:6" x14ac:dyDescent="0.25">
      <c r="A6" t="s">
        <v>12</v>
      </c>
      <c r="B6" t="s">
        <v>18</v>
      </c>
      <c r="D6" s="4">
        <v>10.5</v>
      </c>
      <c r="E6" s="4">
        <f>SUMIFS(operacje[Kwota],operacje[Bank],Styczeń_saldo[[#This Row],[Bank]],operacje[Produkt],Styczeń_saldo[[#This Row],[Produkt]],operacje[Kolumna2],$B$11)</f>
        <v>255.5</v>
      </c>
      <c r="F6" s="4">
        <f>Styczeń_saldo[[#This Row],[Operacje]]+Styczeń_saldo[[#This Row],[Saldo początkowe ]]</f>
        <v>266</v>
      </c>
    </row>
    <row r="7" spans="1:6" x14ac:dyDescent="0.25">
      <c r="A7" t="s">
        <v>24</v>
      </c>
      <c r="B7" t="s">
        <v>25</v>
      </c>
      <c r="D7" s="4">
        <v>200</v>
      </c>
      <c r="E7" s="4">
        <f>SUMIFS(operacje[Kwota],operacje[Bank],Styczeń_saldo[[#This Row],[Bank]],operacje[Produkt],Styczeń_saldo[[#This Row],[Produkt]],operacje[Kolumna2],$B$11)</f>
        <v>-50</v>
      </c>
      <c r="F7" s="4">
        <f>Styczeń_saldo[[#This Row],[Operacje]]+Styczeń_saldo[[#This Row],[Saldo początkowe ]]</f>
        <v>150</v>
      </c>
    </row>
    <row r="8" spans="1:6" x14ac:dyDescent="0.25">
      <c r="A8" t="s">
        <v>24</v>
      </c>
      <c r="B8" t="s">
        <v>26</v>
      </c>
      <c r="D8" s="4">
        <v>30</v>
      </c>
      <c r="E8" s="4">
        <f>SUMIFS(operacje[Kwota],operacje[Bank],Styczeń_saldo[[#This Row],[Bank]],operacje[Produkt],Styczeń_saldo[[#This Row],[Produkt]],operacje[Kolumna2],$B$11)</f>
        <v>150</v>
      </c>
      <c r="F8" s="4">
        <f>Styczeń_saldo[[#This Row],[Operacje]]+Styczeń_saldo[[#This Row],[Saldo początkowe ]]</f>
        <v>180</v>
      </c>
    </row>
    <row r="9" spans="1:6" x14ac:dyDescent="0.25">
      <c r="A9" t="s">
        <v>41</v>
      </c>
      <c r="C9">
        <f>SUBTOTAL(109,Styczeń_saldo[Produkt2])</f>
        <v>0</v>
      </c>
      <c r="D9" s="4">
        <f>SUBTOTAL(109,Styczeń_saldo[[Saldo początkowe ]])</f>
        <v>2940.5</v>
      </c>
      <c r="E9" s="4">
        <f>SUBTOTAL(109,Styczeń_saldo[Operacje])</f>
        <v>845.5</v>
      </c>
      <c r="F9" s="4">
        <f>SUBTOTAL(109,Styczeń_saldo[Saldo końcowe])</f>
        <v>3786</v>
      </c>
    </row>
    <row r="11" spans="1:6" x14ac:dyDescent="0.25">
      <c r="A11" t="s">
        <v>42</v>
      </c>
      <c r="B11">
        <v>1</v>
      </c>
      <c r="C11" t="str">
        <f>TEXT(DATE(2025,B11,1),"mmmm")</f>
        <v>styczeń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SUMIFS(operacje[Kwota],operacje[Kategoria],$A14,operacje[Kolumna2],styczeń!$B$11)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SUMIFS(operacje[Kwota],operacje[Kategoria],$A16,operacje[Kolumna2],styczeń!$B$11)</f>
        <v>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SUMIFS(operacje[Kwota],operacje[Kategoria],$A17,operacje[Kolumna2],styczeń!$B$11)</f>
        <v>105.5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SUMIFS(operacje[Kwota],operacje[Kategoria],$A18,operacje[Kolumna2],styczeń!$B$11)</f>
        <v>250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SUMIFS(operacje[Kwota],operacje[Kategoria],$A19,operacje[Kolumna2],styczeń!$B$11)</f>
        <v>800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SUMIFS(operacje[Kwota],operacje[Kategoria],$A20,operacje[Kolumna2],styczeń!$B$11)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SUMIFS(operacje[Kwota],operacje[Kategoria],$A21,operacje[Kolumna2],styczeń!$B$11)</f>
        <v>4500</v>
      </c>
    </row>
    <row r="22" spans="1:3" outlineLevel="1" x14ac:dyDescent="0.25">
      <c r="A22" s="5"/>
      <c r="B22" s="6" t="s">
        <v>44</v>
      </c>
      <c r="C22" s="5">
        <f>SUBTOTAL(9,C16:C21)</f>
        <v>5655.5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SUMIFS(operacje[Kwota],operacje[Kategoria],$A23,operacje[Kolumna2],styczeń!$B$11)</f>
        <v>-1715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SUMIFS(operacje[Kwota],operacje[Kategoria],$A24,operacje[Kolumna2],styczeń!$B$11)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SUMIFS(operacje[Kwota],operacje[Kategoria],$A25,operacje[Kolumna2],styczeń!$B$11)</f>
        <v>-80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SUMIFS(operacje[Kwota],operacje[Kategoria],$A26,operacje[Kolumna2],styczeń!$B$11)</f>
        <v>-500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SUMIFS(operacje[Kwota],operacje[Kategoria],$A27,operacje[Kolumna2],styczeń!$B$11)</f>
        <v>-85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SUMIFS(operacje[Kwota],operacje[Kategoria],$A28,operacje[Kolumna2],styczeń!$B$11)</f>
        <v>-100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SUMIFS(operacje[Kwota],operacje[Kategoria],$A29,operacje[Kolumna2],styczeń!$B$11)</f>
        <v>-150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SUMIFS(operacje[Kwota],operacje[Kategoria],$A30,operacje[Kolumna2],styczeń!$B$11)</f>
        <v>-80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SUMIFS(operacje[Kwota],operacje[Kategoria],$A31,operacje[Kolumna2],styczeń!$B$11)</f>
        <v>-100</v>
      </c>
    </row>
    <row r="32" spans="1:3" outlineLevel="1" x14ac:dyDescent="0.25">
      <c r="B32" s="7" t="s">
        <v>45</v>
      </c>
      <c r="C32">
        <f>SUBTOTAL(9,C23:C31)</f>
        <v>-4810</v>
      </c>
    </row>
    <row r="33" spans="2:3" x14ac:dyDescent="0.25">
      <c r="B33" s="7" t="s">
        <v>46</v>
      </c>
      <c r="C33">
        <f>SUBTOTAL(9,C14:C31)</f>
        <v>845.5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DC45-8A33-4976-B0F3-975003C3D08C}">
  <dimension ref="A1:F33"/>
  <sheetViews>
    <sheetView workbookViewId="0">
      <selection activeCell="H13" sqref="H13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-175</v>
      </c>
      <c r="E2" s="4">
        <f>SUMIFS(operacje[Kwota],operacje[Bank],Luty_saldo[[#This Row],[Bank]],operacje[Produkt],Luty_saldo[[#This Row],[Produkt]],operacje[Kolumna2],$B$11)</f>
        <v>175</v>
      </c>
      <c r="F2" s="4">
        <f ca="1">Luty_saldo[[#This Row],[Operacje]]+Luty_saldo[[#This Row],[Saldo początkowe ]]</f>
        <v>0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1700</v>
      </c>
      <c r="E3" s="4">
        <f>SUMIFS(operacje[Kwota],operacje[Bank],Luty_saldo[[#This Row],[Bank]],operacje[Produkt],Luty_saldo[[#This Row],[Produkt]],operacje[Kolumna2],$B$11)</f>
        <v>2039.5</v>
      </c>
      <c r="F3" s="4">
        <f ca="1">Luty_saldo[[#This Row],[Operacje]]+Luty_saldo[[#This Row],[Saldo początkowe ]]</f>
        <v>3739.5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1600</v>
      </c>
      <c r="E4" s="4">
        <f>SUMIFS(operacje[Kwota],operacje[Bank],Luty_saldo[[#This Row],[Bank]],operacje[Produkt],Luty_saldo[[#This Row],[Produkt]],operacje[Kolumna2],$B$11)</f>
        <v>-400</v>
      </c>
      <c r="F4" s="4">
        <f ca="1">Luty_saldo[[#This Row],[Operacje]]+Luty_saldo[[#This Row],[Saldo początkowe ]]</f>
        <v>1200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65</v>
      </c>
      <c r="E5" s="4">
        <f>SUMIFS(operacje[Kwota],operacje[Bank],Luty_saldo[[#This Row],[Bank]],operacje[Produkt],Luty_saldo[[#This Row],[Produkt]],operacje[Kolumna2],$B$11)</f>
        <v>35</v>
      </c>
      <c r="F5" s="4">
        <f ca="1">Luty_saldo[[#This Row],[Operacje]]+Luty_saldo[[#This Row],[Saldo początkowe ]]</f>
        <v>100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266</v>
      </c>
      <c r="E6" s="4">
        <f>SUMIFS(operacje[Kwota],operacje[Bank],Luty_saldo[[#This Row],[Bank]],operacje[Produkt],Luty_saldo[[#This Row],[Produkt]],operacje[Kolumna2],$B$11)</f>
        <v>15</v>
      </c>
      <c r="F6" s="4">
        <f ca="1">Luty_saldo[[#This Row],[Operacje]]+Luty_saldo[[#This Row],[Saldo początkowe ]]</f>
        <v>281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150</v>
      </c>
      <c r="E7" s="4">
        <f>SUMIFS(operacje[Kwota],operacje[Bank],Luty_saldo[[#This Row],[Bank]],operacje[Produkt],Luty_saldo[[#This Row],[Produkt]],operacje[Kolumna2],$B$11)</f>
        <v>100</v>
      </c>
      <c r="F7" s="4">
        <f ca="1">Luty_saldo[[#This Row],[Operacje]]+Luty_saldo[[#This Row],[Saldo początkowe ]]</f>
        <v>250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180</v>
      </c>
      <c r="E8" s="4">
        <f>SUMIFS(operacje[Kwota],operacje[Bank],Luty_saldo[[#This Row],[Bank]],operacje[Produkt],Luty_saldo[[#This Row],[Produkt]],operacje[Kolumna2],$B$11)</f>
        <v>500</v>
      </c>
      <c r="F8" s="4">
        <f ca="1">Luty_saldo[[#This Row],[Operacje]]+Luty_saldo[[#This Row],[Saldo początkowe ]]</f>
        <v>680</v>
      </c>
    </row>
    <row r="9" spans="1:6" x14ac:dyDescent="0.25">
      <c r="A9" t="s">
        <v>41</v>
      </c>
      <c r="C9">
        <f>SUBTOTAL(109,Luty_saldo[Produkt2])</f>
        <v>0</v>
      </c>
      <c r="D9" s="4">
        <f ca="1">SUBTOTAL(109,Luty_saldo[[Saldo początkowe ]])</f>
        <v>3786</v>
      </c>
      <c r="E9" s="4">
        <f>SUBTOTAL(109,Luty_saldo[Operacje])</f>
        <v>2464.5</v>
      </c>
      <c r="F9" s="4">
        <f ca="1">SUBTOTAL(109,Luty_saldo[Saldo końcowe])</f>
        <v>6250.5</v>
      </c>
    </row>
    <row r="11" spans="1:6" x14ac:dyDescent="0.25">
      <c r="A11" t="s">
        <v>42</v>
      </c>
      <c r="B11">
        <v>2</v>
      </c>
      <c r="C11" t="str">
        <f>TEXT(DATE(2025,B11,1),"mmmm")</f>
        <v>luty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SUMIFS(operacje[Kwota],operacje[Kategoria],$A14,operacje[Kolumna2],luty!$B$11)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SUMIFS(operacje[Kwota],operacje[Kategoria],$A16,operacje[Kolumna2],luty!$B$11)</f>
        <v>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SUMIFS(operacje[Kwota],operacje[Kategoria],$A17,operacje[Kolumna2],luty!$B$11)</f>
        <v>115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SUMIFS(operacje[Kwota],operacje[Kategoria],$A18,operacje[Kolumna2],luty!$B$11)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SUMIFS(operacje[Kwota],operacje[Kategoria],$A19,operacje[Kolumna2],luty!$B$11)</f>
        <v>1950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SUMIFS(operacje[Kwota],operacje[Kategoria],$A20,operacje[Kolumna2],luty!$B$11)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SUMIFS(operacje[Kwota],operacje[Kategoria],$A21,operacje[Kolumna2],luty!$B$11)</f>
        <v>4500</v>
      </c>
    </row>
    <row r="22" spans="1:3" outlineLevel="1" x14ac:dyDescent="0.25">
      <c r="A22" s="5"/>
      <c r="B22" s="6" t="s">
        <v>44</v>
      </c>
      <c r="C22" s="5">
        <f>SUBTOTAL(9,C16:C21)</f>
        <v>6565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SUMIFS(operacje[Kwota],operacje[Kategoria],$A23,operacje[Kolumna2],luty!$B$11)</f>
        <v>-405.5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SUMIFS(operacje[Kwota],operacje[Kategoria],$A24,operacje[Kolumna2],luty!$B$11)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SUMIFS(operacje[Kwota],operacje[Kategoria],$A25,operacje[Kolumna2],luty!$B$11)</f>
        <v>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SUMIFS(operacje[Kwota],operacje[Kategoria],$A26,operacje[Kolumna2],luty!$B$11)</f>
        <v>-765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SUMIFS(operacje[Kwota],operacje[Kategoria],$A27,operacje[Kolumna2],luty!$B$11)</f>
        <v>-350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SUMIFS(operacje[Kwota],operacje[Kategoria],$A28,operacje[Kolumna2],luty!$B$11)</f>
        <v>-100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SUMIFS(operacje[Kwota],operacje[Kategoria],$A29,operacje[Kolumna2],luty!$B$11)</f>
        <v>-150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SUMIFS(operacje[Kwota],operacje[Kategoria],$A30,operacje[Kolumna2],luty!$B$11)</f>
        <v>-80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SUMIFS(operacje[Kwota],operacje[Kategoria],$A31,operacje[Kolumna2],luty!$B$11)</f>
        <v>-250</v>
      </c>
    </row>
    <row r="32" spans="1:3" outlineLevel="1" x14ac:dyDescent="0.25">
      <c r="B32" s="7" t="s">
        <v>45</v>
      </c>
      <c r="C32">
        <f>SUBTOTAL(9,C23:C31)</f>
        <v>-4100.5</v>
      </c>
    </row>
    <row r="33" spans="2:3" x14ac:dyDescent="0.25">
      <c r="B33" s="7" t="s">
        <v>46</v>
      </c>
      <c r="C33">
        <f>SUBTOTAL(9,C14:C31)</f>
        <v>2464.5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707E-18CC-4D58-94AE-553EE00D78BA}">
  <dimension ref="A1:F33"/>
  <sheetViews>
    <sheetView workbookViewId="0">
      <selection activeCell="J2" sqref="J2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0</v>
      </c>
      <c r="E2" s="4">
        <f>SUMIFS(operacje[Kwota],operacje[Bank],Marzec_saldo[[#This Row],[Bank]],operacje[Produkt],Marzec_saldo[[#This Row],[Produkt]],operacje[Kolumna2],$B$11)</f>
        <v>-104.5</v>
      </c>
      <c r="F2" s="4">
        <f ca="1">Marzec_saldo[[#This Row],[Operacje]]+Marzec_saldo[[#This Row],[Saldo początkowe ]]</f>
        <v>-104.5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3739.5</v>
      </c>
      <c r="E3" s="4">
        <f>SUMIFS(operacje[Kwota],operacje[Bank],Marzec_saldo[[#This Row],[Bank]],operacje[Produkt],Marzec_saldo[[#This Row],[Produkt]],operacje[Kolumna2],$B$11)</f>
        <v>821.59999999999991</v>
      </c>
      <c r="F3" s="4">
        <f ca="1">Marzec_saldo[[#This Row],[Operacje]]+Marzec_saldo[[#This Row],[Saldo początkowe ]]</f>
        <v>4561.1000000000004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1200</v>
      </c>
      <c r="E4" s="4">
        <f>SUMIFS(operacje[Kwota],operacje[Bank],Marzec_saldo[[#This Row],[Bank]],operacje[Produkt],Marzec_saldo[[#This Row],[Produkt]],operacje[Kolumna2],$B$11)</f>
        <v>0</v>
      </c>
      <c r="F4" s="4">
        <f ca="1">Marzec_saldo[[#This Row],[Operacje]]+Marzec_saldo[[#This Row],[Saldo początkowe ]]</f>
        <v>1200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100</v>
      </c>
      <c r="E5" s="4">
        <f>SUMIFS(operacje[Kwota],operacje[Bank],Marzec_saldo[[#This Row],[Bank]],operacje[Produkt],Marzec_saldo[[#This Row],[Produkt]],operacje[Kolumna2],$B$11)</f>
        <v>67.5</v>
      </c>
      <c r="F5" s="4">
        <f ca="1">Marzec_saldo[[#This Row],[Operacje]]+Marzec_saldo[[#This Row],[Saldo początkowe ]]</f>
        <v>167.5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281</v>
      </c>
      <c r="E6" s="4">
        <f>SUMIFS(operacje[Kwota],operacje[Bank],Marzec_saldo[[#This Row],[Bank]],operacje[Produkt],Marzec_saldo[[#This Row],[Produkt]],operacje[Kolumna2],$B$11)</f>
        <v>5</v>
      </c>
      <c r="F6" s="4">
        <f ca="1">Marzec_saldo[[#This Row],[Operacje]]+Marzec_saldo[[#This Row],[Saldo początkowe ]]</f>
        <v>286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250</v>
      </c>
      <c r="E7" s="4">
        <f>SUMIFS(operacje[Kwota],operacje[Bank],Marzec_saldo[[#This Row],[Bank]],operacje[Produkt],Marzec_saldo[[#This Row],[Produkt]],operacje[Kolumna2],$B$11)</f>
        <v>-24.49</v>
      </c>
      <c r="F7" s="4">
        <f ca="1">Marzec_saldo[[#This Row],[Operacje]]+Marzec_saldo[[#This Row],[Saldo początkowe ]]</f>
        <v>225.51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680</v>
      </c>
      <c r="E8" s="4">
        <f>SUMIFS(operacje[Kwota],operacje[Bank],Marzec_saldo[[#This Row],[Bank]],operacje[Produkt],Marzec_saldo[[#This Row],[Produkt]],operacje[Kolumna2],$B$11)</f>
        <v>-9.5</v>
      </c>
      <c r="F8" s="4">
        <f ca="1">Marzec_saldo[[#This Row],[Operacje]]+Marzec_saldo[[#This Row],[Saldo początkowe ]]</f>
        <v>670.5</v>
      </c>
    </row>
    <row r="9" spans="1:6" x14ac:dyDescent="0.25">
      <c r="A9" t="s">
        <v>41</v>
      </c>
      <c r="C9">
        <f>SUBTOTAL(109,Marzec_saldo[Produkt2])</f>
        <v>0</v>
      </c>
      <c r="D9" s="4">
        <f ca="1">SUBTOTAL(109,Marzec_saldo[[Saldo początkowe ]])</f>
        <v>6250.5</v>
      </c>
      <c r="E9" s="4">
        <f>SUBTOTAL(109,Marzec_saldo[Operacje])</f>
        <v>755.6099999999999</v>
      </c>
      <c r="F9" s="4">
        <f ca="1">SUBTOTAL(109,Marzec_saldo[Saldo końcowe])</f>
        <v>7006.1100000000006</v>
      </c>
    </row>
    <row r="11" spans="1:6" x14ac:dyDescent="0.25">
      <c r="A11" t="s">
        <v>42</v>
      </c>
      <c r="B11">
        <v>3</v>
      </c>
      <c r="C11" t="str">
        <f>TEXT(DATE(2025,B11,1),"mmmm")</f>
        <v>marzec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SUMIFS(operacje[Kwota],operacje[Kategoria],$A14,operacje[Kolumna2],marzec!$B$11)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SUMIFS(operacje[Kwota],operacje[Kategoria],$A16,operacje[Kolumna2],marzec!$B$11)</f>
        <v>5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SUMIFS(operacje[Kwota],operacje[Kategoria],$A17,operacje[Kolumna2],marzec!$B$11)</f>
        <v>150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SUMIFS(operacje[Kwota],operacje[Kategoria],$A18,operacje[Kolumna2],marzec!$B$11)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SUMIFS(operacje[Kwota],operacje[Kategoria],$A19,operacje[Kolumna2],marzec!$B$11)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SUMIFS(operacje[Kwota],operacje[Kategoria],$A20,operacje[Kolumna2],marzec!$B$11)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SUMIFS(operacje[Kwota],operacje[Kategoria],$A21,operacje[Kolumna2],marzec!$B$11)</f>
        <v>4500</v>
      </c>
    </row>
    <row r="22" spans="1:3" outlineLevel="1" x14ac:dyDescent="0.25">
      <c r="A22" s="5"/>
      <c r="B22" s="6" t="s">
        <v>44</v>
      </c>
      <c r="C22" s="5">
        <f>SUBTOTAL(9,C16:C21)</f>
        <v>4655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SUMIFS(operacje[Kwota],operacje[Kategoria],$A23,operacje[Kolumna2],marzec!$B$11)</f>
        <v>-734.99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SUMIFS(operacje[Kwota],operacje[Kategoria],$A24,operacje[Kolumna2],marzec!$B$11)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SUMIFS(operacje[Kwota],operacje[Kategoria],$A25,operacje[Kolumna2],marzec!$B$11)</f>
        <v>-469.9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SUMIFS(operacje[Kwota],operacje[Kategoria],$A26,operacje[Kolumna2],marzec!$B$11)</f>
        <v>-300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SUMIFS(operacje[Kwota],operacje[Kategoria],$A27,operacje[Kolumna2],marzec!$B$11)</f>
        <v>-200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SUMIFS(operacje[Kwota],operacje[Kategoria],$A28,operacje[Kolumna2],marzec!$B$11)</f>
        <v>-79.5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SUMIFS(operacje[Kwota],operacje[Kategoria],$A29,operacje[Kolumna2],marzec!$B$11)</f>
        <v>-23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SUMIFS(operacje[Kwota],operacje[Kategoria],$A30,operacje[Kolumna2],marzec!$B$11)</f>
        <v>-82.5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SUMIFS(operacje[Kwota],operacje[Kategoria],$A31,operacje[Kolumna2],marzec!$B$11)</f>
        <v>-9.5</v>
      </c>
    </row>
    <row r="32" spans="1:3" outlineLevel="1" x14ac:dyDescent="0.25">
      <c r="B32" s="7" t="s">
        <v>45</v>
      </c>
      <c r="C32">
        <f>SUBTOTAL(9,C23:C31)</f>
        <v>-3899.39</v>
      </c>
    </row>
    <row r="33" spans="2:3" x14ac:dyDescent="0.25">
      <c r="B33" s="7" t="s">
        <v>46</v>
      </c>
      <c r="C33">
        <f>SUBTOTAL(9,C14:C31)</f>
        <v>755.61000000000013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26F9-CF9E-49A4-A259-0A4B79F84447}">
  <dimension ref="A1:F33"/>
  <sheetViews>
    <sheetView workbookViewId="0">
      <selection activeCell="D12" sqref="D12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-104.5</v>
      </c>
      <c r="E2" s="4">
        <f>SUMIFS(operacje[Kwota],operacje[Bank],Kwiecień_saldo[[#This Row],[Bank]],operacje[Produkt],Kwiecień_saldo[[#This Row],[Produkt]],operacje[Kolumna2],$B$11)</f>
        <v>13.110000000000007</v>
      </c>
      <c r="F2" s="4">
        <f ca="1">Kwiecień_saldo[[#This Row],[Operacje]]+Kwiecień_saldo[[#This Row],[Saldo początkowe ]]</f>
        <v>-91.389999999999986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4561.1000000000004</v>
      </c>
      <c r="E3" s="4">
        <f>SUMIFS(operacje[Kwota],operacje[Bank],Kwiecień_saldo[[#This Row],[Bank]],operacje[Produkt],Kwiecień_saldo[[#This Row],[Produkt]],operacje[Kolumna2],$B$11)</f>
        <v>562.72999999999968</v>
      </c>
      <c r="F3" s="4">
        <f ca="1">Kwiecień_saldo[[#This Row],[Operacje]]+Kwiecień_saldo[[#This Row],[Saldo początkowe ]]</f>
        <v>5123.83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1200</v>
      </c>
      <c r="E4" s="4">
        <f>SUMIFS(operacje[Kwota],operacje[Bank],Kwiecień_saldo[[#This Row],[Bank]],operacje[Produkt],Kwiecień_saldo[[#This Row],[Produkt]],operacje[Kolumna2],$B$11)</f>
        <v>0</v>
      </c>
      <c r="F4" s="4">
        <f ca="1">Kwiecień_saldo[[#This Row],[Operacje]]+Kwiecień_saldo[[#This Row],[Saldo początkowe ]]</f>
        <v>1200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167.5</v>
      </c>
      <c r="E5" s="4">
        <f>SUMIFS(operacje[Kwota],operacje[Bank],Kwiecień_saldo[[#This Row],[Bank]],operacje[Produkt],Kwiecień_saldo[[#This Row],[Produkt]],operacje[Kolumna2],$B$11)</f>
        <v>101</v>
      </c>
      <c r="F5" s="4">
        <f ca="1">Kwiecień_saldo[[#This Row],[Operacje]]+Kwiecień_saldo[[#This Row],[Saldo początkowe ]]</f>
        <v>268.5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286</v>
      </c>
      <c r="E6" s="4">
        <f>SUMIFS(operacje[Kwota],operacje[Bank],Kwiecień_saldo[[#This Row],[Bank]],operacje[Produkt],Kwiecień_saldo[[#This Row],[Produkt]],operacje[Kolumna2],$B$11)</f>
        <v>50</v>
      </c>
      <c r="F6" s="4">
        <f ca="1">Kwiecień_saldo[[#This Row],[Operacje]]+Kwiecień_saldo[[#This Row],[Saldo początkowe ]]</f>
        <v>336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225.51</v>
      </c>
      <c r="E7" s="4">
        <f>SUMIFS(operacje[Kwota],operacje[Bank],Kwiecień_saldo[[#This Row],[Bank]],operacje[Produkt],Kwiecień_saldo[[#This Row],[Produkt]],operacje[Kolumna2],$B$11)</f>
        <v>0</v>
      </c>
      <c r="F7" s="4">
        <f ca="1">Kwiecień_saldo[[#This Row],[Operacje]]+Kwiecień_saldo[[#This Row],[Saldo początkowe ]]</f>
        <v>225.51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670.5</v>
      </c>
      <c r="E8" s="4">
        <f>SUMIFS(operacje[Kwota],operacje[Bank],Kwiecień_saldo[[#This Row],[Bank]],operacje[Produkt],Kwiecień_saldo[[#This Row],[Produkt]],operacje[Kolumna2],$B$11)</f>
        <v>0</v>
      </c>
      <c r="F8" s="4">
        <f ca="1">Kwiecień_saldo[[#This Row],[Operacje]]+Kwiecień_saldo[[#This Row],[Saldo początkowe ]]</f>
        <v>670.5</v>
      </c>
    </row>
    <row r="9" spans="1:6" x14ac:dyDescent="0.25">
      <c r="A9" t="s">
        <v>41</v>
      </c>
      <c r="C9">
        <f>SUBTOTAL(109,Kwiecień_saldo[Produkt2])</f>
        <v>0</v>
      </c>
      <c r="D9" s="4">
        <f ca="1">SUBTOTAL(109,Kwiecień_saldo[[Saldo początkowe ]])</f>
        <v>7006.1100000000006</v>
      </c>
      <c r="E9" s="4">
        <f>SUBTOTAL(109,Kwiecień_saldo[Operacje])</f>
        <v>726.83999999999969</v>
      </c>
      <c r="F9" s="4">
        <f ca="1">SUBTOTAL(109,Kwiecień_saldo[Saldo końcowe])</f>
        <v>7732.95</v>
      </c>
    </row>
    <row r="11" spans="1:6" x14ac:dyDescent="0.25">
      <c r="A11" t="s">
        <v>42</v>
      </c>
      <c r="B11">
        <v>4</v>
      </c>
      <c r="C11" t="str">
        <f>TEXT(DATE(2025,B11,1),"mmmm")</f>
        <v>kwiecień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SUMIFS(operacje[Kwota],operacje[Kategoria],$A14,operacje[Kolumna2],kwiecień!$B$11)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SUMIFS(operacje[Kwota],operacje[Kategoria],$A16,operacje[Kolumna2],kwiecień!$B$11)</f>
        <v>50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SUMIFS(operacje[Kwota],operacje[Kategoria],$A17,operacje[Kolumna2],kwiecień!$B$11)</f>
        <v>150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SUMIFS(operacje[Kwota],operacje[Kategoria],$A18,operacje[Kolumna2],kwiecień!$B$11)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SUMIFS(operacje[Kwota],operacje[Kategoria],$A19,operacje[Kolumna2],kwiecień!$B$11)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SUMIFS(operacje[Kwota],operacje[Kategoria],$A20,operacje[Kolumna2],kwiecień!$B$11)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SUMIFS(operacje[Kwota],operacje[Kategoria],$A21,operacje[Kolumna2],kwiecień!$B$11)</f>
        <v>4500</v>
      </c>
    </row>
    <row r="22" spans="1:3" outlineLevel="1" x14ac:dyDescent="0.25">
      <c r="A22" s="5"/>
      <c r="B22" s="6" t="s">
        <v>44</v>
      </c>
      <c r="C22" s="5">
        <f>SUBTOTAL(9,C16:C21)</f>
        <v>4700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SUMIFS(operacje[Kwota],operacje[Kategoria],$A23,operacje[Kolumna2],kwiecień!$B$11)</f>
        <v>-372.26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SUMIFS(operacje[Kwota],operacje[Kategoria],$A24,operacje[Kolumna2],kwiecień!$B$11)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SUMIFS(operacje[Kwota],operacje[Kategoria],$A25,operacje[Kolumna2],kwiecień!$B$11)</f>
        <v>-149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SUMIFS(operacje[Kwota],operacje[Kategoria],$A26,operacje[Kolumna2],kwiecień!$B$11)</f>
        <v>-100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SUMIFS(operacje[Kwota],operacje[Kategoria],$A27,operacje[Kolumna2],kwiecień!$B$11)</f>
        <v>-1057.9000000000001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SUMIFS(operacje[Kwota],operacje[Kategoria],$A28,operacje[Kolumna2],kwiecień!$B$11)</f>
        <v>-139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SUMIFS(operacje[Kwota],operacje[Kategoria],$A29,operacje[Kolumna2],kwiecień!$B$11)</f>
        <v>-49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SUMIFS(operacje[Kwota],operacje[Kategoria],$A30,operacje[Kolumna2],kwiecień!$B$11)</f>
        <v>-82.5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SUMIFS(operacje[Kwota],operacje[Kategoria],$A31,operacje[Kolumna2],kwiecień!$B$11)</f>
        <v>-23.5</v>
      </c>
    </row>
    <row r="32" spans="1:3" outlineLevel="1" x14ac:dyDescent="0.25">
      <c r="B32" s="7" t="s">
        <v>45</v>
      </c>
      <c r="C32">
        <f>SUBTOTAL(9,C23:C31)</f>
        <v>-3973.1600000000003</v>
      </c>
    </row>
    <row r="33" spans="2:3" x14ac:dyDescent="0.25">
      <c r="B33" s="7" t="s">
        <v>46</v>
      </c>
      <c r="C33">
        <f>SUBTOTAL(9,C14:C31)</f>
        <v>726.83999999999969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C406-5D7F-4AB4-B1CB-42CD9E1A0390}">
  <dimension ref="A1:F33"/>
  <sheetViews>
    <sheetView workbookViewId="0">
      <selection activeCell="F30" sqref="F30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-91.389999999999986</v>
      </c>
      <c r="E2" s="4">
        <f>SUMIFS(operacje[Kwota],operacje[Bank],Maj_saldo[[#This Row],[Bank]],operacje[Produkt],Maj_saldo[[#This Row],[Produkt]],operacje[Kolumna2],$B$11)</f>
        <v>-908.61</v>
      </c>
      <c r="F2" s="4">
        <f ca="1">Maj_saldo[[#This Row],[Operacje]]+Maj_saldo[[#This Row],[Saldo początkowe ]]</f>
        <v>-1000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5123.83</v>
      </c>
      <c r="E3" s="4">
        <f>SUMIFS(operacje[Kwota],operacje[Bank],Maj_saldo[[#This Row],[Bank]],operacje[Produkt],Maj_saldo[[#This Row],[Produkt]],operacje[Kolumna2],$B$11)</f>
        <v>2328.61</v>
      </c>
      <c r="F3" s="4">
        <f ca="1">Maj_saldo[[#This Row],[Operacje]]+Maj_saldo[[#This Row],[Saldo początkowe ]]</f>
        <v>7452.4400000000005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1200</v>
      </c>
      <c r="E4" s="4">
        <f>SUMIFS(operacje[Kwota],operacje[Bank],Maj_saldo[[#This Row],[Bank]],operacje[Produkt],Maj_saldo[[#This Row],[Produkt]],operacje[Kolumna2],$B$11)</f>
        <v>0</v>
      </c>
      <c r="F4" s="4">
        <f ca="1">Maj_saldo[[#This Row],[Operacje]]+Maj_saldo[[#This Row],[Saldo początkowe ]]</f>
        <v>1200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268.5</v>
      </c>
      <c r="E5" s="4">
        <f>SUMIFS(operacje[Kwota],operacje[Bank],Maj_saldo[[#This Row],[Bank]],operacje[Produkt],Maj_saldo[[#This Row],[Produkt]],operacje[Kolumna2],$B$11)</f>
        <v>-50</v>
      </c>
      <c r="F5" s="4">
        <f ca="1">Maj_saldo[[#This Row],[Operacje]]+Maj_saldo[[#This Row],[Saldo początkowe ]]</f>
        <v>218.5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336</v>
      </c>
      <c r="E6" s="4">
        <f>SUMIFS(operacje[Kwota],operacje[Bank],Maj_saldo[[#This Row],[Bank]],operacje[Produkt],Maj_saldo[[#This Row],[Produkt]],operacje[Kolumna2],$B$11)</f>
        <v>0</v>
      </c>
      <c r="F6" s="4">
        <f ca="1">Maj_saldo[[#This Row],[Operacje]]+Maj_saldo[[#This Row],[Saldo początkowe ]]</f>
        <v>336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225.51</v>
      </c>
      <c r="E7" s="4">
        <f>SUMIFS(operacje[Kwota],operacje[Bank],Maj_saldo[[#This Row],[Bank]],operacje[Produkt],Maj_saldo[[#This Row],[Produkt]],operacje[Kolumna2],$B$11)</f>
        <v>0</v>
      </c>
      <c r="F7" s="4">
        <f ca="1">Maj_saldo[[#This Row],[Operacje]]+Maj_saldo[[#This Row],[Saldo początkowe ]]</f>
        <v>225.51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670.5</v>
      </c>
      <c r="E8" s="4">
        <f>SUMIFS(operacje[Kwota],operacje[Bank],Maj_saldo[[#This Row],[Bank]],operacje[Produkt],Maj_saldo[[#This Row],[Produkt]],operacje[Kolumna2],$B$11)</f>
        <v>-80</v>
      </c>
      <c r="F8" s="4">
        <f ca="1">Maj_saldo[[#This Row],[Operacje]]+Maj_saldo[[#This Row],[Saldo początkowe ]]</f>
        <v>590.5</v>
      </c>
    </row>
    <row r="9" spans="1:6" x14ac:dyDescent="0.25">
      <c r="A9" t="s">
        <v>41</v>
      </c>
      <c r="C9">
        <f>SUBTOTAL(109,Maj_saldo[Produkt2])</f>
        <v>0</v>
      </c>
      <c r="D9" s="4">
        <f ca="1">SUBTOTAL(109,Maj_saldo[[Saldo początkowe ]])</f>
        <v>7732.95</v>
      </c>
      <c r="E9" s="4">
        <f>SUBTOTAL(109,Maj_saldo[Operacje])</f>
        <v>1290</v>
      </c>
      <c r="F9" s="4">
        <f ca="1">SUBTOTAL(109,Maj_saldo[Saldo końcowe])</f>
        <v>9022.9500000000007</v>
      </c>
    </row>
    <row r="11" spans="1:6" x14ac:dyDescent="0.25">
      <c r="A11" t="s">
        <v>42</v>
      </c>
      <c r="B11">
        <v>5</v>
      </c>
      <c r="C11" t="str">
        <f>TEXT(DATE(2025,B11,1),"mmmm")</f>
        <v>maj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SUMIFS(operacje[Kwota],operacje[Kategoria],$A14,operacje[Kolumna2],maj!$B$11)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SUMIFS(operacje[Kwota],operacje[Kategoria],$A16,operacje[Kolumna2],maj!$B$11)</f>
        <v>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SUMIFS(operacje[Kwota],operacje[Kategoria],$A17,operacje[Kolumna2],maj!$B$11)</f>
        <v>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SUMIFS(operacje[Kwota],operacje[Kategoria],$A18,operacje[Kolumna2],maj!$B$11)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SUMIFS(operacje[Kwota],operacje[Kategoria],$A19,operacje[Kolumna2],maj!$B$11)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SUMIFS(operacje[Kwota],operacje[Kategoria],$A20,operacje[Kolumna2],maj!$B$11)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SUMIFS(operacje[Kwota],operacje[Kategoria],$A21,operacje[Kolumna2],maj!$B$11)</f>
        <v>4500</v>
      </c>
    </row>
    <row r="22" spans="1:3" outlineLevel="1" x14ac:dyDescent="0.25">
      <c r="A22" s="5"/>
      <c r="B22" s="6" t="s">
        <v>44</v>
      </c>
      <c r="C22" s="5">
        <f>SUBTOTAL(9,C16:C21)</f>
        <v>4500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SUMIFS(operacje[Kwota],operacje[Kategoria],$A23,operacje[Kolumna2],maj!$B$11)</f>
        <v>-1000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SUMIFS(operacje[Kwota],operacje[Kategoria],$A24,operacje[Kolumna2],maj!$B$11)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SUMIFS(operacje[Kwota],operacje[Kategoria],$A25,operacje[Kolumna2],maj!$B$11)</f>
        <v>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SUMIFS(operacje[Kwota],operacje[Kategoria],$A26,operacje[Kolumna2],maj!$B$11)</f>
        <v>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SUMIFS(operacje[Kwota],operacje[Kategoria],$A27,operacje[Kolumna2],maj!$B$11)</f>
        <v>-80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SUMIFS(operacje[Kwota],operacje[Kategoria],$A28,operacje[Kolumna2],maj!$B$11)</f>
        <v>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SUMIFS(operacje[Kwota],operacje[Kategoria],$A29,operacje[Kolumna2],maj!$B$11)</f>
        <v>-50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SUMIFS(operacje[Kwota],operacje[Kategoria],$A30,operacje[Kolumna2],maj!$B$11)</f>
        <v>-80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SUMIFS(operacje[Kwota],operacje[Kategoria],$A31,operacje[Kolumna2],maj!$B$11)</f>
        <v>0</v>
      </c>
    </row>
    <row r="32" spans="1:3" outlineLevel="1" x14ac:dyDescent="0.25">
      <c r="B32" s="7" t="s">
        <v>45</v>
      </c>
      <c r="C32">
        <f>SUBTOTAL(9,C23:C31)</f>
        <v>-3210</v>
      </c>
    </row>
    <row r="33" spans="2:3" x14ac:dyDescent="0.25">
      <c r="B33" s="7" t="s">
        <v>46</v>
      </c>
      <c r="C33">
        <f>SUBTOTAL(9,C14:C31)</f>
        <v>1290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458F-18BB-4D0A-A64F-B8F4900D0090}">
  <dimension ref="A1:F33"/>
  <sheetViews>
    <sheetView workbookViewId="0">
      <selection activeCell="D12" sqref="D12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-1000</v>
      </c>
      <c r="E2" s="4">
        <f>SUMIFS(operacje[Kwota],operacje[Bank],Czerwiec_saldo[[#This Row],[Bank]],operacje[Produkt],Czerwiec_saldo[[#This Row],[Produkt]],operacje[Kolumna2],$B$11)</f>
        <v>-300</v>
      </c>
      <c r="F2" s="4">
        <f ca="1">Czerwiec_saldo[[#This Row],[Operacje]]+Czerwiec_saldo[[#This Row],[Saldo początkowe ]]</f>
        <v>-1300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7452.4400000000005</v>
      </c>
      <c r="E3" s="4">
        <f>SUMIFS(operacje[Kwota],operacje[Bank],Czerwiec_saldo[[#This Row],[Bank]],operacje[Produkt],Czerwiec_saldo[[#This Row],[Produkt]],operacje[Kolumna2],$B$11)</f>
        <v>1420</v>
      </c>
      <c r="F3" s="4">
        <f ca="1">Czerwiec_saldo[[#This Row],[Operacje]]+Czerwiec_saldo[[#This Row],[Saldo początkowe ]]</f>
        <v>8872.44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1200</v>
      </c>
      <c r="E4" s="4">
        <f>SUMIFS(operacje[Kwota],operacje[Bank],Czerwiec_saldo[[#This Row],[Bank]],operacje[Produkt],Czerwiec_saldo[[#This Row],[Produkt]],operacje[Kolumna2],$B$11)</f>
        <v>0</v>
      </c>
      <c r="F4" s="4">
        <f ca="1">Czerwiec_saldo[[#This Row],[Operacje]]+Czerwiec_saldo[[#This Row],[Saldo początkowe ]]</f>
        <v>1200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218.5</v>
      </c>
      <c r="E5" s="4">
        <f>SUMIFS(operacje[Kwota],operacje[Bank],Czerwiec_saldo[[#This Row],[Bank]],operacje[Produkt],Czerwiec_saldo[[#This Row],[Produkt]],operacje[Kolumna2],$B$11)</f>
        <v>250</v>
      </c>
      <c r="F5" s="4">
        <f ca="1">Czerwiec_saldo[[#This Row],[Operacje]]+Czerwiec_saldo[[#This Row],[Saldo początkowe ]]</f>
        <v>468.5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336</v>
      </c>
      <c r="E6" s="4">
        <f>SUMIFS(operacje[Kwota],operacje[Bank],Czerwiec_saldo[[#This Row],[Bank]],operacje[Produkt],Czerwiec_saldo[[#This Row],[Produkt]],operacje[Kolumna2],$B$11)</f>
        <v>0</v>
      </c>
      <c r="F6" s="4">
        <f ca="1">Czerwiec_saldo[[#This Row],[Operacje]]+Czerwiec_saldo[[#This Row],[Saldo początkowe ]]</f>
        <v>336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225.51</v>
      </c>
      <c r="E7" s="4">
        <f>SUMIFS(operacje[Kwota],operacje[Bank],Czerwiec_saldo[[#This Row],[Bank]],operacje[Produkt],Czerwiec_saldo[[#This Row],[Produkt]],operacje[Kolumna2],$B$11)</f>
        <v>0</v>
      </c>
      <c r="F7" s="4">
        <f ca="1">Czerwiec_saldo[[#This Row],[Operacje]]+Czerwiec_saldo[[#This Row],[Saldo początkowe ]]</f>
        <v>225.51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590.5</v>
      </c>
      <c r="E8" s="4">
        <f>SUMIFS(operacje[Kwota],operacje[Bank],Czerwiec_saldo[[#This Row],[Bank]],operacje[Produkt],Czerwiec_saldo[[#This Row],[Produkt]],operacje[Kolumna2],$B$11)</f>
        <v>-200</v>
      </c>
      <c r="F8" s="4">
        <f ca="1">Czerwiec_saldo[[#This Row],[Operacje]]+Czerwiec_saldo[[#This Row],[Saldo początkowe ]]</f>
        <v>390.5</v>
      </c>
    </row>
    <row r="9" spans="1:6" x14ac:dyDescent="0.25">
      <c r="A9" t="s">
        <v>41</v>
      </c>
      <c r="C9">
        <f>SUBTOTAL(109,Czerwiec_saldo[Produkt2])</f>
        <v>0</v>
      </c>
      <c r="D9" s="4">
        <f ca="1">SUBTOTAL(109,Czerwiec_saldo[[Saldo początkowe ]])</f>
        <v>9022.9500000000007</v>
      </c>
      <c r="E9" s="4">
        <f>SUBTOTAL(109,Czerwiec_saldo[Operacje])</f>
        <v>1170</v>
      </c>
      <c r="F9" s="4">
        <f ca="1">SUBTOTAL(109,Czerwiec_saldo[Saldo końcowe])</f>
        <v>10192.950000000001</v>
      </c>
    </row>
    <row r="11" spans="1:6" x14ac:dyDescent="0.25">
      <c r="A11" t="s">
        <v>42</v>
      </c>
      <c r="B11">
        <v>6</v>
      </c>
      <c r="C11" t="str">
        <f>TEXT(DATE(2025,B11,1),"mmmm")</f>
        <v>czerwiec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SUMIFS(operacje[Kwota],operacje[Kategoria],$A14,operacje[Kolumna2],czerwiec!$B$11)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SUMIFS(operacje[Kwota],operacje[Kategoria],$A16,operacje[Kolumna2],czerwiec!$B$11)</f>
        <v>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SUMIFS(operacje[Kwota],operacje[Kategoria],$A17,operacje[Kolumna2],czerwiec!$B$11)</f>
        <v>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SUMIFS(operacje[Kwota],operacje[Kategoria],$A18,operacje[Kolumna2],czerwiec!$B$11)</f>
        <v>400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SUMIFS(operacje[Kwota],operacje[Kategoria],$A19,operacje[Kolumna2],czerwiec!$B$11)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SUMIFS(operacje[Kwota],operacje[Kategoria],$A20,operacje[Kolumna2],czerwiec!$B$11)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SUMIFS(operacje[Kwota],operacje[Kategoria],$A21,operacje[Kolumna2],czerwiec!$B$11)</f>
        <v>4500</v>
      </c>
    </row>
    <row r="22" spans="1:3" outlineLevel="1" x14ac:dyDescent="0.25">
      <c r="A22" s="5"/>
      <c r="B22" s="6" t="s">
        <v>44</v>
      </c>
      <c r="C22" s="5">
        <f>SUBTOTAL(9,C16:C21)</f>
        <v>4900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SUMIFS(operacje[Kwota],operacje[Kategoria],$A23,operacje[Kolumna2],czerwiec!$B$11)</f>
        <v>-1000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SUMIFS(operacje[Kwota],operacje[Kategoria],$A24,operacje[Kolumna2],czerwiec!$B$11)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SUMIFS(operacje[Kwota],operacje[Kategoria],$A25,operacje[Kolumna2],czerwiec!$B$11)</f>
        <v>-300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SUMIFS(operacje[Kwota],operacje[Kategoria],$A26,operacje[Kolumna2],czerwiec!$B$11)</f>
        <v>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SUMIFS(operacje[Kwota],operacje[Kategoria],$A27,operacje[Kolumna2],czerwiec!$B$11)</f>
        <v>-200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SUMIFS(operacje[Kwota],operacje[Kategoria],$A28,operacje[Kolumna2],czerwiec!$B$11)</f>
        <v>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SUMIFS(operacje[Kwota],operacje[Kategoria],$A29,operacje[Kolumna2],czerwiec!$B$11)</f>
        <v>-50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SUMIFS(operacje[Kwota],operacje[Kategoria],$A30,operacje[Kolumna2],czerwiec!$B$11)</f>
        <v>-80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SUMIFS(operacje[Kwota],operacje[Kategoria],$A31,operacje[Kolumna2],czerwiec!$B$11)</f>
        <v>-100</v>
      </c>
    </row>
    <row r="32" spans="1:3" outlineLevel="1" x14ac:dyDescent="0.25">
      <c r="B32" s="7" t="s">
        <v>45</v>
      </c>
      <c r="C32">
        <f>SUBTOTAL(9,C23:C31)</f>
        <v>-3730</v>
      </c>
    </row>
    <row r="33" spans="2:3" x14ac:dyDescent="0.25">
      <c r="B33" s="7" t="s">
        <v>46</v>
      </c>
      <c r="C33">
        <f>SUBTOTAL(9,C14:C31)</f>
        <v>1170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AF5D-0378-4092-A088-F57E1A37F8BF}">
  <dimension ref="A1:F33"/>
  <sheetViews>
    <sheetView workbookViewId="0">
      <selection activeCell="E12" sqref="E12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-1300</v>
      </c>
      <c r="E2" s="4">
        <f>SUMIFS(operacje[Kwota],operacje[Bank],Lipiec_saldo[[#This Row],[Bank]],operacje[Produkt],Lipiec_saldo[[#This Row],[Produkt]],operacje[Kolumna2],$B$11)</f>
        <v>1165</v>
      </c>
      <c r="F2" s="4">
        <f ca="1">Lipiec_saldo[[#This Row],[Operacje]]+Lipiec_saldo[[#This Row],[Saldo początkowe ]]</f>
        <v>-135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8872.44</v>
      </c>
      <c r="E3" s="4">
        <f>SUMIFS(operacje[Kwota],operacje[Bank],Lipiec_saldo[[#This Row],[Bank]],operacje[Produkt],Lipiec_saldo[[#This Row],[Produkt]],operacje[Kolumna2],$B$11)</f>
        <v>1010</v>
      </c>
      <c r="F3" s="4">
        <f ca="1">Lipiec_saldo[[#This Row],[Operacje]]+Lipiec_saldo[[#This Row],[Saldo początkowe ]]</f>
        <v>9882.44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1200</v>
      </c>
      <c r="E4" s="4">
        <f>SUMIFS(operacje[Kwota],operacje[Bank],Lipiec_saldo[[#This Row],[Bank]],operacje[Produkt],Lipiec_saldo[[#This Row],[Produkt]],operacje[Kolumna2],$B$11)</f>
        <v>-180</v>
      </c>
      <c r="F4" s="4">
        <f ca="1">Lipiec_saldo[[#This Row],[Operacje]]+Lipiec_saldo[[#This Row],[Saldo początkowe ]]</f>
        <v>1020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468.5</v>
      </c>
      <c r="E5" s="4">
        <f>SUMIFS(operacje[Kwota],operacje[Bank],Lipiec_saldo[[#This Row],[Bank]],operacje[Produkt],Lipiec_saldo[[#This Row],[Produkt]],operacje[Kolumna2],$B$11)</f>
        <v>-100</v>
      </c>
      <c r="F5" s="4">
        <f ca="1">Lipiec_saldo[[#This Row],[Operacje]]+Lipiec_saldo[[#This Row],[Saldo początkowe ]]</f>
        <v>368.5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336</v>
      </c>
      <c r="E6" s="4">
        <f>SUMIFS(operacje[Kwota],operacje[Bank],Lipiec_saldo[[#This Row],[Bank]],operacje[Produkt],Lipiec_saldo[[#This Row],[Produkt]],operacje[Kolumna2],$B$11)</f>
        <v>1050</v>
      </c>
      <c r="F6" s="4">
        <f ca="1">Lipiec_saldo[[#This Row],[Operacje]]+Lipiec_saldo[[#This Row],[Saldo początkowe ]]</f>
        <v>1386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225.51</v>
      </c>
      <c r="E7" s="4">
        <f>SUMIFS(operacje[Kwota],operacje[Bank],Lipiec_saldo[[#This Row],[Bank]],operacje[Produkt],Lipiec_saldo[[#This Row],[Produkt]],operacje[Kolumna2],$B$11)</f>
        <v>-30</v>
      </c>
      <c r="F7" s="4">
        <f ca="1">Lipiec_saldo[[#This Row],[Operacje]]+Lipiec_saldo[[#This Row],[Saldo początkowe ]]</f>
        <v>195.51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390.5</v>
      </c>
      <c r="E8" s="4">
        <f>SUMIFS(operacje[Kwota],operacje[Bank],Lipiec_saldo[[#This Row],[Bank]],operacje[Produkt],Lipiec_saldo[[#This Row],[Produkt]],operacje[Kolumna2],$B$11)</f>
        <v>0</v>
      </c>
      <c r="F8" s="4">
        <f ca="1">Lipiec_saldo[[#This Row],[Operacje]]+Lipiec_saldo[[#This Row],[Saldo początkowe ]]</f>
        <v>390.5</v>
      </c>
    </row>
    <row r="9" spans="1:6" x14ac:dyDescent="0.25">
      <c r="A9" t="s">
        <v>41</v>
      </c>
      <c r="C9">
        <f>SUBTOTAL(109,Lipiec_saldo[Produkt2])</f>
        <v>0</v>
      </c>
      <c r="D9" s="4">
        <f ca="1">SUBTOTAL(109,Lipiec_saldo[[Saldo początkowe ]])</f>
        <v>10192.950000000001</v>
      </c>
      <c r="E9" s="4">
        <f>SUBTOTAL(109,Lipiec_saldo[Operacje])</f>
        <v>2915</v>
      </c>
      <c r="F9" s="4">
        <f ca="1">SUBTOTAL(109,Lipiec_saldo[Saldo końcowe])</f>
        <v>13107.95</v>
      </c>
    </row>
    <row r="11" spans="1:6" x14ac:dyDescent="0.25">
      <c r="A11" t="s">
        <v>42</v>
      </c>
      <c r="B11">
        <v>7</v>
      </c>
      <c r="C11" t="str">
        <f>TEXT(DATE(2025,B11,1),"mmmm")</f>
        <v>lipiec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SUMIFS(operacje[Kwota],operacje[Kategoria],$A14,operacje[Kolumna2],lipiec!$B$11)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SUMIFS(operacje[Kwota],operacje[Kategoria],$A16,operacje[Kolumna2],lipiec!$B$11)</f>
        <v>800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SUMIFS(operacje[Kwota],operacje[Kategoria],$A17,operacje[Kolumna2],lipiec!$B$11)</f>
        <v>120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SUMIFS(operacje[Kwota],operacje[Kategoria],$A18,operacje[Kolumna2],lipiec!$B$11)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SUMIFS(operacje[Kwota],operacje[Kategoria],$A19,operacje[Kolumna2],lipiec!$B$11)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SUMIFS(operacje[Kwota],operacje[Kategoria],$A20,operacje[Kolumna2],lipiec!$B$11)</f>
        <v>500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SUMIFS(operacje[Kwota],operacje[Kategoria],$A21,operacje[Kolumna2],lipiec!$B$11)</f>
        <v>4500</v>
      </c>
    </row>
    <row r="22" spans="1:3" outlineLevel="1" x14ac:dyDescent="0.25">
      <c r="A22" s="5"/>
      <c r="B22" s="6" t="s">
        <v>44</v>
      </c>
      <c r="C22" s="5">
        <f>SUBTOTAL(9,C16:C21)</f>
        <v>5920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SUMIFS(operacje[Kwota],operacje[Kategoria],$A23,operacje[Kolumna2],lipiec!$B$11)</f>
        <v>-165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SUMIFS(operacje[Kwota],operacje[Kategoria],$A24,operacje[Kolumna2],lipiec!$B$11)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SUMIFS(operacje[Kwota],operacje[Kategoria],$A25,operacje[Kolumna2],lipiec!$B$11)</f>
        <v>250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SUMIFS(operacje[Kwota],operacje[Kategoria],$A26,operacje[Kolumna2],lipiec!$B$11)</f>
        <v>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SUMIFS(operacje[Kwota],operacje[Kategoria],$A27,operacje[Kolumna2],lipiec!$B$11)</f>
        <v>-700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SUMIFS(operacje[Kwota],operacje[Kategoria],$A28,operacje[Kolumna2],lipiec!$B$11)</f>
        <v>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SUMIFS(operacje[Kwota],operacje[Kategoria],$A29,operacje[Kolumna2],lipiec!$B$11)</f>
        <v>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SUMIFS(operacje[Kwota],operacje[Kategoria],$A30,operacje[Kolumna2],lipiec!$B$11)</f>
        <v>-90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SUMIFS(operacje[Kwota],operacje[Kategoria],$A31,operacje[Kolumna2],lipiec!$B$11)</f>
        <v>-300</v>
      </c>
    </row>
    <row r="32" spans="1:3" outlineLevel="1" x14ac:dyDescent="0.25">
      <c r="B32" s="7" t="s">
        <v>45</v>
      </c>
      <c r="C32">
        <f>SUBTOTAL(9,C23:C31)</f>
        <v>-3005</v>
      </c>
    </row>
    <row r="33" spans="2:3" x14ac:dyDescent="0.25">
      <c r="B33" s="7" t="s">
        <v>46</v>
      </c>
      <c r="C33">
        <f>SUBTOTAL(9,C14:C31)</f>
        <v>2915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EE9F-5C50-434B-92DB-14BD9FEA1C63}">
  <dimension ref="A1:F33"/>
  <sheetViews>
    <sheetView workbookViewId="0">
      <selection activeCell="E24" sqref="E24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-135</v>
      </c>
      <c r="E2" s="4">
        <f>SUMIFS(operacje[Kwota],operacje[Bank],Sierpień_saldo[[#This Row],[Bank]],operacje[Produkt],Sierpień_saldo[[#This Row],[Produkt]],operacje[Kolumna2],$B$11)</f>
        <v>33</v>
      </c>
      <c r="F2" s="4">
        <f ca="1">Sierpień_saldo[[#This Row],[Operacje]]+Sierpień_saldo[[#This Row],[Saldo początkowe ]]</f>
        <v>-102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9882.44</v>
      </c>
      <c r="E3" s="4">
        <f>SUMIFS(operacje[Kwota],operacje[Bank],Sierpień_saldo[[#This Row],[Bank]],operacje[Produkt],Sierpień_saldo[[#This Row],[Produkt]],operacje[Kolumna2],$B$11)</f>
        <v>1475</v>
      </c>
      <c r="F3" s="4">
        <f ca="1">Sierpień_saldo[[#This Row],[Operacje]]+Sierpień_saldo[[#This Row],[Saldo początkowe ]]</f>
        <v>11357.44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1020</v>
      </c>
      <c r="E4" s="4">
        <f>SUMIFS(operacje[Kwota],operacje[Bank],Sierpień_saldo[[#This Row],[Bank]],operacje[Produkt],Sierpień_saldo[[#This Row],[Produkt]],operacje[Kolumna2],$B$11)</f>
        <v>-1020</v>
      </c>
      <c r="F4" s="4">
        <f ca="1">Sierpień_saldo[[#This Row],[Operacje]]+Sierpień_saldo[[#This Row],[Saldo początkowe ]]</f>
        <v>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368.5</v>
      </c>
      <c r="E5" s="4">
        <f>SUMIFS(operacje[Kwota],operacje[Bank],Sierpień_saldo[[#This Row],[Bank]],operacje[Produkt],Sierpień_saldo[[#This Row],[Produkt]],operacje[Kolumna2],$B$11)</f>
        <v>200</v>
      </c>
      <c r="F5" s="4">
        <f ca="1">Sierpień_saldo[[#This Row],[Operacje]]+Sierpień_saldo[[#This Row],[Saldo początkowe ]]</f>
        <v>568.5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1386</v>
      </c>
      <c r="E6" s="4">
        <f>SUMIFS(operacje[Kwota],operacje[Bank],Sierpień_saldo[[#This Row],[Bank]],operacje[Produkt],Sierpień_saldo[[#This Row],[Produkt]],operacje[Kolumna2],$B$11)</f>
        <v>-300</v>
      </c>
      <c r="F6" s="4">
        <f ca="1">Sierpień_saldo[[#This Row],[Operacje]]+Sierpień_saldo[[#This Row],[Saldo początkowe ]]</f>
        <v>1086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195.51</v>
      </c>
      <c r="E7" s="4">
        <f>SUMIFS(operacje[Kwota],operacje[Bank],Sierpień_saldo[[#This Row],[Bank]],operacje[Produkt],Sierpień_saldo[[#This Row],[Produkt]],operacje[Kolumna2],$B$11)</f>
        <v>0</v>
      </c>
      <c r="F7" s="4">
        <f ca="1">Sierpień_saldo[[#This Row],[Operacje]]+Sierpień_saldo[[#This Row],[Saldo początkowe ]]</f>
        <v>195.51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390.5</v>
      </c>
      <c r="E8" s="4">
        <f>SUMIFS(operacje[Kwota],operacje[Bank],Sierpień_saldo[[#This Row],[Bank]],operacje[Produkt],Sierpień_saldo[[#This Row],[Produkt]],operacje[Kolumna2],$B$11)</f>
        <v>2.5</v>
      </c>
      <c r="F8" s="4">
        <f ca="1">Sierpień_saldo[[#This Row],[Operacje]]+Sierpień_saldo[[#This Row],[Saldo początkowe ]]</f>
        <v>393</v>
      </c>
    </row>
    <row r="9" spans="1:6" x14ac:dyDescent="0.25">
      <c r="A9" t="s">
        <v>41</v>
      </c>
      <c r="C9">
        <f>SUBTOTAL(109,Sierpień_saldo[Produkt2])</f>
        <v>0</v>
      </c>
      <c r="D9" s="4">
        <f ca="1">SUBTOTAL(109,Sierpień_saldo[[Saldo początkowe ]])</f>
        <v>13107.95</v>
      </c>
      <c r="E9" s="4">
        <f>SUBTOTAL(109,Sierpień_saldo[Operacje])</f>
        <v>390.5</v>
      </c>
      <c r="F9" s="4">
        <f ca="1">SUBTOTAL(109,Sierpień_saldo[Saldo końcowe])</f>
        <v>13498.45</v>
      </c>
    </row>
    <row r="11" spans="1:6" x14ac:dyDescent="0.25">
      <c r="A11" t="s">
        <v>42</v>
      </c>
      <c r="B11">
        <v>8</v>
      </c>
      <c r="C11" t="str">
        <f>TEXT(DATE(2025,B11,1),"mmmm")</f>
        <v>sierpień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SUMIFS(operacje[Kwota],operacje[Kategoria],$A14,operacje[Kolumna2],sierpień!$B$11)</f>
        <v>-1020</v>
      </c>
    </row>
    <row r="15" spans="1:6" outlineLevel="1" x14ac:dyDescent="0.25">
      <c r="A15" s="5"/>
      <c r="B15" s="6" t="s">
        <v>43</v>
      </c>
      <c r="C15" s="5">
        <f>SUBTOTAL(9,C14:C14)</f>
        <v>-1020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SUMIFS(operacje[Kwota],operacje[Kategoria],$A16,operacje[Kolumna2],sierpień!$B$11)</f>
        <v>400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SUMIFS(operacje[Kwota],operacje[Kategoria],$A17,operacje[Kolumna2],sierpień!$B$11)</f>
        <v>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SUMIFS(operacje[Kwota],operacje[Kategoria],$A18,operacje[Kolumna2],sierpień!$B$11)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SUMIFS(operacje[Kwota],operacje[Kategoria],$A19,operacje[Kolumna2],sierpień!$B$11)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SUMIFS(operacje[Kwota],operacje[Kategoria],$A20,operacje[Kolumna2],sierpień!$B$11)</f>
        <v>500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SUMIFS(operacje[Kwota],operacje[Kategoria],$A21,operacje[Kolumna2],sierpień!$B$11)</f>
        <v>4500</v>
      </c>
    </row>
    <row r="22" spans="1:3" outlineLevel="1" x14ac:dyDescent="0.25">
      <c r="A22" s="5"/>
      <c r="B22" s="6" t="s">
        <v>44</v>
      </c>
      <c r="C22" s="5">
        <f>SUBTOTAL(9,C16:C21)</f>
        <v>5400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SUMIFS(operacje[Kwota],operacje[Kategoria],$A23,operacje[Kolumna2],sierpień!$B$11)</f>
        <v>-749.5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SUMIFS(operacje[Kwota],operacje[Kategoria],$A24,operacje[Kolumna2],sierpień!$B$11)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SUMIFS(operacje[Kwota],operacje[Kategoria],$A25,operacje[Kolumna2],sierpień!$B$11)</f>
        <v>-300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SUMIFS(operacje[Kwota],operacje[Kategoria],$A26,operacje[Kolumna2],sierpień!$B$11)</f>
        <v>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SUMIFS(operacje[Kwota],operacje[Kategoria],$A27,operacje[Kolumna2],sierpień!$B$11)</f>
        <v>-250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SUMIFS(operacje[Kwota],operacje[Kategoria],$A28,operacje[Kolumna2],sierpień!$B$11)</f>
        <v>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SUMIFS(operacje[Kwota],operacje[Kategoria],$A29,operacje[Kolumna2],sierpień!$B$11)</f>
        <v>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SUMIFS(operacje[Kwota],operacje[Kategoria],$A30,operacje[Kolumna2],sierpień!$B$11)</f>
        <v>-290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SUMIFS(operacje[Kwota],operacje[Kategoria],$A31,operacje[Kolumna2],sierpień!$B$11)</f>
        <v>-400</v>
      </c>
    </row>
    <row r="32" spans="1:3" outlineLevel="1" x14ac:dyDescent="0.25">
      <c r="B32" s="7" t="s">
        <v>45</v>
      </c>
      <c r="C32">
        <f>SUBTOTAL(9,C23:C31)</f>
        <v>-3989.5</v>
      </c>
    </row>
    <row r="33" spans="2:3" x14ac:dyDescent="0.25">
      <c r="B33" s="7" t="s">
        <v>46</v>
      </c>
      <c r="C33">
        <f>SUBTOTAL(9,C14:C31)</f>
        <v>390.5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062-27F4-467F-BCB7-7457C1F77E29}">
  <dimension ref="A1:F33"/>
  <sheetViews>
    <sheetView workbookViewId="0">
      <selection activeCell="E12" sqref="E12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-102</v>
      </c>
      <c r="E2" s="4">
        <f>SUMIFS(operacje[Kwota],operacje[Bank],Wrzesień_saldo[[#This Row],[Bank]],operacje[Produkt],Wrzesień_saldo[[#This Row],[Produkt]],operacje[Kolumna2],$B$11)</f>
        <v>82</v>
      </c>
      <c r="F2" s="4">
        <f ca="1">Wrzesień_saldo[[#This Row],[Operacje]]+Wrzesień_saldo[[#This Row],[Saldo początkowe ]]</f>
        <v>-20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11357.44</v>
      </c>
      <c r="E3" s="4">
        <f>SUMIFS(operacje[Kwota],operacje[Bank],Wrzesień_saldo[[#This Row],[Bank]],operacje[Produkt],Wrzesień_saldo[[#This Row],[Produkt]],operacje[Kolumna2],$B$11)</f>
        <v>1689.5</v>
      </c>
      <c r="F3" s="4">
        <f ca="1">Wrzesień_saldo[[#This Row],[Operacje]]+Wrzesień_saldo[[#This Row],[Saldo początkowe ]]</f>
        <v>13046.94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0</v>
      </c>
      <c r="E4" s="4">
        <f>SUMIFS(operacje[Kwota],operacje[Bank],Wrzesień_saldo[[#This Row],[Bank]],operacje[Produkt],Wrzesień_saldo[[#This Row],[Produkt]],operacje[Kolumna2],$B$11)</f>
        <v>0</v>
      </c>
      <c r="F4" s="4">
        <f ca="1">Wrzesień_saldo[[#This Row],[Operacje]]+Wrzesień_saldo[[#This Row],[Saldo początkowe ]]</f>
        <v>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568.5</v>
      </c>
      <c r="E5" s="4">
        <f>SUMIFS(operacje[Kwota],operacje[Bank],Wrzesień_saldo[[#This Row],[Bank]],operacje[Produkt],Wrzesień_saldo[[#This Row],[Produkt]],operacje[Kolumna2],$B$11)</f>
        <v>-20</v>
      </c>
      <c r="F5" s="4">
        <f ca="1">Wrzesień_saldo[[#This Row],[Operacje]]+Wrzesień_saldo[[#This Row],[Saldo początkowe ]]</f>
        <v>548.5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1086</v>
      </c>
      <c r="E6" s="4">
        <f>SUMIFS(operacje[Kwota],operacje[Bank],Wrzesień_saldo[[#This Row],[Bank]],operacje[Produkt],Wrzesień_saldo[[#This Row],[Produkt]],operacje[Kolumna2],$B$11)</f>
        <v>0</v>
      </c>
      <c r="F6" s="4">
        <f ca="1">Wrzesień_saldo[[#This Row],[Operacje]]+Wrzesień_saldo[[#This Row],[Saldo początkowe ]]</f>
        <v>1086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195.51</v>
      </c>
      <c r="E7" s="4">
        <f>SUMIFS(operacje[Kwota],operacje[Bank],Wrzesień_saldo[[#This Row],[Bank]],operacje[Produkt],Wrzesień_saldo[[#This Row],[Produkt]],operacje[Kolumna2],$B$11)</f>
        <v>0</v>
      </c>
      <c r="F7" s="4">
        <f ca="1">Wrzesień_saldo[[#This Row],[Operacje]]+Wrzesień_saldo[[#This Row],[Saldo początkowe ]]</f>
        <v>195.51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393</v>
      </c>
      <c r="E8" s="4">
        <f>SUMIFS(operacje[Kwota],operacje[Bank],Wrzesień_saldo[[#This Row],[Bank]],operacje[Produkt],Wrzesień_saldo[[#This Row],[Produkt]],operacje[Kolumna2],$B$11)</f>
        <v>0</v>
      </c>
      <c r="F8" s="4">
        <f ca="1">Wrzesień_saldo[[#This Row],[Operacje]]+Wrzesień_saldo[[#This Row],[Saldo początkowe ]]</f>
        <v>393</v>
      </c>
    </row>
    <row r="9" spans="1:6" x14ac:dyDescent="0.25">
      <c r="A9" t="s">
        <v>41</v>
      </c>
      <c r="C9">
        <f>SUBTOTAL(109,Wrzesień_saldo[Produkt2])</f>
        <v>0</v>
      </c>
      <c r="D9" s="4">
        <f ca="1">SUBTOTAL(109,Wrzesień_saldo[[Saldo początkowe ]])</f>
        <v>13498.45</v>
      </c>
      <c r="E9" s="4">
        <f>SUBTOTAL(109,Wrzesień_saldo[Operacje])</f>
        <v>1751.5</v>
      </c>
      <c r="F9" s="4">
        <f ca="1">SUBTOTAL(109,Wrzesień_saldo[Saldo końcowe])</f>
        <v>15249.95</v>
      </c>
    </row>
    <row r="11" spans="1:6" x14ac:dyDescent="0.25">
      <c r="A11" t="s">
        <v>42</v>
      </c>
      <c r="B11">
        <v>9</v>
      </c>
      <c r="C11" t="str">
        <f>TEXT(DATE(2025,B11,1),"mmmm")</f>
        <v>wrzesień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SUMIFS(operacje[Kwota],operacje[Kategoria],$A14,operacje[Kolumna2],wrzesień!$B$11)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SUMIFS(operacje[Kwota],operacje[Kategoria],$A16,operacje[Kolumna2],wrzesień!$B$11)</f>
        <v>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SUMIFS(operacje[Kwota],operacje[Kategoria],$A17,operacje[Kolumna2],wrzesień!$B$11)</f>
        <v>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SUMIFS(operacje[Kwota],operacje[Kategoria],$A18,operacje[Kolumna2],wrzesień!$B$11)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SUMIFS(operacje[Kwota],operacje[Kategoria],$A19,operacje[Kolumna2],wrzesień!$B$11)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SUMIFS(operacje[Kwota],operacje[Kategoria],$A20,operacje[Kolumna2],wrzesień!$B$11)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SUMIFS(operacje[Kwota],operacje[Kategoria],$A21,operacje[Kolumna2],wrzesień!$B$11)</f>
        <v>4500</v>
      </c>
    </row>
    <row r="22" spans="1:3" outlineLevel="1" x14ac:dyDescent="0.25">
      <c r="A22" s="5"/>
      <c r="B22" s="6" t="s">
        <v>44</v>
      </c>
      <c r="C22" s="5">
        <f>SUBTOTAL(9,C16:C21)</f>
        <v>4500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SUMIFS(operacje[Kwota],operacje[Kategoria],$A23,operacje[Kolumna2],wrzesień!$B$11)</f>
        <v>-538.5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SUMIFS(operacje[Kwota],operacje[Kategoria],$A24,operacje[Kolumna2],wrzesień!$B$11)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SUMIFS(operacje[Kwota],operacje[Kategoria],$A25,operacje[Kolumna2],wrzesień!$B$11)</f>
        <v>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SUMIFS(operacje[Kwota],operacje[Kategoria],$A26,operacje[Kolumna2],wrzesień!$B$11)</f>
        <v>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SUMIFS(operacje[Kwota],operacje[Kategoria],$A27,operacje[Kolumna2],wrzesień!$B$11)</f>
        <v>-20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SUMIFS(operacje[Kwota],operacje[Kategoria],$A28,operacje[Kolumna2],wrzesień!$B$11)</f>
        <v>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SUMIFS(operacje[Kwota],operacje[Kategoria],$A29,operacje[Kolumna2],wrzesień!$B$11)</f>
        <v>-40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SUMIFS(operacje[Kwota],operacje[Kategoria],$A30,operacje[Kolumna2],wrzesień!$B$11)</f>
        <v>-150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SUMIFS(operacje[Kwota],operacje[Kategoria],$A31,operacje[Kolumna2],wrzesień!$B$11)</f>
        <v>0</v>
      </c>
    </row>
    <row r="32" spans="1:3" outlineLevel="1" x14ac:dyDescent="0.25">
      <c r="B32" s="7" t="s">
        <v>45</v>
      </c>
      <c r="C32">
        <f>SUBTOTAL(9,C23:C31)</f>
        <v>-2748.5</v>
      </c>
    </row>
    <row r="33" spans="2:3" x14ac:dyDescent="0.25">
      <c r="B33" s="7" t="s">
        <v>46</v>
      </c>
      <c r="C33">
        <f>SUBTOTAL(9,C14:C31)</f>
        <v>1751.5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77B8-1359-4983-9841-C4347DF0C77F}">
  <dimension ref="A1:F33"/>
  <sheetViews>
    <sheetView workbookViewId="0">
      <selection activeCell="H28" sqref="H28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-20</v>
      </c>
      <c r="E2" s="4">
        <f>SUMIFS(operacje[Kwota],operacje[Bank],Październik_saldo[[#This Row],[Bank]],operacje[Produkt],Październik_saldo[[#This Row],[Produkt]],operacje[Kolumna2],$B$11)</f>
        <v>-20</v>
      </c>
      <c r="F2" s="4">
        <f ca="1">Październik_saldo[[#This Row],[Operacje]]+Październik_saldo[[#This Row],[Saldo początkowe ]]</f>
        <v>-40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13046.94</v>
      </c>
      <c r="E3" s="4">
        <f>SUMIFS(operacje[Kwota],operacje[Bank],Październik_saldo[[#This Row],[Bank]],operacje[Produkt],Październik_saldo[[#This Row],[Produkt]],operacje[Kolumna2],$B$11)</f>
        <v>1690</v>
      </c>
      <c r="F3" s="4">
        <f ca="1">Październik_saldo[[#This Row],[Operacje]]+Październik_saldo[[#This Row],[Saldo początkowe ]]</f>
        <v>14736.94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0</v>
      </c>
      <c r="E4" s="4">
        <f>SUMIFS(operacje[Kwota],operacje[Bank],Październik_saldo[[#This Row],[Bank]],operacje[Produkt],Październik_saldo[[#This Row],[Produkt]],operacje[Kolumna2],$B$11)</f>
        <v>0</v>
      </c>
      <c r="F4" s="4">
        <f ca="1">Październik_saldo[[#This Row],[Operacje]]+Październik_saldo[[#This Row],[Saldo początkowe ]]</f>
        <v>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548.5</v>
      </c>
      <c r="E5" s="4">
        <f>SUMIFS(operacje[Kwota],operacje[Bank],Październik_saldo[[#This Row],[Bank]],operacje[Produkt],Październik_saldo[[#This Row],[Produkt]],operacje[Kolumna2],$B$11)</f>
        <v>0</v>
      </c>
      <c r="F5" s="4">
        <f ca="1">Październik_saldo[[#This Row],[Operacje]]+Październik_saldo[[#This Row],[Saldo początkowe ]]</f>
        <v>548.5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1086</v>
      </c>
      <c r="E6" s="4">
        <f>SUMIFS(operacje[Kwota],operacje[Bank],Październik_saldo[[#This Row],[Bank]],operacje[Produkt],Październik_saldo[[#This Row],[Produkt]],operacje[Kolumna2],$B$11)</f>
        <v>0</v>
      </c>
      <c r="F6" s="4">
        <f ca="1">Październik_saldo[[#This Row],[Operacje]]+Październik_saldo[[#This Row],[Saldo początkowe ]]</f>
        <v>1086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195.51</v>
      </c>
      <c r="E7" s="4">
        <f>SUMIFS(operacje[Kwota],operacje[Bank],Październik_saldo[[#This Row],[Bank]],operacje[Produkt],Październik_saldo[[#This Row],[Produkt]],operacje[Kolumna2],$B$11)</f>
        <v>0</v>
      </c>
      <c r="F7" s="4">
        <f ca="1">Październik_saldo[[#This Row],[Operacje]]+Październik_saldo[[#This Row],[Saldo początkowe ]]</f>
        <v>195.51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393</v>
      </c>
      <c r="E8" s="4">
        <f>SUMIFS(operacje[Kwota],operacje[Bank],Październik_saldo[[#This Row],[Bank]],operacje[Produkt],Październik_saldo[[#This Row],[Produkt]],operacje[Kolumna2],$B$11)</f>
        <v>0</v>
      </c>
      <c r="F8" s="4">
        <f ca="1">Październik_saldo[[#This Row],[Operacje]]+Październik_saldo[[#This Row],[Saldo początkowe ]]</f>
        <v>393</v>
      </c>
    </row>
    <row r="9" spans="1:6" x14ac:dyDescent="0.25">
      <c r="A9" t="s">
        <v>41</v>
      </c>
      <c r="C9">
        <f>SUBTOTAL(109,Październik_saldo[Produkt2])</f>
        <v>0</v>
      </c>
      <c r="D9" s="4">
        <f ca="1">SUBTOTAL(109,Październik_saldo[[Saldo początkowe ]])</f>
        <v>15249.95</v>
      </c>
      <c r="E9" s="4">
        <f>SUBTOTAL(109,Październik_saldo[Operacje])</f>
        <v>1670</v>
      </c>
      <c r="F9" s="4">
        <f ca="1">SUBTOTAL(109,Październik_saldo[Saldo końcowe])</f>
        <v>16919.95</v>
      </c>
    </row>
    <row r="11" spans="1:6" x14ac:dyDescent="0.25">
      <c r="A11" t="s">
        <v>42</v>
      </c>
      <c r="B11">
        <v>10</v>
      </c>
      <c r="C11" t="str">
        <f>TEXT(DATE(2025,B11,1),"mmmm")</f>
        <v>październik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SUMIFS(operacje[Kwota],operacje[Kategoria],$A14,operacje[Kolumna2],październik!$B$11)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SUMIFS(operacje[Kwota],operacje[Kategoria],$A16,operacje[Kolumna2],październik!$B$11)</f>
        <v>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SUMIFS(operacje[Kwota],operacje[Kategoria],$A17,operacje[Kolumna2],październik!$B$11)</f>
        <v>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SUMIFS(operacje[Kwota],operacje[Kategoria],$A18,operacje[Kolumna2],październik!$B$11)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SUMIFS(operacje[Kwota],operacje[Kategoria],$A19,operacje[Kolumna2],październik!$B$11)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SUMIFS(operacje[Kwota],operacje[Kategoria],$A20,operacje[Kolumna2],październik!$B$11)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SUMIFS(operacje[Kwota],operacje[Kategoria],$A21,operacje[Kolumna2],październik!$B$11)</f>
        <v>4500</v>
      </c>
    </row>
    <row r="22" spans="1:3" outlineLevel="1" x14ac:dyDescent="0.25">
      <c r="A22" s="5"/>
      <c r="B22" s="6" t="s">
        <v>44</v>
      </c>
      <c r="C22" s="5">
        <f>SUBTOTAL(9,C16:C21)</f>
        <v>4500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SUMIFS(operacje[Kwota],operacje[Kategoria],$A23,operacje[Kolumna2],październik!$B$11)</f>
        <v>-600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SUMIFS(operacje[Kwota],operacje[Kategoria],$A24,operacje[Kolumna2],październik!$B$11)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SUMIFS(operacje[Kwota],operacje[Kategoria],$A25,operacje[Kolumna2],październik!$B$11)</f>
        <v>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SUMIFS(operacje[Kwota],operacje[Kategoria],$A26,operacje[Kolumna2],październik!$B$11)</f>
        <v>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SUMIFS(operacje[Kwota],operacje[Kategoria],$A27,operacje[Kolumna2],październik!$B$11)</f>
        <v>-40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SUMIFS(operacje[Kwota],operacje[Kategoria],$A28,operacje[Kolumna2],październik!$B$11)</f>
        <v>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SUMIFS(operacje[Kwota],operacje[Kategoria],$A29,operacje[Kolumna2],październik!$B$11)</f>
        <v>-40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SUMIFS(operacje[Kwota],operacje[Kategoria],$A30,operacje[Kolumna2],październik!$B$11)</f>
        <v>-150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SUMIFS(operacje[Kwota],operacje[Kategoria],$A31,operacje[Kolumna2],październik!$B$11)</f>
        <v>0</v>
      </c>
    </row>
    <row r="32" spans="1:3" outlineLevel="1" x14ac:dyDescent="0.25">
      <c r="B32" s="7" t="s">
        <v>45</v>
      </c>
      <c r="C32">
        <f>SUBTOTAL(9,C23:C31)</f>
        <v>-2830</v>
      </c>
    </row>
    <row r="33" spans="2:3" x14ac:dyDescent="0.25">
      <c r="B33" s="7" t="s">
        <v>46</v>
      </c>
      <c r="C33">
        <f>SUBTOTAL(9,C14:C31)</f>
        <v>1670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82BD-37D6-4909-ACFE-931D72109257}">
  <dimension ref="A1:F33"/>
  <sheetViews>
    <sheetView workbookViewId="0">
      <selection activeCell="F13" sqref="F13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-40</v>
      </c>
      <c r="E2" s="4">
        <f>SUMIFS(operacje[Kwota],operacje[Bank],Listopad_saldo[[#This Row],[Bank]],operacje[Produkt],Listopad_saldo[[#This Row],[Produkt]],operacje[Kolumna2],$B$11)</f>
        <v>40</v>
      </c>
      <c r="F2" s="4">
        <f ca="1">Listopad_saldo[[#This Row],[Operacje]]+Listopad_saldo[[#This Row],[Saldo początkowe ]]</f>
        <v>0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14736.94</v>
      </c>
      <c r="E3" s="4">
        <f>SUMIFS(operacje[Kwota],operacje[Bank],Listopad_saldo[[#This Row],[Bank]],operacje[Produkt],Listopad_saldo[[#This Row],[Produkt]],operacje[Kolumna2],$B$11)</f>
        <v>960</v>
      </c>
      <c r="F3" s="4">
        <f ca="1">Listopad_saldo[[#This Row],[Operacje]]+Listopad_saldo[[#This Row],[Saldo początkowe ]]</f>
        <v>15696.94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0</v>
      </c>
      <c r="E4" s="4">
        <f>SUMIFS(operacje[Kwota],operacje[Bank],Listopad_saldo[[#This Row],[Bank]],operacje[Produkt],Listopad_saldo[[#This Row],[Produkt]],operacje[Kolumna2],$B$11)</f>
        <v>0</v>
      </c>
      <c r="F4" s="4">
        <f ca="1">Listopad_saldo[[#This Row],[Operacje]]+Listopad_saldo[[#This Row],[Saldo początkowe ]]</f>
        <v>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548.5</v>
      </c>
      <c r="E5" s="4">
        <f>SUMIFS(operacje[Kwota],operacje[Bank],Listopad_saldo[[#This Row],[Bank]],operacje[Produkt],Listopad_saldo[[#This Row],[Produkt]],operacje[Kolumna2],$B$11)</f>
        <v>0</v>
      </c>
      <c r="F5" s="4">
        <f ca="1">Listopad_saldo[[#This Row],[Operacje]]+Listopad_saldo[[#This Row],[Saldo początkowe ]]</f>
        <v>548.5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1086</v>
      </c>
      <c r="E6" s="4">
        <f>SUMIFS(operacje[Kwota],operacje[Bank],Listopad_saldo[[#This Row],[Bank]],operacje[Produkt],Listopad_saldo[[#This Row],[Produkt]],operacje[Kolumna2],$B$11)</f>
        <v>0</v>
      </c>
      <c r="F6" s="4">
        <f ca="1">Listopad_saldo[[#This Row],[Operacje]]+Listopad_saldo[[#This Row],[Saldo początkowe ]]</f>
        <v>1086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195.51</v>
      </c>
      <c r="E7" s="4">
        <f>SUMIFS(operacje[Kwota],operacje[Bank],Listopad_saldo[[#This Row],[Bank]],operacje[Produkt],Listopad_saldo[[#This Row],[Produkt]],operacje[Kolumna2],$B$11)</f>
        <v>0</v>
      </c>
      <c r="F7" s="4">
        <f ca="1">Listopad_saldo[[#This Row],[Operacje]]+Listopad_saldo[[#This Row],[Saldo początkowe ]]</f>
        <v>195.51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393</v>
      </c>
      <c r="E8" s="4">
        <f>SUMIFS(operacje[Kwota],operacje[Bank],Listopad_saldo[[#This Row],[Bank]],operacje[Produkt],Listopad_saldo[[#This Row],[Produkt]],operacje[Kolumna2],$B$11)</f>
        <v>400</v>
      </c>
      <c r="F8" s="4">
        <f ca="1">Listopad_saldo[[#This Row],[Operacje]]+Listopad_saldo[[#This Row],[Saldo początkowe ]]</f>
        <v>793</v>
      </c>
    </row>
    <row r="9" spans="1:6" x14ac:dyDescent="0.25">
      <c r="A9" t="s">
        <v>41</v>
      </c>
      <c r="C9">
        <f>SUBTOTAL(109,Listopad_saldo[Produkt2])</f>
        <v>0</v>
      </c>
      <c r="D9" s="4">
        <f ca="1">SUBTOTAL(109,Listopad_saldo[[Saldo początkowe ]])</f>
        <v>16919.95</v>
      </c>
      <c r="E9" s="4">
        <f>SUBTOTAL(109,Listopad_saldo[Operacje])</f>
        <v>1400</v>
      </c>
      <c r="F9" s="4">
        <f ca="1">SUBTOTAL(109,Listopad_saldo[Saldo końcowe])</f>
        <v>18319.95</v>
      </c>
    </row>
    <row r="11" spans="1:6" x14ac:dyDescent="0.25">
      <c r="A11" t="s">
        <v>42</v>
      </c>
      <c r="B11">
        <v>11</v>
      </c>
      <c r="C11" t="str">
        <f>TEXT(DATE(2025,B11,1),"mmmm")</f>
        <v>listopad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SUMIFS(operacje[Kwota],operacje[Kategoria],$A14,operacje[Kolumna2],listopad!$B$11)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SUMIFS(operacje[Kwota],operacje[Kategoria],$A16,operacje[Kolumna2],listopad!$B$11)</f>
        <v>400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SUMIFS(operacje[Kwota],operacje[Kategoria],$A17,operacje[Kolumna2],listopad!$B$11)</f>
        <v>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SUMIFS(operacje[Kwota],operacje[Kategoria],$A18,operacje[Kolumna2],listopad!$B$11)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SUMIFS(operacje[Kwota],operacje[Kategoria],$A19,operacje[Kolumna2],listopad!$B$11)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SUMIFS(operacje[Kwota],operacje[Kategoria],$A20,operacje[Kolumna2],listopad!$B$11)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SUMIFS(operacje[Kwota],operacje[Kategoria],$A21,operacje[Kolumna2],listopad!$B$11)</f>
        <v>4500</v>
      </c>
    </row>
    <row r="22" spans="1:3" outlineLevel="1" x14ac:dyDescent="0.25">
      <c r="A22" s="5"/>
      <c r="B22" s="6" t="s">
        <v>44</v>
      </c>
      <c r="C22" s="5">
        <f>SUBTOTAL(9,C16:C21)</f>
        <v>4900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SUMIFS(operacje[Kwota],operacje[Kategoria],$A23,operacje[Kolumna2],listopad!$B$11)</f>
        <v>-506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SUMIFS(operacje[Kwota],operacje[Kategoria],$A24,operacje[Kolumna2],listopad!$B$11)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SUMIFS(operacje[Kwota],operacje[Kategoria],$A25,operacje[Kolumna2],listopad!$B$11)</f>
        <v>-158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SUMIFS(operacje[Kwota],operacje[Kategoria],$A26,operacje[Kolumna2],listopad!$B$11)</f>
        <v>-234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SUMIFS(operacje[Kwota],operacje[Kategoria],$A27,operacje[Kolumna2],listopad!$B$11)</f>
        <v>-214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SUMIFS(operacje[Kwota],operacje[Kategoria],$A28,operacje[Kolumna2],listopad!$B$11)</f>
        <v>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SUMIFS(operacje[Kwota],operacje[Kategoria],$A29,operacje[Kolumna2],listopad!$B$11)</f>
        <v>-47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SUMIFS(operacje[Kwota],operacje[Kategoria],$A30,operacje[Kolumna2],listopad!$B$11)</f>
        <v>-208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SUMIFS(operacje[Kwota],operacje[Kategoria],$A31,operacje[Kolumna2],listopad!$B$11)</f>
        <v>-133</v>
      </c>
    </row>
    <row r="32" spans="1:3" outlineLevel="1" x14ac:dyDescent="0.25">
      <c r="B32" s="7" t="s">
        <v>45</v>
      </c>
      <c r="C32">
        <f>SUBTOTAL(9,C23:C31)</f>
        <v>-3500</v>
      </c>
    </row>
    <row r="33" spans="2:3" x14ac:dyDescent="0.25">
      <c r="B33" s="7" t="s">
        <v>46</v>
      </c>
      <c r="C33">
        <f>SUBTOTAL(9,C14:C31)</f>
        <v>1400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D94B-B59E-4117-AD93-7674284D1789}">
  <dimension ref="A1:F33"/>
  <sheetViews>
    <sheetView workbookViewId="0">
      <selection activeCell="G16" sqref="G16"/>
    </sheetView>
  </sheetViews>
  <sheetFormatPr defaultRowHeight="15" outlineLevelRow="2" x14ac:dyDescent="0.25"/>
  <cols>
    <col min="1" max="1" width="19.42578125" customWidth="1"/>
    <col min="2" max="2" width="24.140625" customWidth="1"/>
    <col min="3" max="3" width="14.5703125" customWidth="1"/>
    <col min="4" max="4" width="21" customWidth="1"/>
    <col min="5" max="5" width="12.85546875" customWidth="1"/>
    <col min="6" max="6" width="19.85546875" customWidth="1"/>
    <col min="8" max="8" width="19.85546875" customWidth="1"/>
    <col min="9" max="9" width="12.42578125" customWidth="1"/>
    <col min="10" max="10" width="13.140625" customWidth="1"/>
  </cols>
  <sheetData>
    <row r="1" spans="1:6" x14ac:dyDescent="0.25">
      <c r="A1" t="s">
        <v>1</v>
      </c>
      <c r="B1" t="s">
        <v>2</v>
      </c>
      <c r="C1" t="s">
        <v>40</v>
      </c>
      <c r="D1" t="s">
        <v>37</v>
      </c>
      <c r="E1" t="s">
        <v>38</v>
      </c>
      <c r="F1" t="s">
        <v>39</v>
      </c>
    </row>
    <row r="2" spans="1:6" x14ac:dyDescent="0.25">
      <c r="A2" t="s">
        <v>5</v>
      </c>
      <c r="B2" t="s">
        <v>13</v>
      </c>
      <c r="D2" s="4" cm="1">
        <f t="array" aca="1" ref="D2" ca="1">INDIRECT(TEXT(DATE(2025,$B$11-1,1),"mmmm")&amp;"_saldo[@[Saldo końcowe]]")</f>
        <v>0</v>
      </c>
      <c r="E2" s="4">
        <f>SUMIFS(operacje[Kwota],operacje[Bank],Grudzień_saldo[[#This Row],[Bank]],operacje[Produkt],Grudzień_saldo[[#This Row],[Produkt]],operacje[Kolumna2],$B$11)</f>
        <v>0</v>
      </c>
      <c r="F2" s="4">
        <f ca="1">Grudzień_saldo[[#This Row],[Operacje]]+Grudzień_saldo[[#This Row],[Saldo początkowe ]]</f>
        <v>0</v>
      </c>
    </row>
    <row r="3" spans="1:6" x14ac:dyDescent="0.25">
      <c r="A3" t="s">
        <v>5</v>
      </c>
      <c r="B3" t="s">
        <v>6</v>
      </c>
      <c r="D3" s="4" cm="1">
        <f t="array" aca="1" ref="D3" ca="1">INDIRECT(TEXT(DATE(2025,$B$11-1,1),"mmmm")&amp;"_saldo[@[Saldo końcowe]]")</f>
        <v>15696.94</v>
      </c>
      <c r="E3" s="4">
        <f>SUMIFS(operacje[Kwota],operacje[Bank],Grudzień_saldo[[#This Row],[Bank]],operacje[Produkt],Grudzień_saldo[[#This Row],[Produkt]],operacje[Kolumna2],$B$11)</f>
        <v>1320</v>
      </c>
      <c r="F3" s="4">
        <f ca="1">Grudzień_saldo[[#This Row],[Operacje]]+Grudzień_saldo[[#This Row],[Saldo początkowe ]]</f>
        <v>17016.940000000002</v>
      </c>
    </row>
    <row r="4" spans="1:6" x14ac:dyDescent="0.25">
      <c r="A4" t="s">
        <v>5</v>
      </c>
      <c r="B4" t="s">
        <v>16</v>
      </c>
      <c r="D4" s="4" cm="1">
        <f t="array" aca="1" ref="D4" ca="1">INDIRECT(TEXT(DATE(2025,$B$11-1,1),"mmmm")&amp;"_saldo[@[Saldo końcowe]]")</f>
        <v>0</v>
      </c>
      <c r="E4" s="4">
        <f>SUMIFS(operacje[Kwota],operacje[Bank],Grudzień_saldo[[#This Row],[Bank]],operacje[Produkt],Grudzień_saldo[[#This Row],[Produkt]],operacje[Kolumna2],$B$11)</f>
        <v>0</v>
      </c>
      <c r="F4" s="4">
        <f ca="1">Grudzień_saldo[[#This Row],[Operacje]]+Grudzień_saldo[[#This Row],[Saldo początkowe ]]</f>
        <v>0</v>
      </c>
    </row>
    <row r="5" spans="1:6" x14ac:dyDescent="0.25">
      <c r="A5" t="s">
        <v>12</v>
      </c>
      <c r="B5" t="s">
        <v>6</v>
      </c>
      <c r="D5" s="4" cm="1">
        <f t="array" aca="1" ref="D5" ca="1">INDIRECT(TEXT(DATE(2025,$B$11-1,1),"mmmm")&amp;"_saldo[@[Saldo końcowe]]")</f>
        <v>548.5</v>
      </c>
      <c r="E5" s="4">
        <f>SUMIFS(operacje[Kwota],operacje[Bank],Grudzień_saldo[[#This Row],[Bank]],operacje[Produkt],Grudzień_saldo[[#This Row],[Produkt]],operacje[Kolumna2],$B$11)</f>
        <v>0</v>
      </c>
      <c r="F5" s="4">
        <f ca="1">Grudzień_saldo[[#This Row],[Operacje]]+Grudzień_saldo[[#This Row],[Saldo początkowe ]]</f>
        <v>548.5</v>
      </c>
    </row>
    <row r="6" spans="1:6" x14ac:dyDescent="0.25">
      <c r="A6" t="s">
        <v>12</v>
      </c>
      <c r="B6" t="s">
        <v>18</v>
      </c>
      <c r="D6" s="4" cm="1">
        <f t="array" aca="1" ref="D6" ca="1">INDIRECT(TEXT(DATE(2025,$B$11-1,1),"mmmm")&amp;"_saldo[@[Saldo końcowe]]")</f>
        <v>1086</v>
      </c>
      <c r="E6" s="4">
        <f>SUMIFS(operacje[Kwota],operacje[Bank],Grudzień_saldo[[#This Row],[Bank]],operacje[Produkt],Grudzień_saldo[[#This Row],[Produkt]],operacje[Kolumna2],$B$11)</f>
        <v>0</v>
      </c>
      <c r="F6" s="4">
        <f ca="1">Grudzień_saldo[[#This Row],[Operacje]]+Grudzień_saldo[[#This Row],[Saldo początkowe ]]</f>
        <v>1086</v>
      </c>
    </row>
    <row r="7" spans="1:6" x14ac:dyDescent="0.25">
      <c r="A7" t="s">
        <v>24</v>
      </c>
      <c r="B7" t="s">
        <v>25</v>
      </c>
      <c r="D7" s="4" cm="1">
        <f t="array" aca="1" ref="D7" ca="1">INDIRECT(TEXT(DATE(2025,$B$11-1,1),"mmmm")&amp;"_saldo[@[Saldo końcowe]]")</f>
        <v>195.51</v>
      </c>
      <c r="E7" s="4">
        <f>SUMIFS(operacje[Kwota],operacje[Bank],Grudzień_saldo[[#This Row],[Bank]],operacje[Produkt],Grudzień_saldo[[#This Row],[Produkt]],operacje[Kolumna2],$B$11)</f>
        <v>0</v>
      </c>
      <c r="F7" s="4">
        <f ca="1">Grudzień_saldo[[#This Row],[Operacje]]+Grudzień_saldo[[#This Row],[Saldo początkowe ]]</f>
        <v>195.51</v>
      </c>
    </row>
    <row r="8" spans="1:6" x14ac:dyDescent="0.25">
      <c r="A8" t="s">
        <v>24</v>
      </c>
      <c r="B8" t="s">
        <v>26</v>
      </c>
      <c r="D8" s="4" cm="1">
        <f t="array" aca="1" ref="D8" ca="1">INDIRECT(TEXT(DATE(2025,$B$11-1,1),"mmmm")&amp;"_saldo[@[Saldo końcowe]]")</f>
        <v>793</v>
      </c>
      <c r="E8" s="4">
        <f>SUMIFS(operacje[Kwota],operacje[Bank],Grudzień_saldo[[#This Row],[Bank]],operacje[Produkt],Grudzień_saldo[[#This Row],[Produkt]],operacje[Kolumna2],$B$11)</f>
        <v>1100</v>
      </c>
      <c r="F8" s="4">
        <f ca="1">Grudzień_saldo[[#This Row],[Operacje]]+Grudzień_saldo[[#This Row],[Saldo początkowe ]]</f>
        <v>1893</v>
      </c>
    </row>
    <row r="9" spans="1:6" x14ac:dyDescent="0.25">
      <c r="A9" t="s">
        <v>41</v>
      </c>
      <c r="C9">
        <f>SUBTOTAL(109,Grudzień_saldo[Produkt2])</f>
        <v>0</v>
      </c>
      <c r="D9" s="4">
        <f ca="1">SUBTOTAL(109,Grudzień_saldo[[Saldo początkowe ]])</f>
        <v>18319.95</v>
      </c>
      <c r="E9" s="4">
        <f>SUBTOTAL(109,Grudzień_saldo[Operacje])</f>
        <v>2420</v>
      </c>
      <c r="F9" s="4">
        <f ca="1">SUBTOTAL(109,Grudzień_saldo[Saldo końcowe])</f>
        <v>20739.95</v>
      </c>
    </row>
    <row r="11" spans="1:6" x14ac:dyDescent="0.25">
      <c r="A11" t="s">
        <v>42</v>
      </c>
      <c r="B11">
        <v>12</v>
      </c>
      <c r="C11" t="str">
        <f>TEXT(DATE(2025,B11,1),"mmmm")</f>
        <v>grudzień</v>
      </c>
    </row>
    <row r="13" spans="1:6" x14ac:dyDescent="0.25">
      <c r="A13" s="5" t="s">
        <v>32</v>
      </c>
      <c r="B13" s="5" t="s">
        <v>33</v>
      </c>
      <c r="C13" s="5" t="s">
        <v>41</v>
      </c>
    </row>
    <row r="14" spans="1:6" outlineLevel="2" x14ac:dyDescent="0.25">
      <c r="A14" s="5" t="s">
        <v>29</v>
      </c>
      <c r="B14" s="5" t="s">
        <v>34</v>
      </c>
      <c r="C14" s="5">
        <f>SUMIFS(operacje[Kwota],operacje[Kategoria],$A14,operacje[Kolumna2],grudzień!$B$11)</f>
        <v>0</v>
      </c>
    </row>
    <row r="15" spans="1:6" outlineLevel="1" x14ac:dyDescent="0.25">
      <c r="A15" s="5"/>
      <c r="B15" s="6" t="s">
        <v>43</v>
      </c>
      <c r="C15" s="5">
        <f>SUBTOTAL(9,C14:C14)</f>
        <v>0</v>
      </c>
    </row>
    <row r="16" spans="1:6" outlineLevel="2" x14ac:dyDescent="0.25">
      <c r="A16" s="5" t="s">
        <v>30</v>
      </c>
      <c r="B16" s="5" t="s">
        <v>10</v>
      </c>
      <c r="C16" s="5">
        <f>SUMIFS(operacje[Kwota],operacje[Kategoria],$A16,operacje[Kolumna2],grudzień!$B$11)</f>
        <v>2000</v>
      </c>
    </row>
    <row r="17" spans="1:3" outlineLevel="2" x14ac:dyDescent="0.25">
      <c r="A17" s="5" t="s">
        <v>27</v>
      </c>
      <c r="B17" s="5" t="s">
        <v>10</v>
      </c>
      <c r="C17" s="5">
        <f>SUMIFS(operacje[Kwota],operacje[Kategoria],$A17,operacje[Kolumna2],grudzień!$B$11)</f>
        <v>0</v>
      </c>
    </row>
    <row r="18" spans="1:3" outlineLevel="2" x14ac:dyDescent="0.25">
      <c r="A18" s="5" t="s">
        <v>19</v>
      </c>
      <c r="B18" s="5" t="s">
        <v>10</v>
      </c>
      <c r="C18" s="5">
        <f>SUMIFS(operacje[Kwota],operacje[Kategoria],$A18,operacje[Kolumna2],grudzień!$B$11)</f>
        <v>0</v>
      </c>
    </row>
    <row r="19" spans="1:3" outlineLevel="2" x14ac:dyDescent="0.25">
      <c r="A19" s="5" t="s">
        <v>15</v>
      </c>
      <c r="B19" s="5" t="s">
        <v>10</v>
      </c>
      <c r="C19" s="5">
        <f>SUMIFS(operacje[Kwota],operacje[Kategoria],$A19,operacje[Kolumna2],grudzień!$B$11)</f>
        <v>0</v>
      </c>
    </row>
    <row r="20" spans="1:3" outlineLevel="2" x14ac:dyDescent="0.25">
      <c r="A20" s="5" t="s">
        <v>31</v>
      </c>
      <c r="B20" s="5" t="s">
        <v>10</v>
      </c>
      <c r="C20" s="5">
        <f>SUMIFS(operacje[Kwota],operacje[Kategoria],$A20,operacje[Kolumna2],grudzień!$B$11)</f>
        <v>0</v>
      </c>
    </row>
    <row r="21" spans="1:3" outlineLevel="2" x14ac:dyDescent="0.25">
      <c r="A21" s="5" t="s">
        <v>9</v>
      </c>
      <c r="B21" s="5" t="s">
        <v>10</v>
      </c>
      <c r="C21" s="5">
        <f>SUMIFS(operacje[Kwota],operacje[Kategoria],$A21,operacje[Kolumna2],grudzień!$B$11)</f>
        <v>4500</v>
      </c>
    </row>
    <row r="22" spans="1:3" outlineLevel="1" x14ac:dyDescent="0.25">
      <c r="A22" s="5"/>
      <c r="B22" s="6" t="s">
        <v>44</v>
      </c>
      <c r="C22" s="5">
        <f>SUBTOTAL(9,C16:C21)</f>
        <v>6500</v>
      </c>
    </row>
    <row r="23" spans="1:3" outlineLevel="2" x14ac:dyDescent="0.25">
      <c r="A23" s="5" t="s">
        <v>7</v>
      </c>
      <c r="B23" s="5" t="s">
        <v>8</v>
      </c>
      <c r="C23" s="5">
        <f>SUMIFS(operacje[Kwota],operacje[Kategoria],$A23,operacje[Kolumna2],grudzień!$B$11)</f>
        <v>-700</v>
      </c>
    </row>
    <row r="24" spans="1:3" outlineLevel="2" x14ac:dyDescent="0.25">
      <c r="A24" s="5" t="s">
        <v>11</v>
      </c>
      <c r="B24" s="5" t="s">
        <v>8</v>
      </c>
      <c r="C24" s="5">
        <f>SUMIFS(operacje[Kwota],operacje[Kategoria],$A24,operacje[Kolumna2],grudzień!$B$11)</f>
        <v>-2000</v>
      </c>
    </row>
    <row r="25" spans="1:3" outlineLevel="2" x14ac:dyDescent="0.25">
      <c r="A25" s="5" t="s">
        <v>22</v>
      </c>
      <c r="B25" s="5" t="s">
        <v>8</v>
      </c>
      <c r="C25" s="5">
        <f>SUMIFS(operacje[Kwota],operacje[Kategoria],$A25,operacje[Kolumna2],grudzień!$B$11)</f>
        <v>-120</v>
      </c>
    </row>
    <row r="26" spans="1:3" outlineLevel="2" x14ac:dyDescent="0.25">
      <c r="A26" s="5" t="s">
        <v>17</v>
      </c>
      <c r="B26" s="5" t="s">
        <v>8</v>
      </c>
      <c r="C26" s="5">
        <f>SUMIFS(operacje[Kwota],operacje[Kategoria],$A26,operacje[Kolumna2],grudzień!$B$11)</f>
        <v>-700</v>
      </c>
    </row>
    <row r="27" spans="1:3" outlineLevel="2" x14ac:dyDescent="0.25">
      <c r="A27" s="5" t="s">
        <v>20</v>
      </c>
      <c r="B27" s="5" t="s">
        <v>8</v>
      </c>
      <c r="C27" s="5">
        <f>SUMIFS(operacje[Kwota],operacje[Kategoria],$A27,operacje[Kolumna2],grudzień!$B$11)</f>
        <v>-450</v>
      </c>
    </row>
    <row r="28" spans="1:3" outlineLevel="2" x14ac:dyDescent="0.25">
      <c r="A28" s="5" t="s">
        <v>23</v>
      </c>
      <c r="B28" s="5" t="s">
        <v>8</v>
      </c>
      <c r="C28" s="5">
        <f>SUMIFS(operacje[Kwota],operacje[Kategoria],$A28,operacje[Kolumna2],grudzień!$B$11)</f>
        <v>-100</v>
      </c>
    </row>
    <row r="29" spans="1:3" outlineLevel="2" x14ac:dyDescent="0.25">
      <c r="A29" s="5" t="s">
        <v>14</v>
      </c>
      <c r="B29" s="5" t="s">
        <v>8</v>
      </c>
      <c r="C29" s="5">
        <f>SUMIFS(operacje[Kwota],operacje[Kategoria],$A29,operacje[Kolumna2],grudzień!$B$11)</f>
        <v>0</v>
      </c>
    </row>
    <row r="30" spans="1:3" outlineLevel="2" x14ac:dyDescent="0.25">
      <c r="A30" s="5" t="s">
        <v>21</v>
      </c>
      <c r="B30" s="5" t="s">
        <v>8</v>
      </c>
      <c r="C30" s="5">
        <f>SUMIFS(operacje[Kwota],operacje[Kategoria],$A30,operacje[Kolumna2],grudzień!$B$11)</f>
        <v>0</v>
      </c>
    </row>
    <row r="31" spans="1:3" outlineLevel="2" x14ac:dyDescent="0.25">
      <c r="A31" s="5" t="s">
        <v>28</v>
      </c>
      <c r="B31" s="5" t="s">
        <v>8</v>
      </c>
      <c r="C31" s="5">
        <f>SUMIFS(operacje[Kwota],operacje[Kategoria],$A31,operacje[Kolumna2],grudzień!$B$11)</f>
        <v>-10</v>
      </c>
    </row>
    <row r="32" spans="1:3" outlineLevel="1" x14ac:dyDescent="0.25">
      <c r="B32" s="7" t="s">
        <v>45</v>
      </c>
      <c r="C32">
        <f>SUBTOTAL(9,C23:C31)</f>
        <v>-4080</v>
      </c>
    </row>
    <row r="33" spans="2:3" x14ac:dyDescent="0.25">
      <c r="B33" s="7" t="s">
        <v>46</v>
      </c>
      <c r="C33">
        <f>SUBTOTAL(9,C14:C31)</f>
        <v>2420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operacje</vt:lpstr>
      <vt:lpstr>kategorie</vt:lpstr>
      <vt:lpstr>bilans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2024-12-14T15:11:08Z</dcterms:created>
  <dcterms:modified xsi:type="dcterms:W3CDTF">2025-01-11T16:51:10Z</dcterms:modified>
</cp:coreProperties>
</file>