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allm\Desktop\Rockets\Bolt 3 Inch\"/>
    </mc:Choice>
  </mc:AlternateContent>
  <xr:revisionPtr revIDLastSave="0" documentId="8_{A47A654B-E202-4540-9CA8-D9D38173AC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Impact Velocity  Min Chute " sheetId="1" r:id="rId1"/>
    <sheet name="Drogue  Main" sheetId="2" r:id="rId2"/>
    <sheet name="Drift  Time" sheetId="3" r:id="rId3"/>
    <sheet name="Steamer" sheetId="4" r:id="rId4"/>
    <sheet name="Black Powder Calcs" sheetId="5" r:id="rId5"/>
    <sheet name="Opening Force" sheetId="6" r:id="rId6"/>
    <sheet name="FRR Landing KE of Vehicle Comp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D11" i="7"/>
  <c r="J9" i="7"/>
  <c r="E9" i="7"/>
  <c r="J8" i="7"/>
  <c r="E8" i="7"/>
  <c r="J7" i="7"/>
  <c r="E7" i="7"/>
  <c r="J6" i="7"/>
  <c r="E6" i="7"/>
  <c r="J5" i="7"/>
  <c r="E5" i="7"/>
  <c r="J4" i="7"/>
  <c r="E4" i="7"/>
  <c r="C21" i="6"/>
  <c r="C17" i="6"/>
  <c r="C13" i="6"/>
  <c r="C27" i="5"/>
  <c r="I18" i="5"/>
  <c r="G18" i="5"/>
  <c r="C18" i="5"/>
  <c r="C20" i="5" s="1"/>
  <c r="I9" i="5" s="1"/>
  <c r="I10" i="5" s="1"/>
  <c r="I11" i="5" s="1"/>
  <c r="I12" i="5" s="1"/>
  <c r="I17" i="5"/>
  <c r="G17" i="5"/>
  <c r="C11" i="5"/>
  <c r="C13" i="5" s="1"/>
  <c r="I8" i="5"/>
  <c r="I7" i="5"/>
  <c r="G7" i="5"/>
  <c r="B24" i="4"/>
  <c r="I22" i="4"/>
  <c r="D10" i="4"/>
  <c r="K8" i="4"/>
  <c r="H8" i="4"/>
  <c r="E8" i="4"/>
  <c r="C22" i="6" s="1"/>
  <c r="B8" i="4"/>
  <c r="I42" i="3"/>
  <c r="D42" i="3"/>
  <c r="I41" i="3"/>
  <c r="D41" i="3"/>
  <c r="I40" i="3"/>
  <c r="D40" i="3"/>
  <c r="I39" i="3"/>
  <c r="D39" i="3"/>
  <c r="I38" i="3"/>
  <c r="D38" i="3"/>
  <c r="J37" i="3"/>
  <c r="I37" i="3"/>
  <c r="H37" i="3"/>
  <c r="E37" i="3"/>
  <c r="D37" i="3"/>
  <c r="C37" i="3"/>
  <c r="H15" i="3"/>
  <c r="G10" i="3"/>
  <c r="J15" i="3" s="1"/>
  <c r="B10" i="3"/>
  <c r="E15" i="3" s="1"/>
  <c r="G9" i="3"/>
  <c r="I15" i="3" s="1"/>
  <c r="B9" i="3"/>
  <c r="D15" i="3" s="1"/>
  <c r="G8" i="3"/>
  <c r="C8" i="3"/>
  <c r="D8" i="3" s="1"/>
  <c r="B8" i="3"/>
  <c r="C15" i="3" s="1"/>
  <c r="I5" i="3"/>
  <c r="M5" i="3" s="1"/>
  <c r="H5" i="3"/>
  <c r="B5" i="3"/>
  <c r="B20" i="2"/>
  <c r="B17" i="2"/>
  <c r="G13" i="2"/>
  <c r="L11" i="2"/>
  <c r="K11" i="2"/>
  <c r="C15" i="6" s="1"/>
  <c r="J11" i="2"/>
  <c r="J6" i="2"/>
  <c r="J7" i="2" s="1"/>
  <c r="J18" i="2" s="1"/>
  <c r="G6" i="2"/>
  <c r="C23" i="6" s="1"/>
  <c r="N4" i="6" s="1"/>
  <c r="L5" i="2"/>
  <c r="L6" i="2" s="1"/>
  <c r="K5" i="2"/>
  <c r="C16" i="6" s="1"/>
  <c r="J5" i="2"/>
  <c r="G5" i="2"/>
  <c r="C14" i="6" s="1"/>
  <c r="C4" i="2"/>
  <c r="C20" i="6" s="1"/>
  <c r="F9" i="1"/>
  <c r="F13" i="1" s="1"/>
  <c r="G5" i="1"/>
  <c r="G9" i="1" s="1"/>
  <c r="G13" i="1" s="1"/>
  <c r="F5" i="1"/>
  <c r="G19" i="5" l="1"/>
  <c r="I19" i="5"/>
  <c r="G9" i="5"/>
  <c r="C10" i="3"/>
  <c r="D10" i="3" s="1"/>
  <c r="L7" i="2"/>
  <c r="N5" i="6"/>
  <c r="M5" i="6"/>
  <c r="M6" i="6" s="1"/>
  <c r="C5" i="3"/>
  <c r="E5" i="3" s="1"/>
  <c r="K6" i="2"/>
  <c r="C26" i="6"/>
  <c r="H4" i="6" s="1"/>
  <c r="G7" i="2"/>
  <c r="K12" i="2"/>
  <c r="J5" i="3"/>
  <c r="O4" i="6"/>
  <c r="C28" i="6"/>
  <c r="V13" i="6" s="1"/>
  <c r="W13" i="6"/>
  <c r="J12" i="2"/>
  <c r="L12" i="2"/>
  <c r="P4" i="6"/>
  <c r="X13" i="6"/>
  <c r="C29" i="6"/>
  <c r="P5" i="6" l="1"/>
  <c r="O5" i="6"/>
  <c r="N6" i="6" s="1"/>
  <c r="L13" i="2"/>
  <c r="H10" i="3"/>
  <c r="I10" i="3" s="1"/>
  <c r="J10" i="3" s="1"/>
  <c r="J13" i="2"/>
  <c r="H8" i="3"/>
  <c r="I8" i="3" s="1"/>
  <c r="J8" i="3" s="1"/>
  <c r="G4" i="6"/>
  <c r="G5" i="6" s="1"/>
  <c r="E9" i="3"/>
  <c r="E8" i="3"/>
  <c r="E10" i="3"/>
  <c r="C24" i="6"/>
  <c r="H9" i="3"/>
  <c r="I9" i="3" s="1"/>
  <c r="J9" i="3" s="1"/>
  <c r="K13" i="2"/>
  <c r="P15" i="2" s="1"/>
  <c r="C27" i="6"/>
  <c r="V14" i="6"/>
  <c r="U13" i="6"/>
  <c r="U14" i="6" s="1"/>
  <c r="U15" i="6" s="1"/>
  <c r="I4" i="6"/>
  <c r="I20" i="5"/>
  <c r="I21" i="5" s="1"/>
  <c r="I22" i="5" s="1"/>
  <c r="G20" i="5"/>
  <c r="G21" i="5" s="1"/>
  <c r="G22" i="5" s="1"/>
  <c r="G10" i="5"/>
  <c r="G11" i="5" s="1"/>
  <c r="G12" i="5" s="1"/>
  <c r="C25" i="6"/>
  <c r="C9" i="3"/>
  <c r="D9" i="3" s="1"/>
  <c r="K7" i="2"/>
  <c r="P14" i="2" s="1"/>
  <c r="J41" i="3" l="1"/>
  <c r="J42" i="3"/>
  <c r="J39" i="3"/>
  <c r="J40" i="3"/>
  <c r="J18" i="3"/>
  <c r="J19" i="3"/>
  <c r="J20" i="3"/>
  <c r="J17" i="3"/>
  <c r="H40" i="3"/>
  <c r="H41" i="3"/>
  <c r="J38" i="3"/>
  <c r="H42" i="3"/>
  <c r="H38" i="3"/>
  <c r="H39" i="3"/>
  <c r="H17" i="3"/>
  <c r="H16" i="3"/>
  <c r="H18" i="3"/>
  <c r="H19" i="3"/>
  <c r="J16" i="3"/>
  <c r="I16" i="3"/>
  <c r="H20" i="3"/>
  <c r="O24" i="3"/>
  <c r="I19" i="3"/>
  <c r="I18" i="3"/>
  <c r="I20" i="3"/>
  <c r="I26" i="3" s="1"/>
  <c r="I17" i="3"/>
  <c r="O6" i="6"/>
  <c r="N7" i="6" s="1"/>
  <c r="P6" i="6"/>
  <c r="M7" i="6"/>
  <c r="D20" i="3"/>
  <c r="D25" i="3" s="1"/>
  <c r="D17" i="3"/>
  <c r="O23" i="3"/>
  <c r="D18" i="3"/>
  <c r="D19" i="3"/>
  <c r="K2" i="6"/>
  <c r="J4" i="6"/>
  <c r="K4" i="6" s="1"/>
  <c r="C39" i="3"/>
  <c r="C40" i="3"/>
  <c r="C41" i="3"/>
  <c r="E38" i="3"/>
  <c r="C16" i="3"/>
  <c r="D16" i="3" s="1"/>
  <c r="E16" i="3" s="1"/>
  <c r="C17" i="3"/>
  <c r="C18" i="3"/>
  <c r="C19" i="3"/>
  <c r="C42" i="3"/>
  <c r="C38" i="3"/>
  <c r="C20" i="3"/>
  <c r="W14" i="6"/>
  <c r="V15" i="6" s="1"/>
  <c r="X14" i="6"/>
  <c r="H5" i="6"/>
  <c r="E40" i="3"/>
  <c r="E41" i="3"/>
  <c r="E42" i="3"/>
  <c r="E20" i="3"/>
  <c r="E39" i="3"/>
  <c r="E17" i="3"/>
  <c r="E18" i="3"/>
  <c r="E19" i="3"/>
  <c r="G6" i="6"/>
  <c r="W15" i="6" l="1"/>
  <c r="V16" i="6" s="1"/>
  <c r="X15" i="6"/>
  <c r="U16" i="6"/>
  <c r="P7" i="6"/>
  <c r="O7" i="6"/>
  <c r="N8" i="6" s="1"/>
  <c r="I5" i="6"/>
  <c r="J5" i="6" s="1"/>
  <c r="M8" i="6"/>
  <c r="O8" i="6" l="1"/>
  <c r="N9" i="6" s="1"/>
  <c r="P8" i="6"/>
  <c r="X16" i="6"/>
  <c r="W16" i="6"/>
  <c r="V17" i="6" s="1"/>
  <c r="M9" i="6"/>
  <c r="U17" i="6"/>
  <c r="H6" i="6"/>
  <c r="W17" i="6" l="1"/>
  <c r="V18" i="6" s="1"/>
  <c r="X17" i="6"/>
  <c r="O9" i="6"/>
  <c r="N10" i="6" s="1"/>
  <c r="P9" i="6"/>
  <c r="M10" i="6"/>
  <c r="U18" i="6"/>
  <c r="I6" i="6"/>
  <c r="J6" i="6" s="1"/>
  <c r="G7" i="6"/>
  <c r="O10" i="6" l="1"/>
  <c r="N11" i="6" s="1"/>
  <c r="P10" i="6"/>
  <c r="X18" i="6"/>
  <c r="W18" i="6"/>
  <c r="V19" i="6" s="1"/>
  <c r="U19" i="6"/>
  <c r="M11" i="6"/>
  <c r="H7" i="6"/>
  <c r="W19" i="6" l="1"/>
  <c r="V20" i="6" s="1"/>
  <c r="X19" i="6"/>
  <c r="O11" i="6"/>
  <c r="N12" i="6" s="1"/>
  <c r="P11" i="6"/>
  <c r="U20" i="6"/>
  <c r="H8" i="6"/>
  <c r="I7" i="6"/>
  <c r="J7" i="6" s="1"/>
  <c r="M12" i="6"/>
  <c r="G8" i="6"/>
  <c r="O12" i="6" l="1"/>
  <c r="N13" i="6" s="1"/>
  <c r="P12" i="6"/>
  <c r="X20" i="6"/>
  <c r="W20" i="6"/>
  <c r="V21" i="6" s="1"/>
  <c r="U21" i="6"/>
  <c r="H9" i="6"/>
  <c r="I8" i="6"/>
  <c r="J8" i="6" s="1"/>
  <c r="G9" i="6"/>
  <c r="M13" i="6"/>
  <c r="W21" i="6" l="1"/>
  <c r="V22" i="6" s="1"/>
  <c r="X21" i="6"/>
  <c r="O13" i="6"/>
  <c r="N14" i="6" s="1"/>
  <c r="P13" i="6"/>
  <c r="I9" i="6"/>
  <c r="J9" i="6" s="1"/>
  <c r="U22" i="6"/>
  <c r="M14" i="6"/>
  <c r="G10" i="6"/>
  <c r="O14" i="6" l="1"/>
  <c r="N15" i="6" s="1"/>
  <c r="P14" i="6"/>
  <c r="X22" i="6"/>
  <c r="W22" i="6"/>
  <c r="V23" i="6" s="1"/>
  <c r="H10" i="6"/>
  <c r="M15" i="6"/>
  <c r="U23" i="6"/>
  <c r="W23" i="6" l="1"/>
  <c r="V24" i="6" s="1"/>
  <c r="X23" i="6"/>
  <c r="O15" i="6"/>
  <c r="N16" i="6" s="1"/>
  <c r="P15" i="6"/>
  <c r="I10" i="6"/>
  <c r="J10" i="6" s="1"/>
  <c r="G11" i="6"/>
  <c r="U24" i="6"/>
  <c r="M16" i="6"/>
  <c r="O16" i="6" l="1"/>
  <c r="N17" i="6" s="1"/>
  <c r="P16" i="6"/>
  <c r="X24" i="6"/>
  <c r="W24" i="6"/>
  <c r="V25" i="6" s="1"/>
  <c r="H11" i="6"/>
  <c r="M17" i="6"/>
  <c r="U25" i="6"/>
  <c r="W25" i="6" l="1"/>
  <c r="V26" i="6" s="1"/>
  <c r="X25" i="6"/>
  <c r="O17" i="6"/>
  <c r="N18" i="6" s="1"/>
  <c r="P17" i="6"/>
  <c r="M18" i="6"/>
  <c r="H12" i="6"/>
  <c r="I11" i="6"/>
  <c r="J11" i="6" s="1"/>
  <c r="G12" i="6"/>
  <c r="U26" i="6"/>
  <c r="O18" i="6" l="1"/>
  <c r="N19" i="6" s="1"/>
  <c r="P18" i="6"/>
  <c r="X26" i="6"/>
  <c r="W26" i="6"/>
  <c r="V27" i="6" s="1"/>
  <c r="I12" i="6"/>
  <c r="J12" i="6" s="1"/>
  <c r="M19" i="6"/>
  <c r="U27" i="6"/>
  <c r="G13" i="6"/>
  <c r="X27" i="6" l="1"/>
  <c r="W27" i="6"/>
  <c r="V28" i="6" s="1"/>
  <c r="P19" i="6"/>
  <c r="O19" i="6"/>
  <c r="N20" i="6" s="1"/>
  <c r="H13" i="6"/>
  <c r="U28" i="6"/>
  <c r="M20" i="6"/>
  <c r="P20" i="6" l="1"/>
  <c r="O20" i="6"/>
  <c r="N21" i="6" s="1"/>
  <c r="W28" i="6"/>
  <c r="V29" i="6" s="1"/>
  <c r="X28" i="6"/>
  <c r="I13" i="6"/>
  <c r="J13" i="6" s="1"/>
  <c r="G14" i="6"/>
  <c r="M21" i="6"/>
  <c r="U29" i="6"/>
  <c r="X29" i="6" l="1"/>
  <c r="W29" i="6"/>
  <c r="V30" i="6" s="1"/>
  <c r="O21" i="6"/>
  <c r="N22" i="6" s="1"/>
  <c r="P21" i="6"/>
  <c r="H14" i="6"/>
  <c r="U30" i="6"/>
  <c r="M22" i="6"/>
  <c r="O22" i="6" l="1"/>
  <c r="N23" i="6" s="1"/>
  <c r="P22" i="6"/>
  <c r="W30" i="6"/>
  <c r="V31" i="6" s="1"/>
  <c r="X30" i="6"/>
  <c r="I14" i="6"/>
  <c r="J14" i="6" s="1"/>
  <c r="U31" i="6"/>
  <c r="G15" i="6"/>
  <c r="M23" i="6"/>
  <c r="X31" i="6" l="1"/>
  <c r="W31" i="6"/>
  <c r="V32" i="6" s="1"/>
  <c r="O23" i="6"/>
  <c r="N24" i="6" s="1"/>
  <c r="P23" i="6"/>
  <c r="H15" i="6"/>
  <c r="M24" i="6"/>
  <c r="U32" i="6"/>
  <c r="P24" i="6" l="1"/>
  <c r="O24" i="6"/>
  <c r="N25" i="6" s="1"/>
  <c r="W32" i="6"/>
  <c r="V33" i="6" s="1"/>
  <c r="X32" i="6"/>
  <c r="M25" i="6"/>
  <c r="U33" i="6"/>
  <c r="I15" i="6"/>
  <c r="J15" i="6" s="1"/>
  <c r="G16" i="6"/>
  <c r="W33" i="6" l="1"/>
  <c r="V34" i="6" s="1"/>
  <c r="X33" i="6"/>
  <c r="O25" i="6"/>
  <c r="N26" i="6" s="1"/>
  <c r="P25" i="6"/>
  <c r="M26" i="6"/>
  <c r="U34" i="6"/>
  <c r="H16" i="6"/>
  <c r="P26" i="6" l="1"/>
  <c r="O26" i="6"/>
  <c r="N27" i="6" s="1"/>
  <c r="X34" i="6"/>
  <c r="W34" i="6"/>
  <c r="V35" i="6" s="1"/>
  <c r="M27" i="6"/>
  <c r="H17" i="6"/>
  <c r="I16" i="6"/>
  <c r="J16" i="6" s="1"/>
  <c r="U35" i="6"/>
  <c r="G17" i="6"/>
  <c r="W35" i="6" l="1"/>
  <c r="V36" i="6" s="1"/>
  <c r="X35" i="6"/>
  <c r="O27" i="6"/>
  <c r="N28" i="6" s="1"/>
  <c r="P27" i="6"/>
  <c r="I17" i="6"/>
  <c r="J17" i="6" s="1"/>
  <c r="M28" i="6"/>
  <c r="G18" i="6"/>
  <c r="U36" i="6"/>
  <c r="P28" i="6" l="1"/>
  <c r="O28" i="6"/>
  <c r="N29" i="6" s="1"/>
  <c r="W36" i="6"/>
  <c r="V37" i="6" s="1"/>
  <c r="X36" i="6"/>
  <c r="H18" i="6"/>
  <c r="U37" i="6"/>
  <c r="M29" i="6"/>
  <c r="X37" i="6" l="1"/>
  <c r="W37" i="6"/>
  <c r="V38" i="6" s="1"/>
  <c r="O29" i="6"/>
  <c r="N30" i="6" s="1"/>
  <c r="P29" i="6"/>
  <c r="U38" i="6"/>
  <c r="H19" i="6"/>
  <c r="I18" i="6"/>
  <c r="J18" i="6" s="1"/>
  <c r="M30" i="6"/>
  <c r="G19" i="6"/>
  <c r="P30" i="6" l="1"/>
  <c r="O30" i="6"/>
  <c r="N31" i="6" s="1"/>
  <c r="W38" i="6"/>
  <c r="V39" i="6" s="1"/>
  <c r="X38" i="6"/>
  <c r="U39" i="6"/>
  <c r="H20" i="6"/>
  <c r="I19" i="6"/>
  <c r="J19" i="6" s="1"/>
  <c r="G20" i="6"/>
  <c r="M31" i="6"/>
  <c r="X39" i="6" l="1"/>
  <c r="W39" i="6"/>
  <c r="V40" i="6" s="1"/>
  <c r="O31" i="6"/>
  <c r="N32" i="6" s="1"/>
  <c r="P31" i="6"/>
  <c r="I20" i="6"/>
  <c r="J20" i="6" s="1"/>
  <c r="U40" i="6"/>
  <c r="M32" i="6"/>
  <c r="G21" i="6"/>
  <c r="P32" i="6" l="1"/>
  <c r="O32" i="6"/>
  <c r="N33" i="6" s="1"/>
  <c r="W40" i="6"/>
  <c r="V41" i="6" s="1"/>
  <c r="X40" i="6"/>
  <c r="H21" i="6"/>
  <c r="G22" i="6"/>
  <c r="M33" i="6"/>
  <c r="U41" i="6"/>
  <c r="W41" i="6" l="1"/>
  <c r="V42" i="6" s="1"/>
  <c r="X41" i="6"/>
  <c r="P33" i="6"/>
  <c r="O33" i="6"/>
  <c r="N34" i="6" s="1"/>
  <c r="H22" i="6"/>
  <c r="I21" i="6"/>
  <c r="J21" i="6" s="1"/>
  <c r="U42" i="6"/>
  <c r="M34" i="6"/>
  <c r="N35" i="6" l="1"/>
  <c r="O34" i="6"/>
  <c r="P34" i="6"/>
  <c r="X42" i="6"/>
  <c r="W42" i="6"/>
  <c r="V43" i="6" s="1"/>
  <c r="I22" i="6"/>
  <c r="J22" i="6" s="1"/>
  <c r="M35" i="6"/>
  <c r="M36" i="6" s="1"/>
  <c r="G23" i="6"/>
  <c r="U43" i="6"/>
  <c r="W43" i="6" l="1"/>
  <c r="V44" i="6" s="1"/>
  <c r="X43" i="6"/>
  <c r="P35" i="6"/>
  <c r="O35" i="6"/>
  <c r="N36" i="6" s="1"/>
  <c r="H23" i="6"/>
  <c r="U44" i="6"/>
  <c r="P36" i="6" l="1"/>
  <c r="O36" i="6"/>
  <c r="N37" i="6" s="1"/>
  <c r="M37" i="6"/>
  <c r="W44" i="6"/>
  <c r="V45" i="6" s="1"/>
  <c r="X44" i="6"/>
  <c r="H24" i="6"/>
  <c r="I23" i="6"/>
  <c r="J23" i="6" s="1"/>
  <c r="G24" i="6"/>
  <c r="U45" i="6"/>
  <c r="X45" i="6" l="1"/>
  <c r="W45" i="6"/>
  <c r="V46" i="6" s="1"/>
  <c r="O37" i="6"/>
  <c r="N38" i="6" s="1"/>
  <c r="P37" i="6"/>
  <c r="I24" i="6"/>
  <c r="J24" i="6" s="1"/>
  <c r="U46" i="6"/>
  <c r="G25" i="6"/>
  <c r="M38" i="6"/>
  <c r="P38" i="6" l="1"/>
  <c r="O38" i="6"/>
  <c r="N39" i="6" s="1"/>
  <c r="W46" i="6"/>
  <c r="V47" i="6" s="1"/>
  <c r="X46" i="6"/>
  <c r="H25" i="6"/>
  <c r="G26" i="6" s="1"/>
  <c r="M39" i="6"/>
  <c r="U47" i="6"/>
  <c r="X47" i="6" l="1"/>
  <c r="W47" i="6"/>
  <c r="V48" i="6" s="1"/>
  <c r="O39" i="6"/>
  <c r="N40" i="6" s="1"/>
  <c r="P39" i="6"/>
  <c r="H26" i="6"/>
  <c r="I25" i="6"/>
  <c r="J25" i="6" s="1"/>
  <c r="U48" i="6"/>
  <c r="M40" i="6"/>
  <c r="P40" i="6" l="1"/>
  <c r="O40" i="6"/>
  <c r="N41" i="6" s="1"/>
  <c r="W48" i="6"/>
  <c r="V49" i="6" s="1"/>
  <c r="X48" i="6"/>
  <c r="I26" i="6"/>
  <c r="J26" i="6" s="1"/>
  <c r="M41" i="6"/>
  <c r="U49" i="6"/>
  <c r="G27" i="6"/>
  <c r="W49" i="6" l="1"/>
  <c r="V50" i="6" s="1"/>
  <c r="X49" i="6"/>
  <c r="P41" i="6"/>
  <c r="O41" i="6"/>
  <c r="N42" i="6" s="1"/>
  <c r="H27" i="6"/>
  <c r="U50" i="6"/>
  <c r="M42" i="6"/>
  <c r="O42" i="6" l="1"/>
  <c r="N43" i="6" s="1"/>
  <c r="P42" i="6"/>
  <c r="W50" i="6"/>
  <c r="V51" i="6" s="1"/>
  <c r="X50" i="6"/>
  <c r="I27" i="6"/>
  <c r="J27" i="6" s="1"/>
  <c r="G28" i="6"/>
  <c r="M43" i="6"/>
  <c r="U51" i="6"/>
  <c r="X51" i="6" l="1"/>
  <c r="W51" i="6"/>
  <c r="V52" i="6" s="1"/>
  <c r="O43" i="6"/>
  <c r="N44" i="6" s="1"/>
  <c r="P43" i="6"/>
  <c r="M44" i="6"/>
  <c r="H28" i="6"/>
  <c r="U52" i="6"/>
  <c r="P44" i="6" l="1"/>
  <c r="O44" i="6"/>
  <c r="N45" i="6" s="1"/>
  <c r="W52" i="6"/>
  <c r="V53" i="6" s="1"/>
  <c r="X52" i="6"/>
  <c r="M45" i="6"/>
  <c r="H29" i="6"/>
  <c r="I28" i="6"/>
  <c r="J28" i="6" s="1"/>
  <c r="G29" i="6"/>
  <c r="U53" i="6"/>
  <c r="W53" i="6" l="1"/>
  <c r="V54" i="6" s="1"/>
  <c r="X53" i="6"/>
  <c r="O45" i="6"/>
  <c r="N46" i="6" s="1"/>
  <c r="P45" i="6"/>
  <c r="I29" i="6"/>
  <c r="J29" i="6" s="1"/>
  <c r="M46" i="6"/>
  <c r="U54" i="6"/>
  <c r="G30" i="6"/>
  <c r="P46" i="6" l="1"/>
  <c r="O46" i="6"/>
  <c r="N47" i="6" s="1"/>
  <c r="X54" i="6"/>
  <c r="W54" i="6"/>
  <c r="V55" i="6" s="1"/>
  <c r="H30" i="6"/>
  <c r="U55" i="6"/>
  <c r="M47" i="6"/>
  <c r="W55" i="6" l="1"/>
  <c r="V56" i="6" s="1"/>
  <c r="X55" i="6"/>
  <c r="P47" i="6"/>
  <c r="O47" i="6"/>
  <c r="N48" i="6" s="1"/>
  <c r="I30" i="6"/>
  <c r="J30" i="6" s="1"/>
  <c r="M48" i="6"/>
  <c r="G31" i="6"/>
  <c r="U56" i="6"/>
  <c r="P48" i="6" l="1"/>
  <c r="O48" i="6"/>
  <c r="N49" i="6" s="1"/>
  <c r="W56" i="6"/>
  <c r="V57" i="6" s="1"/>
  <c r="X56" i="6"/>
  <c r="U57" i="6"/>
  <c r="H31" i="6"/>
  <c r="M49" i="6"/>
  <c r="X57" i="6" l="1"/>
  <c r="W57" i="6"/>
  <c r="V58" i="6" s="1"/>
  <c r="P49" i="6"/>
  <c r="O49" i="6"/>
  <c r="N50" i="6" s="1"/>
  <c r="I31" i="6"/>
  <c r="J31" i="6" s="1"/>
  <c r="U58" i="6"/>
  <c r="M50" i="6"/>
  <c r="G32" i="6"/>
  <c r="O50" i="6" l="1"/>
  <c r="N51" i="6" s="1"/>
  <c r="P50" i="6"/>
  <c r="X58" i="6"/>
  <c r="W58" i="6"/>
  <c r="V59" i="6" s="1"/>
  <c r="H32" i="6"/>
  <c r="M51" i="6"/>
  <c r="U59" i="6"/>
  <c r="X59" i="6" l="1"/>
  <c r="W59" i="6"/>
  <c r="V60" i="6" s="1"/>
  <c r="P51" i="6"/>
  <c r="O51" i="6"/>
  <c r="N52" i="6" s="1"/>
  <c r="I32" i="6"/>
  <c r="J32" i="6" s="1"/>
  <c r="G33" i="6"/>
  <c r="U60" i="6"/>
  <c r="M52" i="6"/>
  <c r="P52" i="6" l="1"/>
  <c r="O52" i="6"/>
  <c r="N53" i="6" s="1"/>
  <c r="X60" i="6"/>
  <c r="W60" i="6"/>
  <c r="V61" i="6" s="1"/>
  <c r="H33" i="6"/>
  <c r="M53" i="6"/>
  <c r="U61" i="6"/>
  <c r="W61" i="6" l="1"/>
  <c r="V62" i="6" s="1"/>
  <c r="X61" i="6"/>
  <c r="P53" i="6"/>
  <c r="O53" i="6"/>
  <c r="N54" i="6" s="1"/>
  <c r="I33" i="6"/>
  <c r="J33" i="6" s="1"/>
  <c r="M54" i="6"/>
  <c r="G34" i="6"/>
  <c r="U62" i="6"/>
  <c r="O54" i="6" l="1"/>
  <c r="N55" i="6" s="1"/>
  <c r="P54" i="6"/>
  <c r="W62" i="6"/>
  <c r="V63" i="6" s="1"/>
  <c r="X62" i="6"/>
  <c r="H34" i="6"/>
  <c r="U63" i="6"/>
  <c r="M55" i="6"/>
  <c r="W63" i="6" l="1"/>
  <c r="V64" i="6" s="1"/>
  <c r="X63" i="6"/>
  <c r="O55" i="6"/>
  <c r="N56" i="6" s="1"/>
  <c r="P55" i="6"/>
  <c r="U64" i="6"/>
  <c r="H35" i="6"/>
  <c r="I34" i="6"/>
  <c r="J34" i="6" s="1"/>
  <c r="M56" i="6"/>
  <c r="G35" i="6"/>
  <c r="O56" i="6" l="1"/>
  <c r="N57" i="6" s="1"/>
  <c r="P56" i="6"/>
  <c r="W64" i="6"/>
  <c r="V65" i="6" s="1"/>
  <c r="X64" i="6"/>
  <c r="U65" i="6"/>
  <c r="H36" i="6"/>
  <c r="I35" i="6"/>
  <c r="J35" i="6" s="1"/>
  <c r="G36" i="6"/>
  <c r="M57" i="6"/>
  <c r="W65" i="6" l="1"/>
  <c r="V66" i="6" s="1"/>
  <c r="X65" i="6"/>
  <c r="P57" i="6"/>
  <c r="O57" i="6"/>
  <c r="N58" i="6" s="1"/>
  <c r="U66" i="6"/>
  <c r="G37" i="6"/>
  <c r="I36" i="6"/>
  <c r="J36" i="6" s="1"/>
  <c r="M58" i="6"/>
  <c r="O58" i="6" l="1"/>
  <c r="N59" i="6" s="1"/>
  <c r="P58" i="6"/>
  <c r="X66" i="6"/>
  <c r="W66" i="6"/>
  <c r="V67" i="6" s="1"/>
  <c r="G38" i="6"/>
  <c r="M59" i="6"/>
  <c r="U67" i="6"/>
  <c r="H37" i="6"/>
  <c r="X67" i="6" l="1"/>
  <c r="W67" i="6"/>
  <c r="V68" i="6" s="1"/>
  <c r="P59" i="6"/>
  <c r="O59" i="6"/>
  <c r="N60" i="6" s="1"/>
  <c r="M60" i="6"/>
  <c r="I37" i="6"/>
  <c r="J37" i="6" s="1"/>
  <c r="U68" i="6"/>
  <c r="P60" i="6" l="1"/>
  <c r="O60" i="6"/>
  <c r="N61" i="6" s="1"/>
  <c r="X68" i="6"/>
  <c r="W68" i="6"/>
  <c r="V69" i="6" s="1"/>
  <c r="M61" i="6"/>
  <c r="U69" i="6"/>
  <c r="H38" i="6"/>
  <c r="W69" i="6" l="1"/>
  <c r="V70" i="6" s="1"/>
  <c r="X69" i="6"/>
  <c r="P61" i="6"/>
  <c r="O61" i="6"/>
  <c r="N62" i="6" s="1"/>
  <c r="U70" i="6"/>
  <c r="M62" i="6"/>
  <c r="I38" i="6"/>
  <c r="J38" i="6" s="1"/>
  <c r="G39" i="6"/>
  <c r="O62" i="6" l="1"/>
  <c r="N63" i="6" s="1"/>
  <c r="P62" i="6"/>
  <c r="W70" i="6"/>
  <c r="V71" i="6" s="1"/>
  <c r="X70" i="6"/>
  <c r="U71" i="6"/>
  <c r="G40" i="6"/>
  <c r="M63" i="6"/>
  <c r="H39" i="6"/>
  <c r="W71" i="6" l="1"/>
  <c r="V72" i="6" s="1"/>
  <c r="X71" i="6"/>
  <c r="O63" i="6"/>
  <c r="N64" i="6" s="1"/>
  <c r="P63" i="6"/>
  <c r="U72" i="6"/>
  <c r="I39" i="6"/>
  <c r="J39" i="6" s="1"/>
  <c r="M64" i="6"/>
  <c r="P64" i="6" l="1"/>
  <c r="O64" i="6"/>
  <c r="N65" i="6" s="1"/>
  <c r="W72" i="6"/>
  <c r="V73" i="6" s="1"/>
  <c r="X72" i="6"/>
  <c r="U73" i="6"/>
  <c r="M65" i="6"/>
  <c r="H40" i="6"/>
  <c r="W73" i="6" l="1"/>
  <c r="V74" i="6" s="1"/>
  <c r="X73" i="6"/>
  <c r="O65" i="6"/>
  <c r="N66" i="6" s="1"/>
  <c r="P65" i="6"/>
  <c r="M66" i="6"/>
  <c r="U74" i="6"/>
  <c r="I40" i="6"/>
  <c r="J40" i="6" s="1"/>
  <c r="G41" i="6"/>
  <c r="X74" i="6" l="1"/>
  <c r="W74" i="6"/>
  <c r="V75" i="6" s="1"/>
  <c r="O66" i="6"/>
  <c r="N67" i="6" s="1"/>
  <c r="P66" i="6"/>
  <c r="M67" i="6"/>
  <c r="U75" i="6"/>
  <c r="H41" i="6"/>
  <c r="P67" i="6" l="1"/>
  <c r="O67" i="6"/>
  <c r="N68" i="6" s="1"/>
  <c r="X75" i="6"/>
  <c r="W75" i="6"/>
  <c r="V76" i="6" s="1"/>
  <c r="U76" i="6"/>
  <c r="H42" i="6"/>
  <c r="I41" i="6"/>
  <c r="J41" i="6" s="1"/>
  <c r="M68" i="6"/>
  <c r="G42" i="6"/>
  <c r="X76" i="6" l="1"/>
  <c r="W76" i="6"/>
  <c r="V77" i="6" s="1"/>
  <c r="P68" i="6"/>
  <c r="O68" i="6"/>
  <c r="N69" i="6" s="1"/>
  <c r="I42" i="6"/>
  <c r="J42" i="6" s="1"/>
  <c r="U77" i="6"/>
  <c r="M69" i="6"/>
  <c r="G43" i="6"/>
  <c r="P69" i="6" l="1"/>
  <c r="O69" i="6"/>
  <c r="N70" i="6" s="1"/>
  <c r="X77" i="6"/>
  <c r="W77" i="6"/>
  <c r="V78" i="6" s="1"/>
  <c r="H43" i="6"/>
  <c r="G44" i="6"/>
  <c r="M70" i="6"/>
  <c r="U78" i="6"/>
  <c r="W78" i="6" l="1"/>
  <c r="V79" i="6" s="1"/>
  <c r="X78" i="6"/>
  <c r="O70" i="6"/>
  <c r="N71" i="6" s="1"/>
  <c r="P70" i="6"/>
  <c r="H44" i="6"/>
  <c r="I43" i="6"/>
  <c r="J43" i="6" s="1"/>
  <c r="U79" i="6"/>
  <c r="M71" i="6"/>
  <c r="W79" i="6" l="1"/>
  <c r="V80" i="6" s="1"/>
  <c r="X79" i="6"/>
  <c r="O71" i="6"/>
  <c r="N72" i="6" s="1"/>
  <c r="P71" i="6"/>
  <c r="I44" i="6"/>
  <c r="J44" i="6" s="1"/>
  <c r="G45" i="6"/>
  <c r="M72" i="6"/>
  <c r="U80" i="6"/>
  <c r="P72" i="6" l="1"/>
  <c r="O72" i="6"/>
  <c r="N73" i="6" s="1"/>
  <c r="W80" i="6"/>
  <c r="V81" i="6" s="1"/>
  <c r="X80" i="6"/>
  <c r="H45" i="6"/>
  <c r="U81" i="6"/>
  <c r="M73" i="6"/>
  <c r="X81" i="6" l="1"/>
  <c r="W81" i="6"/>
  <c r="V82" i="6" s="1"/>
  <c r="P73" i="6"/>
  <c r="O73" i="6"/>
  <c r="N74" i="6" s="1"/>
  <c r="U82" i="6"/>
  <c r="H46" i="6"/>
  <c r="I45" i="6"/>
  <c r="J45" i="6" s="1"/>
  <c r="G46" i="6"/>
  <c r="M74" i="6"/>
  <c r="P74" i="6" l="1"/>
  <c r="O74" i="6"/>
  <c r="N75" i="6" s="1"/>
  <c r="X82" i="6"/>
  <c r="W82" i="6"/>
  <c r="V83" i="6" s="1"/>
  <c r="I46" i="6"/>
  <c r="J46" i="6" s="1"/>
  <c r="U83" i="6"/>
  <c r="M75" i="6"/>
  <c r="G47" i="6"/>
  <c r="X83" i="6" l="1"/>
  <c r="W83" i="6"/>
  <c r="V84" i="6" s="1"/>
  <c r="P75" i="6"/>
  <c r="O75" i="6"/>
  <c r="N76" i="6" s="1"/>
  <c r="U84" i="6"/>
  <c r="H47" i="6"/>
  <c r="M76" i="6"/>
  <c r="P76" i="6" l="1"/>
  <c r="O76" i="6"/>
  <c r="N77" i="6" s="1"/>
  <c r="X84" i="6"/>
  <c r="W84" i="6"/>
  <c r="V85" i="6" s="1"/>
  <c r="U85" i="6"/>
  <c r="H48" i="6"/>
  <c r="I47" i="6"/>
  <c r="J47" i="6" s="1"/>
  <c r="M77" i="6"/>
  <c r="G48" i="6"/>
  <c r="W85" i="6" l="1"/>
  <c r="V86" i="6" s="1"/>
  <c r="X85" i="6"/>
  <c r="O77" i="6"/>
  <c r="N78" i="6" s="1"/>
  <c r="P77" i="6"/>
  <c r="U86" i="6"/>
  <c r="H49" i="6"/>
  <c r="I48" i="6"/>
  <c r="J48" i="6" s="1"/>
  <c r="G49" i="6"/>
  <c r="M78" i="6"/>
  <c r="N79" i="6" l="1"/>
  <c r="O78" i="6"/>
  <c r="P78" i="6"/>
  <c r="W86" i="6"/>
  <c r="V87" i="6" s="1"/>
  <c r="X86" i="6"/>
  <c r="M79" i="6"/>
  <c r="I49" i="6"/>
  <c r="J49" i="6" s="1"/>
  <c r="U87" i="6"/>
  <c r="G50" i="6"/>
  <c r="W87" i="6" l="1"/>
  <c r="V88" i="6" s="1"/>
  <c r="X87" i="6"/>
  <c r="M80" i="6"/>
  <c r="O79" i="6"/>
  <c r="N80" i="6" s="1"/>
  <c r="P79" i="6"/>
  <c r="H50" i="6"/>
  <c r="U88" i="6"/>
  <c r="P80" i="6" l="1"/>
  <c r="O80" i="6"/>
  <c r="N81" i="6" s="1"/>
  <c r="X88" i="6"/>
  <c r="W88" i="6"/>
  <c r="V89" i="6" s="1"/>
  <c r="I50" i="6"/>
  <c r="J50" i="6" s="1"/>
  <c r="U89" i="6"/>
  <c r="M81" i="6"/>
  <c r="G51" i="6"/>
  <c r="X89" i="6" l="1"/>
  <c r="W89" i="6"/>
  <c r="V90" i="6" s="1"/>
  <c r="P81" i="6"/>
  <c r="O81" i="6"/>
  <c r="N82" i="6" s="1"/>
  <c r="H51" i="6"/>
  <c r="G52" i="6"/>
  <c r="M82" i="6"/>
  <c r="U90" i="6"/>
  <c r="P82" i="6" l="1"/>
  <c r="O82" i="6"/>
  <c r="N83" i="6" s="1"/>
  <c r="X90" i="6"/>
  <c r="W90" i="6"/>
  <c r="V91" i="6" s="1"/>
  <c r="I51" i="6"/>
  <c r="J51" i="6" s="1"/>
  <c r="U91" i="6"/>
  <c r="M83" i="6"/>
  <c r="X91" i="6" l="1"/>
  <c r="W91" i="6"/>
  <c r="V92" i="6" s="1"/>
  <c r="O83" i="6"/>
  <c r="N84" i="6" s="1"/>
  <c r="P83" i="6"/>
  <c r="H52" i="6"/>
  <c r="M84" i="6"/>
  <c r="U92" i="6"/>
  <c r="P84" i="6" l="1"/>
  <c r="O84" i="6"/>
  <c r="N85" i="6" s="1"/>
  <c r="X92" i="6"/>
  <c r="W92" i="6"/>
  <c r="V93" i="6" s="1"/>
  <c r="I52" i="6"/>
  <c r="J52" i="6" s="1"/>
  <c r="G53" i="6"/>
  <c r="M85" i="6"/>
  <c r="U93" i="6"/>
  <c r="W93" i="6" l="1"/>
  <c r="V94" i="6" s="1"/>
  <c r="X93" i="6"/>
  <c r="O85" i="6"/>
  <c r="N86" i="6" s="1"/>
  <c r="P85" i="6"/>
  <c r="H53" i="6"/>
  <c r="M86" i="6"/>
  <c r="U94" i="6"/>
  <c r="O86" i="6" l="1"/>
  <c r="N87" i="6" s="1"/>
  <c r="P86" i="6"/>
  <c r="W94" i="6"/>
  <c r="V95" i="6" s="1"/>
  <c r="X94" i="6"/>
  <c r="I53" i="6"/>
  <c r="J53" i="6" s="1"/>
  <c r="M87" i="6"/>
  <c r="G54" i="6"/>
  <c r="U95" i="6"/>
  <c r="W95" i="6" l="1"/>
  <c r="V96" i="6" s="1"/>
  <c r="X95" i="6"/>
  <c r="O87" i="6"/>
  <c r="N88" i="6" s="1"/>
  <c r="P87" i="6"/>
  <c r="H54" i="6"/>
  <c r="U96" i="6"/>
  <c r="M88" i="6"/>
  <c r="P88" i="6" l="1"/>
  <c r="O88" i="6"/>
  <c r="N89" i="6" s="1"/>
  <c r="X96" i="6"/>
  <c r="W96" i="6"/>
  <c r="V97" i="6" s="1"/>
  <c r="I54" i="6"/>
  <c r="J54" i="6" s="1"/>
  <c r="M89" i="6"/>
  <c r="U97" i="6"/>
  <c r="G55" i="6"/>
  <c r="X97" i="6" l="1"/>
  <c r="W97" i="6"/>
  <c r="V98" i="6" s="1"/>
  <c r="P89" i="6"/>
  <c r="O89" i="6"/>
  <c r="N90" i="6" s="1"/>
  <c r="H55" i="6"/>
  <c r="U98" i="6"/>
  <c r="M90" i="6"/>
  <c r="P90" i="6" l="1"/>
  <c r="O90" i="6"/>
  <c r="N91" i="6" s="1"/>
  <c r="X98" i="6"/>
  <c r="W98" i="6"/>
  <c r="V99" i="6" s="1"/>
  <c r="I55" i="6"/>
  <c r="J55" i="6" s="1"/>
  <c r="G56" i="6"/>
  <c r="M91" i="6"/>
  <c r="U99" i="6"/>
  <c r="X99" i="6" l="1"/>
  <c r="W99" i="6"/>
  <c r="V100" i="6" s="1"/>
  <c r="P91" i="6"/>
  <c r="O91" i="6"/>
  <c r="N92" i="6" s="1"/>
  <c r="H56" i="6"/>
  <c r="U100" i="6"/>
  <c r="M92" i="6"/>
  <c r="P92" i="6" l="1"/>
  <c r="O92" i="6"/>
  <c r="N93" i="6" s="1"/>
  <c r="X100" i="6"/>
  <c r="W100" i="6"/>
  <c r="V101" i="6" s="1"/>
  <c r="I56" i="6"/>
  <c r="J56" i="6" s="1"/>
  <c r="G57" i="6"/>
  <c r="U101" i="6"/>
  <c r="M93" i="6"/>
  <c r="W101" i="6" l="1"/>
  <c r="V102" i="6" s="1"/>
  <c r="X101" i="6"/>
  <c r="O93" i="6"/>
  <c r="N94" i="6" s="1"/>
  <c r="P93" i="6"/>
  <c r="H57" i="6"/>
  <c r="U102" i="6"/>
  <c r="M94" i="6"/>
  <c r="O94" i="6" l="1"/>
  <c r="N95" i="6" s="1"/>
  <c r="P94" i="6"/>
  <c r="W102" i="6"/>
  <c r="V103" i="6" s="1"/>
  <c r="X102" i="6"/>
  <c r="U103" i="6"/>
  <c r="H58" i="6"/>
  <c r="I57" i="6"/>
  <c r="J57" i="6" s="1"/>
  <c r="G58" i="6"/>
  <c r="M95" i="6"/>
  <c r="W103" i="6" l="1"/>
  <c r="V104" i="6" s="1"/>
  <c r="X103" i="6"/>
  <c r="O95" i="6"/>
  <c r="N96" i="6" s="1"/>
  <c r="P95" i="6"/>
  <c r="I58" i="6"/>
  <c r="J58" i="6" s="1"/>
  <c r="G59" i="6"/>
  <c r="U104" i="6"/>
  <c r="M96" i="6"/>
  <c r="P96" i="6" l="1"/>
  <c r="O96" i="6"/>
  <c r="N97" i="6" s="1"/>
  <c r="X104" i="6"/>
  <c r="W104" i="6"/>
  <c r="V105" i="6" s="1"/>
  <c r="H59" i="6"/>
  <c r="G60" i="6" s="1"/>
  <c r="M97" i="6"/>
  <c r="U105" i="6"/>
  <c r="X105" i="6" l="1"/>
  <c r="W105" i="6"/>
  <c r="V106" i="6" s="1"/>
  <c r="P97" i="6"/>
  <c r="O97" i="6"/>
  <c r="N98" i="6" s="1"/>
  <c r="M98" i="6"/>
  <c r="I59" i="6"/>
  <c r="J59" i="6" s="1"/>
  <c r="U106" i="6"/>
  <c r="P98" i="6" l="1"/>
  <c r="O98" i="6"/>
  <c r="N99" i="6" s="1"/>
  <c r="X106" i="6"/>
  <c r="W106" i="6"/>
  <c r="V107" i="6" s="1"/>
  <c r="M99" i="6"/>
  <c r="U107" i="6"/>
  <c r="H60" i="6"/>
  <c r="X107" i="6" l="1"/>
  <c r="W107" i="6"/>
  <c r="V108" i="6" s="1"/>
  <c r="P99" i="6"/>
  <c r="O99" i="6"/>
  <c r="N100" i="6" s="1"/>
  <c r="U108" i="6"/>
  <c r="M100" i="6"/>
  <c r="I60" i="6"/>
  <c r="J60" i="6" s="1"/>
  <c r="G61" i="6"/>
  <c r="P100" i="6" l="1"/>
  <c r="O100" i="6"/>
  <c r="N101" i="6" s="1"/>
  <c r="X108" i="6"/>
  <c r="W108" i="6"/>
  <c r="V109" i="6" s="1"/>
  <c r="U109" i="6"/>
  <c r="M101" i="6"/>
  <c r="H61" i="6"/>
  <c r="X109" i="6" l="1"/>
  <c r="W109" i="6"/>
  <c r="V110" i="6" s="1"/>
  <c r="O101" i="6"/>
  <c r="N102" i="6" s="1"/>
  <c r="P101" i="6"/>
  <c r="U110" i="6"/>
  <c r="M102" i="6"/>
  <c r="I61" i="6"/>
  <c r="J61" i="6" s="1"/>
  <c r="G62" i="6"/>
  <c r="O102" i="6" l="1"/>
  <c r="N103" i="6" s="1"/>
  <c r="P102" i="6"/>
  <c r="X110" i="6"/>
  <c r="W110" i="6"/>
  <c r="V111" i="6" s="1"/>
  <c r="U111" i="6"/>
  <c r="M103" i="6"/>
  <c r="H62" i="6"/>
  <c r="X111" i="6" l="1"/>
  <c r="W111" i="6"/>
  <c r="V112" i="6" s="1"/>
  <c r="O103" i="6"/>
  <c r="N104" i="6" s="1"/>
  <c r="P103" i="6"/>
  <c r="M104" i="6"/>
  <c r="U112" i="6"/>
  <c r="I62" i="6"/>
  <c r="J62" i="6" s="1"/>
  <c r="G63" i="6"/>
  <c r="P104" i="6" l="1"/>
  <c r="O104" i="6"/>
  <c r="X112" i="6"/>
  <c r="W112" i="6"/>
  <c r="V113" i="6" s="1"/>
  <c r="U113" i="6"/>
  <c r="H63" i="6"/>
  <c r="W113" i="6" l="1"/>
  <c r="X113" i="6"/>
  <c r="I63" i="6"/>
  <c r="J63" i="6" s="1"/>
  <c r="G64" i="6"/>
  <c r="H64" i="6" l="1"/>
  <c r="I64" i="6" l="1"/>
  <c r="J64" i="6" s="1"/>
  <c r="G65" i="6"/>
  <c r="H65" i="6" l="1"/>
  <c r="I65" i="6" l="1"/>
  <c r="J65" i="6" s="1"/>
  <c r="G66" i="6"/>
  <c r="H66" i="6" l="1"/>
  <c r="I66" i="6" l="1"/>
  <c r="J66" i="6" s="1"/>
  <c r="G67" i="6"/>
  <c r="H67" i="6" l="1"/>
  <c r="I67" i="6" l="1"/>
  <c r="J67" i="6" s="1"/>
  <c r="G68" i="6"/>
  <c r="H68" i="6" l="1"/>
  <c r="I68" i="6" l="1"/>
  <c r="J68" i="6" s="1"/>
  <c r="G69" i="6"/>
  <c r="H69" i="6" l="1"/>
  <c r="I69" i="6" l="1"/>
  <c r="J69" i="6" s="1"/>
  <c r="G70" i="6"/>
  <c r="H70" i="6" l="1"/>
  <c r="I70" i="6" l="1"/>
  <c r="J70" i="6" s="1"/>
  <c r="G71" i="6"/>
  <c r="H71" i="6" l="1"/>
  <c r="I71" i="6" l="1"/>
  <c r="J71" i="6" s="1"/>
  <c r="G72" i="6"/>
  <c r="H72" i="6" l="1"/>
  <c r="I72" i="6" l="1"/>
  <c r="J72" i="6" s="1"/>
  <c r="G73" i="6"/>
  <c r="H73" i="6" l="1"/>
  <c r="I73" i="6" l="1"/>
  <c r="J73" i="6" s="1"/>
  <c r="G74" i="6"/>
  <c r="H74" i="6" l="1"/>
  <c r="I74" i="6" l="1"/>
  <c r="J74" i="6" s="1"/>
  <c r="G75" i="6"/>
  <c r="H75" i="6" l="1"/>
  <c r="I75" i="6" l="1"/>
  <c r="J75" i="6" s="1"/>
  <c r="G76" i="6"/>
  <c r="H76" i="6" l="1"/>
  <c r="I76" i="6" l="1"/>
  <c r="J76" i="6" s="1"/>
  <c r="G77" i="6"/>
  <c r="H77" i="6" l="1"/>
  <c r="I77" i="6" l="1"/>
  <c r="J77" i="6" s="1"/>
  <c r="G78" i="6"/>
  <c r="H78" i="6" l="1"/>
  <c r="I78" i="6" l="1"/>
  <c r="J78" i="6" s="1"/>
  <c r="G79" i="6"/>
  <c r="H79" i="6" l="1"/>
  <c r="I79" i="6" l="1"/>
  <c r="J79" i="6" s="1"/>
  <c r="G80" i="6"/>
  <c r="H80" i="6" l="1"/>
  <c r="I80" i="6" l="1"/>
  <c r="J80" i="6" s="1"/>
  <c r="G81" i="6"/>
  <c r="H81" i="6" l="1"/>
  <c r="I81" i="6" l="1"/>
  <c r="J81" i="6" s="1"/>
  <c r="G82" i="6"/>
  <c r="H82" i="6" l="1"/>
  <c r="I82" i="6" l="1"/>
  <c r="J82" i="6" s="1"/>
  <c r="G83" i="6"/>
  <c r="H83" i="6" l="1"/>
  <c r="I83" i="6" l="1"/>
  <c r="J83" i="6" s="1"/>
  <c r="G84" i="6"/>
  <c r="H84" i="6" l="1"/>
  <c r="I84" i="6" l="1"/>
  <c r="J84" i="6" s="1"/>
  <c r="G85" i="6"/>
  <c r="H85" i="6" l="1"/>
  <c r="I85" i="6" l="1"/>
  <c r="J85" i="6" s="1"/>
  <c r="G86" i="6"/>
  <c r="G87" i="6" l="1"/>
  <c r="H86" i="6"/>
  <c r="I86" i="6" l="1"/>
  <c r="J86" i="6" s="1"/>
  <c r="H87" i="6" l="1"/>
  <c r="I87" i="6" l="1"/>
  <c r="J87" i="6" s="1"/>
  <c r="G88" i="6"/>
  <c r="H88" i="6" l="1"/>
  <c r="I88" i="6" l="1"/>
  <c r="J88" i="6" s="1"/>
  <c r="G89" i="6"/>
  <c r="H89" i="6" l="1"/>
  <c r="I89" i="6" l="1"/>
  <c r="J89" i="6" s="1"/>
  <c r="G90" i="6"/>
  <c r="H90" i="6" l="1"/>
  <c r="I90" i="6" l="1"/>
  <c r="J90" i="6" s="1"/>
  <c r="G91" i="6"/>
  <c r="H91" i="6" l="1"/>
  <c r="I91" i="6" l="1"/>
  <c r="J91" i="6" s="1"/>
  <c r="G92" i="6"/>
  <c r="H92" i="6" l="1"/>
  <c r="I92" i="6" l="1"/>
  <c r="J92" i="6" s="1"/>
  <c r="G93" i="6"/>
  <c r="H93" i="6" l="1"/>
  <c r="I93" i="6" l="1"/>
  <c r="J93" i="6" s="1"/>
  <c r="G94" i="6"/>
  <c r="H94" i="6" l="1"/>
  <c r="I94" i="6" l="1"/>
  <c r="J94" i="6" s="1"/>
  <c r="G95" i="6"/>
  <c r="H95" i="6" l="1"/>
  <c r="I95" i="6" l="1"/>
  <c r="J95" i="6" s="1"/>
  <c r="G96" i="6"/>
  <c r="H96" i="6" l="1"/>
  <c r="I96" i="6" l="1"/>
  <c r="J96" i="6" s="1"/>
  <c r="G97" i="6"/>
  <c r="H97" i="6" l="1"/>
  <c r="I97" i="6" l="1"/>
  <c r="J97" i="6" s="1"/>
  <c r="G98" i="6"/>
  <c r="H98" i="6" l="1"/>
  <c r="I98" i="6" l="1"/>
  <c r="J98" i="6" s="1"/>
  <c r="G99" i="6"/>
  <c r="H99" i="6" l="1"/>
  <c r="I99" i="6" l="1"/>
  <c r="J99" i="6" s="1"/>
  <c r="G100" i="6"/>
  <c r="H100" i="6" l="1"/>
  <c r="I100" i="6" l="1"/>
  <c r="J100" i="6" s="1"/>
  <c r="G101" i="6"/>
  <c r="H101" i="6" l="1"/>
  <c r="I101" i="6" l="1"/>
  <c r="J101" i="6" s="1"/>
  <c r="G102" i="6"/>
  <c r="H102" i="6" l="1"/>
  <c r="I102" i="6" l="1"/>
  <c r="J102" i="6" s="1"/>
  <c r="G103" i="6"/>
  <c r="H103" i="6" l="1"/>
  <c r="I103" i="6" l="1"/>
  <c r="J103" i="6" s="1"/>
  <c r="G104" i="6"/>
  <c r="H104" i="6" l="1"/>
  <c r="I104" i="6" s="1"/>
  <c r="J104" i="6" s="1"/>
</calcChain>
</file>

<file path=xl/sharedStrings.xml><?xml version="1.0" encoding="utf-8"?>
<sst xmlns="http://schemas.openxmlformats.org/spreadsheetml/2006/main" count="290" uniqueCount="160">
  <si>
    <t>Booster Section Mass</t>
  </si>
  <si>
    <t>Max Impact Velocity (ft/s)</t>
  </si>
  <si>
    <t>Payload Section Mass</t>
  </si>
  <si>
    <t>Booster</t>
  </si>
  <si>
    <t>Payload</t>
  </si>
  <si>
    <t>Constants</t>
  </si>
  <si>
    <t>Max KE (ft*lbs)</t>
  </si>
  <si>
    <t>Min Parachute Area (ft^2)</t>
  </si>
  <si>
    <t>Gravity Constant (ft/s)</t>
  </si>
  <si>
    <t>Main Cd</t>
  </si>
  <si>
    <t>Density of Air (lb/ft^3)</t>
  </si>
  <si>
    <t>Min Parachute Diameter (in)</t>
  </si>
  <si>
    <t>Available Chute Sizes:</t>
  </si>
  <si>
    <t>- 200"</t>
  </si>
  <si>
    <t>- 144"</t>
  </si>
  <si>
    <t>- 96"</t>
  </si>
  <si>
    <t>- 80"</t>
  </si>
  <si>
    <t>- 77"</t>
  </si>
  <si>
    <t>- 60.5"</t>
  </si>
  <si>
    <t>- 52"</t>
  </si>
  <si>
    <t>- 48.5"</t>
  </si>
  <si>
    <t>- 36"</t>
  </si>
  <si>
    <t>- 32"</t>
  </si>
  <si>
    <t>- 21"</t>
  </si>
  <si>
    <t>- 17"</t>
  </si>
  <si>
    <t>- 15.5"</t>
  </si>
  <si>
    <t>- 12.5"</t>
  </si>
  <si>
    <t>- 94"</t>
  </si>
  <si>
    <t>- 34"</t>
  </si>
  <si>
    <t>- 42"</t>
  </si>
  <si>
    <t>-28"</t>
  </si>
  <si>
    <t>Drogue Booster</t>
  </si>
  <si>
    <t>Main Chute Booster</t>
  </si>
  <si>
    <t>Diameter (in.)</t>
  </si>
  <si>
    <t>Area (ft^2)</t>
  </si>
  <si>
    <t>Velocity (ft/s)</t>
  </si>
  <si>
    <t>Kinetic Energy (ft-lb)</t>
  </si>
  <si>
    <t>Kinetic Energy (ft*lb)</t>
  </si>
  <si>
    <t>Drogue Cd</t>
  </si>
  <si>
    <t>Streamer Payload</t>
  </si>
  <si>
    <t>Main Chute Payload</t>
  </si>
  <si>
    <t>Size (in.)</t>
  </si>
  <si>
    <t>300 x 6</t>
  </si>
  <si>
    <t>booster</t>
  </si>
  <si>
    <t>payload</t>
  </si>
  <si>
    <t>Booster Drogue to Main</t>
  </si>
  <si>
    <t>Payload Drogue to Main</t>
  </si>
  <si>
    <t>Drogue Diameter (in.)</t>
  </si>
  <si>
    <t>Drogue Deployed (ft)</t>
  </si>
  <si>
    <t>Drogue to Main (s)</t>
  </si>
  <si>
    <t>Streamer (in.)</t>
  </si>
  <si>
    <t>Booster Main to Landing</t>
  </si>
  <si>
    <t>Payload Main to Landing</t>
  </si>
  <si>
    <t>Chute Diameter (in.)</t>
  </si>
  <si>
    <t>Main to Landing (s)</t>
  </si>
  <si>
    <t>Total Time (s)</t>
  </si>
  <si>
    <t>Booster Drift Distance</t>
  </si>
  <si>
    <t>Payload Drift Distance</t>
  </si>
  <si>
    <t>Wind Speed</t>
  </si>
  <si>
    <t>Parachute Size</t>
  </si>
  <si>
    <t>time % diff</t>
  </si>
  <si>
    <t>MATLAB</t>
  </si>
  <si>
    <t>SECTION</t>
  </si>
  <si>
    <t>DRIFT AT 20MPH</t>
  </si>
  <si>
    <t>PERCENT DIFFERENCE</t>
  </si>
  <si>
    <t xml:space="preserve">PAYLOAD </t>
  </si>
  <si>
    <t>X</t>
  </si>
  <si>
    <t>BOOSTER</t>
  </si>
  <si>
    <t>30ft</t>
  </si>
  <si>
    <t>25ft</t>
  </si>
  <si>
    <t>20ft</t>
  </si>
  <si>
    <t>15ft</t>
  </si>
  <si>
    <t>Cd</t>
  </si>
  <si>
    <t>m</t>
  </si>
  <si>
    <t>lbm</t>
  </si>
  <si>
    <t>a</t>
  </si>
  <si>
    <t>density</t>
  </si>
  <si>
    <t>lb/ft^3</t>
  </si>
  <si>
    <t>area</t>
  </si>
  <si>
    <t>ft^2</t>
  </si>
  <si>
    <t>velocity</t>
  </si>
  <si>
    <t>ft/s</t>
  </si>
  <si>
    <t>lb</t>
  </si>
  <si>
    <t>2.6oz</t>
  </si>
  <si>
    <t>Trash calcs from streamer test</t>
  </si>
  <si>
    <t>50 ft</t>
  </si>
  <si>
    <t>oof</t>
  </si>
  <si>
    <t>BLACK POWDER SPECS</t>
  </si>
  <si>
    <t>Payload Streamer (B)</t>
  </si>
  <si>
    <t>Payload Main (D)</t>
  </si>
  <si>
    <t>R [(in.*lbf)/lbm]</t>
  </si>
  <si>
    <t>Diameter (in)</t>
  </si>
  <si>
    <t>Tc [R]</t>
  </si>
  <si>
    <t>Length (in)</t>
  </si>
  <si>
    <t>x</t>
  </si>
  <si>
    <t>Bulkhead Area (in^2)</t>
  </si>
  <si>
    <t>SHEAR  PIN SPECS</t>
  </si>
  <si>
    <t>Volume (in^3)</t>
  </si>
  <si>
    <t>Number of Pins</t>
  </si>
  <si>
    <t>Pressure (psi)</t>
  </si>
  <si>
    <t>Shear Pin Diameter (in)</t>
  </si>
  <si>
    <t>BP Mass (g)</t>
  </si>
  <si>
    <t>Shear Pin Area (in^2)</t>
  </si>
  <si>
    <t>Primary BP Mass (g)</t>
  </si>
  <si>
    <t>Shear Pin Strength (psi)</t>
  </si>
  <si>
    <t>Backup BP Mass (g)</t>
  </si>
  <si>
    <t>Ejection Force (lbf)</t>
  </si>
  <si>
    <t>Booster Drogue (A)</t>
  </si>
  <si>
    <t>Booster Main (C)</t>
  </si>
  <si>
    <t>Camera Payload Capsule</t>
  </si>
  <si>
    <t>Booster Drogue volume does not include volume of the camera payload capsule</t>
  </si>
  <si>
    <t>Diameter</t>
  </si>
  <si>
    <t>Length</t>
  </si>
  <si>
    <t>Volume</t>
  </si>
  <si>
    <t>Calculator Notes</t>
  </si>
  <si>
    <t xml:space="preserve">- Primary BP Mass has a safety factor of 1.4 applied to the BP Mass. </t>
  </si>
  <si>
    <t>- Backup BP Mass has a safety factor of 1.2 applied to the Primary BP Mass.</t>
  </si>
  <si>
    <t>Equations</t>
  </si>
  <si>
    <t>Payload Section Opening Force</t>
  </si>
  <si>
    <t>Booster Section Opening Force</t>
  </si>
  <si>
    <t>Drag Force at Drogue Velocity = D = (Cd_d)((rho)(V_d)^2/2)(A_d)</t>
  </si>
  <si>
    <t>Time (s)</t>
  </si>
  <si>
    <t>Delta Y (ft)</t>
  </si>
  <si>
    <t>Acceleration (ft/s^2)</t>
  </si>
  <si>
    <t>Force (lb_f)</t>
  </si>
  <si>
    <t>Drag Force of Main at Drogue Velocity = D = (Cd_m)((rho)(V_d)^2/2)(A_d)</t>
  </si>
  <si>
    <t>Opening Force [H] = F = ((0.5(lb_m)(V_d^2-V_m^2))/H)+(lb_m)(g)</t>
  </si>
  <si>
    <t>Opening Force [T] = F = (2*lb_m*V_d/(9.81*T)*(1-V_m/V_d)+2*lb_m)</t>
  </si>
  <si>
    <t>Initial Velocity Change = V_i = SQRT(2*lbm*32.2/(rho*Cd_d*A_d)</t>
  </si>
  <si>
    <t>Initial Acceleration Change = a_i = 0.5*rho*Cd_m*A_m*V_i^2/lb_m-32.2</t>
  </si>
  <si>
    <t>Opening Force = F = 0.5*rho*Cd_m*A_d/32.2*Cd_d^2</t>
  </si>
  <si>
    <t>Variables</t>
  </si>
  <si>
    <t>Air Density (lb/ft^3)</t>
  </si>
  <si>
    <t>Payload Streamer Area (ft^2)</t>
  </si>
  <si>
    <t>Booster Drogue Area (ft^2)</t>
  </si>
  <si>
    <t>Payload Main Area (ft^2)</t>
  </si>
  <si>
    <t>Booster Main (ft^2)</t>
  </si>
  <si>
    <t>Streamer Cd</t>
  </si>
  <si>
    <t>Payload Mass (lbm)</t>
  </si>
  <si>
    <t>Booster Mass (lbm)</t>
  </si>
  <si>
    <t>Payload Velocity Under Streamer (ft/s)</t>
  </si>
  <si>
    <t>Booster Velocity Under Drogue (ft/s)</t>
  </si>
  <si>
    <t>Payload Velocity Under Main (ft/s)</t>
  </si>
  <si>
    <t>Booster Velocity Under Main (ft/s)</t>
  </si>
  <si>
    <t>Payload Initial Velocity (ft/s)</t>
  </si>
  <si>
    <t>Payload Initial Acceleration (ft/s^2)</t>
  </si>
  <si>
    <t>Booster Initial Velocity (ft/s)</t>
  </si>
  <si>
    <t>Booster Initial Acceleration (ft/s^2)</t>
  </si>
  <si>
    <t>Under Main Parachute</t>
  </si>
  <si>
    <t>Under Streamer/Drogue Parachute</t>
  </si>
  <si>
    <t>Vehicle Component</t>
  </si>
  <si>
    <t>Weight (lbm)</t>
  </si>
  <si>
    <t>Descent Rate (ft/s)</t>
  </si>
  <si>
    <t>Kinetic Energy (ft-lbf)</t>
  </si>
  <si>
    <t>Nose Cone</t>
  </si>
  <si>
    <t>Payload Recovery Section</t>
  </si>
  <si>
    <t>Payload Section</t>
  </si>
  <si>
    <t>Booster Recovery Section</t>
  </si>
  <si>
    <t>Booster Propulsion Section</t>
  </si>
  <si>
    <t>ANVIL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</si>
</sst>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5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34A853"/>
      </patternFill>
    </fill>
    <fill>
      <patternFill patternType="solid">
        <fgColor rgb="FFF1C232"/>
        <bgColor rgb="FFF1C23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center"/>
    </xf>
    <xf numFmtId="4" fontId="0" fillId="5" borderId="1" xfId="0" applyNumberFormat="1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center"/>
    </xf>
    <xf numFmtId="0" fontId="2" fillId="0" borderId="0" xfId="0" applyFont="1"/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4" fontId="5" fillId="4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4" fillId="4" borderId="0" xfId="0" applyFont="1" applyFill="1"/>
    <xf numFmtId="164" fontId="2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4" fontId="11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4" fontId="2" fillId="0" borderId="0" xfId="0" applyNumberFormat="1" applyFont="1" applyAlignment="1"/>
    <xf numFmtId="4" fontId="5" fillId="4" borderId="1" xfId="0" applyNumberFormat="1" applyFont="1" applyFill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1" fillId="2" borderId="2" xfId="0" applyFont="1" applyFill="1" applyBorder="1" applyAlignment="1">
      <alignment horizontal="center"/>
    </xf>
    <xf numFmtId="0" fontId="3" fillId="0" borderId="4" xfId="0" applyFont="1" applyBorder="1"/>
    <xf numFmtId="0" fontId="1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4" fontId="6" fillId="6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8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8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8" fillId="0" borderId="10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9" fillId="7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2" fillId="0" borderId="2" xfId="0" applyFont="1" applyBorder="1" applyAlignment="1"/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885825</xdr:colOff>
      <xdr:row>30</xdr:row>
      <xdr:rowOff>38100</xdr:rowOff>
    </xdr:from>
    <xdr:ext cx="4448175" cy="3562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49</xdr:row>
      <xdr:rowOff>142875</xdr:rowOff>
    </xdr:from>
    <xdr:ext cx="4448175" cy="35623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G36"/>
  <sheetViews>
    <sheetView tabSelected="1" workbookViewId="0"/>
  </sheetViews>
  <sheetFormatPr defaultColWidth="12.6640625" defaultRowHeight="15.75" customHeight="1" x14ac:dyDescent="0.25"/>
  <cols>
    <col min="2" max="2" width="17.21875" customWidth="1"/>
  </cols>
  <sheetData>
    <row r="3" spans="2:7" x14ac:dyDescent="0.25">
      <c r="B3" s="1" t="s">
        <v>0</v>
      </c>
      <c r="C3" s="2">
        <v>21.35</v>
      </c>
      <c r="F3" s="44" t="s">
        <v>1</v>
      </c>
      <c r="G3" s="45"/>
    </row>
    <row r="4" spans="2:7" x14ac:dyDescent="0.25">
      <c r="B4" s="3" t="s">
        <v>2</v>
      </c>
      <c r="C4" s="2">
        <v>16.600000000000001</v>
      </c>
      <c r="F4" s="4" t="s">
        <v>3</v>
      </c>
      <c r="G4" s="5" t="s">
        <v>4</v>
      </c>
    </row>
    <row r="5" spans="2:7" x14ac:dyDescent="0.25">
      <c r="F5" s="6">
        <f>SQRT((2*$C$7*$C$8)/C3)</f>
        <v>15.040927770477502</v>
      </c>
      <c r="G5" s="7">
        <f>SQRT((2*$C$7*$C$8)/C4)</f>
        <v>17.057662659980316</v>
      </c>
    </row>
    <row r="6" spans="2:7" x14ac:dyDescent="0.25">
      <c r="B6" s="44" t="s">
        <v>5</v>
      </c>
      <c r="C6" s="45"/>
      <c r="D6" s="8"/>
    </row>
    <row r="7" spans="2:7" x14ac:dyDescent="0.25">
      <c r="B7" s="2" t="s">
        <v>6</v>
      </c>
      <c r="C7" s="2">
        <v>75</v>
      </c>
      <c r="F7" s="44" t="s">
        <v>7</v>
      </c>
      <c r="G7" s="45"/>
    </row>
    <row r="8" spans="2:7" x14ac:dyDescent="0.25">
      <c r="B8" s="2" t="s">
        <v>8</v>
      </c>
      <c r="C8" s="2">
        <v>32.200000000000003</v>
      </c>
      <c r="F8" s="4" t="s">
        <v>3</v>
      </c>
      <c r="G8" s="5" t="s">
        <v>4</v>
      </c>
    </row>
    <row r="9" spans="2:7" x14ac:dyDescent="0.25">
      <c r="B9" s="2" t="s">
        <v>9</v>
      </c>
      <c r="C9" s="2">
        <v>2.2000000000000002</v>
      </c>
      <c r="F9" s="6">
        <f>((2*C3*$C$8)/($C$9*$C$10*(F5^2)))</f>
        <v>36.111903347197469</v>
      </c>
      <c r="G9" s="6">
        <f>((2*C4*$C$8)/($C$9*$C$10*(G5^2)))</f>
        <v>21.830857595563476</v>
      </c>
    </row>
    <row r="10" spans="2:7" x14ac:dyDescent="0.25">
      <c r="B10" s="2" t="s">
        <v>10</v>
      </c>
      <c r="C10" s="2">
        <v>7.6499999999999999E-2</v>
      </c>
    </row>
    <row r="11" spans="2:7" x14ac:dyDescent="0.25">
      <c r="F11" s="44" t="s">
        <v>11</v>
      </c>
      <c r="G11" s="45"/>
    </row>
    <row r="12" spans="2:7" x14ac:dyDescent="0.25">
      <c r="F12" s="4" t="s">
        <v>3</v>
      </c>
      <c r="G12" s="5" t="s">
        <v>4</v>
      </c>
    </row>
    <row r="13" spans="2:7" x14ac:dyDescent="0.25">
      <c r="F13" s="6">
        <f t="shared" ref="F13:G13" si="0">(2*SQRT(F9/PI()))*12</f>
        <v>81.369471464008228</v>
      </c>
      <c r="G13" s="6">
        <f t="shared" si="0"/>
        <v>63.266193269439647</v>
      </c>
    </row>
    <row r="18" spans="2:2" x14ac:dyDescent="0.25">
      <c r="B18" s="9" t="s">
        <v>12</v>
      </c>
    </row>
    <row r="19" spans="2:2" x14ac:dyDescent="0.25">
      <c r="B19" s="9" t="s">
        <v>13</v>
      </c>
    </row>
    <row r="20" spans="2:2" x14ac:dyDescent="0.25">
      <c r="B20" s="9" t="s">
        <v>14</v>
      </c>
    </row>
    <row r="21" spans="2:2" x14ac:dyDescent="0.25">
      <c r="B21" s="9" t="s">
        <v>15</v>
      </c>
    </row>
    <row r="22" spans="2:2" x14ac:dyDescent="0.25">
      <c r="B22" s="9" t="s">
        <v>16</v>
      </c>
    </row>
    <row r="23" spans="2:2" x14ac:dyDescent="0.25">
      <c r="B23" s="9" t="s">
        <v>17</v>
      </c>
    </row>
    <row r="24" spans="2:2" x14ac:dyDescent="0.25">
      <c r="B24" s="9" t="s">
        <v>18</v>
      </c>
    </row>
    <row r="25" spans="2:2" x14ac:dyDescent="0.25">
      <c r="B25" s="9" t="s">
        <v>19</v>
      </c>
    </row>
    <row r="26" spans="2:2" x14ac:dyDescent="0.25">
      <c r="B26" s="9" t="s">
        <v>20</v>
      </c>
    </row>
    <row r="27" spans="2:2" x14ac:dyDescent="0.25">
      <c r="B27" s="9" t="s">
        <v>21</v>
      </c>
    </row>
    <row r="28" spans="2:2" x14ac:dyDescent="0.25">
      <c r="B28" s="9" t="s">
        <v>22</v>
      </c>
    </row>
    <row r="29" spans="2:2" x14ac:dyDescent="0.25">
      <c r="B29" s="9" t="s">
        <v>23</v>
      </c>
    </row>
    <row r="30" spans="2:2" x14ac:dyDescent="0.25">
      <c r="B30" s="9" t="s">
        <v>24</v>
      </c>
    </row>
    <row r="31" spans="2:2" x14ac:dyDescent="0.25">
      <c r="B31" s="9" t="s">
        <v>25</v>
      </c>
    </row>
    <row r="32" spans="2:2" x14ac:dyDescent="0.25">
      <c r="B32" s="9" t="s">
        <v>26</v>
      </c>
    </row>
    <row r="33" spans="2:2" x14ac:dyDescent="0.25">
      <c r="B33" s="9" t="s">
        <v>27</v>
      </c>
    </row>
    <row r="34" spans="2:2" x14ac:dyDescent="0.25">
      <c r="B34" s="9" t="s">
        <v>28</v>
      </c>
    </row>
    <row r="35" spans="2:2" x14ac:dyDescent="0.25">
      <c r="B35" s="9" t="s">
        <v>29</v>
      </c>
    </row>
    <row r="36" spans="2:2" x14ac:dyDescent="0.25">
      <c r="B36" s="9" t="s">
        <v>30</v>
      </c>
    </row>
  </sheetData>
  <mergeCells count="4">
    <mergeCell ref="F3:G3"/>
    <mergeCell ref="B6:C6"/>
    <mergeCell ref="F7:G7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20"/>
  <sheetViews>
    <sheetView workbookViewId="0"/>
  </sheetViews>
  <sheetFormatPr defaultColWidth="12.6640625" defaultRowHeight="15.75" customHeight="1" x14ac:dyDescent="0.25"/>
  <cols>
    <col min="2" max="2" width="17.44140625" customWidth="1"/>
    <col min="6" max="6" width="16.109375" customWidth="1"/>
    <col min="9" max="9" width="16.109375" customWidth="1"/>
  </cols>
  <sheetData>
    <row r="2" spans="2:16" x14ac:dyDescent="0.25">
      <c r="K2" s="9">
        <v>75</v>
      </c>
    </row>
    <row r="3" spans="2:16" x14ac:dyDescent="0.25">
      <c r="B3" s="1" t="s">
        <v>0</v>
      </c>
      <c r="C3" s="2">
        <v>21.35</v>
      </c>
      <c r="D3" s="2"/>
      <c r="F3" s="46" t="s">
        <v>31</v>
      </c>
      <c r="G3" s="45"/>
      <c r="I3" s="46" t="s">
        <v>32</v>
      </c>
      <c r="J3" s="47"/>
      <c r="K3" s="47"/>
      <c r="L3" s="45"/>
    </row>
    <row r="4" spans="2:16" x14ac:dyDescent="0.25">
      <c r="B4" s="3" t="s">
        <v>2</v>
      </c>
      <c r="C4" s="10">
        <f>'Max Impact Velocity  Min Chute '!C4</f>
        <v>16.600000000000001</v>
      </c>
      <c r="D4" s="2"/>
      <c r="F4" s="2" t="s">
        <v>33</v>
      </c>
      <c r="G4" s="11">
        <v>12.5</v>
      </c>
      <c r="I4" s="2" t="s">
        <v>33</v>
      </c>
      <c r="J4" s="12">
        <v>77</v>
      </c>
      <c r="K4" s="13">
        <v>84</v>
      </c>
      <c r="L4" s="12">
        <v>96</v>
      </c>
    </row>
    <row r="5" spans="2:16" x14ac:dyDescent="0.25">
      <c r="D5" s="2"/>
      <c r="F5" s="2" t="s">
        <v>34</v>
      </c>
      <c r="G5" s="6">
        <f>(PI()/4*(G4/12)^2)-0.02182</f>
        <v>0.83039154882535637</v>
      </c>
      <c r="I5" s="2" t="s">
        <v>34</v>
      </c>
      <c r="J5" s="6">
        <f t="shared" ref="J5:L5" si="0">PI()/4*(J4/12)^2</f>
        <v>32.337678547107437</v>
      </c>
      <c r="K5" s="14">
        <f t="shared" si="0"/>
        <v>38.484510006474963</v>
      </c>
      <c r="L5" s="6">
        <f t="shared" si="0"/>
        <v>50.26548245743669</v>
      </c>
    </row>
    <row r="6" spans="2:16" x14ac:dyDescent="0.25">
      <c r="B6" s="44" t="s">
        <v>5</v>
      </c>
      <c r="C6" s="45"/>
      <c r="F6" s="2" t="s">
        <v>35</v>
      </c>
      <c r="G6" s="6">
        <f>SQRT((2*C3)/(G5*C11/C8*C9))</f>
        <v>120.1224180670792</v>
      </c>
      <c r="I6" s="2" t="s">
        <v>35</v>
      </c>
      <c r="J6" s="15">
        <f t="shared" ref="J6:L6" si="1">SQRT((2*$C$3)/(J5*$C$11/$C$8*$C$10))</f>
        <v>15.894446013143872</v>
      </c>
      <c r="K6" s="16">
        <f t="shared" si="1"/>
        <v>14.569908845381883</v>
      </c>
      <c r="L6" s="15">
        <f t="shared" si="1"/>
        <v>12.748670239709147</v>
      </c>
    </row>
    <row r="7" spans="2:16" x14ac:dyDescent="0.25">
      <c r="B7" s="2" t="s">
        <v>6</v>
      </c>
      <c r="C7" s="2">
        <v>75</v>
      </c>
      <c r="F7" s="2" t="s">
        <v>36</v>
      </c>
      <c r="G7" s="6">
        <f>((0.5)*$C$3)/$C$8*G6^2</f>
        <v>4783.6582318435403</v>
      </c>
      <c r="I7" s="2" t="s">
        <v>37</v>
      </c>
      <c r="J7" s="6">
        <f t="shared" ref="J7:L7" si="2">((0.5)*$C$3)/$C$8*J6^2</f>
        <v>83.753468793203538</v>
      </c>
      <c r="K7" s="14">
        <f t="shared" si="2"/>
        <v>70.376178638733535</v>
      </c>
      <c r="L7" s="6">
        <f t="shared" si="2"/>
        <v>53.881761770280356</v>
      </c>
    </row>
    <row r="8" spans="2:16" x14ac:dyDescent="0.25">
      <c r="B8" s="2" t="s">
        <v>8</v>
      </c>
      <c r="C8" s="2">
        <v>32.200000000000003</v>
      </c>
    </row>
    <row r="9" spans="2:16" x14ac:dyDescent="0.25">
      <c r="B9" s="2" t="s">
        <v>38</v>
      </c>
      <c r="C9" s="2">
        <v>1.5</v>
      </c>
      <c r="F9" s="48" t="s">
        <v>39</v>
      </c>
      <c r="G9" s="45"/>
      <c r="I9" s="48" t="s">
        <v>40</v>
      </c>
      <c r="J9" s="47"/>
      <c r="K9" s="47"/>
      <c r="L9" s="45"/>
    </row>
    <row r="10" spans="2:16" x14ac:dyDescent="0.25">
      <c r="B10" s="2" t="s">
        <v>9</v>
      </c>
      <c r="C10" s="2">
        <v>2.2000000000000002</v>
      </c>
      <c r="F10" s="2" t="s">
        <v>41</v>
      </c>
      <c r="G10" s="11" t="s">
        <v>42</v>
      </c>
      <c r="I10" s="2" t="s">
        <v>33</v>
      </c>
      <c r="J10" s="12">
        <v>66</v>
      </c>
      <c r="K10" s="13">
        <v>72</v>
      </c>
      <c r="L10" s="12">
        <v>84</v>
      </c>
    </row>
    <row r="11" spans="2:16" x14ac:dyDescent="0.25">
      <c r="B11" s="2" t="s">
        <v>10</v>
      </c>
      <c r="C11" s="2">
        <v>7.6499999999999999E-2</v>
      </c>
      <c r="F11" s="2" t="s">
        <v>34</v>
      </c>
      <c r="G11" s="11">
        <v>12.5</v>
      </c>
      <c r="I11" s="2" t="s">
        <v>34</v>
      </c>
      <c r="J11" s="6">
        <f t="shared" ref="J11:L11" si="3">PI()/4*(J10/12)^2</f>
        <v>23.758294442772812</v>
      </c>
      <c r="K11" s="14">
        <f t="shared" si="3"/>
        <v>28.274333882308138</v>
      </c>
      <c r="L11" s="6">
        <f t="shared" si="3"/>
        <v>38.484510006474963</v>
      </c>
    </row>
    <row r="12" spans="2:16" x14ac:dyDescent="0.25">
      <c r="F12" s="2" t="s">
        <v>35</v>
      </c>
      <c r="G12" s="17">
        <v>120.68</v>
      </c>
      <c r="I12" s="2" t="s">
        <v>35</v>
      </c>
      <c r="J12" s="15">
        <f t="shared" ref="J12:L12" si="4">SQRT((2*$C$4)/(J11*$C$11/$C$8*$C$10))</f>
        <v>16.351111857139678</v>
      </c>
      <c r="K12" s="16">
        <f t="shared" si="4"/>
        <v>14.988519202378038</v>
      </c>
      <c r="L12" s="15">
        <f t="shared" si="4"/>
        <v>12.847302173466892</v>
      </c>
    </row>
    <row r="13" spans="2:16" x14ac:dyDescent="0.25">
      <c r="F13" s="2" t="s">
        <v>36</v>
      </c>
      <c r="G13" s="6">
        <f>((0.5)*$C$4)/$C$8*G12^2</f>
        <v>3753.9875130434784</v>
      </c>
      <c r="I13" s="2" t="s">
        <v>37</v>
      </c>
      <c r="J13" s="6">
        <f t="shared" ref="J13:L13" si="5">((0.5)*$C$4)/$C$8*J12^2</f>
        <v>68.9154822797192</v>
      </c>
      <c r="K13" s="14">
        <f t="shared" si="5"/>
        <v>57.908148304486275</v>
      </c>
      <c r="L13" s="6">
        <f t="shared" si="5"/>
        <v>42.544762019622581</v>
      </c>
    </row>
    <row r="14" spans="2:16" x14ac:dyDescent="0.25">
      <c r="N14" s="9" t="s">
        <v>43</v>
      </c>
      <c r="O14" s="9">
        <v>64.25</v>
      </c>
      <c r="P14" s="18">
        <f>(K7-O14)/((O14+K7)/2)</f>
        <v>9.1010213625286121E-2</v>
      </c>
    </row>
    <row r="15" spans="2:16" x14ac:dyDescent="0.25">
      <c r="N15" s="9" t="s">
        <v>44</v>
      </c>
      <c r="O15" s="9">
        <v>63.76</v>
      </c>
      <c r="P15" s="18">
        <f>(K13-O15)/((O15+K13)/2)</f>
        <v>-9.6193650960626112E-2</v>
      </c>
    </row>
    <row r="17" spans="2:10" x14ac:dyDescent="0.25">
      <c r="B17" s="18">
        <f>C3-D3</f>
        <v>21.35</v>
      </c>
    </row>
    <row r="18" spans="2:10" x14ac:dyDescent="0.25">
      <c r="J18" s="19">
        <f>J7+(J7*0.1)</f>
        <v>92.128815672523899</v>
      </c>
    </row>
    <row r="20" spans="2:10" x14ac:dyDescent="0.25">
      <c r="B20" s="18">
        <f>21.9-19.87</f>
        <v>2.0299999999999976</v>
      </c>
    </row>
  </sheetData>
  <mergeCells count="5">
    <mergeCell ref="F3:G3"/>
    <mergeCell ref="I3:L3"/>
    <mergeCell ref="B6:C6"/>
    <mergeCell ref="F9:G9"/>
    <mergeCell ref="I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O53"/>
  <sheetViews>
    <sheetView workbookViewId="0"/>
  </sheetViews>
  <sheetFormatPr defaultColWidth="12.6640625" defaultRowHeight="15.75" customHeight="1" x14ac:dyDescent="0.25"/>
  <cols>
    <col min="2" max="2" width="17" customWidth="1"/>
    <col min="3" max="3" width="13.33203125" customWidth="1"/>
    <col min="4" max="5" width="16.44140625" customWidth="1"/>
    <col min="6" max="6" width="14.77734375" customWidth="1"/>
    <col min="7" max="7" width="19.109375" customWidth="1"/>
    <col min="8" max="8" width="13.33203125" customWidth="1"/>
    <col min="9" max="9" width="16.44140625" customWidth="1"/>
    <col min="10" max="10" width="14.77734375" customWidth="1"/>
  </cols>
  <sheetData>
    <row r="3" spans="2:13" x14ac:dyDescent="0.25">
      <c r="B3" s="46" t="s">
        <v>45</v>
      </c>
      <c r="C3" s="47"/>
      <c r="D3" s="47"/>
      <c r="E3" s="45"/>
      <c r="G3" s="48" t="s">
        <v>46</v>
      </c>
      <c r="H3" s="47"/>
      <c r="I3" s="47"/>
      <c r="J3" s="45"/>
    </row>
    <row r="4" spans="2:13" x14ac:dyDescent="0.25">
      <c r="B4" s="2" t="s">
        <v>47</v>
      </c>
      <c r="C4" s="12" t="s">
        <v>35</v>
      </c>
      <c r="D4" s="12" t="s">
        <v>48</v>
      </c>
      <c r="E4" s="12" t="s">
        <v>49</v>
      </c>
      <c r="F4" s="8"/>
      <c r="G4" s="20" t="s">
        <v>50</v>
      </c>
      <c r="H4" s="12" t="s">
        <v>35</v>
      </c>
      <c r="I4" s="12" t="s">
        <v>48</v>
      </c>
      <c r="J4" s="12" t="s">
        <v>49</v>
      </c>
    </row>
    <row r="5" spans="2:13" x14ac:dyDescent="0.25">
      <c r="B5" s="11">
        <f>'Drogue  Main'!G4</f>
        <v>12.5</v>
      </c>
      <c r="C5" s="6">
        <f>'Drogue  Main'!G6</f>
        <v>120.1224180670792</v>
      </c>
      <c r="D5" s="12">
        <v>5232</v>
      </c>
      <c r="E5" s="6">
        <f>(D5-700)/C5</f>
        <v>37.7281782445407</v>
      </c>
      <c r="G5" s="12" t="s">
        <v>42</v>
      </c>
      <c r="H5" s="21">
        <f>Steamer!E8</f>
        <v>122.21455142983825</v>
      </c>
      <c r="I5" s="11">
        <f>D5-(32.2*1)</f>
        <v>5199.8</v>
      </c>
      <c r="J5" s="6">
        <f>(I5-650)/H5</f>
        <v>37.227972829503692</v>
      </c>
      <c r="M5" s="19">
        <f>D5-I5</f>
        <v>32.199999999999818</v>
      </c>
    </row>
    <row r="6" spans="2:13" x14ac:dyDescent="0.25">
      <c r="B6" s="46" t="s">
        <v>51</v>
      </c>
      <c r="C6" s="47"/>
      <c r="D6" s="47"/>
      <c r="E6" s="45"/>
      <c r="G6" s="48" t="s">
        <v>52</v>
      </c>
      <c r="H6" s="47"/>
      <c r="I6" s="47"/>
      <c r="J6" s="45"/>
    </row>
    <row r="7" spans="2:13" x14ac:dyDescent="0.25">
      <c r="B7" s="12" t="s">
        <v>53</v>
      </c>
      <c r="C7" s="2" t="s">
        <v>35</v>
      </c>
      <c r="D7" s="12" t="s">
        <v>54</v>
      </c>
      <c r="E7" s="12" t="s">
        <v>55</v>
      </c>
      <c r="G7" s="12" t="s">
        <v>53</v>
      </c>
      <c r="H7" s="12" t="s">
        <v>35</v>
      </c>
      <c r="I7" s="12" t="s">
        <v>54</v>
      </c>
      <c r="J7" s="12" t="s">
        <v>55</v>
      </c>
    </row>
    <row r="8" spans="2:13" x14ac:dyDescent="0.25">
      <c r="B8" s="21">
        <f>'Drogue  Main'!J4</f>
        <v>77</v>
      </c>
      <c r="C8" s="6">
        <f>'Drogue  Main'!J6</f>
        <v>15.894446013143872</v>
      </c>
      <c r="D8" s="11">
        <f t="shared" ref="D8:D10" si="0">600/C8</f>
        <v>37.749035071988764</v>
      </c>
      <c r="E8" s="6">
        <f t="shared" ref="E8:E10" si="1">$E$5+D8</f>
        <v>75.477213316529458</v>
      </c>
      <c r="G8" s="21">
        <f>'Drogue  Main'!J10</f>
        <v>66</v>
      </c>
      <c r="H8" s="6">
        <f>'Drogue  Main'!J12</f>
        <v>16.351111857139678</v>
      </c>
      <c r="I8" s="11">
        <f t="shared" ref="I8:I10" si="2">600/H8</f>
        <v>36.694752335023097</v>
      </c>
      <c r="J8" s="6">
        <f t="shared" ref="J8:J10" si="3">$J$5+I8</f>
        <v>73.922725164526781</v>
      </c>
    </row>
    <row r="9" spans="2:13" x14ac:dyDescent="0.25">
      <c r="B9" s="22">
        <f>'Drogue  Main'!K4</f>
        <v>84</v>
      </c>
      <c r="C9" s="14">
        <f>'Drogue  Main'!K6</f>
        <v>14.569908845381883</v>
      </c>
      <c r="D9" s="23">
        <f t="shared" si="0"/>
        <v>41.180765533078649</v>
      </c>
      <c r="E9" s="14">
        <f t="shared" si="1"/>
        <v>78.908943777619356</v>
      </c>
      <c r="G9" s="22">
        <f>'Drogue  Main'!K10</f>
        <v>72</v>
      </c>
      <c r="H9" s="14">
        <f>'Drogue  Main'!K12</f>
        <v>14.988519202378038</v>
      </c>
      <c r="I9" s="23">
        <f t="shared" si="2"/>
        <v>40.030638910934286</v>
      </c>
      <c r="J9" s="14">
        <f t="shared" si="3"/>
        <v>77.258611740437971</v>
      </c>
      <c r="L9" s="9">
        <v>2</v>
      </c>
    </row>
    <row r="10" spans="2:13" x14ac:dyDescent="0.25">
      <c r="B10" s="21">
        <f>'Drogue  Main'!L4</f>
        <v>96</v>
      </c>
      <c r="C10" s="6">
        <f>'Drogue  Main'!L6</f>
        <v>12.748670239709147</v>
      </c>
      <c r="D10" s="11">
        <f t="shared" si="0"/>
        <v>47.063732037804172</v>
      </c>
      <c r="E10" s="6">
        <f t="shared" si="1"/>
        <v>84.791910282344872</v>
      </c>
      <c r="G10" s="21">
        <f>'Drogue  Main'!L10</f>
        <v>84</v>
      </c>
      <c r="H10" s="6">
        <f>'Drogue  Main'!L12</f>
        <v>12.847302173466892</v>
      </c>
      <c r="I10" s="11">
        <f t="shared" si="2"/>
        <v>46.702412062756657</v>
      </c>
      <c r="J10" s="6">
        <f t="shared" si="3"/>
        <v>83.930384892260349</v>
      </c>
    </row>
    <row r="12" spans="2:13" x14ac:dyDescent="0.25">
      <c r="L12" s="9">
        <v>10</v>
      </c>
    </row>
    <row r="13" spans="2:13" x14ac:dyDescent="0.25">
      <c r="B13" s="46" t="s">
        <v>56</v>
      </c>
      <c r="C13" s="47"/>
      <c r="D13" s="47"/>
      <c r="E13" s="45"/>
      <c r="G13" s="48" t="s">
        <v>57</v>
      </c>
      <c r="H13" s="47"/>
      <c r="I13" s="47"/>
      <c r="J13" s="45"/>
    </row>
    <row r="14" spans="2:13" x14ac:dyDescent="0.25">
      <c r="B14" s="49" t="s">
        <v>58</v>
      </c>
      <c r="C14" s="44" t="s">
        <v>59</v>
      </c>
      <c r="D14" s="47"/>
      <c r="E14" s="45"/>
      <c r="G14" s="49" t="s">
        <v>58</v>
      </c>
      <c r="H14" s="44" t="s">
        <v>59</v>
      </c>
      <c r="I14" s="47"/>
      <c r="J14" s="45"/>
    </row>
    <row r="15" spans="2:13" x14ac:dyDescent="0.25">
      <c r="B15" s="50"/>
      <c r="C15" s="12">
        <f>B8</f>
        <v>77</v>
      </c>
      <c r="D15" s="22">
        <f>B9</f>
        <v>84</v>
      </c>
      <c r="E15" s="21">
        <f>B10</f>
        <v>96</v>
      </c>
      <c r="G15" s="50"/>
      <c r="H15" s="21">
        <f>G8</f>
        <v>66</v>
      </c>
      <c r="I15" s="13">
        <f>G9</f>
        <v>72</v>
      </c>
      <c r="J15" s="12">
        <f>G10</f>
        <v>84</v>
      </c>
    </row>
    <row r="16" spans="2:13" x14ac:dyDescent="0.25">
      <c r="B16" s="12">
        <v>0</v>
      </c>
      <c r="C16" s="21">
        <f t="shared" ref="C16:E16" si="4">B16*(5280/3600)*$E$8</f>
        <v>0</v>
      </c>
      <c r="D16" s="22">
        <f t="shared" si="4"/>
        <v>0</v>
      </c>
      <c r="E16" s="21">
        <f t="shared" si="4"/>
        <v>0</v>
      </c>
      <c r="G16" s="12">
        <v>0</v>
      </c>
      <c r="H16" s="21">
        <f t="shared" ref="H16:H20" si="5">G16*(5280/3600)*$J$8</f>
        <v>0</v>
      </c>
      <c r="I16" s="22">
        <f>G16*(5280/3600)*$J$8</f>
        <v>0</v>
      </c>
      <c r="J16" s="21">
        <f>G16*(5280/3600)*$J$8</f>
        <v>0</v>
      </c>
    </row>
    <row r="17" spans="2:15" x14ac:dyDescent="0.25">
      <c r="B17" s="12">
        <v>5</v>
      </c>
      <c r="C17" s="21">
        <f t="shared" ref="C17:C20" si="6">B17*(5280/3600)*$E$8</f>
        <v>553.49956432121598</v>
      </c>
      <c r="D17" s="22">
        <f t="shared" ref="D17:D20" si="7">B17*(5280/3600)*$E$9</f>
        <v>578.66558770254187</v>
      </c>
      <c r="E17" s="21">
        <f t="shared" ref="E17:E20" si="8">B17*(5280/3600)*$E$10</f>
        <v>621.80734207052899</v>
      </c>
      <c r="G17" s="12">
        <v>5</v>
      </c>
      <c r="H17" s="21">
        <f t="shared" si="5"/>
        <v>542.09998453986304</v>
      </c>
      <c r="I17" s="22">
        <f t="shared" ref="I17:I20" si="9">G17*(5280/3600)*$J$9</f>
        <v>566.56315276321175</v>
      </c>
      <c r="J17" s="21">
        <f t="shared" ref="J17:J20" si="10">G17*(5280/3600)*$J$10</f>
        <v>615.48948920990915</v>
      </c>
    </row>
    <row r="18" spans="2:15" x14ac:dyDescent="0.25">
      <c r="B18" s="12">
        <v>10</v>
      </c>
      <c r="C18" s="21">
        <f t="shared" si="6"/>
        <v>1106.999128642432</v>
      </c>
      <c r="D18" s="22">
        <f t="shared" si="7"/>
        <v>1157.3311754050837</v>
      </c>
      <c r="E18" s="21">
        <f t="shared" si="8"/>
        <v>1243.614684141058</v>
      </c>
      <c r="G18" s="12">
        <v>10</v>
      </c>
      <c r="H18" s="21">
        <f t="shared" si="5"/>
        <v>1084.1999690797261</v>
      </c>
      <c r="I18" s="22">
        <f t="shared" si="9"/>
        <v>1133.1263055264235</v>
      </c>
      <c r="J18" s="21">
        <f t="shared" si="10"/>
        <v>1230.9789784198183</v>
      </c>
    </row>
    <row r="19" spans="2:15" x14ac:dyDescent="0.25">
      <c r="B19" s="12">
        <v>15</v>
      </c>
      <c r="C19" s="21">
        <f t="shared" si="6"/>
        <v>1660.498692963648</v>
      </c>
      <c r="D19" s="22">
        <f t="shared" si="7"/>
        <v>1735.9967631076258</v>
      </c>
      <c r="E19" s="21">
        <f t="shared" si="8"/>
        <v>1865.4220262115873</v>
      </c>
      <c r="G19" s="12">
        <v>15</v>
      </c>
      <c r="H19" s="21">
        <f t="shared" si="5"/>
        <v>1626.2999536195891</v>
      </c>
      <c r="I19" s="22">
        <f t="shared" si="9"/>
        <v>1699.6894582896352</v>
      </c>
      <c r="J19" s="21">
        <f t="shared" si="10"/>
        <v>1846.4684676297277</v>
      </c>
    </row>
    <row r="20" spans="2:15" x14ac:dyDescent="0.25">
      <c r="B20" s="12">
        <v>20</v>
      </c>
      <c r="C20" s="21">
        <f t="shared" si="6"/>
        <v>2213.9982572848639</v>
      </c>
      <c r="D20" s="22">
        <f t="shared" si="7"/>
        <v>2314.6623508101675</v>
      </c>
      <c r="E20" s="21">
        <f t="shared" si="8"/>
        <v>2487.229368282116</v>
      </c>
      <c r="G20" s="12">
        <v>20</v>
      </c>
      <c r="H20" s="21">
        <f t="shared" si="5"/>
        <v>2168.3999381594522</v>
      </c>
      <c r="I20" s="22">
        <f t="shared" si="9"/>
        <v>2266.252611052847</v>
      </c>
      <c r="J20" s="21">
        <f t="shared" si="10"/>
        <v>2461.9579568396366</v>
      </c>
    </row>
    <row r="22" spans="2:15" x14ac:dyDescent="0.25">
      <c r="N22" s="9" t="s">
        <v>60</v>
      </c>
    </row>
    <row r="23" spans="2:15" x14ac:dyDescent="0.25">
      <c r="C23" s="8"/>
      <c r="D23" s="8"/>
      <c r="E23" s="8"/>
      <c r="F23" s="8"/>
      <c r="G23" s="8"/>
      <c r="H23" s="8"/>
      <c r="N23" s="9" t="s">
        <v>43</v>
      </c>
      <c r="O23" s="18">
        <f>(D28-E9)/((D28+E9)/2)</f>
        <v>3.8432133524997435E-2</v>
      </c>
    </row>
    <row r="24" spans="2:15" x14ac:dyDescent="0.25">
      <c r="C24" s="8"/>
      <c r="D24" s="8"/>
      <c r="E24" s="24"/>
      <c r="F24" s="25"/>
      <c r="G24" s="26"/>
      <c r="H24" s="26"/>
      <c r="N24" s="9" t="s">
        <v>44</v>
      </c>
      <c r="O24" s="18">
        <f>(D29-J9)/((J9+D29)/2)</f>
        <v>2.4993361302177174E-2</v>
      </c>
    </row>
    <row r="25" spans="2:15" x14ac:dyDescent="0.25">
      <c r="C25" s="8"/>
      <c r="D25" s="8">
        <f>(D42-D20)/((D20+D42/2))</f>
        <v>2.5786594658174723E-2</v>
      </c>
      <c r="E25" s="24"/>
      <c r="F25" s="25"/>
      <c r="G25" s="26"/>
      <c r="H25" s="26"/>
    </row>
    <row r="26" spans="2:15" x14ac:dyDescent="0.25">
      <c r="C26" s="8"/>
      <c r="D26" s="8"/>
      <c r="E26" s="24"/>
      <c r="F26" s="25"/>
      <c r="G26" s="26"/>
      <c r="H26" s="26"/>
      <c r="I26" s="18">
        <f>(I42-I20)/((I20+I42)/2)</f>
        <v>2.4993361302177174E-2</v>
      </c>
    </row>
    <row r="27" spans="2:15" x14ac:dyDescent="0.25">
      <c r="C27" s="8"/>
      <c r="D27" s="8"/>
      <c r="E27" s="24"/>
      <c r="F27" s="25"/>
      <c r="G27" s="26"/>
      <c r="H27" s="26"/>
    </row>
    <row r="28" spans="2:15" x14ac:dyDescent="0.25">
      <c r="C28" s="8" t="s">
        <v>43</v>
      </c>
      <c r="D28" s="8">
        <v>82.001000000000005</v>
      </c>
      <c r="E28" s="24"/>
      <c r="F28" s="25"/>
      <c r="G28" s="26"/>
      <c r="H28" s="26"/>
    </row>
    <row r="29" spans="2:15" x14ac:dyDescent="0.25">
      <c r="C29" s="9" t="s">
        <v>44</v>
      </c>
      <c r="D29" s="9">
        <v>79.213999999999999</v>
      </c>
    </row>
    <row r="31" spans="2:15" x14ac:dyDescent="0.25">
      <c r="C31" s="8"/>
      <c r="D31" s="8"/>
      <c r="E31" s="8"/>
      <c r="F31" s="8"/>
      <c r="G31" s="8"/>
      <c r="H31" s="8"/>
    </row>
    <row r="32" spans="2:15" x14ac:dyDescent="0.25">
      <c r="C32" s="8"/>
      <c r="D32" s="8"/>
      <c r="E32" s="24"/>
      <c r="F32" s="25"/>
      <c r="G32" s="26"/>
      <c r="H32" s="26"/>
    </row>
    <row r="33" spans="2:10" x14ac:dyDescent="0.25">
      <c r="C33" s="8"/>
      <c r="D33" s="8"/>
      <c r="E33" s="24"/>
      <c r="F33" s="25"/>
      <c r="G33" s="26"/>
      <c r="H33" s="26"/>
    </row>
    <row r="34" spans="2:10" x14ac:dyDescent="0.25">
      <c r="B34" s="9" t="s">
        <v>61</v>
      </c>
      <c r="C34" s="8"/>
      <c r="D34" s="8"/>
      <c r="E34" s="24"/>
      <c r="F34" s="25"/>
      <c r="G34" s="8" t="s">
        <v>61</v>
      </c>
      <c r="H34" s="26"/>
    </row>
    <row r="35" spans="2:10" x14ac:dyDescent="0.25">
      <c r="B35" s="51" t="s">
        <v>56</v>
      </c>
      <c r="C35" s="47"/>
      <c r="D35" s="47"/>
      <c r="E35" s="45"/>
      <c r="F35" s="25"/>
      <c r="G35" s="48" t="s">
        <v>57</v>
      </c>
      <c r="H35" s="47"/>
      <c r="I35" s="47"/>
      <c r="J35" s="45"/>
    </row>
    <row r="36" spans="2:10" x14ac:dyDescent="0.25">
      <c r="B36" s="52" t="s">
        <v>58</v>
      </c>
      <c r="C36" s="53" t="s">
        <v>59</v>
      </c>
      <c r="D36" s="54"/>
      <c r="E36" s="55"/>
      <c r="F36" s="25"/>
      <c r="G36" s="49" t="s">
        <v>58</v>
      </c>
      <c r="H36" s="44" t="s">
        <v>59</v>
      </c>
      <c r="I36" s="47"/>
      <c r="J36" s="45"/>
    </row>
    <row r="37" spans="2:10" x14ac:dyDescent="0.25">
      <c r="B37" s="50"/>
      <c r="C37" s="27">
        <f>B30</f>
        <v>0</v>
      </c>
      <c r="D37" s="28">
        <f>B31</f>
        <v>0</v>
      </c>
      <c r="E37" s="27">
        <f>B32</f>
        <v>0</v>
      </c>
      <c r="G37" s="50"/>
      <c r="H37" s="21">
        <f>G30</f>
        <v>0</v>
      </c>
      <c r="I37" s="13">
        <f>G31</f>
        <v>0</v>
      </c>
      <c r="J37" s="12">
        <f>G32</f>
        <v>0</v>
      </c>
    </row>
    <row r="38" spans="2:10" x14ac:dyDescent="0.25">
      <c r="B38" s="29">
        <v>0</v>
      </c>
      <c r="C38" s="27">
        <f t="shared" ref="C38:C42" si="11">B38*(5280/3600)*$E$8</f>
        <v>0</v>
      </c>
      <c r="D38" s="28">
        <f t="shared" ref="D38:D42" si="12">B38*(5280/3600)*$D$28</f>
        <v>0</v>
      </c>
      <c r="E38" s="27">
        <f>D38*(5280/3600)*$E$8</f>
        <v>0</v>
      </c>
      <c r="G38" s="12">
        <v>0</v>
      </c>
      <c r="H38" s="21">
        <f t="shared" ref="H38:H42" si="13">G38*(5280/3600)*$J$8</f>
        <v>0</v>
      </c>
      <c r="I38" s="22">
        <f t="shared" ref="I38:I42" si="14">G38*(5280/3600)*$D$29</f>
        <v>0</v>
      </c>
      <c r="J38" s="21">
        <f>G38*(5280/3600)*$J$8</f>
        <v>0</v>
      </c>
    </row>
    <row r="39" spans="2:10" x14ac:dyDescent="0.25">
      <c r="B39" s="29">
        <v>5</v>
      </c>
      <c r="C39" s="27">
        <f t="shared" si="11"/>
        <v>553.49956432121598</v>
      </c>
      <c r="D39" s="28">
        <f t="shared" si="12"/>
        <v>601.34066666666672</v>
      </c>
      <c r="E39" s="27">
        <f t="shared" ref="E39:E42" si="15">B39*(5280/3600)*$E$10</f>
        <v>621.80734207052899</v>
      </c>
      <c r="G39" s="12">
        <v>5</v>
      </c>
      <c r="H39" s="21">
        <f t="shared" si="13"/>
        <v>542.09998453986304</v>
      </c>
      <c r="I39" s="22">
        <f t="shared" si="14"/>
        <v>580.90266666666662</v>
      </c>
      <c r="J39" s="21">
        <f t="shared" ref="J39:J42" si="16">G39*(5280/3600)*$J$10</f>
        <v>615.48948920990915</v>
      </c>
    </row>
    <row r="40" spans="2:10" x14ac:dyDescent="0.25">
      <c r="B40" s="29">
        <v>10</v>
      </c>
      <c r="C40" s="27">
        <f t="shared" si="11"/>
        <v>1106.999128642432</v>
      </c>
      <c r="D40" s="28">
        <f t="shared" si="12"/>
        <v>1202.6813333333334</v>
      </c>
      <c r="E40" s="27">
        <f t="shared" si="15"/>
        <v>1243.614684141058</v>
      </c>
      <c r="G40" s="12">
        <v>10</v>
      </c>
      <c r="H40" s="21">
        <f t="shared" si="13"/>
        <v>1084.1999690797261</v>
      </c>
      <c r="I40" s="22">
        <f t="shared" si="14"/>
        <v>1161.8053333333332</v>
      </c>
      <c r="J40" s="21">
        <f t="shared" si="16"/>
        <v>1230.9789784198183</v>
      </c>
    </row>
    <row r="41" spans="2:10" x14ac:dyDescent="0.25">
      <c r="B41" s="29">
        <v>15</v>
      </c>
      <c r="C41" s="27">
        <f t="shared" si="11"/>
        <v>1660.498692963648</v>
      </c>
      <c r="D41" s="28">
        <f t="shared" si="12"/>
        <v>1804.0220000000002</v>
      </c>
      <c r="E41" s="27">
        <f t="shared" si="15"/>
        <v>1865.4220262115873</v>
      </c>
      <c r="G41" s="12">
        <v>15</v>
      </c>
      <c r="H41" s="21">
        <f t="shared" si="13"/>
        <v>1626.2999536195891</v>
      </c>
      <c r="I41" s="22">
        <f t="shared" si="14"/>
        <v>1742.7080000000001</v>
      </c>
      <c r="J41" s="21">
        <f t="shared" si="16"/>
        <v>1846.4684676297277</v>
      </c>
    </row>
    <row r="42" spans="2:10" x14ac:dyDescent="0.25">
      <c r="B42" s="29">
        <v>20</v>
      </c>
      <c r="C42" s="27">
        <f t="shared" si="11"/>
        <v>2213.9982572848639</v>
      </c>
      <c r="D42" s="28">
        <f t="shared" si="12"/>
        <v>2405.3626666666669</v>
      </c>
      <c r="E42" s="27">
        <f t="shared" si="15"/>
        <v>2487.229368282116</v>
      </c>
      <c r="G42" s="12">
        <v>20</v>
      </c>
      <c r="H42" s="21">
        <f t="shared" si="13"/>
        <v>2168.3999381594522</v>
      </c>
      <c r="I42" s="22">
        <f t="shared" si="14"/>
        <v>2323.6106666666665</v>
      </c>
      <c r="J42" s="21">
        <f t="shared" si="16"/>
        <v>2461.9579568396366</v>
      </c>
    </row>
    <row r="51" spans="6:8" x14ac:dyDescent="0.25">
      <c r="F51" s="30" t="s">
        <v>62</v>
      </c>
      <c r="G51" s="30" t="s">
        <v>63</v>
      </c>
      <c r="H51" s="30" t="s">
        <v>64</v>
      </c>
    </row>
    <row r="52" spans="6:8" x14ac:dyDescent="0.25">
      <c r="F52" s="9" t="s">
        <v>65</v>
      </c>
      <c r="G52" s="9" t="s">
        <v>66</v>
      </c>
    </row>
    <row r="53" spans="6:8" x14ac:dyDescent="0.25">
      <c r="F53" s="9" t="s">
        <v>67</v>
      </c>
      <c r="G53" s="9" t="s">
        <v>66</v>
      </c>
    </row>
  </sheetData>
  <mergeCells count="16">
    <mergeCell ref="B3:E3"/>
    <mergeCell ref="G3:J3"/>
    <mergeCell ref="B6:E6"/>
    <mergeCell ref="G6:J6"/>
    <mergeCell ref="B13:E13"/>
    <mergeCell ref="G13:J13"/>
    <mergeCell ref="C14:E14"/>
    <mergeCell ref="G14:G15"/>
    <mergeCell ref="B35:E35"/>
    <mergeCell ref="G35:J35"/>
    <mergeCell ref="B36:B37"/>
    <mergeCell ref="C36:E36"/>
    <mergeCell ref="G36:G37"/>
    <mergeCell ref="H36:J36"/>
    <mergeCell ref="B14:B15"/>
    <mergeCell ref="H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24"/>
  <sheetViews>
    <sheetView workbookViewId="0"/>
  </sheetViews>
  <sheetFormatPr defaultColWidth="12.6640625" defaultRowHeight="15.75" customHeight="1" x14ac:dyDescent="0.25"/>
  <sheetData>
    <row r="2" spans="1:11" x14ac:dyDescent="0.25">
      <c r="A2" s="9" t="s">
        <v>68</v>
      </c>
      <c r="D2" s="9" t="s">
        <v>69</v>
      </c>
      <c r="G2" s="9" t="s">
        <v>70</v>
      </c>
      <c r="J2" s="9" t="s">
        <v>71</v>
      </c>
    </row>
    <row r="3" spans="1:11" x14ac:dyDescent="0.25">
      <c r="A3" s="9" t="s">
        <v>72</v>
      </c>
      <c r="B3" s="9">
        <v>0.1</v>
      </c>
      <c r="D3" s="9" t="s">
        <v>72</v>
      </c>
      <c r="E3" s="9">
        <v>8.1250000000000003E-2</v>
      </c>
      <c r="G3" s="9" t="s">
        <v>72</v>
      </c>
      <c r="H3" s="9">
        <v>8.7499999999999994E-2</v>
      </c>
      <c r="J3" s="9" t="s">
        <v>72</v>
      </c>
      <c r="K3" s="9">
        <v>9.5000000000000001E-2</v>
      </c>
    </row>
    <row r="4" spans="1:11" x14ac:dyDescent="0.25">
      <c r="A4" s="9" t="s">
        <v>73</v>
      </c>
      <c r="B4" s="31">
        <v>17.57</v>
      </c>
      <c r="D4" s="9" t="s">
        <v>73</v>
      </c>
      <c r="E4" s="9">
        <v>18.02</v>
      </c>
      <c r="F4" s="9" t="s">
        <v>74</v>
      </c>
      <c r="G4" s="9" t="s">
        <v>73</v>
      </c>
      <c r="H4" s="31">
        <v>17.57</v>
      </c>
      <c r="J4" s="9" t="s">
        <v>73</v>
      </c>
      <c r="K4" s="31">
        <v>17.57</v>
      </c>
    </row>
    <row r="5" spans="1:11" x14ac:dyDescent="0.25">
      <c r="A5" s="9" t="s">
        <v>75</v>
      </c>
      <c r="B5" s="9">
        <v>32.200000000000003</v>
      </c>
      <c r="D5" s="9" t="s">
        <v>75</v>
      </c>
      <c r="E5" s="9">
        <v>32.200000000000003</v>
      </c>
      <c r="G5" s="9" t="s">
        <v>75</v>
      </c>
      <c r="H5" s="9">
        <v>32.200000000000003</v>
      </c>
      <c r="J5" s="9" t="s">
        <v>75</v>
      </c>
      <c r="K5" s="9">
        <v>32.200000000000003</v>
      </c>
    </row>
    <row r="6" spans="1:11" x14ac:dyDescent="0.25">
      <c r="A6" s="9" t="s">
        <v>76</v>
      </c>
      <c r="B6" s="9">
        <v>7.5600000000000001E-2</v>
      </c>
      <c r="D6" s="9" t="s">
        <v>76</v>
      </c>
      <c r="E6" s="9">
        <v>7.6499999999999999E-2</v>
      </c>
      <c r="F6" s="9" t="s">
        <v>77</v>
      </c>
      <c r="G6" s="9" t="s">
        <v>76</v>
      </c>
      <c r="H6" s="9">
        <v>7.5600000000000001E-2</v>
      </c>
      <c r="J6" s="9" t="s">
        <v>76</v>
      </c>
      <c r="K6" s="9">
        <v>7.5600000000000001E-2</v>
      </c>
    </row>
    <row r="7" spans="1:11" x14ac:dyDescent="0.25">
      <c r="A7" s="9" t="s">
        <v>78</v>
      </c>
      <c r="B7" s="9">
        <v>15</v>
      </c>
      <c r="D7" s="9" t="s">
        <v>78</v>
      </c>
      <c r="E7" s="9">
        <v>12.5</v>
      </c>
      <c r="F7" s="9" t="s">
        <v>79</v>
      </c>
      <c r="G7" s="9" t="s">
        <v>78</v>
      </c>
      <c r="H7" s="9">
        <v>10</v>
      </c>
      <c r="J7" s="9" t="s">
        <v>78</v>
      </c>
      <c r="K7" s="9">
        <v>7.5</v>
      </c>
    </row>
    <row r="8" spans="1:11" x14ac:dyDescent="0.25">
      <c r="A8" s="9" t="s">
        <v>80</v>
      </c>
      <c r="B8" s="18">
        <f>SQRT((2*B4*B5)/(B6*B3*B7))</f>
        <v>99.890063026098957</v>
      </c>
      <c r="D8" s="9" t="s">
        <v>80</v>
      </c>
      <c r="E8" s="18">
        <f>SQRT((2*E4*E5)/(E6*E3*E7))</f>
        <v>122.21455142983825</v>
      </c>
      <c r="F8" s="9" t="s">
        <v>81</v>
      </c>
      <c r="G8" s="9" t="s">
        <v>80</v>
      </c>
      <c r="H8" s="18">
        <f>SQRT((2*H4*H5)/(H6*H3*H7))</f>
        <v>130.78679285457378</v>
      </c>
      <c r="J8" s="9" t="s">
        <v>80</v>
      </c>
      <c r="K8" s="18">
        <f>SQRT((2*K4*K5)/(K6*K3*K7))</f>
        <v>144.93573669485403</v>
      </c>
    </row>
    <row r="10" spans="1:11" x14ac:dyDescent="0.25">
      <c r="D10" s="18">
        <f>((1/2)*E6*E3*E7*E8^2)/E5</f>
        <v>18.019999999999996</v>
      </c>
    </row>
    <row r="15" spans="1:11" x14ac:dyDescent="0.25">
      <c r="C15" s="9" t="s">
        <v>82</v>
      </c>
      <c r="D15" s="9" t="s">
        <v>83</v>
      </c>
      <c r="H15" s="9" t="s">
        <v>84</v>
      </c>
    </row>
    <row r="16" spans="1:11" x14ac:dyDescent="0.25">
      <c r="H16" s="9" t="s">
        <v>68</v>
      </c>
    </row>
    <row r="17" spans="1:10" x14ac:dyDescent="0.25">
      <c r="H17" s="9" t="s">
        <v>72</v>
      </c>
      <c r="I17" s="9">
        <v>0.35</v>
      </c>
    </row>
    <row r="18" spans="1:10" x14ac:dyDescent="0.25">
      <c r="A18" s="9" t="s">
        <v>85</v>
      </c>
      <c r="H18" s="9" t="s">
        <v>73</v>
      </c>
      <c r="I18" s="9">
        <v>18.02</v>
      </c>
    </row>
    <row r="19" spans="1:10" x14ac:dyDescent="0.25">
      <c r="A19" s="9" t="s">
        <v>72</v>
      </c>
      <c r="B19" s="9">
        <v>0.28000000000000003</v>
      </c>
      <c r="H19" s="9" t="s">
        <v>75</v>
      </c>
      <c r="I19" s="9">
        <v>32.200000000000003</v>
      </c>
    </row>
    <row r="20" spans="1:10" x14ac:dyDescent="0.25">
      <c r="A20" s="9" t="s">
        <v>73</v>
      </c>
      <c r="B20" s="9">
        <v>8.625</v>
      </c>
      <c r="H20" s="9" t="s">
        <v>76</v>
      </c>
      <c r="I20" s="9">
        <v>7.5600000000000001E-2</v>
      </c>
    </row>
    <row r="21" spans="1:10" x14ac:dyDescent="0.25">
      <c r="A21" s="9" t="s">
        <v>75</v>
      </c>
      <c r="B21" s="9">
        <v>32.200000000000003</v>
      </c>
      <c r="H21" s="9" t="s">
        <v>78</v>
      </c>
      <c r="I21" s="9">
        <v>0.15</v>
      </c>
    </row>
    <row r="22" spans="1:10" x14ac:dyDescent="0.25">
      <c r="A22" s="9" t="s">
        <v>76</v>
      </c>
      <c r="B22" s="9">
        <v>7.5600000000000001E-2</v>
      </c>
      <c r="H22" s="9" t="s">
        <v>80</v>
      </c>
      <c r="I22" s="18">
        <f>SQRT((2*I18*I19)/(I20*I17*I21))</f>
        <v>540.72914389246102</v>
      </c>
      <c r="J22" s="9" t="s">
        <v>86</v>
      </c>
    </row>
    <row r="23" spans="1:10" x14ac:dyDescent="0.25">
      <c r="A23" s="9" t="s">
        <v>78</v>
      </c>
      <c r="B23" s="9">
        <v>41.66</v>
      </c>
    </row>
    <row r="24" spans="1:10" x14ac:dyDescent="0.25">
      <c r="A24" s="9" t="s">
        <v>80</v>
      </c>
      <c r="B24" s="18">
        <f>SQRT((2*B20*B21)/(B22*B19*B23))</f>
        <v>25.097065222673972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J31"/>
  <sheetViews>
    <sheetView workbookViewId="0"/>
  </sheetViews>
  <sheetFormatPr defaultColWidth="12.6640625" defaultRowHeight="15.75" customHeight="1" x14ac:dyDescent="0.25"/>
  <cols>
    <col min="2" max="2" width="21.109375" customWidth="1"/>
    <col min="6" max="6" width="16.77734375" customWidth="1"/>
    <col min="8" max="8" width="16.6640625" customWidth="1"/>
    <col min="9" max="9" width="16.88671875" customWidth="1"/>
  </cols>
  <sheetData>
    <row r="1" spans="2:10" x14ac:dyDescent="0.25">
      <c r="F1" s="32"/>
    </row>
    <row r="4" spans="2:10" x14ac:dyDescent="0.25">
      <c r="B4" s="56" t="s">
        <v>87</v>
      </c>
      <c r="C4" s="45"/>
      <c r="F4" s="62" t="s">
        <v>88</v>
      </c>
      <c r="G4" s="45"/>
      <c r="H4" s="63" t="s">
        <v>89</v>
      </c>
      <c r="I4" s="45"/>
    </row>
    <row r="5" spans="2:10" x14ac:dyDescent="0.25">
      <c r="B5" s="2" t="s">
        <v>90</v>
      </c>
      <c r="C5" s="13">
        <v>266</v>
      </c>
      <c r="F5" s="2" t="s">
        <v>91</v>
      </c>
      <c r="G5" s="13">
        <v>5</v>
      </c>
      <c r="H5" s="2" t="s">
        <v>91</v>
      </c>
      <c r="I5" s="13">
        <v>5</v>
      </c>
    </row>
    <row r="6" spans="2:10" x14ac:dyDescent="0.25">
      <c r="B6" s="2" t="s">
        <v>92</v>
      </c>
      <c r="C6" s="13">
        <v>3307</v>
      </c>
      <c r="F6" s="2" t="s">
        <v>93</v>
      </c>
      <c r="G6" s="13" t="s">
        <v>94</v>
      </c>
      <c r="H6" s="2" t="s">
        <v>93</v>
      </c>
      <c r="I6" s="13">
        <v>11.875</v>
      </c>
    </row>
    <row r="7" spans="2:10" x14ac:dyDescent="0.25">
      <c r="F7" s="2" t="s">
        <v>95</v>
      </c>
      <c r="G7" s="6">
        <f>PI()/4*G5^2</f>
        <v>19.634954084936208</v>
      </c>
      <c r="H7" s="2" t="s">
        <v>95</v>
      </c>
      <c r="I7" s="6">
        <f>PI()/4*I5^2</f>
        <v>19.634954084936208</v>
      </c>
    </row>
    <row r="8" spans="2:10" x14ac:dyDescent="0.25">
      <c r="B8" s="56" t="s">
        <v>96</v>
      </c>
      <c r="C8" s="45"/>
      <c r="F8" s="2" t="s">
        <v>97</v>
      </c>
      <c r="G8" s="11">
        <v>248.33</v>
      </c>
      <c r="H8" s="2" t="s">
        <v>97</v>
      </c>
      <c r="I8" s="6">
        <f>PI()*(I5/2)^2*I6</f>
        <v>233.16507975861748</v>
      </c>
    </row>
    <row r="9" spans="2:10" x14ac:dyDescent="0.25">
      <c r="B9" s="2" t="s">
        <v>98</v>
      </c>
      <c r="C9" s="13">
        <v>2</v>
      </c>
      <c r="F9" s="2" t="s">
        <v>99</v>
      </c>
      <c r="G9" s="6">
        <f>C13/G7</f>
        <v>10.035200000000001</v>
      </c>
      <c r="H9" s="2" t="s">
        <v>99</v>
      </c>
      <c r="I9" s="6">
        <f>C20/I7</f>
        <v>7.2765235200000022</v>
      </c>
    </row>
    <row r="10" spans="2:10" x14ac:dyDescent="0.25">
      <c r="B10" s="2" t="s">
        <v>100</v>
      </c>
      <c r="C10" s="13">
        <v>0.112</v>
      </c>
      <c r="F10" s="2" t="s">
        <v>101</v>
      </c>
      <c r="G10" s="6">
        <f>(G9*G8)/(C5*C6)*(453.592/1)</f>
        <v>1.2850048760181436</v>
      </c>
      <c r="H10" s="2" t="s">
        <v>101</v>
      </c>
      <c r="I10" s="6">
        <f>(I9*I8)/(C5*C6)*(453.592/1)</f>
        <v>0.87485685789676337</v>
      </c>
    </row>
    <row r="11" spans="2:10" x14ac:dyDescent="0.25">
      <c r="B11" s="2" t="s">
        <v>102</v>
      </c>
      <c r="C11" s="33">
        <f>PI()/4*C10^2</f>
        <v>9.8520345616575928E-3</v>
      </c>
      <c r="F11" s="2" t="s">
        <v>103</v>
      </c>
      <c r="G11" s="34">
        <f>G10+(G10*0.5)</f>
        <v>1.9275073140272154</v>
      </c>
      <c r="H11" s="2" t="s">
        <v>103</v>
      </c>
      <c r="I11" s="34">
        <f>I10+(I10*0.5)</f>
        <v>1.3122852868451451</v>
      </c>
    </row>
    <row r="12" spans="2:10" x14ac:dyDescent="0.25">
      <c r="B12" s="2" t="s">
        <v>104</v>
      </c>
      <c r="C12" s="13">
        <v>10000</v>
      </c>
      <c r="F12" s="2" t="s">
        <v>105</v>
      </c>
      <c r="G12" s="34">
        <f>G11+(G11*0.2)</f>
        <v>2.3130087768326586</v>
      </c>
      <c r="H12" s="2" t="s">
        <v>105</v>
      </c>
      <c r="I12" s="34">
        <f>I11+(I11*0.2)</f>
        <v>1.5747423442141741</v>
      </c>
    </row>
    <row r="13" spans="2:10" x14ac:dyDescent="0.25">
      <c r="B13" s="2" t="s">
        <v>106</v>
      </c>
      <c r="C13" s="21">
        <f>C9*C11*C12</f>
        <v>197.04069123315185</v>
      </c>
    </row>
    <row r="14" spans="2:10" x14ac:dyDescent="0.25">
      <c r="F14" s="64" t="s">
        <v>107</v>
      </c>
      <c r="G14" s="45"/>
      <c r="H14" s="64" t="s">
        <v>108</v>
      </c>
      <c r="I14" s="45"/>
    </row>
    <row r="15" spans="2:10" x14ac:dyDescent="0.25">
      <c r="B15" s="56" t="s">
        <v>96</v>
      </c>
      <c r="C15" s="45"/>
      <c r="F15" s="2" t="s">
        <v>91</v>
      </c>
      <c r="G15" s="13">
        <v>5</v>
      </c>
      <c r="H15" s="2" t="s">
        <v>91</v>
      </c>
      <c r="I15" s="13">
        <v>5</v>
      </c>
      <c r="J15" s="9"/>
    </row>
    <row r="16" spans="2:10" x14ac:dyDescent="0.25">
      <c r="B16" s="2" t="s">
        <v>98</v>
      </c>
      <c r="C16" s="13">
        <v>3</v>
      </c>
      <c r="F16" s="2" t="s">
        <v>93</v>
      </c>
      <c r="G16" s="13">
        <v>10.25</v>
      </c>
      <c r="H16" s="2" t="s">
        <v>93</v>
      </c>
      <c r="I16" s="13">
        <v>13.375</v>
      </c>
    </row>
    <row r="17" spans="2:9" x14ac:dyDescent="0.25">
      <c r="B17" s="2" t="s">
        <v>100</v>
      </c>
      <c r="C17" s="13">
        <v>0.112</v>
      </c>
      <c r="F17" s="2" t="s">
        <v>95</v>
      </c>
      <c r="G17" s="6">
        <f>PI()/4*G15^2</f>
        <v>19.634954084936208</v>
      </c>
      <c r="H17" s="2" t="s">
        <v>95</v>
      </c>
      <c r="I17" s="6">
        <f>PI()/4*I15^2</f>
        <v>19.634954084936208</v>
      </c>
    </row>
    <row r="18" spans="2:9" x14ac:dyDescent="0.25">
      <c r="B18" s="2" t="s">
        <v>102</v>
      </c>
      <c r="C18" s="33">
        <f>PI()/4*C17^2</f>
        <v>9.8520345616575928E-3</v>
      </c>
      <c r="F18" s="2" t="s">
        <v>97</v>
      </c>
      <c r="G18" s="6">
        <f>PI()*(G15/2)^2*G16</f>
        <v>201.25827937059614</v>
      </c>
      <c r="H18" s="2" t="s">
        <v>97</v>
      </c>
      <c r="I18" s="6">
        <f>PI()*(I15/2)^2*I16</f>
        <v>262.61751088602176</v>
      </c>
    </row>
    <row r="19" spans="2:9" x14ac:dyDescent="0.25">
      <c r="B19" s="2" t="s">
        <v>104</v>
      </c>
      <c r="C19" s="13">
        <v>4834</v>
      </c>
      <c r="F19" s="2" t="s">
        <v>99</v>
      </c>
      <c r="G19" s="6">
        <f>C13/G17</f>
        <v>10.035200000000001</v>
      </c>
      <c r="H19" s="2" t="s">
        <v>99</v>
      </c>
      <c r="I19" s="6">
        <f>C13/I17</f>
        <v>10.035200000000001</v>
      </c>
    </row>
    <row r="20" spans="2:9" x14ac:dyDescent="0.25">
      <c r="B20" s="2" t="s">
        <v>106</v>
      </c>
      <c r="C20" s="21">
        <f>C16*C18*C19</f>
        <v>142.87420521315843</v>
      </c>
      <c r="F20" s="2" t="s">
        <v>101</v>
      </c>
      <c r="G20" s="35">
        <f>(G9*G18)/(C5*C6)*(453.592/1)</f>
        <v>1.0414282218428614</v>
      </c>
      <c r="H20" s="2" t="s">
        <v>101</v>
      </c>
      <c r="I20" s="15">
        <f>(G9*I18)/(C5*C6)*(453.592/1)</f>
        <v>1.3589368260632457</v>
      </c>
    </row>
    <row r="21" spans="2:9" x14ac:dyDescent="0.25">
      <c r="F21" s="2" t="s">
        <v>103</v>
      </c>
      <c r="G21" s="34">
        <f>G20+(G20*0.5)</f>
        <v>1.5621423327642923</v>
      </c>
      <c r="H21" s="2" t="s">
        <v>103</v>
      </c>
      <c r="I21" s="34">
        <f>I20+(I20*0.5)</f>
        <v>2.0384052390948684</v>
      </c>
    </row>
    <row r="22" spans="2:9" x14ac:dyDescent="0.25">
      <c r="B22" s="56" t="s">
        <v>109</v>
      </c>
      <c r="C22" s="45"/>
      <c r="F22" s="2" t="s">
        <v>105</v>
      </c>
      <c r="G22" s="34">
        <f>G21+(G21*0.2)</f>
        <v>1.8745707993171508</v>
      </c>
      <c r="H22" s="2" t="s">
        <v>105</v>
      </c>
      <c r="I22" s="34">
        <f>I21+(I21*0.2)</f>
        <v>2.4460862869138422</v>
      </c>
    </row>
    <row r="23" spans="2:9" x14ac:dyDescent="0.25">
      <c r="B23" s="57" t="s">
        <v>110</v>
      </c>
      <c r="C23" s="58"/>
      <c r="F23" s="36"/>
      <c r="G23" s="36"/>
    </row>
    <row r="24" spans="2:9" x14ac:dyDescent="0.25">
      <c r="B24" s="59"/>
      <c r="C24" s="55"/>
      <c r="F24" s="9"/>
      <c r="G24" s="37"/>
    </row>
    <row r="25" spans="2:9" x14ac:dyDescent="0.25">
      <c r="B25" s="2" t="s">
        <v>111</v>
      </c>
      <c r="C25" s="12">
        <v>4.8</v>
      </c>
      <c r="F25" s="9"/>
      <c r="G25" s="19"/>
    </row>
    <row r="26" spans="2:9" x14ac:dyDescent="0.25">
      <c r="B26" s="2" t="s">
        <v>112</v>
      </c>
      <c r="C26" s="12">
        <v>9.75</v>
      </c>
      <c r="F26" s="9"/>
      <c r="G26" s="19"/>
    </row>
    <row r="27" spans="2:9" x14ac:dyDescent="0.25">
      <c r="B27" s="2" t="s">
        <v>113</v>
      </c>
      <c r="C27" s="6">
        <f>PI()*(C25/2)^2*C26</f>
        <v>176.43184342560278</v>
      </c>
    </row>
    <row r="29" spans="2:9" x14ac:dyDescent="0.25">
      <c r="B29" s="60" t="s">
        <v>114</v>
      </c>
      <c r="C29" s="58"/>
    </row>
    <row r="30" spans="2:9" x14ac:dyDescent="0.25">
      <c r="B30" s="61" t="s">
        <v>115</v>
      </c>
      <c r="C30" s="45"/>
    </row>
    <row r="31" spans="2:9" x14ac:dyDescent="0.25">
      <c r="B31" s="61" t="s">
        <v>116</v>
      </c>
      <c r="C31" s="45"/>
    </row>
  </sheetData>
  <mergeCells count="12">
    <mergeCell ref="B15:C15"/>
    <mergeCell ref="B4:C4"/>
    <mergeCell ref="F4:G4"/>
    <mergeCell ref="H4:I4"/>
    <mergeCell ref="B8:C8"/>
    <mergeCell ref="F14:G14"/>
    <mergeCell ref="H14:I14"/>
    <mergeCell ref="B22:C22"/>
    <mergeCell ref="B23:C24"/>
    <mergeCell ref="B29:C29"/>
    <mergeCell ref="B30:C30"/>
    <mergeCell ref="B31:C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X113"/>
  <sheetViews>
    <sheetView workbookViewId="0"/>
  </sheetViews>
  <sheetFormatPr defaultColWidth="12.6640625" defaultRowHeight="15.75" customHeight="1" x14ac:dyDescent="0.25"/>
  <cols>
    <col min="2" max="2" width="29.33203125" customWidth="1"/>
    <col min="4" max="4" width="13.77734375" customWidth="1"/>
    <col min="6" max="6" width="20.21875" customWidth="1"/>
    <col min="7" max="7" width="18.33203125" customWidth="1"/>
    <col min="8" max="8" width="22.109375" customWidth="1"/>
    <col min="9" max="16" width="20.21875" customWidth="1"/>
    <col min="17" max="18" width="15.6640625" customWidth="1"/>
    <col min="23" max="23" width="15.6640625" customWidth="1"/>
  </cols>
  <sheetData>
    <row r="2" spans="2:24" x14ac:dyDescent="0.25">
      <c r="B2" s="44" t="s">
        <v>117</v>
      </c>
      <c r="C2" s="47"/>
      <c r="D2" s="45"/>
      <c r="F2" s="44" t="s">
        <v>118</v>
      </c>
      <c r="G2" s="47"/>
      <c r="H2" s="47"/>
      <c r="I2" s="47"/>
      <c r="J2" s="45"/>
      <c r="K2" s="8">
        <f>I4*2/32.2</f>
        <v>120.49311417319957</v>
      </c>
      <c r="L2" s="44" t="s">
        <v>119</v>
      </c>
      <c r="M2" s="47"/>
      <c r="N2" s="47"/>
      <c r="O2" s="47"/>
      <c r="P2" s="45"/>
    </row>
    <row r="3" spans="2:24" x14ac:dyDescent="0.25">
      <c r="B3" s="65" t="s">
        <v>120</v>
      </c>
      <c r="C3" s="47"/>
      <c r="D3" s="45"/>
      <c r="F3" s="12" t="s">
        <v>121</v>
      </c>
      <c r="G3" s="12" t="s">
        <v>122</v>
      </c>
      <c r="H3" s="12" t="s">
        <v>35</v>
      </c>
      <c r="I3" s="12" t="s">
        <v>123</v>
      </c>
      <c r="J3" s="12" t="s">
        <v>124</v>
      </c>
      <c r="L3" s="12" t="s">
        <v>121</v>
      </c>
      <c r="M3" s="12" t="s">
        <v>122</v>
      </c>
      <c r="N3" s="12" t="s">
        <v>35</v>
      </c>
      <c r="O3" s="12" t="s">
        <v>123</v>
      </c>
      <c r="P3" s="12" t="s">
        <v>124</v>
      </c>
    </row>
    <row r="4" spans="2:24" x14ac:dyDescent="0.25">
      <c r="B4" s="65" t="s">
        <v>125</v>
      </c>
      <c r="C4" s="47"/>
      <c r="D4" s="45"/>
      <c r="F4" s="12">
        <v>0</v>
      </c>
      <c r="G4" s="6">
        <f>0+H4*F4</f>
        <v>0</v>
      </c>
      <c r="H4" s="6">
        <f>-C26</f>
        <v>-117.30042044897489</v>
      </c>
      <c r="I4" s="38">
        <f t="shared" ref="I4:I104" si="0">0.5*$C$12*$C$19*$C$15*H4^2/$C$20-32.2</f>
        <v>1939.9391381885132</v>
      </c>
      <c r="J4" s="6">
        <f t="shared" ref="J4:J104" si="1">($C$20/32.2)*I4</f>
        <v>1000.0928476375565</v>
      </c>
      <c r="K4" s="18">
        <f>J4/32.157</f>
        <v>31.100315565430748</v>
      </c>
      <c r="L4" s="12">
        <v>0</v>
      </c>
      <c r="M4" s="11">
        <v>0</v>
      </c>
      <c r="N4" s="6">
        <f>-C23</f>
        <v>-120.1224180670792</v>
      </c>
      <c r="O4" s="38">
        <f t="shared" ref="O4:O104" si="2">0.5*$C$12*$C$19*$C$16*N4^2/$C$21-32.2</f>
        <v>2156.5206444679725</v>
      </c>
      <c r="P4" s="6">
        <f t="shared" ref="P4:P104" si="3">0.5*$C$12*$C$19*$C$16/32.2*N4^2</f>
        <v>1451.2169490494166</v>
      </c>
    </row>
    <row r="5" spans="2:24" x14ac:dyDescent="0.25">
      <c r="B5" s="2" t="s">
        <v>126</v>
      </c>
      <c r="C5" s="39"/>
      <c r="D5" s="39"/>
      <c r="F5" s="40">
        <v>1E-3</v>
      </c>
      <c r="G5" s="6">
        <f t="shared" ref="G5:G104" si="4">(G4+H4*(F5-F4))</f>
        <v>-0.11730042044897489</v>
      </c>
      <c r="H5" s="6">
        <f t="shared" ref="H5:H104" si="5">H4+I4*(F5-F4)</f>
        <v>-115.36048131078638</v>
      </c>
      <c r="I5" s="38">
        <f t="shared" si="0"/>
        <v>1875.2472352273417</v>
      </c>
      <c r="J5" s="6">
        <f t="shared" si="1"/>
        <v>966.7423635022941</v>
      </c>
      <c r="L5" s="40">
        <v>1E-3</v>
      </c>
      <c r="M5" s="6">
        <f t="shared" ref="M5:M104" si="6">(M4+N4*(L5-L4))</f>
        <v>-0.1201224180670792</v>
      </c>
      <c r="N5" s="6">
        <f t="shared" ref="N5:N104" si="7">N4+O4*(L5-L4)</f>
        <v>-117.96589742261122</v>
      </c>
      <c r="O5" s="38">
        <f t="shared" si="2"/>
        <v>2078.6392166933806</v>
      </c>
      <c r="P5" s="6">
        <f t="shared" si="3"/>
        <v>1399.5781762858282</v>
      </c>
    </row>
    <row r="6" spans="2:24" x14ac:dyDescent="0.25">
      <c r="B6" s="2" t="s">
        <v>127</v>
      </c>
      <c r="C6" s="39"/>
      <c r="D6" s="39"/>
      <c r="F6" s="40">
        <v>2E-3</v>
      </c>
      <c r="G6" s="6">
        <f t="shared" si="4"/>
        <v>-0.23266090175976128</v>
      </c>
      <c r="H6" s="6">
        <f t="shared" si="5"/>
        <v>-113.48523407555903</v>
      </c>
      <c r="I6" s="38">
        <f t="shared" si="0"/>
        <v>1813.7380840390183</v>
      </c>
      <c r="J6" s="6">
        <f t="shared" si="1"/>
        <v>935.03267686483548</v>
      </c>
      <c r="L6" s="40">
        <v>2E-3</v>
      </c>
      <c r="M6" s="6">
        <f t="shared" si="6"/>
        <v>-0.23808831548969042</v>
      </c>
      <c r="N6" s="6">
        <f t="shared" si="7"/>
        <v>-115.88725820591785</v>
      </c>
      <c r="O6" s="38">
        <f t="shared" si="2"/>
        <v>2004.9057669323904</v>
      </c>
      <c r="P6" s="6">
        <f t="shared" si="3"/>
        <v>1350.6896932921284</v>
      </c>
    </row>
    <row r="7" spans="2:24" x14ac:dyDescent="0.25">
      <c r="B7" s="2" t="s">
        <v>128</v>
      </c>
      <c r="C7" s="39"/>
      <c r="D7" s="39"/>
      <c r="F7" s="40">
        <v>3.0000000000000001E-3</v>
      </c>
      <c r="G7" s="6">
        <f t="shared" si="4"/>
        <v>-0.34614613583532033</v>
      </c>
      <c r="H7" s="6">
        <f t="shared" si="5"/>
        <v>-111.67149599152002</v>
      </c>
      <c r="I7" s="38">
        <f t="shared" si="0"/>
        <v>1755.2054700683457</v>
      </c>
      <c r="J7" s="6">
        <f t="shared" si="1"/>
        <v>904.85747835821542</v>
      </c>
      <c r="K7" s="9"/>
      <c r="L7" s="40">
        <v>3.0000000000000001E-3</v>
      </c>
      <c r="M7" s="6">
        <f t="shared" si="6"/>
        <v>-0.35397557369560828</v>
      </c>
      <c r="N7" s="6">
        <f t="shared" si="7"/>
        <v>-113.88235243898545</v>
      </c>
      <c r="O7" s="38">
        <f t="shared" si="2"/>
        <v>1935.0296511589133</v>
      </c>
      <c r="P7" s="6">
        <f t="shared" si="3"/>
        <v>1304.358790442323</v>
      </c>
    </row>
    <row r="8" spans="2:24" x14ac:dyDescent="0.25">
      <c r="B8" s="2" t="s">
        <v>129</v>
      </c>
      <c r="C8" s="39"/>
      <c r="D8" s="39"/>
      <c r="F8" s="40">
        <v>4.0000000000000001E-3</v>
      </c>
      <c r="G8" s="6">
        <f t="shared" si="4"/>
        <v>-0.45781763182684032</v>
      </c>
      <c r="H8" s="6">
        <f t="shared" si="5"/>
        <v>-109.91629052145167</v>
      </c>
      <c r="I8" s="38">
        <f t="shared" si="0"/>
        <v>1699.4596642894116</v>
      </c>
      <c r="J8" s="6">
        <f t="shared" si="1"/>
        <v>876.11895736659108</v>
      </c>
      <c r="K8" s="9"/>
      <c r="L8" s="40">
        <v>4.0000000000000001E-3</v>
      </c>
      <c r="M8" s="6">
        <f t="shared" si="6"/>
        <v>-0.46785792613459376</v>
      </c>
      <c r="N8" s="6">
        <f t="shared" si="7"/>
        <v>-111.94732278782654</v>
      </c>
      <c r="O8" s="38">
        <f t="shared" si="2"/>
        <v>1868.7453263857265</v>
      </c>
      <c r="P8" s="6">
        <f t="shared" si="3"/>
        <v>1260.4094011905361</v>
      </c>
    </row>
    <row r="9" spans="2:24" x14ac:dyDescent="0.25">
      <c r="B9" s="65" t="s">
        <v>130</v>
      </c>
      <c r="C9" s="47"/>
      <c r="D9" s="45"/>
      <c r="F9" s="40">
        <v>5.0000000000000001E-3</v>
      </c>
      <c r="G9" s="6">
        <f t="shared" si="4"/>
        <v>-0.56773392234829201</v>
      </c>
      <c r="H9" s="6">
        <f t="shared" si="5"/>
        <v>-108.21683085716226</v>
      </c>
      <c r="I9" s="38">
        <f t="shared" si="0"/>
        <v>1646.3258627038726</v>
      </c>
      <c r="J9" s="6">
        <f t="shared" si="1"/>
        <v>848.72699754299015</v>
      </c>
      <c r="K9" s="9"/>
      <c r="L9" s="40">
        <v>5.0000000000000001E-3</v>
      </c>
      <c r="M9" s="6">
        <f t="shared" si="6"/>
        <v>-0.57980524892242036</v>
      </c>
      <c r="N9" s="6">
        <f t="shared" si="7"/>
        <v>-110.07857746144082</v>
      </c>
      <c r="O9" s="38">
        <f t="shared" si="2"/>
        <v>1805.8097865800771</v>
      </c>
      <c r="P9" s="6">
        <f t="shared" si="3"/>
        <v>1218.6804019715728</v>
      </c>
    </row>
    <row r="10" spans="2:24" x14ac:dyDescent="0.25">
      <c r="F10" s="40">
        <v>6.0000000000000001E-3</v>
      </c>
      <c r="G10" s="6">
        <f t="shared" si="4"/>
        <v>-0.67595075320545428</v>
      </c>
      <c r="H10" s="6">
        <f t="shared" si="5"/>
        <v>-106.57050499445839</v>
      </c>
      <c r="I10" s="38">
        <f t="shared" si="0"/>
        <v>1595.6427958526217</v>
      </c>
      <c r="J10" s="6">
        <f t="shared" si="1"/>
        <v>822.59845997371178</v>
      </c>
      <c r="L10" s="40">
        <v>6.0000000000000001E-3</v>
      </c>
      <c r="M10" s="6">
        <f t="shared" si="6"/>
        <v>-0.68988382638386114</v>
      </c>
      <c r="N10" s="6">
        <f t="shared" si="7"/>
        <v>-108.27276767486075</v>
      </c>
      <c r="O10" s="38">
        <f t="shared" si="2"/>
        <v>1746.0002997154841</v>
      </c>
      <c r="P10" s="6">
        <f t="shared" si="3"/>
        <v>1179.0241117678754</v>
      </c>
    </row>
    <row r="11" spans="2:24" x14ac:dyDescent="0.25">
      <c r="B11" s="44" t="s">
        <v>131</v>
      </c>
      <c r="C11" s="45"/>
      <c r="D11" s="8"/>
      <c r="F11" s="40">
        <v>7.0000000000000001E-3</v>
      </c>
      <c r="G11" s="6">
        <f t="shared" si="4"/>
        <v>-0.78252125819991269</v>
      </c>
      <c r="H11" s="6">
        <f t="shared" si="5"/>
        <v>-104.97486219860576</v>
      </c>
      <c r="I11" s="38">
        <f t="shared" si="0"/>
        <v>1547.261487459255</v>
      </c>
      <c r="J11" s="6">
        <f t="shared" si="1"/>
        <v>797.65654322433636</v>
      </c>
      <c r="L11" s="40">
        <v>7.0000000000000001E-3</v>
      </c>
      <c r="M11" s="6">
        <f t="shared" si="6"/>
        <v>-0.79815659405872186</v>
      </c>
      <c r="N11" s="6">
        <f t="shared" si="7"/>
        <v>-106.52676737514525</v>
      </c>
      <c r="O11" s="38">
        <f t="shared" si="2"/>
        <v>1689.1124061314756</v>
      </c>
      <c r="P11" s="6">
        <f t="shared" si="3"/>
        <v>1141.3049649350003</v>
      </c>
      <c r="Q11" s="8"/>
      <c r="R11" s="8"/>
      <c r="T11" s="44" t="s">
        <v>119</v>
      </c>
      <c r="U11" s="47"/>
      <c r="V11" s="47"/>
      <c r="W11" s="47"/>
      <c r="X11" s="45"/>
    </row>
    <row r="12" spans="2:24" x14ac:dyDescent="0.25">
      <c r="B12" s="41" t="s">
        <v>132</v>
      </c>
      <c r="C12" s="42">
        <v>7.6499999999999999E-2</v>
      </c>
      <c r="D12" s="8"/>
      <c r="F12" s="40">
        <v>8.0000000000000002E-3</v>
      </c>
      <c r="G12" s="6">
        <f t="shared" si="4"/>
        <v>-0.88749612039851844</v>
      </c>
      <c r="H12" s="6">
        <f t="shared" si="5"/>
        <v>-103.42760071114651</v>
      </c>
      <c r="I12" s="38">
        <f t="shared" si="0"/>
        <v>1501.0441441698727</v>
      </c>
      <c r="J12" s="6">
        <f t="shared" si="1"/>
        <v>773.83021096956168</v>
      </c>
      <c r="L12" s="40">
        <v>8.0000000000000002E-3</v>
      </c>
      <c r="M12" s="6">
        <f t="shared" si="6"/>
        <v>-0.90468336143386707</v>
      </c>
      <c r="N12" s="6">
        <f t="shared" si="7"/>
        <v>-104.83765496901378</v>
      </c>
      <c r="O12" s="38">
        <f t="shared" si="2"/>
        <v>1634.9581442124684</v>
      </c>
      <c r="P12" s="6">
        <f t="shared" si="3"/>
        <v>1105.3983347495714</v>
      </c>
      <c r="Q12" s="8"/>
      <c r="R12" s="8"/>
      <c r="T12" s="12" t="s">
        <v>121</v>
      </c>
      <c r="U12" s="12" t="s">
        <v>122</v>
      </c>
      <c r="V12" s="12" t="s">
        <v>35</v>
      </c>
      <c r="W12" s="12" t="s">
        <v>123</v>
      </c>
      <c r="X12" s="12" t="s">
        <v>124</v>
      </c>
    </row>
    <row r="13" spans="2:24" x14ac:dyDescent="0.25">
      <c r="B13" s="2" t="s">
        <v>133</v>
      </c>
      <c r="C13" s="12">
        <f>Steamer!E7</f>
        <v>12.5</v>
      </c>
      <c r="D13" s="25"/>
      <c r="F13" s="40">
        <v>8.9999999999999993E-3</v>
      </c>
      <c r="G13" s="6">
        <f t="shared" si="4"/>
        <v>-0.99092372110966487</v>
      </c>
      <c r="H13" s="6">
        <f t="shared" si="5"/>
        <v>-101.92655656697664</v>
      </c>
      <c r="I13" s="38">
        <f t="shared" si="0"/>
        <v>1456.8631607747107</v>
      </c>
      <c r="J13" s="6">
        <f t="shared" si="1"/>
        <v>751.05367915714896</v>
      </c>
      <c r="L13" s="40">
        <v>8.9999999999999993E-3</v>
      </c>
      <c r="M13" s="6">
        <f t="shared" si="6"/>
        <v>-1.0095210164028807</v>
      </c>
      <c r="N13" s="6">
        <f t="shared" si="7"/>
        <v>-103.20269682480132</v>
      </c>
      <c r="O13" s="38">
        <f t="shared" si="2"/>
        <v>1583.3644742990145</v>
      </c>
      <c r="P13" s="6">
        <f t="shared" si="3"/>
        <v>1071.1894883939119</v>
      </c>
      <c r="Q13" s="24"/>
      <c r="R13" s="25"/>
      <c r="T13" s="12">
        <v>0</v>
      </c>
      <c r="U13" s="6">
        <f>0+V13*T13</f>
        <v>0</v>
      </c>
      <c r="V13" s="6">
        <f>-C28</f>
        <v>-120.12241806707918</v>
      </c>
      <c r="W13" s="38">
        <f t="shared" ref="W13:W113" si="8">0.5*$C$12*$C$19*$C$16*V13^2/$C$21-32.2</f>
        <v>2156.520644467972</v>
      </c>
      <c r="X13" s="6">
        <f t="shared" ref="X13:X113" si="9">0.5*$C$12*$C$19*$C$16/32.2*V13^2</f>
        <v>1451.2169490494161</v>
      </c>
    </row>
    <row r="14" spans="2:24" x14ac:dyDescent="0.25">
      <c r="B14" s="2" t="s">
        <v>134</v>
      </c>
      <c r="C14" s="11">
        <f>'Drogue  Main'!G5</f>
        <v>0.83039154882535637</v>
      </c>
      <c r="D14" s="25"/>
      <c r="F14" s="40">
        <v>0.01</v>
      </c>
      <c r="G14" s="6">
        <f t="shared" si="4"/>
        <v>-1.0928502776766416</v>
      </c>
      <c r="H14" s="6">
        <f t="shared" si="5"/>
        <v>-100.46969340620193</v>
      </c>
      <c r="I14" s="38">
        <f t="shared" si="0"/>
        <v>1414.6002273617828</v>
      </c>
      <c r="J14" s="6">
        <f t="shared" si="1"/>
        <v>729.2659557206706</v>
      </c>
      <c r="L14" s="40">
        <v>0.01</v>
      </c>
      <c r="M14" s="6">
        <f t="shared" si="6"/>
        <v>-1.1127237132276822</v>
      </c>
      <c r="N14" s="6">
        <f t="shared" si="7"/>
        <v>-101.6193323505023</v>
      </c>
      <c r="O14" s="38">
        <f t="shared" si="2"/>
        <v>1534.1718758724501</v>
      </c>
      <c r="P14" s="6">
        <f t="shared" si="3"/>
        <v>1038.5726568284724</v>
      </c>
      <c r="Q14" s="24"/>
      <c r="R14" s="25"/>
      <c r="T14" s="12">
        <v>0.01</v>
      </c>
      <c r="U14" s="6">
        <f t="shared" ref="U14:U113" si="10">(U13+V13*(T14-T13))</f>
        <v>-1.2012241806707917</v>
      </c>
      <c r="V14" s="6">
        <f t="shared" ref="V14:V113" si="11">V13+W13*(N5-N4)</f>
        <v>4530.4588719494841</v>
      </c>
      <c r="W14" s="38">
        <f t="shared" si="8"/>
        <v>3113308.0525667216</v>
      </c>
      <c r="X14" s="6">
        <f t="shared" si="9"/>
        <v>2064279.9500714131</v>
      </c>
    </row>
    <row r="15" spans="2:24" x14ac:dyDescent="0.25">
      <c r="B15" s="2" t="s">
        <v>135</v>
      </c>
      <c r="C15" s="11">
        <f>'Drogue  Main'!K11</f>
        <v>28.274333882308138</v>
      </c>
      <c r="F15" s="40">
        <v>1.0999999999999999E-2</v>
      </c>
      <c r="G15" s="6">
        <f t="shared" si="4"/>
        <v>-1.1933199710828435</v>
      </c>
      <c r="H15" s="6">
        <f t="shared" si="5"/>
        <v>-99.055093178840139</v>
      </c>
      <c r="I15" s="38">
        <f t="shared" si="0"/>
        <v>1374.1455266180728</v>
      </c>
      <c r="J15" s="6">
        <f t="shared" si="1"/>
        <v>708.41042676583879</v>
      </c>
      <c r="L15" s="40">
        <v>1.0999999999999999E-2</v>
      </c>
      <c r="M15" s="6">
        <f t="shared" si="6"/>
        <v>-1.2143430455781843</v>
      </c>
      <c r="N15" s="6">
        <f t="shared" si="7"/>
        <v>-100.08516047462986</v>
      </c>
      <c r="O15" s="38">
        <f t="shared" si="2"/>
        <v>1487.2330965400413</v>
      </c>
      <c r="P15" s="6">
        <f t="shared" si="3"/>
        <v>1007.4502053145925</v>
      </c>
      <c r="Q15" s="24"/>
      <c r="R15" s="25"/>
      <c r="T15" s="12">
        <v>0.02</v>
      </c>
      <c r="U15" s="6">
        <f t="shared" si="10"/>
        <v>44.103364538824053</v>
      </c>
      <c r="V15" s="6">
        <f t="shared" si="11"/>
        <v>6475974.6705844169</v>
      </c>
      <c r="W15" s="38">
        <f t="shared" si="8"/>
        <v>6361396787283.4805</v>
      </c>
      <c r="X15" s="6">
        <f t="shared" si="9"/>
        <v>4217882652459.3096</v>
      </c>
    </row>
    <row r="16" spans="2:24" x14ac:dyDescent="0.25">
      <c r="B16" s="2" t="s">
        <v>136</v>
      </c>
      <c r="C16" s="11">
        <f>'Drogue  Main'!K5</f>
        <v>38.484510006474963</v>
      </c>
      <c r="D16" s="8"/>
      <c r="F16" s="40">
        <v>1.2E-2</v>
      </c>
      <c r="G16" s="6">
        <f t="shared" si="4"/>
        <v>-1.2923750642616838</v>
      </c>
      <c r="H16" s="6">
        <f t="shared" si="5"/>
        <v>-97.680947652222059</v>
      </c>
      <c r="I16" s="38">
        <f t="shared" si="0"/>
        <v>1335.3970110069049</v>
      </c>
      <c r="J16" s="6">
        <f t="shared" si="1"/>
        <v>688.4344839352367</v>
      </c>
      <c r="L16" s="40">
        <v>1.2E-2</v>
      </c>
      <c r="M16" s="6">
        <f t="shared" si="6"/>
        <v>-1.3144282060528143</v>
      </c>
      <c r="N16" s="6">
        <f t="shared" si="7"/>
        <v>-98.597927378089821</v>
      </c>
      <c r="O16" s="38">
        <f t="shared" si="2"/>
        <v>1442.4120343003533</v>
      </c>
      <c r="P16" s="6">
        <f t="shared" si="3"/>
        <v>977.73189230784294</v>
      </c>
      <c r="Q16" s="24"/>
      <c r="R16" s="25"/>
      <c r="T16" s="12">
        <v>0.03</v>
      </c>
      <c r="U16" s="6">
        <f t="shared" si="10"/>
        <v>64803.850070382985</v>
      </c>
      <c r="V16" s="6">
        <f t="shared" si="11"/>
        <v>12754007580544.535</v>
      </c>
      <c r="W16" s="38">
        <f t="shared" si="8"/>
        <v>2.4673771808224736E+25</v>
      </c>
      <c r="X16" s="6">
        <f t="shared" si="9"/>
        <v>1.6359783481540314E+25</v>
      </c>
    </row>
    <row r="17" spans="2:24" x14ac:dyDescent="0.25">
      <c r="B17" s="2" t="s">
        <v>137</v>
      </c>
      <c r="C17" s="12">
        <f>Steamer!E3</f>
        <v>8.1250000000000003E-2</v>
      </c>
      <c r="F17" s="40">
        <v>1.2999999999999999E-2</v>
      </c>
      <c r="G17" s="6">
        <f t="shared" si="4"/>
        <v>-1.3900560119139058</v>
      </c>
      <c r="H17" s="6">
        <f t="shared" si="5"/>
        <v>-96.345550641215155</v>
      </c>
      <c r="I17" s="38">
        <f t="shared" si="0"/>
        <v>1298.2597508501319</v>
      </c>
      <c r="J17" s="6">
        <f t="shared" si="1"/>
        <v>669.28918832646548</v>
      </c>
      <c r="L17" s="40">
        <v>1.2999999999999999E-2</v>
      </c>
      <c r="M17" s="6">
        <f t="shared" si="6"/>
        <v>-1.413026133430904</v>
      </c>
      <c r="N17" s="6">
        <f t="shared" si="7"/>
        <v>-97.155515343789475</v>
      </c>
      <c r="O17" s="38">
        <f t="shared" si="2"/>
        <v>1399.5827370762402</v>
      </c>
      <c r="P17" s="6">
        <f t="shared" si="3"/>
        <v>949.33420610489839</v>
      </c>
      <c r="Q17" s="24"/>
      <c r="R17" s="25"/>
      <c r="T17" s="12">
        <v>0.04</v>
      </c>
      <c r="U17" s="6">
        <f t="shared" si="10"/>
        <v>127540140609.29544</v>
      </c>
      <c r="V17" s="6">
        <f t="shared" si="11"/>
        <v>4.7744480054856502E+25</v>
      </c>
      <c r="W17" s="38">
        <f t="shared" si="8"/>
        <v>3.4577097828236259E+50</v>
      </c>
      <c r="X17" s="6">
        <f t="shared" si="9"/>
        <v>2.292611921220013E+50</v>
      </c>
    </row>
    <row r="18" spans="2:24" x14ac:dyDescent="0.25">
      <c r="B18" s="2" t="s">
        <v>38</v>
      </c>
      <c r="C18" s="12">
        <v>1.5</v>
      </c>
      <c r="F18" s="40">
        <v>1.4E-2</v>
      </c>
      <c r="G18" s="6">
        <f t="shared" si="4"/>
        <v>-1.486401562555121</v>
      </c>
      <c r="H18" s="6">
        <f t="shared" si="5"/>
        <v>-95.047290890365019</v>
      </c>
      <c r="I18" s="38">
        <f t="shared" si="0"/>
        <v>1262.6453454632665</v>
      </c>
      <c r="J18" s="6">
        <f t="shared" si="1"/>
        <v>650.92896691584542</v>
      </c>
      <c r="L18" s="40">
        <v>1.4E-2</v>
      </c>
      <c r="M18" s="6">
        <f t="shared" si="6"/>
        <v>-1.5101816487746935</v>
      </c>
      <c r="N18" s="6">
        <f t="shared" si="7"/>
        <v>-95.75593260671323</v>
      </c>
      <c r="O18" s="38">
        <f t="shared" si="2"/>
        <v>1358.6285056383385</v>
      </c>
      <c r="P18" s="6">
        <f t="shared" si="3"/>
        <v>922.17977004281136</v>
      </c>
      <c r="Q18" s="24"/>
      <c r="R18" s="25"/>
      <c r="T18" s="12">
        <v>0.05</v>
      </c>
      <c r="U18" s="6">
        <f t="shared" si="10"/>
        <v>4.7744480054869264E+23</v>
      </c>
      <c r="V18" s="6">
        <f t="shared" si="11"/>
        <v>6.4615789966498363E+50</v>
      </c>
      <c r="W18" s="38">
        <f t="shared" si="8"/>
        <v>6.3331462724074605E+100</v>
      </c>
      <c r="X18" s="6">
        <f t="shared" si="9"/>
        <v>4.1991513327919036E+100</v>
      </c>
    </row>
    <row r="19" spans="2:24" x14ac:dyDescent="0.25">
      <c r="B19" s="41" t="s">
        <v>9</v>
      </c>
      <c r="C19" s="12">
        <v>2.2000000000000002</v>
      </c>
      <c r="F19" s="40">
        <v>1.4999999999999999E-2</v>
      </c>
      <c r="G19" s="6">
        <f t="shared" si="4"/>
        <v>-1.581448853445486</v>
      </c>
      <c r="H19" s="6">
        <f t="shared" si="5"/>
        <v>-93.78464554490175</v>
      </c>
      <c r="I19" s="38">
        <f t="shared" si="0"/>
        <v>1228.471390457878</v>
      </c>
      <c r="J19" s="6">
        <f t="shared" si="1"/>
        <v>633.31133793791219</v>
      </c>
      <c r="L19" s="40">
        <v>1.4999999999999999E-2</v>
      </c>
      <c r="M19" s="6">
        <f t="shared" si="6"/>
        <v>-1.6059375813814067</v>
      </c>
      <c r="N19" s="6">
        <f t="shared" si="7"/>
        <v>-94.397304101074894</v>
      </c>
      <c r="O19" s="38">
        <f t="shared" si="2"/>
        <v>1319.4410878652209</v>
      </c>
      <c r="P19" s="6">
        <f t="shared" si="3"/>
        <v>896.1968082584616</v>
      </c>
      <c r="Q19" s="24"/>
      <c r="R19" s="25"/>
      <c r="T19" s="12">
        <v>0.06</v>
      </c>
      <c r="U19" s="6">
        <f t="shared" si="10"/>
        <v>6.4615789966498335E+48</v>
      </c>
      <c r="V19" s="6">
        <f t="shared" si="11"/>
        <v>1.1436457518556485E+101</v>
      </c>
      <c r="W19" s="38">
        <f t="shared" si="8"/>
        <v>1.98392497451731E+201</v>
      </c>
      <c r="X19" s="6">
        <f t="shared" si="9"/>
        <v>1.3154285157125644E+201</v>
      </c>
    </row>
    <row r="20" spans="2:24" x14ac:dyDescent="0.25">
      <c r="B20" s="2" t="s">
        <v>138</v>
      </c>
      <c r="C20" s="21">
        <f>'Drogue  Main'!C4</f>
        <v>16.600000000000001</v>
      </c>
      <c r="F20" s="40">
        <v>1.6E-2</v>
      </c>
      <c r="G20" s="6">
        <f t="shared" si="4"/>
        <v>-1.6752334989903879</v>
      </c>
      <c r="H20" s="6">
        <f t="shared" si="5"/>
        <v>-92.556174154443866</v>
      </c>
      <c r="I20" s="38">
        <f t="shared" si="0"/>
        <v>1195.6609951612929</v>
      </c>
      <c r="J20" s="6">
        <f t="shared" si="1"/>
        <v>616.3966621017845</v>
      </c>
      <c r="L20" s="40">
        <v>1.6E-2</v>
      </c>
      <c r="M20" s="6">
        <f t="shared" si="6"/>
        <v>-1.7003348854824818</v>
      </c>
      <c r="N20" s="6">
        <f t="shared" si="7"/>
        <v>-93.077863013209679</v>
      </c>
      <c r="O20" s="38">
        <f t="shared" si="2"/>
        <v>1281.9199538469145</v>
      </c>
      <c r="P20" s="6">
        <f t="shared" si="3"/>
        <v>871.31866505067148</v>
      </c>
      <c r="Q20" s="24"/>
      <c r="R20" s="25"/>
      <c r="T20" s="12">
        <v>7.0000000000000007E-2</v>
      </c>
      <c r="U20" s="6">
        <f t="shared" si="10"/>
        <v>1.1436457518556495E+99</v>
      </c>
      <c r="V20" s="6">
        <f t="shared" si="11"/>
        <v>3.4639336001202694E+201</v>
      </c>
      <c r="W20" s="38" t="e">
        <f t="shared" si="8"/>
        <v>#NUM!</v>
      </c>
      <c r="X20" s="6" t="e">
        <f t="shared" si="9"/>
        <v>#NUM!</v>
      </c>
    </row>
    <row r="21" spans="2:24" x14ac:dyDescent="0.25">
      <c r="B21" s="2" t="s">
        <v>139</v>
      </c>
      <c r="C21" s="21">
        <f>'Drogue  Main'!C3</f>
        <v>21.35</v>
      </c>
      <c r="F21" s="40">
        <v>1.7000000000000001E-2</v>
      </c>
      <c r="G21" s="6">
        <f t="shared" si="4"/>
        <v>-1.7677896731448319</v>
      </c>
      <c r="H21" s="6">
        <f t="shared" si="5"/>
        <v>-91.360513159282576</v>
      </c>
      <c r="I21" s="38">
        <f t="shared" si="0"/>
        <v>1164.1423448280191</v>
      </c>
      <c r="J21" s="6">
        <f t="shared" si="1"/>
        <v>600.14791689891661</v>
      </c>
      <c r="L21" s="40">
        <v>1.7000000000000001E-2</v>
      </c>
      <c r="M21" s="6">
        <f t="shared" si="6"/>
        <v>-1.7934127484956917</v>
      </c>
      <c r="N21" s="6">
        <f t="shared" si="7"/>
        <v>-91.79594305936277</v>
      </c>
      <c r="O21" s="38">
        <f t="shared" si="2"/>
        <v>1245.9716426774855</v>
      </c>
      <c r="P21" s="6">
        <f t="shared" si="3"/>
        <v>847.48337177528936</v>
      </c>
      <c r="Q21" s="24"/>
      <c r="R21" s="25"/>
      <c r="T21" s="12">
        <v>0.08</v>
      </c>
      <c r="U21" s="6">
        <f t="shared" si="10"/>
        <v>3.4639336001202677E+199</v>
      </c>
      <c r="V21" s="6" t="e">
        <f t="shared" si="11"/>
        <v>#NUM!</v>
      </c>
      <c r="W21" s="38" t="e">
        <f t="shared" si="8"/>
        <v>#NUM!</v>
      </c>
      <c r="X21" s="6" t="e">
        <f t="shared" si="9"/>
        <v>#NUM!</v>
      </c>
    </row>
    <row r="22" spans="2:24" x14ac:dyDescent="0.25">
      <c r="B22" s="2" t="s">
        <v>140</v>
      </c>
      <c r="C22" s="6">
        <f>Steamer!E8</f>
        <v>122.21455142983825</v>
      </c>
      <c r="F22" s="40">
        <v>1.7999999999999999E-2</v>
      </c>
      <c r="G22" s="6">
        <f t="shared" si="4"/>
        <v>-1.8591501863041142</v>
      </c>
      <c r="H22" s="6">
        <f t="shared" si="5"/>
        <v>-90.196370814454554</v>
      </c>
      <c r="I22" s="38">
        <f t="shared" si="0"/>
        <v>1133.8483029464621</v>
      </c>
      <c r="J22" s="6">
        <f t="shared" si="1"/>
        <v>584.53049158109536</v>
      </c>
      <c r="L22" s="40">
        <v>1.7999999999999999E-2</v>
      </c>
      <c r="M22" s="6">
        <f t="shared" si="6"/>
        <v>-1.8852086915550541</v>
      </c>
      <c r="N22" s="6">
        <f t="shared" si="7"/>
        <v>-90.549971416685281</v>
      </c>
      <c r="O22" s="38">
        <f t="shared" si="2"/>
        <v>1211.5091729339317</v>
      </c>
      <c r="P22" s="6">
        <f t="shared" si="3"/>
        <v>824.63325596706352</v>
      </c>
      <c r="Q22" s="24"/>
      <c r="R22" s="25"/>
      <c r="T22" s="12">
        <v>0.09</v>
      </c>
      <c r="U22" s="6" t="e">
        <f t="shared" si="10"/>
        <v>#NUM!</v>
      </c>
      <c r="V22" s="6" t="e">
        <f t="shared" si="11"/>
        <v>#NUM!</v>
      </c>
      <c r="W22" s="38" t="e">
        <f t="shared" si="8"/>
        <v>#NUM!</v>
      </c>
      <c r="X22" s="6" t="e">
        <f t="shared" si="9"/>
        <v>#NUM!</v>
      </c>
    </row>
    <row r="23" spans="2:24" x14ac:dyDescent="0.25">
      <c r="B23" s="2" t="s">
        <v>141</v>
      </c>
      <c r="C23" s="6">
        <f>'Drogue  Main'!G6</f>
        <v>120.1224180670792</v>
      </c>
      <c r="D23" s="43"/>
      <c r="F23" s="40">
        <v>1.9E-2</v>
      </c>
      <c r="G23" s="6">
        <f t="shared" si="4"/>
        <v>-1.9493465571185689</v>
      </c>
      <c r="H23" s="6">
        <f t="shared" si="5"/>
        <v>-89.062522511508092</v>
      </c>
      <c r="I23" s="38">
        <f t="shared" si="0"/>
        <v>1104.7160494920613</v>
      </c>
      <c r="J23" s="6">
        <f t="shared" si="1"/>
        <v>569.5120006698204</v>
      </c>
      <c r="L23" s="40">
        <v>1.9E-2</v>
      </c>
      <c r="M23" s="6">
        <f t="shared" si="6"/>
        <v>-1.9757586629717394</v>
      </c>
      <c r="N23" s="6">
        <f t="shared" si="7"/>
        <v>-89.338462243751351</v>
      </c>
      <c r="O23" s="38">
        <f t="shared" si="2"/>
        <v>1178.4515098312233</v>
      </c>
      <c r="P23" s="6">
        <f t="shared" si="3"/>
        <v>802.71458804026759</v>
      </c>
      <c r="Q23" s="24"/>
      <c r="R23" s="25"/>
      <c r="T23" s="12">
        <v>0.1</v>
      </c>
      <c r="U23" s="6" t="e">
        <f t="shared" si="10"/>
        <v>#NUM!</v>
      </c>
      <c r="V23" s="6" t="e">
        <f t="shared" si="11"/>
        <v>#NUM!</v>
      </c>
      <c r="W23" s="38" t="e">
        <f t="shared" si="8"/>
        <v>#NUM!</v>
      </c>
      <c r="X23" s="6" t="e">
        <f t="shared" si="9"/>
        <v>#NUM!</v>
      </c>
    </row>
    <row r="24" spans="2:24" x14ac:dyDescent="0.25">
      <c r="B24" s="2" t="s">
        <v>142</v>
      </c>
      <c r="C24" s="6">
        <f>'Drogue  Main'!K12</f>
        <v>14.988519202378038</v>
      </c>
      <c r="D24" s="43"/>
      <c r="F24" s="40">
        <v>0.02</v>
      </c>
      <c r="G24" s="6">
        <f t="shared" si="4"/>
        <v>-2.0384090796300769</v>
      </c>
      <c r="H24" s="6">
        <f t="shared" si="5"/>
        <v>-87.957806462016023</v>
      </c>
      <c r="I24" s="38">
        <f t="shared" si="0"/>
        <v>1076.6867514553874</v>
      </c>
      <c r="J24" s="6">
        <f t="shared" si="1"/>
        <v>555.06211410433013</v>
      </c>
      <c r="L24" s="40">
        <v>0.02</v>
      </c>
      <c r="M24" s="6">
        <f t="shared" si="6"/>
        <v>-2.065097125215491</v>
      </c>
      <c r="N24" s="6">
        <f t="shared" si="7"/>
        <v>-88.160010733920132</v>
      </c>
      <c r="O24" s="38">
        <f t="shared" si="2"/>
        <v>1146.7230829008608</v>
      </c>
      <c r="P24" s="6">
        <f t="shared" si="3"/>
        <v>781.67726148861436</v>
      </c>
      <c r="Q24" s="24"/>
      <c r="R24" s="25"/>
      <c r="T24" s="12">
        <v>0.11</v>
      </c>
      <c r="U24" s="6" t="e">
        <f t="shared" si="10"/>
        <v>#NUM!</v>
      </c>
      <c r="V24" s="6" t="e">
        <f t="shared" si="11"/>
        <v>#NUM!</v>
      </c>
      <c r="W24" s="38" t="e">
        <f t="shared" si="8"/>
        <v>#NUM!</v>
      </c>
      <c r="X24" s="6" t="e">
        <f t="shared" si="9"/>
        <v>#NUM!</v>
      </c>
    </row>
    <row r="25" spans="2:24" x14ac:dyDescent="0.25">
      <c r="B25" s="2" t="s">
        <v>143</v>
      </c>
      <c r="C25" s="6">
        <f>'Drogue  Main'!K6</f>
        <v>14.569908845381883</v>
      </c>
      <c r="F25" s="40">
        <v>2.1000000000000001E-2</v>
      </c>
      <c r="G25" s="6">
        <f t="shared" si="4"/>
        <v>-2.126366886092093</v>
      </c>
      <c r="H25" s="6">
        <f t="shared" si="5"/>
        <v>-86.88111971056064</v>
      </c>
      <c r="I25" s="38">
        <f t="shared" si="0"/>
        <v>1049.7052623908653</v>
      </c>
      <c r="J25" s="6">
        <f t="shared" si="1"/>
        <v>541.15240235057024</v>
      </c>
      <c r="L25" s="40">
        <v>2.1000000000000001E-2</v>
      </c>
      <c r="M25" s="6">
        <f t="shared" si="6"/>
        <v>-2.1532571359494113</v>
      </c>
      <c r="N25" s="6">
        <f t="shared" si="7"/>
        <v>-87.013287651019269</v>
      </c>
      <c r="O25" s="38">
        <f t="shared" si="2"/>
        <v>1116.253348782679</v>
      </c>
      <c r="P25" s="6">
        <f t="shared" si="3"/>
        <v>761.47450299721106</v>
      </c>
      <c r="Q25" s="24"/>
      <c r="R25" s="25"/>
      <c r="T25" s="12">
        <v>0.12</v>
      </c>
      <c r="U25" s="6" t="e">
        <f t="shared" si="10"/>
        <v>#NUM!</v>
      </c>
      <c r="V25" s="6" t="e">
        <f t="shared" si="11"/>
        <v>#NUM!</v>
      </c>
      <c r="W25" s="38" t="e">
        <f t="shared" si="8"/>
        <v>#NUM!</v>
      </c>
      <c r="X25" s="6" t="e">
        <f t="shared" si="9"/>
        <v>#NUM!</v>
      </c>
    </row>
    <row r="26" spans="2:24" x14ac:dyDescent="0.25">
      <c r="B26" s="2" t="s">
        <v>144</v>
      </c>
      <c r="C26" s="6">
        <f>SQRT(2*C20*32.2/(C12*C17*C13))</f>
        <v>117.30042044897489</v>
      </c>
      <c r="F26" s="40">
        <v>2.1999999999999999E-2</v>
      </c>
      <c r="G26" s="6">
        <f t="shared" si="4"/>
        <v>-2.2132480058026536</v>
      </c>
      <c r="H26" s="6">
        <f t="shared" si="5"/>
        <v>-85.831414448169781</v>
      </c>
      <c r="I26" s="38">
        <f t="shared" si="0"/>
        <v>1023.719848096797</v>
      </c>
      <c r="J26" s="6">
        <f t="shared" si="1"/>
        <v>527.75619498157857</v>
      </c>
      <c r="L26" s="40">
        <v>2.1999999999999999E-2</v>
      </c>
      <c r="M26" s="6">
        <f t="shared" si="6"/>
        <v>-2.2402704236004305</v>
      </c>
      <c r="N26" s="6">
        <f t="shared" si="7"/>
        <v>-85.897034302236591</v>
      </c>
      <c r="O26" s="38">
        <f t="shared" si="2"/>
        <v>1086.9763943636774</v>
      </c>
      <c r="P26" s="6">
        <f t="shared" si="3"/>
        <v>742.06260930635119</v>
      </c>
      <c r="Q26" s="24"/>
      <c r="R26" s="25"/>
      <c r="T26" s="12">
        <v>0.13</v>
      </c>
      <c r="U26" s="6" t="e">
        <f t="shared" si="10"/>
        <v>#NUM!</v>
      </c>
      <c r="V26" s="6" t="e">
        <f t="shared" si="11"/>
        <v>#NUM!</v>
      </c>
      <c r="W26" s="38" t="e">
        <f t="shared" si="8"/>
        <v>#NUM!</v>
      </c>
      <c r="X26" s="6" t="e">
        <f t="shared" si="9"/>
        <v>#NUM!</v>
      </c>
    </row>
    <row r="27" spans="2:24" x14ac:dyDescent="0.25">
      <c r="B27" s="2" t="s">
        <v>145</v>
      </c>
      <c r="C27" s="6">
        <f>0.5*C12*C19*C15*C26^2/C20-32.2</f>
        <v>1939.9391381885132</v>
      </c>
      <c r="F27" s="40">
        <v>2.3E-2</v>
      </c>
      <c r="G27" s="6">
        <f t="shared" si="4"/>
        <v>-2.2990794202508233</v>
      </c>
      <c r="H27" s="6">
        <f t="shared" si="5"/>
        <v>-84.807694600072978</v>
      </c>
      <c r="I27" s="38">
        <f t="shared" si="0"/>
        <v>998.6819358574262</v>
      </c>
      <c r="J27" s="6">
        <f t="shared" si="1"/>
        <v>514.84845140476011</v>
      </c>
      <c r="L27" s="40">
        <v>2.3E-2</v>
      </c>
      <c r="M27" s="6">
        <f t="shared" si="6"/>
        <v>-2.3261674579026672</v>
      </c>
      <c r="N27" s="6">
        <f t="shared" si="7"/>
        <v>-84.810057907872917</v>
      </c>
      <c r="O27" s="38">
        <f t="shared" si="2"/>
        <v>1058.8305760575272</v>
      </c>
      <c r="P27" s="6">
        <f t="shared" si="3"/>
        <v>723.40070803814308</v>
      </c>
      <c r="Q27" s="24"/>
      <c r="R27" s="25"/>
      <c r="T27" s="12">
        <v>0.14000000000000001</v>
      </c>
      <c r="U27" s="6" t="e">
        <f t="shared" si="10"/>
        <v>#NUM!</v>
      </c>
      <c r="V27" s="6" t="e">
        <f t="shared" si="11"/>
        <v>#NUM!</v>
      </c>
      <c r="W27" s="38" t="e">
        <f t="shared" si="8"/>
        <v>#NUM!</v>
      </c>
      <c r="X27" s="6" t="e">
        <f t="shared" si="9"/>
        <v>#NUM!</v>
      </c>
    </row>
    <row r="28" spans="2:24" x14ac:dyDescent="0.25">
      <c r="B28" s="2" t="s">
        <v>146</v>
      </c>
      <c r="C28" s="11">
        <f>SQRT(2*C21*32.2/(C12*C18*C14))</f>
        <v>120.12241806707918</v>
      </c>
      <c r="F28" s="40">
        <v>2.4E-2</v>
      </c>
      <c r="G28" s="6">
        <f t="shared" si="4"/>
        <v>-2.3838871148508964</v>
      </c>
      <c r="H28" s="6">
        <f t="shared" si="5"/>
        <v>-83.809012664215544</v>
      </c>
      <c r="I28" s="38">
        <f t="shared" si="0"/>
        <v>974.54588495888379</v>
      </c>
      <c r="J28" s="6">
        <f t="shared" si="1"/>
        <v>502.40564255644318</v>
      </c>
      <c r="L28" s="40">
        <v>2.4E-2</v>
      </c>
      <c r="M28" s="6">
        <f t="shared" si="6"/>
        <v>-2.41097751581054</v>
      </c>
      <c r="N28" s="6">
        <f t="shared" si="7"/>
        <v>-83.751227331815386</v>
      </c>
      <c r="O28" s="38">
        <f t="shared" si="2"/>
        <v>1031.7581915060603</v>
      </c>
      <c r="P28" s="6">
        <f t="shared" si="3"/>
        <v>705.45054002032259</v>
      </c>
      <c r="Q28" s="24"/>
      <c r="R28" s="25"/>
      <c r="T28" s="12">
        <v>0.15</v>
      </c>
      <c r="U28" s="6" t="e">
        <f t="shared" si="10"/>
        <v>#NUM!</v>
      </c>
      <c r="V28" s="6" t="e">
        <f t="shared" si="11"/>
        <v>#NUM!</v>
      </c>
      <c r="W28" s="38" t="e">
        <f t="shared" si="8"/>
        <v>#NUM!</v>
      </c>
      <c r="X28" s="6" t="e">
        <f t="shared" si="9"/>
        <v>#NUM!</v>
      </c>
    </row>
    <row r="29" spans="2:24" x14ac:dyDescent="0.25">
      <c r="B29" s="2" t="s">
        <v>147</v>
      </c>
      <c r="C29" s="11">
        <f>0.5*C12*C19*C16*C28^2/C21-32.2</f>
        <v>2156.520644467972</v>
      </c>
      <c r="F29" s="40">
        <v>2.5000000000000001E-2</v>
      </c>
      <c r="G29" s="6">
        <f t="shared" si="4"/>
        <v>-2.4676961275151119</v>
      </c>
      <c r="H29" s="6">
        <f t="shared" si="5"/>
        <v>-82.834466779256658</v>
      </c>
      <c r="I29" s="38">
        <f t="shared" si="0"/>
        <v>951.26877643813748</v>
      </c>
      <c r="J29" s="6">
        <f t="shared" si="1"/>
        <v>490.40564251158639</v>
      </c>
      <c r="L29" s="40">
        <v>2.5000000000000001E-2</v>
      </c>
      <c r="M29" s="6">
        <f t="shared" si="6"/>
        <v>-2.4947287431423555</v>
      </c>
      <c r="N29" s="6">
        <f t="shared" si="7"/>
        <v>-82.719469140309329</v>
      </c>
      <c r="O29" s="38">
        <f t="shared" si="2"/>
        <v>1005.7051804095968</v>
      </c>
      <c r="P29" s="6">
        <f t="shared" si="3"/>
        <v>688.17626092375428</v>
      </c>
      <c r="Q29" s="24"/>
      <c r="R29" s="25"/>
      <c r="T29" s="12">
        <v>0.16</v>
      </c>
      <c r="U29" s="6" t="e">
        <f t="shared" si="10"/>
        <v>#NUM!</v>
      </c>
      <c r="V29" s="6" t="e">
        <f t="shared" si="11"/>
        <v>#NUM!</v>
      </c>
      <c r="W29" s="38" t="e">
        <f t="shared" si="8"/>
        <v>#NUM!</v>
      </c>
      <c r="X29" s="6" t="e">
        <f t="shared" si="9"/>
        <v>#NUM!</v>
      </c>
    </row>
    <row r="30" spans="2:24" x14ac:dyDescent="0.25">
      <c r="F30" s="40">
        <v>2.5999999999999999E-2</v>
      </c>
      <c r="G30" s="6">
        <f t="shared" si="4"/>
        <v>-2.5505305942943686</v>
      </c>
      <c r="H30" s="6">
        <f t="shared" si="5"/>
        <v>-81.883198002818517</v>
      </c>
      <c r="I30" s="38">
        <f t="shared" si="0"/>
        <v>928.81022024200217</v>
      </c>
      <c r="J30" s="6">
        <f t="shared" si="1"/>
        <v>478.82762906885824</v>
      </c>
      <c r="L30" s="40">
        <v>2.5999999999999999E-2</v>
      </c>
      <c r="M30" s="6">
        <f t="shared" si="6"/>
        <v>-2.5774482122826647</v>
      </c>
      <c r="N30" s="6">
        <f t="shared" si="7"/>
        <v>-81.713763959899737</v>
      </c>
      <c r="O30" s="38">
        <f t="shared" si="2"/>
        <v>980.62085156504304</v>
      </c>
      <c r="P30" s="6">
        <f t="shared" si="3"/>
        <v>671.544260276822</v>
      </c>
      <c r="Q30" s="24"/>
      <c r="R30" s="25"/>
      <c r="T30" s="12">
        <v>0.17</v>
      </c>
      <c r="U30" s="6" t="e">
        <f t="shared" si="10"/>
        <v>#NUM!</v>
      </c>
      <c r="V30" s="6" t="e">
        <f t="shared" si="11"/>
        <v>#NUM!</v>
      </c>
      <c r="W30" s="38" t="e">
        <f t="shared" si="8"/>
        <v>#NUM!</v>
      </c>
      <c r="X30" s="6" t="e">
        <f t="shared" si="9"/>
        <v>#NUM!</v>
      </c>
    </row>
    <row r="31" spans="2:24" x14ac:dyDescent="0.25">
      <c r="F31" s="40">
        <v>2.7E-2</v>
      </c>
      <c r="G31" s="6">
        <f t="shared" si="4"/>
        <v>-2.6324137922971871</v>
      </c>
      <c r="H31" s="6">
        <f t="shared" si="5"/>
        <v>-80.954387782576518</v>
      </c>
      <c r="I31" s="38">
        <f t="shared" si="0"/>
        <v>907.13217816560052</v>
      </c>
      <c r="J31" s="6">
        <f t="shared" si="1"/>
        <v>467.65199247046485</v>
      </c>
      <c r="L31" s="40">
        <v>2.7E-2</v>
      </c>
      <c r="M31" s="6">
        <f t="shared" si="6"/>
        <v>-2.6591619762425647</v>
      </c>
      <c r="N31" s="6">
        <f t="shared" si="7"/>
        <v>-80.733143108334687</v>
      </c>
      <c r="O31" s="38">
        <f t="shared" si="2"/>
        <v>956.45763351657899</v>
      </c>
      <c r="P31" s="6">
        <f t="shared" si="3"/>
        <v>655.52299613599257</v>
      </c>
      <c r="Q31" s="24"/>
      <c r="R31" s="25"/>
      <c r="T31" s="12">
        <v>0.18</v>
      </c>
      <c r="U31" s="6" t="e">
        <f t="shared" si="10"/>
        <v>#NUM!</v>
      </c>
      <c r="V31" s="6" t="e">
        <f t="shared" si="11"/>
        <v>#NUM!</v>
      </c>
      <c r="W31" s="38" t="e">
        <f t="shared" si="8"/>
        <v>#NUM!</v>
      </c>
      <c r="X31" s="6" t="e">
        <f t="shared" si="9"/>
        <v>#NUM!</v>
      </c>
    </row>
    <row r="32" spans="2:24" x14ac:dyDescent="0.25">
      <c r="F32" s="40">
        <v>2.8000000000000001E-2</v>
      </c>
      <c r="G32" s="6">
        <f t="shared" si="4"/>
        <v>-2.7133681800797635</v>
      </c>
      <c r="H32" s="6">
        <f t="shared" si="5"/>
        <v>-80.047255604410921</v>
      </c>
      <c r="I32" s="38">
        <f t="shared" si="0"/>
        <v>886.19880110969348</v>
      </c>
      <c r="J32" s="6">
        <f t="shared" si="1"/>
        <v>456.86025150375502</v>
      </c>
      <c r="L32" s="40">
        <v>2.8000000000000001E-2</v>
      </c>
      <c r="M32" s="6">
        <f t="shared" si="6"/>
        <v>-2.7398951193508996</v>
      </c>
      <c r="N32" s="6">
        <f t="shared" si="7"/>
        <v>-79.776685474818109</v>
      </c>
      <c r="O32" s="38">
        <f t="shared" si="2"/>
        <v>933.17084650967774</v>
      </c>
      <c r="P32" s="6">
        <f t="shared" si="3"/>
        <v>640.08284388141681</v>
      </c>
      <c r="Q32" s="24"/>
      <c r="R32" s="25"/>
      <c r="T32" s="12">
        <v>0.19</v>
      </c>
      <c r="U32" s="6" t="e">
        <f t="shared" si="10"/>
        <v>#NUM!</v>
      </c>
      <c r="V32" s="6" t="e">
        <f t="shared" si="11"/>
        <v>#NUM!</v>
      </c>
      <c r="W32" s="38" t="e">
        <f t="shared" si="8"/>
        <v>#NUM!</v>
      </c>
      <c r="X32" s="6" t="e">
        <f t="shared" si="9"/>
        <v>#NUM!</v>
      </c>
    </row>
    <row r="33" spans="6:24" x14ac:dyDescent="0.25">
      <c r="F33" s="40">
        <v>2.9000000000000001E-2</v>
      </c>
      <c r="G33" s="6">
        <f t="shared" si="4"/>
        <v>-2.7934154356841745</v>
      </c>
      <c r="H33" s="6">
        <f t="shared" si="5"/>
        <v>-79.161056803301221</v>
      </c>
      <c r="I33" s="38">
        <f t="shared" si="0"/>
        <v>865.97627934683999</v>
      </c>
      <c r="J33" s="6">
        <f t="shared" si="1"/>
        <v>446.43497630924048</v>
      </c>
      <c r="L33" s="40">
        <v>2.9000000000000001E-2</v>
      </c>
      <c r="M33" s="6">
        <f t="shared" si="6"/>
        <v>-2.8196718048257177</v>
      </c>
      <c r="N33" s="6">
        <f t="shared" si="7"/>
        <v>-78.843514628308426</v>
      </c>
      <c r="O33" s="38">
        <f t="shared" si="2"/>
        <v>910.7184936905295</v>
      </c>
      <c r="P33" s="6">
        <f t="shared" si="3"/>
        <v>625.19595777306847</v>
      </c>
      <c r="Q33" s="24"/>
      <c r="R33" s="25"/>
      <c r="T33" s="12">
        <v>0.2</v>
      </c>
      <c r="U33" s="6" t="e">
        <f t="shared" si="10"/>
        <v>#NUM!</v>
      </c>
      <c r="V33" s="6" t="e">
        <f t="shared" si="11"/>
        <v>#NUM!</v>
      </c>
      <c r="W33" s="38" t="e">
        <f t="shared" si="8"/>
        <v>#NUM!</v>
      </c>
      <c r="X33" s="6" t="e">
        <f t="shared" si="9"/>
        <v>#NUM!</v>
      </c>
    </row>
    <row r="34" spans="6:24" x14ac:dyDescent="0.25">
      <c r="F34" s="40">
        <v>0.03</v>
      </c>
      <c r="G34" s="6">
        <f t="shared" si="4"/>
        <v>-2.8725764924874757</v>
      </c>
      <c r="H34" s="6">
        <f t="shared" si="5"/>
        <v>-78.295080523954383</v>
      </c>
      <c r="I34" s="38">
        <f t="shared" si="0"/>
        <v>846.43270461980842</v>
      </c>
      <c r="J34" s="6">
        <f t="shared" si="1"/>
        <v>436.35971728847267</v>
      </c>
      <c r="L34" s="40">
        <v>0.03</v>
      </c>
      <c r="M34" s="6">
        <f t="shared" si="6"/>
        <v>-2.8985153194540261</v>
      </c>
      <c r="N34" s="6">
        <f t="shared" si="7"/>
        <v>-77.932796134617902</v>
      </c>
      <c r="O34" s="38">
        <f t="shared" si="2"/>
        <v>889.06106971419729</v>
      </c>
      <c r="P34" s="6">
        <f t="shared" si="3"/>
        <v>610.83614404963089</v>
      </c>
      <c r="Q34" s="24"/>
      <c r="R34" s="25"/>
      <c r="T34" s="12">
        <v>0.21</v>
      </c>
      <c r="U34" s="6" t="e">
        <f t="shared" si="10"/>
        <v>#NUM!</v>
      </c>
      <c r="V34" s="6" t="e">
        <f t="shared" si="11"/>
        <v>#NUM!</v>
      </c>
      <c r="W34" s="38" t="e">
        <f t="shared" si="8"/>
        <v>#NUM!</v>
      </c>
      <c r="X34" s="6" t="e">
        <f t="shared" si="9"/>
        <v>#NUM!</v>
      </c>
    </row>
    <row r="35" spans="6:24" x14ac:dyDescent="0.25">
      <c r="F35" s="40">
        <v>3.1E-2</v>
      </c>
      <c r="G35" s="6">
        <f t="shared" si="4"/>
        <v>-2.9508715730114301</v>
      </c>
      <c r="H35" s="6">
        <f t="shared" si="5"/>
        <v>-77.448647819334568</v>
      </c>
      <c r="I35" s="38">
        <f t="shared" si="0"/>
        <v>827.53794301418736</v>
      </c>
      <c r="J35" s="6">
        <f t="shared" si="1"/>
        <v>426.61893956632019</v>
      </c>
      <c r="L35" s="40">
        <v>3.1E-2</v>
      </c>
      <c r="M35" s="6">
        <f t="shared" si="6"/>
        <v>-2.976448115588644</v>
      </c>
      <c r="N35" s="6">
        <f t="shared" si="7"/>
        <v>-77.0437350649037</v>
      </c>
      <c r="O35" s="38">
        <f t="shared" si="2"/>
        <v>868.16138511992926</v>
      </c>
      <c r="P35" s="6">
        <f t="shared" si="3"/>
        <v>596.97874448169227</v>
      </c>
      <c r="Q35" s="24"/>
      <c r="R35" s="25"/>
      <c r="T35" s="12">
        <v>0.22</v>
      </c>
      <c r="U35" s="6" t="e">
        <f t="shared" si="10"/>
        <v>#NUM!</v>
      </c>
      <c r="V35" s="6" t="e">
        <f t="shared" si="11"/>
        <v>#NUM!</v>
      </c>
      <c r="W35" s="38" t="e">
        <f t="shared" si="8"/>
        <v>#NUM!</v>
      </c>
      <c r="X35" s="6" t="e">
        <f t="shared" si="9"/>
        <v>#NUM!</v>
      </c>
    </row>
    <row r="36" spans="6:24" x14ac:dyDescent="0.25">
      <c r="F36" s="40">
        <v>3.2000000000000001E-2</v>
      </c>
      <c r="G36" s="6">
        <f t="shared" si="4"/>
        <v>-3.0283202208307647</v>
      </c>
      <c r="H36" s="6">
        <f t="shared" si="5"/>
        <v>-76.621109876320375</v>
      </c>
      <c r="I36" s="38">
        <f t="shared" si="0"/>
        <v>809.26351765252321</v>
      </c>
      <c r="J36" s="6">
        <f t="shared" si="1"/>
        <v>417.19796251651815</v>
      </c>
      <c r="L36" s="40">
        <v>3.2000000000000001E-2</v>
      </c>
      <c r="M36" s="6">
        <f t="shared" si="6"/>
        <v>-3.0534918506535478</v>
      </c>
      <c r="N36" s="6">
        <f t="shared" si="7"/>
        <v>-76.175573679783767</v>
      </c>
      <c r="O36" s="38">
        <f t="shared" si="2"/>
        <v>847.98440500439199</v>
      </c>
      <c r="P36" s="6">
        <f t="shared" si="3"/>
        <v>583.60052940508592</v>
      </c>
      <c r="Q36" s="24"/>
      <c r="R36" s="25"/>
      <c r="T36" s="12">
        <v>0.23</v>
      </c>
      <c r="U36" s="6" t="e">
        <f t="shared" si="10"/>
        <v>#NUM!</v>
      </c>
      <c r="V36" s="6" t="e">
        <f t="shared" si="11"/>
        <v>#NUM!</v>
      </c>
      <c r="W36" s="38" t="e">
        <f t="shared" si="8"/>
        <v>#NUM!</v>
      </c>
      <c r="X36" s="6" t="e">
        <f t="shared" si="9"/>
        <v>#NUM!</v>
      </c>
    </row>
    <row r="37" spans="6:24" x14ac:dyDescent="0.25">
      <c r="F37" s="40">
        <v>3.3000000000000002E-2</v>
      </c>
      <c r="G37" s="6">
        <f t="shared" si="4"/>
        <v>-3.104941330707085</v>
      </c>
      <c r="H37" s="6">
        <f t="shared" si="5"/>
        <v>-75.81184635866785</v>
      </c>
      <c r="I37" s="38">
        <f t="shared" si="0"/>
        <v>791.58250035115418</v>
      </c>
      <c r="J37" s="6">
        <f t="shared" si="1"/>
        <v>408.08290390773783</v>
      </c>
      <c r="L37" s="40">
        <v>3.3000000000000002E-2</v>
      </c>
      <c r="M37" s="6">
        <f t="shared" si="6"/>
        <v>-3.1296674243333316</v>
      </c>
      <c r="N37" s="6">
        <f t="shared" si="7"/>
        <v>-75.32758927477937</v>
      </c>
      <c r="O37" s="38">
        <f t="shared" si="2"/>
        <v>828.49710067600734</v>
      </c>
      <c r="P37" s="6">
        <f t="shared" si="3"/>
        <v>570.67959936126579</v>
      </c>
      <c r="Q37" s="24"/>
      <c r="R37" s="25"/>
      <c r="T37" s="12">
        <v>0.24</v>
      </c>
      <c r="U37" s="6" t="e">
        <f t="shared" si="10"/>
        <v>#NUM!</v>
      </c>
      <c r="V37" s="6" t="e">
        <f t="shared" si="11"/>
        <v>#NUM!</v>
      </c>
      <c r="W37" s="38" t="e">
        <f t="shared" si="8"/>
        <v>#NUM!</v>
      </c>
      <c r="X37" s="6" t="e">
        <f t="shared" si="9"/>
        <v>#NUM!</v>
      </c>
    </row>
    <row r="38" spans="6:24" x14ac:dyDescent="0.25">
      <c r="F38" s="40">
        <v>3.4000000000000002E-2</v>
      </c>
      <c r="G38" s="6">
        <f t="shared" si="4"/>
        <v>-3.1807531770657529</v>
      </c>
      <c r="H38" s="6">
        <f t="shared" si="5"/>
        <v>-75.020263858316696</v>
      </c>
      <c r="I38" s="38">
        <f t="shared" si="0"/>
        <v>774.46941146457209</v>
      </c>
      <c r="J38" s="6">
        <f t="shared" si="1"/>
        <v>399.2606282705558</v>
      </c>
      <c r="L38" s="40">
        <v>3.4000000000000002E-2</v>
      </c>
      <c r="M38" s="6">
        <f t="shared" si="6"/>
        <v>-3.2049950136081109</v>
      </c>
      <c r="N38" s="6">
        <f t="shared" si="7"/>
        <v>-74.499092174103367</v>
      </c>
      <c r="O38" s="38">
        <f t="shared" si="2"/>
        <v>809.66831310863063</v>
      </c>
      <c r="P38" s="6">
        <f t="shared" si="3"/>
        <v>558.19529456115731</v>
      </c>
      <c r="Q38" s="24"/>
      <c r="R38" s="25"/>
      <c r="T38" s="12">
        <v>0.25</v>
      </c>
      <c r="U38" s="6" t="e">
        <f t="shared" si="10"/>
        <v>#NUM!</v>
      </c>
      <c r="V38" s="6" t="e">
        <f t="shared" si="11"/>
        <v>#NUM!</v>
      </c>
      <c r="W38" s="38" t="e">
        <f t="shared" si="8"/>
        <v>#NUM!</v>
      </c>
      <c r="X38" s="6" t="e">
        <f t="shared" si="9"/>
        <v>#NUM!</v>
      </c>
    </row>
    <row r="39" spans="6:24" x14ac:dyDescent="0.25">
      <c r="F39" s="40">
        <v>3.5000000000000003E-2</v>
      </c>
      <c r="G39" s="6">
        <f t="shared" si="4"/>
        <v>-3.2557734409240697</v>
      </c>
      <c r="H39" s="6">
        <f t="shared" si="5"/>
        <v>-74.245794446852116</v>
      </c>
      <c r="I39" s="38">
        <f t="shared" si="0"/>
        <v>757.90012721685287</v>
      </c>
      <c r="J39" s="6">
        <f t="shared" si="1"/>
        <v>390.71869912421607</v>
      </c>
      <c r="L39" s="40">
        <v>3.5000000000000003E-2</v>
      </c>
      <c r="M39" s="6">
        <f t="shared" si="6"/>
        <v>-3.2794941057822142</v>
      </c>
      <c r="N39" s="6">
        <f t="shared" si="7"/>
        <v>-73.689423860994737</v>
      </c>
      <c r="O39" s="38">
        <f t="shared" si="2"/>
        <v>791.46862713261066</v>
      </c>
      <c r="P39" s="6">
        <f t="shared" si="3"/>
        <v>546.12811146836145</v>
      </c>
      <c r="Q39" s="24"/>
      <c r="R39" s="25"/>
      <c r="T39" s="12">
        <v>0.26</v>
      </c>
      <c r="U39" s="6" t="e">
        <f t="shared" si="10"/>
        <v>#NUM!</v>
      </c>
      <c r="V39" s="6" t="e">
        <f t="shared" si="11"/>
        <v>#NUM!</v>
      </c>
      <c r="W39" s="38" t="e">
        <f t="shared" si="8"/>
        <v>#NUM!</v>
      </c>
      <c r="X39" s="6" t="e">
        <f t="shared" si="9"/>
        <v>#NUM!</v>
      </c>
    </row>
    <row r="40" spans="6:24" x14ac:dyDescent="0.25">
      <c r="F40" s="40">
        <v>3.5999999999999997E-2</v>
      </c>
      <c r="G40" s="6">
        <f t="shared" si="4"/>
        <v>-3.3300192353709215</v>
      </c>
      <c r="H40" s="6">
        <f t="shared" si="5"/>
        <v>-73.487894319635274</v>
      </c>
      <c r="I40" s="38">
        <f t="shared" si="0"/>
        <v>741.8517938864677</v>
      </c>
      <c r="J40" s="6">
        <f t="shared" si="1"/>
        <v>382.44533473650199</v>
      </c>
      <c r="L40" s="40">
        <v>3.5999999999999997E-2</v>
      </c>
      <c r="M40" s="6">
        <f t="shared" si="6"/>
        <v>-3.3531835296432084</v>
      </c>
      <c r="N40" s="6">
        <f t="shared" si="7"/>
        <v>-72.897955233862135</v>
      </c>
      <c r="O40" s="38">
        <f t="shared" si="2"/>
        <v>773.87025540773675</v>
      </c>
      <c r="P40" s="6">
        <f t="shared" si="3"/>
        <v>534.45962586817325</v>
      </c>
      <c r="Q40" s="24"/>
      <c r="R40" s="25"/>
      <c r="T40" s="12">
        <v>0.27</v>
      </c>
      <c r="U40" s="6" t="e">
        <f t="shared" si="10"/>
        <v>#NUM!</v>
      </c>
      <c r="V40" s="6" t="e">
        <f t="shared" si="11"/>
        <v>#NUM!</v>
      </c>
      <c r="W40" s="38" t="e">
        <f t="shared" si="8"/>
        <v>#NUM!</v>
      </c>
      <c r="X40" s="6" t="e">
        <f t="shared" si="9"/>
        <v>#NUM!</v>
      </c>
    </row>
    <row r="41" spans="6:24" x14ac:dyDescent="0.25">
      <c r="F41" s="40">
        <v>3.6999999999999998E-2</v>
      </c>
      <c r="G41" s="6">
        <f t="shared" si="4"/>
        <v>-3.4035071296905568</v>
      </c>
      <c r="H41" s="6">
        <f t="shared" si="5"/>
        <v>-72.746042525748805</v>
      </c>
      <c r="I41" s="38">
        <f t="shared" si="0"/>
        <v>726.302748270557</v>
      </c>
      <c r="J41" s="6">
        <f t="shared" si="1"/>
        <v>374.42936712084617</v>
      </c>
      <c r="L41" s="40">
        <v>3.6999999999999998E-2</v>
      </c>
      <c r="M41" s="6">
        <f t="shared" si="6"/>
        <v>-3.4260814848770704</v>
      </c>
      <c r="N41" s="6">
        <f t="shared" si="7"/>
        <v>-72.124084978454391</v>
      </c>
      <c r="O41" s="38">
        <f t="shared" si="2"/>
        <v>756.84693131727636</v>
      </c>
      <c r="P41" s="6">
        <f t="shared" si="3"/>
        <v>523.17242185167231</v>
      </c>
      <c r="Q41" s="24"/>
      <c r="R41" s="25"/>
      <c r="T41" s="12">
        <v>0.28000000000000003</v>
      </c>
      <c r="U41" s="6" t="e">
        <f t="shared" si="10"/>
        <v>#NUM!</v>
      </c>
      <c r="V41" s="6" t="e">
        <f t="shared" si="11"/>
        <v>#NUM!</v>
      </c>
      <c r="W41" s="38" t="e">
        <f t="shared" si="8"/>
        <v>#NUM!</v>
      </c>
      <c r="X41" s="6" t="e">
        <f t="shared" si="9"/>
        <v>#NUM!</v>
      </c>
    </row>
    <row r="42" spans="6:24" x14ac:dyDescent="0.25">
      <c r="F42" s="40">
        <v>3.7999999999999999E-2</v>
      </c>
      <c r="G42" s="6">
        <f t="shared" si="4"/>
        <v>-3.4762531722163055</v>
      </c>
      <c r="H42" s="6">
        <f t="shared" si="5"/>
        <v>-72.01973977747825</v>
      </c>
      <c r="I42" s="38">
        <f t="shared" si="0"/>
        <v>711.23244390832861</v>
      </c>
      <c r="J42" s="6">
        <f t="shared" si="1"/>
        <v>366.66020400243025</v>
      </c>
      <c r="L42" s="40">
        <v>3.7999999999999999E-2</v>
      </c>
      <c r="M42" s="6">
        <f t="shared" si="6"/>
        <v>-3.498205569855525</v>
      </c>
      <c r="N42" s="6">
        <f t="shared" si="7"/>
        <v>-71.367238047137107</v>
      </c>
      <c r="O42" s="38">
        <f t="shared" si="2"/>
        <v>740.37381000670905</v>
      </c>
      <c r="P42" s="6">
        <f t="shared" si="3"/>
        <v>512.25002620010059</v>
      </c>
      <c r="Q42" s="24"/>
      <c r="R42" s="25"/>
      <c r="T42" s="12">
        <v>0.28999999999999998</v>
      </c>
      <c r="U42" s="6" t="e">
        <f t="shared" si="10"/>
        <v>#NUM!</v>
      </c>
      <c r="V42" s="6" t="e">
        <f t="shared" si="11"/>
        <v>#NUM!</v>
      </c>
      <c r="W42" s="38" t="e">
        <f t="shared" si="8"/>
        <v>#NUM!</v>
      </c>
      <c r="X42" s="6" t="e">
        <f t="shared" si="9"/>
        <v>#NUM!</v>
      </c>
    </row>
    <row r="43" spans="6:24" x14ac:dyDescent="0.25">
      <c r="F43" s="40">
        <v>3.9E-2</v>
      </c>
      <c r="G43" s="6">
        <f t="shared" si="4"/>
        <v>-3.5482729119937839</v>
      </c>
      <c r="H43" s="6">
        <f t="shared" si="5"/>
        <v>-71.308507333569921</v>
      </c>
      <c r="I43" s="38">
        <f t="shared" si="0"/>
        <v>696.62138259128551</v>
      </c>
      <c r="J43" s="6">
        <f t="shared" si="1"/>
        <v>359.12779350979315</v>
      </c>
      <c r="L43" s="40">
        <v>3.9E-2</v>
      </c>
      <c r="M43" s="6">
        <f t="shared" si="6"/>
        <v>-3.5695728079026621</v>
      </c>
      <c r="N43" s="6">
        <f t="shared" si="7"/>
        <v>-70.626864237130391</v>
      </c>
      <c r="O43" s="38">
        <f t="shared" si="2"/>
        <v>724.42737686603255</v>
      </c>
      <c r="P43" s="6">
        <f t="shared" si="3"/>
        <v>501.67684770465206</v>
      </c>
      <c r="Q43" s="24"/>
      <c r="R43" s="25"/>
      <c r="T43" s="12">
        <v>0.3</v>
      </c>
      <c r="U43" s="6" t="e">
        <f t="shared" si="10"/>
        <v>#NUM!</v>
      </c>
      <c r="V43" s="6" t="e">
        <f t="shared" si="11"/>
        <v>#NUM!</v>
      </c>
      <c r="W43" s="38" t="e">
        <f t="shared" si="8"/>
        <v>#NUM!</v>
      </c>
      <c r="X43" s="6" t="e">
        <f t="shared" si="9"/>
        <v>#NUM!</v>
      </c>
    </row>
    <row r="44" spans="6:24" x14ac:dyDescent="0.25">
      <c r="F44" s="40">
        <v>0.04</v>
      </c>
      <c r="G44" s="6">
        <f t="shared" si="4"/>
        <v>-3.6195814193273539</v>
      </c>
      <c r="H44" s="6">
        <f t="shared" si="5"/>
        <v>-70.611885950978632</v>
      </c>
      <c r="I44" s="38">
        <f t="shared" si="0"/>
        <v>682.45105073118327</v>
      </c>
      <c r="J44" s="6">
        <f t="shared" si="1"/>
        <v>351.82259137073419</v>
      </c>
      <c r="L44" s="40">
        <v>0.04</v>
      </c>
      <c r="M44" s="6">
        <f t="shared" si="6"/>
        <v>-3.6401996721397927</v>
      </c>
      <c r="N44" s="6">
        <f t="shared" si="7"/>
        <v>-69.902436860264359</v>
      </c>
      <c r="O44" s="38">
        <f t="shared" si="2"/>
        <v>708.98536282177338</v>
      </c>
      <c r="P44" s="6">
        <f t="shared" si="3"/>
        <v>491.4381210013932</v>
      </c>
      <c r="Q44" s="24"/>
      <c r="R44" s="25"/>
      <c r="T44" s="12">
        <v>0.31</v>
      </c>
      <c r="U44" s="6" t="e">
        <f t="shared" si="10"/>
        <v>#NUM!</v>
      </c>
      <c r="V44" s="6" t="e">
        <f t="shared" si="11"/>
        <v>#NUM!</v>
      </c>
      <c r="W44" s="38" t="e">
        <f t="shared" si="8"/>
        <v>#NUM!</v>
      </c>
      <c r="X44" s="6" t="e">
        <f t="shared" si="9"/>
        <v>#NUM!</v>
      </c>
    </row>
    <row r="45" spans="6:24" x14ac:dyDescent="0.25">
      <c r="F45" s="40">
        <v>4.1000000000000002E-2</v>
      </c>
      <c r="G45" s="6">
        <f t="shared" si="4"/>
        <v>-3.6901933052783327</v>
      </c>
      <c r="H45" s="6">
        <f t="shared" si="5"/>
        <v>-69.929434900247443</v>
      </c>
      <c r="I45" s="38">
        <f t="shared" si="0"/>
        <v>668.70386019543105</v>
      </c>
      <c r="J45" s="6">
        <f t="shared" si="1"/>
        <v>344.73553041130913</v>
      </c>
      <c r="L45" s="40">
        <v>4.1000000000000002E-2</v>
      </c>
      <c r="M45" s="6">
        <f t="shared" si="6"/>
        <v>-3.710102109000057</v>
      </c>
      <c r="N45" s="6">
        <f t="shared" si="7"/>
        <v>-69.193451497442581</v>
      </c>
      <c r="O45" s="38">
        <f t="shared" si="2"/>
        <v>694.0266658649906</v>
      </c>
      <c r="P45" s="6">
        <f t="shared" si="3"/>
        <v>481.51985454091772</v>
      </c>
      <c r="Q45" s="24"/>
      <c r="R45" s="25"/>
      <c r="T45" s="12">
        <v>0.32</v>
      </c>
      <c r="U45" s="6" t="e">
        <f t="shared" si="10"/>
        <v>#NUM!</v>
      </c>
      <c r="V45" s="6" t="e">
        <f t="shared" si="11"/>
        <v>#NUM!</v>
      </c>
      <c r="W45" s="38" t="e">
        <f t="shared" si="8"/>
        <v>#NUM!</v>
      </c>
      <c r="X45" s="6" t="e">
        <f t="shared" si="9"/>
        <v>#NUM!</v>
      </c>
    </row>
    <row r="46" spans="6:24" x14ac:dyDescent="0.25">
      <c r="F46" s="40">
        <v>4.2000000000000003E-2</v>
      </c>
      <c r="G46" s="6">
        <f t="shared" si="4"/>
        <v>-3.7601227401785802</v>
      </c>
      <c r="H46" s="6">
        <f t="shared" si="5"/>
        <v>-69.260731040052008</v>
      </c>
      <c r="I46" s="38">
        <f t="shared" si="0"/>
        <v>655.36309325462423</v>
      </c>
      <c r="J46" s="6">
        <f t="shared" si="1"/>
        <v>337.85799217474414</v>
      </c>
      <c r="L46" s="40">
        <v>4.2000000000000003E-2</v>
      </c>
      <c r="M46" s="6">
        <f t="shared" si="6"/>
        <v>-3.7792955604974998</v>
      </c>
      <c r="N46" s="6">
        <f t="shared" si="7"/>
        <v>-68.499424831577585</v>
      </c>
      <c r="O46" s="38">
        <f t="shared" si="2"/>
        <v>679.53127829542393</v>
      </c>
      <c r="P46" s="6">
        <f t="shared" si="3"/>
        <v>471.90878234805285</v>
      </c>
      <c r="Q46" s="24"/>
      <c r="R46" s="25"/>
      <c r="T46" s="12">
        <v>0.33</v>
      </c>
      <c r="U46" s="6" t="e">
        <f t="shared" si="10"/>
        <v>#NUM!</v>
      </c>
      <c r="V46" s="6" t="e">
        <f t="shared" si="11"/>
        <v>#NUM!</v>
      </c>
      <c r="W46" s="38" t="e">
        <f t="shared" si="8"/>
        <v>#NUM!</v>
      </c>
      <c r="X46" s="6" t="e">
        <f t="shared" si="9"/>
        <v>#NUM!</v>
      </c>
    </row>
    <row r="47" spans="6:24" x14ac:dyDescent="0.25">
      <c r="F47" s="40">
        <v>4.2999999999999997E-2</v>
      </c>
      <c r="G47" s="6">
        <f t="shared" si="4"/>
        <v>-3.8293834712186317</v>
      </c>
      <c r="H47" s="6">
        <f t="shared" si="5"/>
        <v>-68.605367946797386</v>
      </c>
      <c r="I47" s="38">
        <f t="shared" si="0"/>
        <v>642.41285131840016</v>
      </c>
      <c r="J47" s="6">
        <f t="shared" si="1"/>
        <v>331.1817804933367</v>
      </c>
      <c r="L47" s="40">
        <v>4.2999999999999997E-2</v>
      </c>
      <c r="M47" s="6">
        <f t="shared" si="6"/>
        <v>-3.8477949853290769</v>
      </c>
      <c r="N47" s="6">
        <f t="shared" si="7"/>
        <v>-67.819893553282171</v>
      </c>
      <c r="O47" s="38">
        <f t="shared" si="2"/>
        <v>665.48021921024178</v>
      </c>
      <c r="P47" s="6">
        <f t="shared" si="3"/>
        <v>462.59231925896466</v>
      </c>
      <c r="Q47" s="24"/>
      <c r="R47" s="25"/>
      <c r="T47" s="12">
        <v>0.34</v>
      </c>
      <c r="U47" s="6" t="e">
        <f t="shared" si="10"/>
        <v>#NUM!</v>
      </c>
      <c r="V47" s="6" t="e">
        <f t="shared" si="11"/>
        <v>#NUM!</v>
      </c>
      <c r="W47" s="38" t="e">
        <f t="shared" si="8"/>
        <v>#NUM!</v>
      </c>
      <c r="X47" s="6" t="e">
        <f t="shared" si="9"/>
        <v>#NUM!</v>
      </c>
    </row>
    <row r="48" spans="6:24" x14ac:dyDescent="0.25">
      <c r="F48" s="40">
        <v>4.3999999999999997E-2</v>
      </c>
      <c r="G48" s="6">
        <f t="shared" si="4"/>
        <v>-3.8979888391654289</v>
      </c>
      <c r="H48" s="6">
        <f t="shared" si="5"/>
        <v>-67.962955095478989</v>
      </c>
      <c r="I48" s="38">
        <f t="shared" si="0"/>
        <v>629.83800716424707</v>
      </c>
      <c r="J48" s="6">
        <f t="shared" si="1"/>
        <v>324.69909686107144</v>
      </c>
      <c r="L48" s="40">
        <v>4.3999999999999997E-2</v>
      </c>
      <c r="M48" s="6">
        <f t="shared" si="6"/>
        <v>-3.915614878882359</v>
      </c>
      <c r="N48" s="6">
        <f t="shared" si="7"/>
        <v>-67.154413334071933</v>
      </c>
      <c r="O48" s="38">
        <f t="shared" si="2"/>
        <v>651.85547180920923</v>
      </c>
      <c r="P48" s="6">
        <f t="shared" si="3"/>
        <v>453.55851935175832</v>
      </c>
      <c r="Q48" s="24"/>
      <c r="R48" s="25"/>
      <c r="T48" s="12">
        <v>0.35</v>
      </c>
      <c r="U48" s="6" t="e">
        <f t="shared" si="10"/>
        <v>#NUM!</v>
      </c>
      <c r="V48" s="6" t="e">
        <f t="shared" si="11"/>
        <v>#NUM!</v>
      </c>
      <c r="W48" s="38" t="e">
        <f t="shared" si="8"/>
        <v>#NUM!</v>
      </c>
      <c r="X48" s="6" t="e">
        <f t="shared" si="9"/>
        <v>#NUM!</v>
      </c>
    </row>
    <row r="49" spans="6:24" x14ac:dyDescent="0.25">
      <c r="F49" s="40">
        <v>4.4999999999999998E-2</v>
      </c>
      <c r="G49" s="6">
        <f t="shared" si="4"/>
        <v>-3.9659517942609082</v>
      </c>
      <c r="H49" s="6">
        <f t="shared" si="5"/>
        <v>-67.333117088314737</v>
      </c>
      <c r="I49" s="38">
        <f t="shared" si="0"/>
        <v>617.62416038958258</v>
      </c>
      <c r="J49" s="6">
        <f t="shared" si="1"/>
        <v>318.40251746792143</v>
      </c>
      <c r="L49" s="40">
        <v>4.4999999999999998E-2</v>
      </c>
      <c r="M49" s="6">
        <f t="shared" si="6"/>
        <v>-3.9827692922164308</v>
      </c>
      <c r="N49" s="6">
        <f t="shared" si="7"/>
        <v>-66.502557862262719</v>
      </c>
      <c r="O49" s="38">
        <f t="shared" si="2"/>
        <v>638.63992512706488</v>
      </c>
      <c r="P49" s="6">
        <f t="shared" si="3"/>
        <v>444.79603731251046</v>
      </c>
      <c r="Q49" s="24"/>
      <c r="R49" s="25"/>
      <c r="T49" s="12">
        <v>0.36</v>
      </c>
      <c r="U49" s="6" t="e">
        <f t="shared" si="10"/>
        <v>#NUM!</v>
      </c>
      <c r="V49" s="6" t="e">
        <f t="shared" si="11"/>
        <v>#NUM!</v>
      </c>
      <c r="W49" s="38" t="e">
        <f t="shared" si="8"/>
        <v>#NUM!</v>
      </c>
      <c r="X49" s="6" t="e">
        <f t="shared" si="9"/>
        <v>#NUM!</v>
      </c>
    </row>
    <row r="50" spans="6:24" x14ac:dyDescent="0.25">
      <c r="F50" s="40">
        <v>4.5999999999999999E-2</v>
      </c>
      <c r="G50" s="6">
        <f t="shared" si="4"/>
        <v>-4.0332849113492228</v>
      </c>
      <c r="H50" s="6">
        <f t="shared" si="5"/>
        <v>-66.715492927925155</v>
      </c>
      <c r="I50" s="38">
        <f t="shared" si="0"/>
        <v>605.75759584063576</v>
      </c>
      <c r="J50" s="6">
        <f t="shared" si="1"/>
        <v>312.28497176877494</v>
      </c>
      <c r="L50" s="40">
        <v>4.5999999999999999E-2</v>
      </c>
      <c r="M50" s="6">
        <f t="shared" si="6"/>
        <v>-4.0492718500786937</v>
      </c>
      <c r="N50" s="6">
        <f t="shared" si="7"/>
        <v>-65.863917937135653</v>
      </c>
      <c r="O50" s="38">
        <f t="shared" si="2"/>
        <v>625.81731983896225</v>
      </c>
      <c r="P50" s="6">
        <f t="shared" si="3"/>
        <v>436.29409250192066</v>
      </c>
      <c r="Q50" s="24"/>
      <c r="R50" s="25"/>
      <c r="T50" s="12">
        <v>0.37</v>
      </c>
      <c r="U50" s="6" t="e">
        <f t="shared" si="10"/>
        <v>#NUM!</v>
      </c>
      <c r="V50" s="6" t="e">
        <f t="shared" si="11"/>
        <v>#NUM!</v>
      </c>
      <c r="W50" s="38" t="e">
        <f t="shared" si="8"/>
        <v>#NUM!</v>
      </c>
      <c r="X50" s="6" t="e">
        <f t="shared" si="9"/>
        <v>#NUM!</v>
      </c>
    </row>
    <row r="51" spans="6:24" x14ac:dyDescent="0.25">
      <c r="F51" s="40">
        <v>4.7E-2</v>
      </c>
      <c r="G51" s="6">
        <f t="shared" si="4"/>
        <v>-4.1000004042771483</v>
      </c>
      <c r="H51" s="6">
        <f t="shared" si="5"/>
        <v>-66.109735332084512</v>
      </c>
      <c r="I51" s="38">
        <f t="shared" si="0"/>
        <v>594.22524479269634</v>
      </c>
      <c r="J51" s="6">
        <f t="shared" si="1"/>
        <v>306.33972247076889</v>
      </c>
      <c r="L51" s="40">
        <v>4.7E-2</v>
      </c>
      <c r="M51" s="6">
        <f t="shared" si="6"/>
        <v>-4.1151357680158291</v>
      </c>
      <c r="N51" s="6">
        <f t="shared" si="7"/>
        <v>-65.238100617296695</v>
      </c>
      <c r="O51" s="38">
        <f t="shared" si="2"/>
        <v>613.37219781642045</v>
      </c>
      <c r="P51" s="6">
        <f t="shared" si="3"/>
        <v>428.0424355087136</v>
      </c>
      <c r="Q51" s="24"/>
      <c r="R51" s="25"/>
      <c r="T51" s="12">
        <v>0.38</v>
      </c>
      <c r="U51" s="6" t="e">
        <f t="shared" si="10"/>
        <v>#NUM!</v>
      </c>
      <c r="V51" s="6" t="e">
        <f t="shared" si="11"/>
        <v>#NUM!</v>
      </c>
      <c r="W51" s="38" t="e">
        <f t="shared" si="8"/>
        <v>#NUM!</v>
      </c>
      <c r="X51" s="6" t="e">
        <f t="shared" si="9"/>
        <v>#NUM!</v>
      </c>
    </row>
    <row r="52" spans="6:24" x14ac:dyDescent="0.25">
      <c r="F52" s="40">
        <v>4.8000000000000001E-2</v>
      </c>
      <c r="G52" s="6">
        <f t="shared" si="4"/>
        <v>-4.1661101396092333</v>
      </c>
      <c r="H52" s="6">
        <f t="shared" si="5"/>
        <v>-65.515510087291815</v>
      </c>
      <c r="I52" s="38">
        <f t="shared" si="0"/>
        <v>583.01464867533446</v>
      </c>
      <c r="J52" s="6">
        <f t="shared" si="1"/>
        <v>300.56034683262584</v>
      </c>
      <c r="L52" s="40">
        <v>4.8000000000000001E-2</v>
      </c>
      <c r="M52" s="6">
        <f t="shared" si="6"/>
        <v>-4.1803738686331258</v>
      </c>
      <c r="N52" s="6">
        <f t="shared" si="7"/>
        <v>-64.624728419480277</v>
      </c>
      <c r="O52" s="38">
        <f t="shared" si="2"/>
        <v>601.28985513970963</v>
      </c>
      <c r="P52" s="6">
        <f t="shared" si="3"/>
        <v>420.03131699480753</v>
      </c>
      <c r="Q52" s="24"/>
      <c r="R52" s="25"/>
      <c r="T52" s="12">
        <v>0.39</v>
      </c>
      <c r="U52" s="6" t="e">
        <f t="shared" si="10"/>
        <v>#NUM!</v>
      </c>
      <c r="V52" s="6" t="e">
        <f t="shared" si="11"/>
        <v>#NUM!</v>
      </c>
      <c r="W52" s="38" t="e">
        <f t="shared" si="8"/>
        <v>#NUM!</v>
      </c>
      <c r="X52" s="6" t="e">
        <f t="shared" si="9"/>
        <v>#NUM!</v>
      </c>
    </row>
    <row r="53" spans="6:24" x14ac:dyDescent="0.25">
      <c r="F53" s="40">
        <v>4.9000000000000002E-2</v>
      </c>
      <c r="G53" s="6">
        <f t="shared" si="4"/>
        <v>-4.2316256496965252</v>
      </c>
      <c r="H53" s="6">
        <f t="shared" si="5"/>
        <v>-64.932495438616485</v>
      </c>
      <c r="I53" s="38">
        <f t="shared" si="0"/>
        <v>572.1139251534704</v>
      </c>
      <c r="J53" s="6">
        <f t="shared" si="1"/>
        <v>294.94071917849715</v>
      </c>
      <c r="L53" s="40">
        <v>4.9000000000000002E-2</v>
      </c>
      <c r="M53" s="6">
        <f t="shared" si="6"/>
        <v>-4.2449985970526063</v>
      </c>
      <c r="N53" s="6">
        <f t="shared" si="7"/>
        <v>-64.023438564340566</v>
      </c>
      <c r="O53" s="38">
        <f t="shared" si="2"/>
        <v>589.55629829831889</v>
      </c>
      <c r="P53" s="6">
        <f t="shared" si="3"/>
        <v>412.25145865432017</v>
      </c>
      <c r="Q53" s="24"/>
      <c r="R53" s="25"/>
      <c r="T53" s="12">
        <v>0.4</v>
      </c>
      <c r="U53" s="6" t="e">
        <f t="shared" si="10"/>
        <v>#NUM!</v>
      </c>
      <c r="V53" s="6" t="e">
        <f t="shared" si="11"/>
        <v>#NUM!</v>
      </c>
      <c r="W53" s="38" t="e">
        <f t="shared" si="8"/>
        <v>#NUM!</v>
      </c>
      <c r="X53" s="6" t="e">
        <f t="shared" si="9"/>
        <v>#NUM!</v>
      </c>
    </row>
    <row r="54" spans="6:24" x14ac:dyDescent="0.25">
      <c r="F54" s="40">
        <v>0.05</v>
      </c>
      <c r="G54" s="6">
        <f t="shared" si="4"/>
        <v>-4.2965581451351413</v>
      </c>
      <c r="H54" s="6">
        <f t="shared" si="5"/>
        <v>-64.360381513463011</v>
      </c>
      <c r="I54" s="38">
        <f t="shared" si="0"/>
        <v>561.51173639085403</v>
      </c>
      <c r="J54" s="6">
        <f t="shared" si="1"/>
        <v>289.47499453689989</v>
      </c>
      <c r="L54" s="40">
        <v>0.05</v>
      </c>
      <c r="M54" s="6">
        <f t="shared" si="6"/>
        <v>-4.3090220356169473</v>
      </c>
      <c r="N54" s="6">
        <f t="shared" si="7"/>
        <v>-63.433882266042247</v>
      </c>
      <c r="O54" s="38">
        <f t="shared" si="2"/>
        <v>578.15820333438342</v>
      </c>
      <c r="P54" s="6">
        <f t="shared" si="3"/>
        <v>404.69402612388473</v>
      </c>
      <c r="Q54" s="24"/>
      <c r="R54" s="25"/>
      <c r="T54" s="12">
        <v>0.41</v>
      </c>
      <c r="U54" s="6" t="e">
        <f t="shared" si="10"/>
        <v>#NUM!</v>
      </c>
      <c r="V54" s="6" t="e">
        <f t="shared" si="11"/>
        <v>#NUM!</v>
      </c>
      <c r="W54" s="38" t="e">
        <f t="shared" si="8"/>
        <v>#NUM!</v>
      </c>
      <c r="X54" s="6" t="e">
        <f t="shared" si="9"/>
        <v>#NUM!</v>
      </c>
    </row>
    <row r="55" spans="6:24" x14ac:dyDescent="0.25">
      <c r="F55" s="40">
        <v>5.0999999999999997E-2</v>
      </c>
      <c r="G55" s="6">
        <f t="shared" si="4"/>
        <v>-4.3609185266486037</v>
      </c>
      <c r="H55" s="6">
        <f t="shared" si="5"/>
        <v>-63.798869777072163</v>
      </c>
      <c r="I55" s="38">
        <f t="shared" si="0"/>
        <v>551.1972593367617</v>
      </c>
      <c r="J55" s="6">
        <f t="shared" si="1"/>
        <v>284.15759332267839</v>
      </c>
      <c r="L55" s="40">
        <v>5.0999999999999997E-2</v>
      </c>
      <c r="M55" s="6">
        <f t="shared" si="6"/>
        <v>-4.3724559178829896</v>
      </c>
      <c r="N55" s="6">
        <f t="shared" si="7"/>
        <v>-62.855724062707864</v>
      </c>
      <c r="O55" s="38">
        <f t="shared" si="2"/>
        <v>567.0828777049752</v>
      </c>
      <c r="P55" s="6">
        <f t="shared" si="3"/>
        <v>397.3506036956901</v>
      </c>
      <c r="Q55" s="24"/>
      <c r="R55" s="25"/>
      <c r="T55" s="12">
        <v>0.42</v>
      </c>
      <c r="U55" s="6" t="e">
        <f t="shared" si="10"/>
        <v>#NUM!</v>
      </c>
      <c r="V55" s="6" t="e">
        <f t="shared" si="11"/>
        <v>#NUM!</v>
      </c>
      <c r="W55" s="38" t="e">
        <f t="shared" si="8"/>
        <v>#NUM!</v>
      </c>
      <c r="X55" s="6" t="e">
        <f t="shared" si="9"/>
        <v>#NUM!</v>
      </c>
    </row>
    <row r="56" spans="6:24" x14ac:dyDescent="0.25">
      <c r="F56" s="40">
        <v>5.1999999999999998E-2</v>
      </c>
      <c r="G56" s="6">
        <f t="shared" si="4"/>
        <v>-4.4247173964256756</v>
      </c>
      <c r="H56" s="6">
        <f t="shared" si="5"/>
        <v>-63.247672517735403</v>
      </c>
      <c r="I56" s="38">
        <f t="shared" si="0"/>
        <v>541.16015788967252</v>
      </c>
      <c r="J56" s="6">
        <f t="shared" si="1"/>
        <v>278.98318698660137</v>
      </c>
      <c r="L56" s="40">
        <v>5.1999999999999998E-2</v>
      </c>
      <c r="M56" s="6">
        <f t="shared" si="6"/>
        <v>-4.4353116419456979</v>
      </c>
      <c r="N56" s="6">
        <f t="shared" si="7"/>
        <v>-62.288641185002888</v>
      </c>
      <c r="O56" s="38">
        <f t="shared" si="2"/>
        <v>556.3182246581938</v>
      </c>
      <c r="P56" s="6">
        <f t="shared" si="3"/>
        <v>390.21317069728065</v>
      </c>
      <c r="Q56" s="24"/>
      <c r="R56" s="25"/>
      <c r="T56" s="12">
        <v>0.43</v>
      </c>
      <c r="U56" s="6" t="e">
        <f t="shared" si="10"/>
        <v>#NUM!</v>
      </c>
      <c r="V56" s="6" t="e">
        <f t="shared" si="11"/>
        <v>#NUM!</v>
      </c>
      <c r="W56" s="38" t="e">
        <f t="shared" si="8"/>
        <v>#NUM!</v>
      </c>
      <c r="X56" s="6" t="e">
        <f t="shared" si="9"/>
        <v>#NUM!</v>
      </c>
    </row>
    <row r="57" spans="6:24" x14ac:dyDescent="0.25">
      <c r="F57" s="40">
        <v>5.2999999999999999E-2</v>
      </c>
      <c r="G57" s="6">
        <f t="shared" si="4"/>
        <v>-4.487965068943411</v>
      </c>
      <c r="H57" s="6">
        <f t="shared" si="5"/>
        <v>-62.706512359845732</v>
      </c>
      <c r="I57" s="38">
        <f t="shared" si="0"/>
        <v>531.39055680349054</v>
      </c>
      <c r="J57" s="6">
        <f t="shared" si="1"/>
        <v>273.94668456329015</v>
      </c>
      <c r="L57" s="40">
        <v>5.2999999999999999E-2</v>
      </c>
      <c r="M57" s="6">
        <f t="shared" si="6"/>
        <v>-4.4976002831307005</v>
      </c>
      <c r="N57" s="6">
        <f t="shared" si="7"/>
        <v>-61.732322960344696</v>
      </c>
      <c r="O57" s="38">
        <f t="shared" si="2"/>
        <v>545.85270993525057</v>
      </c>
      <c r="P57" s="6">
        <f t="shared" si="3"/>
        <v>383.27407941359007</v>
      </c>
      <c r="Q57" s="24"/>
      <c r="R57" s="25"/>
      <c r="T57" s="12">
        <v>0.44</v>
      </c>
      <c r="U57" s="6" t="e">
        <f t="shared" si="10"/>
        <v>#NUM!</v>
      </c>
      <c r="V57" s="6" t="e">
        <f t="shared" si="11"/>
        <v>#NUM!</v>
      </c>
      <c r="W57" s="38" t="e">
        <f t="shared" si="8"/>
        <v>#NUM!</v>
      </c>
      <c r="X57" s="6" t="e">
        <f t="shared" si="9"/>
        <v>#NUM!</v>
      </c>
    </row>
    <row r="58" spans="6:24" x14ac:dyDescent="0.25">
      <c r="F58" s="40">
        <v>5.3999999999999999E-2</v>
      </c>
      <c r="G58" s="6">
        <f t="shared" si="4"/>
        <v>-4.5506715813032566</v>
      </c>
      <c r="H58" s="6">
        <f t="shared" si="5"/>
        <v>-62.175121803042238</v>
      </c>
      <c r="I58" s="38">
        <f t="shared" si="0"/>
        <v>521.8790172126138</v>
      </c>
      <c r="J58" s="6">
        <f t="shared" si="1"/>
        <v>269.04322005370773</v>
      </c>
      <c r="L58" s="40">
        <v>5.3999999999999999E-2</v>
      </c>
      <c r="M58" s="6">
        <f t="shared" si="6"/>
        <v>-4.5593326060910453</v>
      </c>
      <c r="N58" s="6">
        <f t="shared" si="7"/>
        <v>-61.186470250409442</v>
      </c>
      <c r="O58" s="38">
        <f t="shared" si="2"/>
        <v>535.67533062639097</v>
      </c>
      <c r="P58" s="6">
        <f t="shared" si="3"/>
        <v>376.52603443706357</v>
      </c>
      <c r="Q58" s="24"/>
      <c r="R58" s="25"/>
      <c r="T58" s="12">
        <v>0.45</v>
      </c>
      <c r="U58" s="6" t="e">
        <f t="shared" si="10"/>
        <v>#NUM!</v>
      </c>
      <c r="V58" s="6" t="e">
        <f t="shared" si="11"/>
        <v>#NUM!</v>
      </c>
      <c r="W58" s="38" t="e">
        <f t="shared" si="8"/>
        <v>#NUM!</v>
      </c>
      <c r="X58" s="6" t="e">
        <f t="shared" si="9"/>
        <v>#NUM!</v>
      </c>
    </row>
    <row r="59" spans="6:24" x14ac:dyDescent="0.25">
      <c r="F59" s="40">
        <v>5.5E-2</v>
      </c>
      <c r="G59" s="6">
        <f t="shared" si="4"/>
        <v>-4.6128467031062987</v>
      </c>
      <c r="H59" s="6">
        <f t="shared" si="5"/>
        <v>-61.653242785829626</v>
      </c>
      <c r="I59" s="38">
        <f t="shared" si="0"/>
        <v>512.61651366196349</v>
      </c>
      <c r="J59" s="6">
        <f t="shared" si="1"/>
        <v>264.26814058349669</v>
      </c>
      <c r="L59" s="40">
        <v>5.5E-2</v>
      </c>
      <c r="M59" s="6">
        <f t="shared" si="6"/>
        <v>-4.6205190763414548</v>
      </c>
      <c r="N59" s="6">
        <f t="shared" si="7"/>
        <v>-60.650794919783053</v>
      </c>
      <c r="O59" s="38">
        <f t="shared" si="2"/>
        <v>525.77558602271881</v>
      </c>
      <c r="P59" s="6">
        <f t="shared" si="3"/>
        <v>369.96207334115053</v>
      </c>
      <c r="Q59" s="24"/>
      <c r="R59" s="25"/>
      <c r="T59" s="12">
        <v>0.46</v>
      </c>
      <c r="U59" s="6" t="e">
        <f t="shared" si="10"/>
        <v>#NUM!</v>
      </c>
      <c r="V59" s="6" t="e">
        <f t="shared" si="11"/>
        <v>#NUM!</v>
      </c>
      <c r="W59" s="38" t="e">
        <f t="shared" si="8"/>
        <v>#NUM!</v>
      </c>
      <c r="X59" s="6" t="e">
        <f t="shared" si="9"/>
        <v>#NUM!</v>
      </c>
    </row>
    <row r="60" spans="6:24" x14ac:dyDescent="0.25">
      <c r="F60" s="40">
        <v>5.6000000000000001E-2</v>
      </c>
      <c r="G60" s="6">
        <f t="shared" si="4"/>
        <v>-4.6744999458921281</v>
      </c>
      <c r="H60" s="6">
        <f t="shared" si="5"/>
        <v>-61.140626272167665</v>
      </c>
      <c r="I60" s="38">
        <f t="shared" si="0"/>
        <v>503.59441253702067</v>
      </c>
      <c r="J60" s="6">
        <f t="shared" si="1"/>
        <v>259.61699528306036</v>
      </c>
      <c r="L60" s="40">
        <v>5.6000000000000001E-2</v>
      </c>
      <c r="M60" s="6">
        <f t="shared" si="6"/>
        <v>-4.681169871261238</v>
      </c>
      <c r="N60" s="6">
        <f t="shared" si="7"/>
        <v>-60.125019333760335</v>
      </c>
      <c r="O60" s="38">
        <f t="shared" si="2"/>
        <v>516.14345031890764</v>
      </c>
      <c r="P60" s="6">
        <f t="shared" si="3"/>
        <v>363.57554858101486</v>
      </c>
      <c r="Q60" s="24"/>
      <c r="R60" s="25"/>
      <c r="T60" s="12">
        <v>0.47</v>
      </c>
      <c r="U60" s="6" t="e">
        <f t="shared" si="10"/>
        <v>#NUM!</v>
      </c>
      <c r="V60" s="6" t="e">
        <f t="shared" si="11"/>
        <v>#NUM!</v>
      </c>
      <c r="W60" s="38" t="e">
        <f t="shared" si="8"/>
        <v>#NUM!</v>
      </c>
      <c r="X60" s="6" t="e">
        <f t="shared" si="9"/>
        <v>#NUM!</v>
      </c>
    </row>
    <row r="61" spans="6:24" x14ac:dyDescent="0.25">
      <c r="F61" s="40">
        <v>5.7000000000000002E-2</v>
      </c>
      <c r="G61" s="6">
        <f t="shared" si="4"/>
        <v>-4.7356405721642956</v>
      </c>
      <c r="H61" s="6">
        <f t="shared" si="5"/>
        <v>-60.637031859630646</v>
      </c>
      <c r="I61" s="38">
        <f t="shared" si="0"/>
        <v>494.80445179709483</v>
      </c>
      <c r="J61" s="6">
        <f t="shared" si="1"/>
        <v>255.08552483949609</v>
      </c>
      <c r="L61" s="40">
        <v>5.7000000000000002E-2</v>
      </c>
      <c r="M61" s="6">
        <f t="shared" si="6"/>
        <v>-4.7412948905949985</v>
      </c>
      <c r="N61" s="6">
        <f t="shared" si="7"/>
        <v>-59.608875883441428</v>
      </c>
      <c r="O61" s="38">
        <f t="shared" si="2"/>
        <v>506.7693470335451</v>
      </c>
      <c r="P61" s="6">
        <f t="shared" si="3"/>
        <v>357.36011053311137</v>
      </c>
      <c r="Q61" s="24"/>
      <c r="R61" s="25"/>
      <c r="T61" s="12">
        <v>0.48</v>
      </c>
      <c r="U61" s="6" t="e">
        <f t="shared" si="10"/>
        <v>#NUM!</v>
      </c>
      <c r="V61" s="6" t="e">
        <f t="shared" si="11"/>
        <v>#NUM!</v>
      </c>
      <c r="W61" s="38" t="e">
        <f t="shared" si="8"/>
        <v>#NUM!</v>
      </c>
      <c r="X61" s="6" t="e">
        <f t="shared" si="9"/>
        <v>#NUM!</v>
      </c>
    </row>
    <row r="62" spans="6:24" x14ac:dyDescent="0.25">
      <c r="F62" s="40">
        <v>5.8000000000000003E-2</v>
      </c>
      <c r="G62" s="6">
        <f t="shared" si="4"/>
        <v>-4.7962776040239259</v>
      </c>
      <c r="H62" s="6">
        <f t="shared" si="5"/>
        <v>-60.142227407833552</v>
      </c>
      <c r="I62" s="38">
        <f t="shared" si="0"/>
        <v>486.23872192251275</v>
      </c>
      <c r="J62" s="6">
        <f t="shared" si="1"/>
        <v>250.66965167433887</v>
      </c>
      <c r="L62" s="40">
        <v>5.8000000000000003E-2</v>
      </c>
      <c r="M62" s="6">
        <f t="shared" si="6"/>
        <v>-4.8009037664784397</v>
      </c>
      <c r="N62" s="6">
        <f t="shared" si="7"/>
        <v>-59.102106536407881</v>
      </c>
      <c r="O62" s="38">
        <f t="shared" si="2"/>
        <v>497.64412502455701</v>
      </c>
      <c r="P62" s="6">
        <f t="shared" si="3"/>
        <v>351.30969159236935</v>
      </c>
      <c r="Q62" s="24"/>
      <c r="R62" s="25"/>
      <c r="T62" s="12">
        <v>0.49</v>
      </c>
      <c r="U62" s="6" t="e">
        <f t="shared" si="10"/>
        <v>#NUM!</v>
      </c>
      <c r="V62" s="6" t="e">
        <f t="shared" si="11"/>
        <v>#NUM!</v>
      </c>
      <c r="W62" s="38" t="e">
        <f t="shared" si="8"/>
        <v>#NUM!</v>
      </c>
      <c r="X62" s="6" t="e">
        <f t="shared" si="9"/>
        <v>#NUM!</v>
      </c>
    </row>
    <row r="63" spans="6:24" x14ac:dyDescent="0.25">
      <c r="F63" s="40">
        <v>5.8999999999999997E-2</v>
      </c>
      <c r="G63" s="6">
        <f t="shared" si="4"/>
        <v>-4.8564198314317588</v>
      </c>
      <c r="H63" s="6">
        <f t="shared" si="5"/>
        <v>-59.655988685911041</v>
      </c>
      <c r="I63" s="38">
        <f t="shared" si="0"/>
        <v>477.88964799325186</v>
      </c>
      <c r="J63" s="6">
        <f t="shared" si="1"/>
        <v>246.36547070459565</v>
      </c>
      <c r="L63" s="40">
        <v>5.8999999999999997E-2</v>
      </c>
      <c r="M63" s="6">
        <f t="shared" si="6"/>
        <v>-4.8600058730148472</v>
      </c>
      <c r="N63" s="6">
        <f t="shared" si="7"/>
        <v>-58.604462411383324</v>
      </c>
      <c r="O63" s="38">
        <f t="shared" si="2"/>
        <v>488.75903598692577</v>
      </c>
      <c r="P63" s="6">
        <f t="shared" si="3"/>
        <v>345.41849125220079</v>
      </c>
      <c r="Q63" s="24"/>
      <c r="R63" s="25"/>
      <c r="T63" s="12">
        <v>0.5</v>
      </c>
      <c r="U63" s="6" t="e">
        <f t="shared" si="10"/>
        <v>#NUM!</v>
      </c>
      <c r="V63" s="6" t="e">
        <f t="shared" si="11"/>
        <v>#NUM!</v>
      </c>
      <c r="W63" s="38" t="e">
        <f t="shared" si="8"/>
        <v>#NUM!</v>
      </c>
      <c r="X63" s="6" t="e">
        <f t="shared" si="9"/>
        <v>#NUM!</v>
      </c>
    </row>
    <row r="64" spans="6:24" x14ac:dyDescent="0.25">
      <c r="F64" s="40">
        <v>0.06</v>
      </c>
      <c r="G64" s="6">
        <f t="shared" si="4"/>
        <v>-4.91607582011767</v>
      </c>
      <c r="H64" s="6">
        <f t="shared" si="5"/>
        <v>-59.178099037917789</v>
      </c>
      <c r="I64" s="38">
        <f t="shared" si="0"/>
        <v>469.74997282279611</v>
      </c>
      <c r="J64" s="6">
        <f t="shared" si="1"/>
        <v>242.16924064777686</v>
      </c>
      <c r="L64" s="40">
        <v>0.06</v>
      </c>
      <c r="M64" s="6">
        <f t="shared" si="6"/>
        <v>-4.9186103354262309</v>
      </c>
      <c r="N64" s="6">
        <f t="shared" si="7"/>
        <v>-58.1157033753964</v>
      </c>
      <c r="O64" s="38">
        <f t="shared" si="2"/>
        <v>480.10571332880971</v>
      </c>
      <c r="P64" s="6">
        <f t="shared" si="3"/>
        <v>339.68096209844992</v>
      </c>
      <c r="Q64" s="24"/>
      <c r="R64" s="25"/>
      <c r="T64" s="12">
        <v>0.51</v>
      </c>
      <c r="U64" s="6" t="e">
        <f t="shared" si="10"/>
        <v>#NUM!</v>
      </c>
      <c r="V64" s="6" t="e">
        <f t="shared" si="11"/>
        <v>#NUM!</v>
      </c>
      <c r="W64" s="38" t="e">
        <f t="shared" si="8"/>
        <v>#NUM!</v>
      </c>
      <c r="X64" s="6" t="e">
        <f t="shared" si="9"/>
        <v>#NUM!</v>
      </c>
    </row>
    <row r="65" spans="6:24" x14ac:dyDescent="0.25">
      <c r="F65" s="40">
        <v>6.0999999999999999E-2</v>
      </c>
      <c r="G65" s="6">
        <f t="shared" si="4"/>
        <v>-4.9752539191555876</v>
      </c>
      <c r="H65" s="6">
        <f t="shared" si="5"/>
        <v>-58.708349065094993</v>
      </c>
      <c r="I65" s="38">
        <f t="shared" si="0"/>
        <v>461.81274107672954</v>
      </c>
      <c r="J65" s="6">
        <f t="shared" si="1"/>
        <v>238.07737583458726</v>
      </c>
      <c r="L65" s="40">
        <v>6.0999999999999999E-2</v>
      </c>
      <c r="M65" s="6">
        <f t="shared" si="6"/>
        <v>-4.976726038801627</v>
      </c>
      <c r="N65" s="6">
        <f t="shared" si="7"/>
        <v>-57.635597662067589</v>
      </c>
      <c r="O65" s="38">
        <f t="shared" si="2"/>
        <v>471.67615233030608</v>
      </c>
      <c r="P65" s="6">
        <f t="shared" si="3"/>
        <v>334.09179665378991</v>
      </c>
      <c r="Q65" s="24"/>
      <c r="R65" s="25"/>
      <c r="T65" s="12">
        <v>0.52</v>
      </c>
      <c r="U65" s="6" t="e">
        <f t="shared" si="10"/>
        <v>#NUM!</v>
      </c>
      <c r="V65" s="6" t="e">
        <f t="shared" si="11"/>
        <v>#NUM!</v>
      </c>
      <c r="W65" s="38" t="e">
        <f t="shared" si="8"/>
        <v>#NUM!</v>
      </c>
      <c r="X65" s="6" t="e">
        <f t="shared" si="9"/>
        <v>#NUM!</v>
      </c>
    </row>
    <row r="66" spans="6:24" x14ac:dyDescent="0.25">
      <c r="F66" s="40">
        <v>6.2E-2</v>
      </c>
      <c r="G66" s="6">
        <f t="shared" si="4"/>
        <v>-5.0339622682206828</v>
      </c>
      <c r="H66" s="6">
        <f t="shared" si="5"/>
        <v>-58.246536324018265</v>
      </c>
      <c r="I66" s="38">
        <f t="shared" si="0"/>
        <v>454.07128431083743</v>
      </c>
      <c r="J66" s="6">
        <f t="shared" si="1"/>
        <v>234.08643849564911</v>
      </c>
      <c r="L66" s="40">
        <v>6.2E-2</v>
      </c>
      <c r="M66" s="6">
        <f t="shared" si="6"/>
        <v>-5.0343616364636947</v>
      </c>
      <c r="N66" s="6">
        <f t="shared" si="7"/>
        <v>-57.163921509737285</v>
      </c>
      <c r="O66" s="38">
        <f t="shared" si="2"/>
        <v>463.46269149652278</v>
      </c>
      <c r="P66" s="6">
        <f t="shared" si="3"/>
        <v>328.64591501399877</v>
      </c>
      <c r="Q66" s="24"/>
      <c r="R66" s="25"/>
      <c r="T66" s="12">
        <v>0.53</v>
      </c>
      <c r="U66" s="6" t="e">
        <f t="shared" si="10"/>
        <v>#NUM!</v>
      </c>
      <c r="V66" s="6" t="e">
        <f t="shared" si="11"/>
        <v>#NUM!</v>
      </c>
      <c r="W66" s="38" t="e">
        <f t="shared" si="8"/>
        <v>#NUM!</v>
      </c>
      <c r="X66" s="6" t="e">
        <f t="shared" si="9"/>
        <v>#NUM!</v>
      </c>
    </row>
    <row r="67" spans="6:24" x14ac:dyDescent="0.25">
      <c r="F67" s="40">
        <v>6.3E-2</v>
      </c>
      <c r="G67" s="6">
        <f t="shared" si="4"/>
        <v>-5.0922088045447014</v>
      </c>
      <c r="H67" s="6">
        <f t="shared" si="5"/>
        <v>-57.79246503970743</v>
      </c>
      <c r="I67" s="38">
        <f t="shared" si="0"/>
        <v>446.51920686831079</v>
      </c>
      <c r="J67" s="6">
        <f t="shared" si="1"/>
        <v>230.19313149111673</v>
      </c>
      <c r="L67" s="40">
        <v>6.3E-2</v>
      </c>
      <c r="M67" s="6">
        <f t="shared" si="6"/>
        <v>-5.0915255579734318</v>
      </c>
      <c r="N67" s="6">
        <f t="shared" si="7"/>
        <v>-56.700458818240762</v>
      </c>
      <c r="O67" s="38">
        <f t="shared" si="2"/>
        <v>455.45799502341532</v>
      </c>
      <c r="P67" s="6">
        <f t="shared" si="3"/>
        <v>323.33845322204712</v>
      </c>
      <c r="Q67" s="24"/>
      <c r="R67" s="25"/>
      <c r="T67" s="12">
        <v>0.54</v>
      </c>
      <c r="U67" s="6" t="e">
        <f t="shared" si="10"/>
        <v>#NUM!</v>
      </c>
      <c r="V67" s="6" t="e">
        <f t="shared" si="11"/>
        <v>#NUM!</v>
      </c>
      <c r="W67" s="38" t="e">
        <f t="shared" si="8"/>
        <v>#NUM!</v>
      </c>
      <c r="X67" s="6" t="e">
        <f t="shared" si="9"/>
        <v>#NUM!</v>
      </c>
    </row>
    <row r="68" spans="6:24" x14ac:dyDescent="0.25">
      <c r="F68" s="40">
        <v>6.4000000000000001E-2</v>
      </c>
      <c r="G68" s="6">
        <f t="shared" si="4"/>
        <v>-5.1500012695844086</v>
      </c>
      <c r="H68" s="6">
        <f t="shared" si="5"/>
        <v>-57.345945832839121</v>
      </c>
      <c r="I68" s="38">
        <f t="shared" si="0"/>
        <v>439.15037258008158</v>
      </c>
      <c r="J68" s="6">
        <f t="shared" si="1"/>
        <v>226.39429145432777</v>
      </c>
      <c r="L68" s="40">
        <v>6.4000000000000001E-2</v>
      </c>
      <c r="M68" s="6">
        <f t="shared" si="6"/>
        <v>-5.1482260167916722</v>
      </c>
      <c r="N68" s="6">
        <f t="shared" si="7"/>
        <v>-56.245000823217346</v>
      </c>
      <c r="O68" s="38">
        <f t="shared" si="2"/>
        <v>447.65503630106497</v>
      </c>
      <c r="P68" s="6">
        <f t="shared" si="3"/>
        <v>318.16475233005394</v>
      </c>
      <c r="Q68" s="24"/>
      <c r="R68" s="25"/>
      <c r="T68" s="12">
        <v>0.55000000000000004</v>
      </c>
      <c r="U68" s="6" t="e">
        <f t="shared" si="10"/>
        <v>#NUM!</v>
      </c>
      <c r="V68" s="6" t="e">
        <f t="shared" si="11"/>
        <v>#NUM!</v>
      </c>
      <c r="W68" s="38" t="e">
        <f t="shared" si="8"/>
        <v>#NUM!</v>
      </c>
      <c r="X68" s="6" t="e">
        <f t="shared" si="9"/>
        <v>#NUM!</v>
      </c>
    </row>
    <row r="69" spans="6:24" x14ac:dyDescent="0.25">
      <c r="F69" s="40">
        <v>6.5000000000000002E-2</v>
      </c>
      <c r="G69" s="6">
        <f t="shared" si="4"/>
        <v>-5.207347215417248</v>
      </c>
      <c r="H69" s="6">
        <f t="shared" si="5"/>
        <v>-56.90679546025904</v>
      </c>
      <c r="I69" s="38">
        <f t="shared" si="0"/>
        <v>431.95889221639044</v>
      </c>
      <c r="J69" s="6">
        <f t="shared" si="1"/>
        <v>222.68688232273544</v>
      </c>
      <c r="L69" s="40">
        <v>6.5000000000000002E-2</v>
      </c>
      <c r="M69" s="6">
        <f t="shared" si="6"/>
        <v>-5.2044710176148898</v>
      </c>
      <c r="N69" s="6">
        <f t="shared" si="7"/>
        <v>-55.797345786916281</v>
      </c>
      <c r="O69" s="38">
        <f t="shared" si="2"/>
        <v>440.04708238476195</v>
      </c>
      <c r="P69" s="6">
        <f t="shared" si="3"/>
        <v>313.12034810294</v>
      </c>
      <c r="Q69" s="24"/>
      <c r="R69" s="25"/>
      <c r="T69" s="12">
        <v>0.56000000000000005</v>
      </c>
      <c r="U69" s="6" t="e">
        <f t="shared" si="10"/>
        <v>#NUM!</v>
      </c>
      <c r="V69" s="6" t="e">
        <f t="shared" si="11"/>
        <v>#NUM!</v>
      </c>
      <c r="W69" s="38" t="e">
        <f t="shared" si="8"/>
        <v>#NUM!</v>
      </c>
      <c r="X69" s="6" t="e">
        <f t="shared" si="9"/>
        <v>#NUM!</v>
      </c>
    </row>
    <row r="70" spans="6:24" x14ac:dyDescent="0.25">
      <c r="F70" s="40">
        <v>6.6000000000000003E-2</v>
      </c>
      <c r="G70" s="6">
        <f t="shared" si="4"/>
        <v>-5.2642540108775071</v>
      </c>
      <c r="H70" s="6">
        <f t="shared" si="5"/>
        <v>-56.474836568042647</v>
      </c>
      <c r="I70" s="38">
        <f t="shared" si="0"/>
        <v>424.93911164143196</v>
      </c>
      <c r="J70" s="6">
        <f t="shared" si="1"/>
        <v>219.06798923129722</v>
      </c>
      <c r="L70" s="40">
        <v>6.6000000000000003E-2</v>
      </c>
      <c r="M70" s="6">
        <f t="shared" si="6"/>
        <v>-5.2602683634018064</v>
      </c>
      <c r="N70" s="6">
        <f t="shared" si="7"/>
        <v>-55.357298704531516</v>
      </c>
      <c r="O70" s="38">
        <f t="shared" si="2"/>
        <v>432.62767936948194</v>
      </c>
      <c r="P70" s="6">
        <f t="shared" si="3"/>
        <v>308.20096132106949</v>
      </c>
      <c r="Q70" s="24"/>
      <c r="R70" s="25"/>
      <c r="T70" s="12">
        <v>0.56999999999999995</v>
      </c>
      <c r="U70" s="6" t="e">
        <f t="shared" si="10"/>
        <v>#NUM!</v>
      </c>
      <c r="V70" s="6" t="e">
        <f t="shared" si="11"/>
        <v>#NUM!</v>
      </c>
      <c r="W70" s="38" t="e">
        <f t="shared" si="8"/>
        <v>#NUM!</v>
      </c>
      <c r="X70" s="6" t="e">
        <f t="shared" si="9"/>
        <v>#NUM!</v>
      </c>
    </row>
    <row r="71" spans="6:24" x14ac:dyDescent="0.25">
      <c r="F71" s="40">
        <v>6.7000000000000004E-2</v>
      </c>
      <c r="G71" s="6">
        <f t="shared" si="4"/>
        <v>-5.3207288474455501</v>
      </c>
      <c r="H71" s="6">
        <f t="shared" si="5"/>
        <v>-56.049897456401212</v>
      </c>
      <c r="I71" s="38">
        <f t="shared" si="0"/>
        <v>418.08560062637247</v>
      </c>
      <c r="J71" s="6">
        <f t="shared" si="1"/>
        <v>215.53481274527275</v>
      </c>
      <c r="L71" s="40">
        <v>6.7000000000000004E-2</v>
      </c>
      <c r="M71" s="6">
        <f t="shared" si="6"/>
        <v>-5.3156256621063376</v>
      </c>
      <c r="N71" s="6">
        <f t="shared" si="7"/>
        <v>-54.924671025162034</v>
      </c>
      <c r="O71" s="38">
        <f t="shared" si="2"/>
        <v>425.39063860812803</v>
      </c>
      <c r="P71" s="6">
        <f t="shared" si="3"/>
        <v>303.40248864234576</v>
      </c>
      <c r="Q71" s="24"/>
      <c r="R71" s="25"/>
      <c r="T71" s="12">
        <v>0.57999999999999996</v>
      </c>
      <c r="U71" s="6" t="e">
        <f t="shared" si="10"/>
        <v>#NUM!</v>
      </c>
      <c r="V71" s="6" t="e">
        <f t="shared" si="11"/>
        <v>#NUM!</v>
      </c>
      <c r="W71" s="38" t="e">
        <f t="shared" si="8"/>
        <v>#NUM!</v>
      </c>
      <c r="X71" s="6" t="e">
        <f t="shared" si="9"/>
        <v>#NUM!</v>
      </c>
    </row>
    <row r="72" spans="6:24" x14ac:dyDescent="0.25">
      <c r="F72" s="40">
        <v>6.8000000000000005E-2</v>
      </c>
      <c r="G72" s="6">
        <f t="shared" si="4"/>
        <v>-5.3767787449019515</v>
      </c>
      <c r="H72" s="6">
        <f t="shared" si="5"/>
        <v>-55.631811855774842</v>
      </c>
      <c r="I72" s="38">
        <f t="shared" si="0"/>
        <v>411.39314227920937</v>
      </c>
      <c r="J72" s="6">
        <f t="shared" si="1"/>
        <v>212.08466341102098</v>
      </c>
      <c r="L72" s="40">
        <v>6.8000000000000005E-2</v>
      </c>
      <c r="M72" s="6">
        <f t="shared" si="6"/>
        <v>-5.3705503331314999</v>
      </c>
      <c r="N72" s="6">
        <f t="shared" si="7"/>
        <v>-54.499280386553906</v>
      </c>
      <c r="O72" s="38">
        <f t="shared" si="2"/>
        <v>418.33002371830725</v>
      </c>
      <c r="P72" s="6">
        <f t="shared" si="3"/>
        <v>298.72099398713846</v>
      </c>
      <c r="Q72" s="24"/>
      <c r="R72" s="25"/>
      <c r="T72" s="12">
        <v>0.59</v>
      </c>
      <c r="U72" s="6" t="e">
        <f t="shared" si="10"/>
        <v>#NUM!</v>
      </c>
      <c r="V72" s="6" t="e">
        <f t="shared" si="11"/>
        <v>#NUM!</v>
      </c>
      <c r="W72" s="38" t="e">
        <f t="shared" si="8"/>
        <v>#NUM!</v>
      </c>
      <c r="X72" s="6" t="e">
        <f t="shared" si="9"/>
        <v>#NUM!</v>
      </c>
    </row>
    <row r="73" spans="6:24" x14ac:dyDescent="0.25">
      <c r="F73" s="40">
        <v>6.8999999999999895E-2</v>
      </c>
      <c r="G73" s="6">
        <f t="shared" si="4"/>
        <v>-5.4324105567577199</v>
      </c>
      <c r="H73" s="6">
        <f t="shared" si="5"/>
        <v>-55.220418713495675</v>
      </c>
      <c r="I73" s="38">
        <f t="shared" si="0"/>
        <v>404.85672305287034</v>
      </c>
      <c r="J73" s="6">
        <f t="shared" si="1"/>
        <v>208.71495660489589</v>
      </c>
      <c r="L73" s="40">
        <v>6.8999999999999895E-2</v>
      </c>
      <c r="M73" s="6">
        <f t="shared" si="6"/>
        <v>-5.4250496135180475</v>
      </c>
      <c r="N73" s="6">
        <f t="shared" si="7"/>
        <v>-54.080950362835644</v>
      </c>
      <c r="O73" s="38">
        <f t="shared" si="2"/>
        <v>411.44013832644703</v>
      </c>
      <c r="P73" s="6">
        <f t="shared" si="3"/>
        <v>294.15270041210073</v>
      </c>
      <c r="Q73" s="24"/>
      <c r="R73" s="25"/>
      <c r="T73" s="12">
        <v>0.6</v>
      </c>
      <c r="U73" s="6" t="e">
        <f t="shared" si="10"/>
        <v>#NUM!</v>
      </c>
      <c r="V73" s="6" t="e">
        <f t="shared" si="11"/>
        <v>#NUM!</v>
      </c>
      <c r="W73" s="38" t="e">
        <f t="shared" si="8"/>
        <v>#NUM!</v>
      </c>
      <c r="X73" s="6" t="e">
        <f t="shared" si="9"/>
        <v>#NUM!</v>
      </c>
    </row>
    <row r="74" spans="6:24" x14ac:dyDescent="0.25">
      <c r="F74" s="40">
        <v>6.9999999999999896E-2</v>
      </c>
      <c r="G74" s="6">
        <f t="shared" si="4"/>
        <v>-5.487630975471216</v>
      </c>
      <c r="H74" s="6">
        <f t="shared" si="5"/>
        <v>-54.815561990442802</v>
      </c>
      <c r="I74" s="38">
        <f t="shared" si="0"/>
        <v>398.47152329564182</v>
      </c>
      <c r="J74" s="6">
        <f t="shared" si="1"/>
        <v>205.42320766172838</v>
      </c>
      <c r="L74" s="40">
        <v>6.9999999999999896E-2</v>
      </c>
      <c r="M74" s="6">
        <f t="shared" si="6"/>
        <v>-5.4791305638808829</v>
      </c>
      <c r="N74" s="6">
        <f t="shared" si="7"/>
        <v>-53.669510224509196</v>
      </c>
      <c r="O74" s="38">
        <f t="shared" si="2"/>
        <v>404.71551450176798</v>
      </c>
      <c r="P74" s="6">
        <f t="shared" si="3"/>
        <v>289.69398244138961</v>
      </c>
      <c r="Q74" s="24"/>
      <c r="R74" s="25"/>
      <c r="T74" s="12">
        <v>0.61</v>
      </c>
      <c r="U74" s="6" t="e">
        <f t="shared" si="10"/>
        <v>#NUM!</v>
      </c>
      <c r="V74" s="6" t="e">
        <f t="shared" si="11"/>
        <v>#NUM!</v>
      </c>
      <c r="W74" s="38" t="e">
        <f t="shared" si="8"/>
        <v>#NUM!</v>
      </c>
      <c r="X74" s="6" t="e">
        <f t="shared" si="9"/>
        <v>#NUM!</v>
      </c>
    </row>
    <row r="75" spans="6:24" x14ac:dyDescent="0.25">
      <c r="F75" s="40">
        <v>7.0999999999999897E-2</v>
      </c>
      <c r="G75" s="6">
        <f t="shared" si="4"/>
        <v>-5.5424465374616592</v>
      </c>
      <c r="H75" s="6">
        <f t="shared" si="5"/>
        <v>-54.417090467147162</v>
      </c>
      <c r="I75" s="38">
        <f t="shared" si="0"/>
        <v>392.23290831052543</v>
      </c>
      <c r="J75" s="6">
        <f t="shared" si="1"/>
        <v>202.20702726567458</v>
      </c>
      <c r="L75" s="40">
        <v>7.0999999999999897E-2</v>
      </c>
      <c r="M75" s="6">
        <f t="shared" si="6"/>
        <v>-5.532800074105392</v>
      </c>
      <c r="N75" s="6">
        <f t="shared" si="7"/>
        <v>-53.264794710007429</v>
      </c>
      <c r="O75" s="38">
        <f t="shared" si="2"/>
        <v>398.15090183605577</v>
      </c>
      <c r="P75" s="6">
        <f t="shared" si="3"/>
        <v>285.34135882608047</v>
      </c>
      <c r="Q75" s="24"/>
      <c r="R75" s="25"/>
      <c r="T75" s="12">
        <v>0.62</v>
      </c>
      <c r="U75" s="6" t="e">
        <f t="shared" si="10"/>
        <v>#NUM!</v>
      </c>
      <c r="V75" s="6" t="e">
        <f t="shared" si="11"/>
        <v>#NUM!</v>
      </c>
      <c r="W75" s="38" t="e">
        <f t="shared" si="8"/>
        <v>#NUM!</v>
      </c>
      <c r="X75" s="6" t="e">
        <f t="shared" si="9"/>
        <v>#NUM!</v>
      </c>
    </row>
    <row r="76" spans="6:24" x14ac:dyDescent="0.25">
      <c r="F76" s="40">
        <v>7.1999999999999897E-2</v>
      </c>
      <c r="G76" s="6">
        <f t="shared" si="4"/>
        <v>-5.5968636279288067</v>
      </c>
      <c r="H76" s="6">
        <f t="shared" si="5"/>
        <v>-54.024857558836636</v>
      </c>
      <c r="I76" s="38">
        <f t="shared" si="0"/>
        <v>386.13641989239198</v>
      </c>
      <c r="J76" s="6">
        <f t="shared" si="1"/>
        <v>199.06411708738219</v>
      </c>
      <c r="L76" s="40">
        <v>7.1999999999999897E-2</v>
      </c>
      <c r="M76" s="6">
        <f t="shared" si="6"/>
        <v>-5.5860648688153995</v>
      </c>
      <c r="N76" s="6">
        <f t="shared" si="7"/>
        <v>-52.866643808171375</v>
      </c>
      <c r="O76" s="38">
        <f t="shared" si="2"/>
        <v>391.74125712829562</v>
      </c>
      <c r="P76" s="6">
        <f t="shared" si="3"/>
        <v>281.09148570463077</v>
      </c>
      <c r="Q76" s="24"/>
      <c r="R76" s="25"/>
      <c r="T76" s="12">
        <v>0.63</v>
      </c>
      <c r="U76" s="6" t="e">
        <f t="shared" si="10"/>
        <v>#NUM!</v>
      </c>
      <c r="V76" s="6" t="e">
        <f t="shared" si="11"/>
        <v>#NUM!</v>
      </c>
      <c r="W76" s="38" t="e">
        <f t="shared" si="8"/>
        <v>#NUM!</v>
      </c>
      <c r="X76" s="6" t="e">
        <f t="shared" si="9"/>
        <v>#NUM!</v>
      </c>
    </row>
    <row r="77" spans="6:24" x14ac:dyDescent="0.25">
      <c r="F77" s="40">
        <v>7.2999999999999898E-2</v>
      </c>
      <c r="G77" s="6">
        <f t="shared" si="4"/>
        <v>-5.6508884854876431</v>
      </c>
      <c r="H77" s="6">
        <f t="shared" si="5"/>
        <v>-53.638721138944241</v>
      </c>
      <c r="I77" s="38">
        <f t="shared" si="0"/>
        <v>380.17776831395895</v>
      </c>
      <c r="J77" s="6">
        <f t="shared" si="1"/>
        <v>195.99226565253784</v>
      </c>
      <c r="L77" s="40">
        <v>7.2999999999999898E-2</v>
      </c>
      <c r="M77" s="6">
        <f t="shared" si="6"/>
        <v>-5.6389315126235706</v>
      </c>
      <c r="N77" s="6">
        <f t="shared" si="7"/>
        <v>-52.47490255104308</v>
      </c>
      <c r="O77" s="38">
        <f t="shared" si="2"/>
        <v>385.48173463615547</v>
      </c>
      <c r="P77" s="6">
        <f t="shared" si="3"/>
        <v>276.94115013918997</v>
      </c>
      <c r="Q77" s="24"/>
      <c r="R77" s="25"/>
      <c r="T77" s="12">
        <v>0.64</v>
      </c>
      <c r="U77" s="6" t="e">
        <f t="shared" si="10"/>
        <v>#NUM!</v>
      </c>
      <c r="V77" s="6" t="e">
        <f t="shared" si="11"/>
        <v>#NUM!</v>
      </c>
      <c r="W77" s="38" t="e">
        <f t="shared" si="8"/>
        <v>#NUM!</v>
      </c>
      <c r="X77" s="6" t="e">
        <f t="shared" si="9"/>
        <v>#NUM!</v>
      </c>
    </row>
    <row r="78" spans="6:24" x14ac:dyDescent="0.25">
      <c r="F78" s="40">
        <v>7.3999999999999899E-2</v>
      </c>
      <c r="G78" s="6">
        <f t="shared" si="4"/>
        <v>-5.7045272066265875</v>
      </c>
      <c r="H78" s="6">
        <f t="shared" si="5"/>
        <v>-53.258543370630285</v>
      </c>
      <c r="I78" s="38">
        <f t="shared" si="0"/>
        <v>374.35282473356068</v>
      </c>
      <c r="J78" s="6">
        <f t="shared" si="1"/>
        <v>192.98934442786046</v>
      </c>
      <c r="L78" s="40">
        <v>7.3999999999999899E-2</v>
      </c>
      <c r="M78" s="6">
        <f t="shared" si="6"/>
        <v>-5.6914064151746135</v>
      </c>
      <c r="N78" s="6">
        <f t="shared" si="7"/>
        <v>-52.089420816406921</v>
      </c>
      <c r="O78" s="38">
        <f t="shared" si="2"/>
        <v>379.3676768589591</v>
      </c>
      <c r="P78" s="6">
        <f t="shared" si="3"/>
        <v>272.88726400430983</v>
      </c>
      <c r="Q78" s="24"/>
      <c r="R78" s="25"/>
      <c r="T78" s="12">
        <v>0.65</v>
      </c>
      <c r="U78" s="6" t="e">
        <f t="shared" si="10"/>
        <v>#NUM!</v>
      </c>
      <c r="V78" s="6" t="e">
        <f t="shared" si="11"/>
        <v>#NUM!</v>
      </c>
      <c r="W78" s="38" t="e">
        <f t="shared" si="8"/>
        <v>#NUM!</v>
      </c>
      <c r="X78" s="6" t="e">
        <f t="shared" si="9"/>
        <v>#NUM!</v>
      </c>
    </row>
    <row r="79" spans="6:24" x14ac:dyDescent="0.25">
      <c r="F79" s="40">
        <v>7.49999999999999E-2</v>
      </c>
      <c r="G79" s="6">
        <f t="shared" si="4"/>
        <v>-5.7577857499972183</v>
      </c>
      <c r="H79" s="6">
        <f t="shared" si="5"/>
        <v>-52.884190545896722</v>
      </c>
      <c r="I79" s="38">
        <f t="shared" si="0"/>
        <v>368.65761399950952</v>
      </c>
      <c r="J79" s="6">
        <f t="shared" si="1"/>
        <v>190.05330411154839</v>
      </c>
      <c r="L79" s="40">
        <v>7.49999999999999E-2</v>
      </c>
      <c r="M79" s="6">
        <f t="shared" si="6"/>
        <v>-5.7434958359910206</v>
      </c>
      <c r="N79" s="6">
        <f t="shared" si="7"/>
        <v>-51.710053139547959</v>
      </c>
      <c r="O79" s="38">
        <f t="shared" si="2"/>
        <v>373.39460581925755</v>
      </c>
      <c r="P79" s="6">
        <f t="shared" si="3"/>
        <v>268.92685820624683</v>
      </c>
      <c r="Q79" s="24"/>
      <c r="R79" s="25"/>
      <c r="T79" s="12">
        <v>0.66</v>
      </c>
      <c r="U79" s="6" t="e">
        <f t="shared" si="10"/>
        <v>#NUM!</v>
      </c>
      <c r="V79" s="6" t="e">
        <f t="shared" si="11"/>
        <v>#NUM!</v>
      </c>
      <c r="W79" s="38" t="e">
        <f t="shared" si="8"/>
        <v>#NUM!</v>
      </c>
      <c r="X79" s="6" t="e">
        <f t="shared" si="9"/>
        <v>#NUM!</v>
      </c>
    </row>
    <row r="80" spans="6:24" x14ac:dyDescent="0.25">
      <c r="F80" s="40">
        <v>7.5999999999999901E-2</v>
      </c>
      <c r="G80" s="6">
        <f t="shared" si="4"/>
        <v>-5.8106699405431153</v>
      </c>
      <c r="H80" s="6">
        <f t="shared" si="5"/>
        <v>-52.515532931897212</v>
      </c>
      <c r="I80" s="38">
        <f t="shared" si="0"/>
        <v>363.08830782752597</v>
      </c>
      <c r="J80" s="6">
        <f t="shared" si="1"/>
        <v>187.18217111605375</v>
      </c>
      <c r="L80" s="40">
        <v>7.5999999999999901E-2</v>
      </c>
      <c r="M80" s="6">
        <f t="shared" si="6"/>
        <v>-5.7952058891305684</v>
      </c>
      <c r="N80" s="6">
        <f t="shared" si="7"/>
        <v>-51.336658533728702</v>
      </c>
      <c r="O80" s="38">
        <f t="shared" si="2"/>
        <v>367.55821481238257</v>
      </c>
      <c r="P80" s="6">
        <f t="shared" si="3"/>
        <v>265.057077212558</v>
      </c>
      <c r="Q80" s="24"/>
      <c r="R80" s="25"/>
      <c r="T80" s="12">
        <v>0.67</v>
      </c>
      <c r="U80" s="6" t="e">
        <f t="shared" si="10"/>
        <v>#NUM!</v>
      </c>
      <c r="V80" s="6" t="e">
        <f t="shared" si="11"/>
        <v>#NUM!</v>
      </c>
      <c r="W80" s="38" t="e">
        <f t="shared" si="8"/>
        <v>#NUM!</v>
      </c>
      <c r="X80" s="6" t="e">
        <f t="shared" si="9"/>
        <v>#NUM!</v>
      </c>
    </row>
    <row r="81" spans="6:24" x14ac:dyDescent="0.25">
      <c r="F81" s="40">
        <v>7.6999999999999902E-2</v>
      </c>
      <c r="G81" s="6">
        <f t="shared" si="4"/>
        <v>-5.8631854734750126</v>
      </c>
      <c r="H81" s="6">
        <f t="shared" si="5"/>
        <v>-52.152444624069688</v>
      </c>
      <c r="I81" s="38">
        <f t="shared" si="0"/>
        <v>357.64121832927447</v>
      </c>
      <c r="J81" s="6">
        <f t="shared" si="1"/>
        <v>184.37404423186197</v>
      </c>
      <c r="L81" s="40">
        <v>7.6999999999999902E-2</v>
      </c>
      <c r="M81" s="6">
        <f t="shared" si="6"/>
        <v>-5.8465425476642974</v>
      </c>
      <c r="N81" s="6">
        <f t="shared" si="7"/>
        <v>-50.969100318916318</v>
      </c>
      <c r="O81" s="38">
        <f t="shared" si="2"/>
        <v>361.85436059546538</v>
      </c>
      <c r="P81" s="6">
        <f t="shared" si="3"/>
        <v>261.27517387308029</v>
      </c>
      <c r="Q81" s="24"/>
      <c r="R81" s="25"/>
      <c r="T81" s="12">
        <v>0.68</v>
      </c>
      <c r="U81" s="6" t="e">
        <f t="shared" si="10"/>
        <v>#NUM!</v>
      </c>
      <c r="V81" s="6" t="e">
        <f t="shared" si="11"/>
        <v>#NUM!</v>
      </c>
      <c r="W81" s="38" t="e">
        <f t="shared" si="8"/>
        <v>#NUM!</v>
      </c>
      <c r="X81" s="6" t="e">
        <f t="shared" si="9"/>
        <v>#NUM!</v>
      </c>
    </row>
    <row r="82" spans="6:24" x14ac:dyDescent="0.25">
      <c r="F82" s="40">
        <v>7.7999999999999903E-2</v>
      </c>
      <c r="G82" s="6">
        <f t="shared" si="4"/>
        <v>-5.9153379180990822</v>
      </c>
      <c r="H82" s="6">
        <f t="shared" si="5"/>
        <v>-51.79480340574041</v>
      </c>
      <c r="I82" s="38">
        <f t="shared" si="0"/>
        <v>352.31279187148772</v>
      </c>
      <c r="J82" s="6">
        <f t="shared" si="1"/>
        <v>181.62709146169863</v>
      </c>
      <c r="L82" s="40">
        <v>7.7999999999999903E-2</v>
      </c>
      <c r="M82" s="6">
        <f t="shared" si="6"/>
        <v>-5.8975116479832135</v>
      </c>
      <c r="N82" s="6">
        <f t="shared" si="7"/>
        <v>-50.607245958320853</v>
      </c>
      <c r="O82" s="38">
        <f t="shared" si="2"/>
        <v>356.27905598934717</v>
      </c>
      <c r="P82" s="6">
        <f t="shared" si="3"/>
        <v>257.57850451467584</v>
      </c>
      <c r="Q82" s="24"/>
      <c r="R82" s="25"/>
      <c r="T82" s="12">
        <v>0.69</v>
      </c>
      <c r="U82" s="6" t="e">
        <f t="shared" si="10"/>
        <v>#NUM!</v>
      </c>
      <c r="V82" s="6" t="e">
        <f t="shared" si="11"/>
        <v>#NUM!</v>
      </c>
      <c r="W82" s="38" t="e">
        <f t="shared" si="8"/>
        <v>#NUM!</v>
      </c>
      <c r="X82" s="6" t="e">
        <f t="shared" si="9"/>
        <v>#NUM!</v>
      </c>
    </row>
    <row r="83" spans="6:24" x14ac:dyDescent="0.25">
      <c r="F83" s="40">
        <v>7.8999999999999904E-2</v>
      </c>
      <c r="G83" s="6">
        <f t="shared" si="4"/>
        <v>-5.9671327215048224</v>
      </c>
      <c r="H83" s="6">
        <f t="shared" si="5"/>
        <v>-51.44249061386892</v>
      </c>
      <c r="I83" s="38">
        <f t="shared" si="0"/>
        <v>347.09960324650353</v>
      </c>
      <c r="J83" s="6">
        <f t="shared" si="1"/>
        <v>178.93954701527821</v>
      </c>
      <c r="L83" s="40">
        <v>7.8999999999999904E-2</v>
      </c>
      <c r="M83" s="6">
        <f t="shared" si="6"/>
        <v>-5.9481188939415341</v>
      </c>
      <c r="N83" s="6">
        <f t="shared" si="7"/>
        <v>-50.250966902331506</v>
      </c>
      <c r="O83" s="38">
        <f t="shared" si="2"/>
        <v>350.82846286860041</v>
      </c>
      <c r="P83" s="6">
        <f t="shared" si="3"/>
        <v>253.96452429331114</v>
      </c>
      <c r="Q83" s="24"/>
      <c r="R83" s="25"/>
      <c r="T83" s="12">
        <v>0.7</v>
      </c>
      <c r="U83" s="6" t="e">
        <f t="shared" si="10"/>
        <v>#NUM!</v>
      </c>
      <c r="V83" s="6" t="e">
        <f t="shared" si="11"/>
        <v>#NUM!</v>
      </c>
      <c r="W83" s="38" t="e">
        <f t="shared" si="8"/>
        <v>#NUM!</v>
      </c>
      <c r="X83" s="6" t="e">
        <f t="shared" si="9"/>
        <v>#NUM!</v>
      </c>
    </row>
    <row r="84" spans="6:24" x14ac:dyDescent="0.25">
      <c r="F84" s="40">
        <v>7.9999999999999905E-2</v>
      </c>
      <c r="G84" s="6">
        <f t="shared" si="4"/>
        <v>-6.0185752121186917</v>
      </c>
      <c r="H84" s="6">
        <f t="shared" si="5"/>
        <v>-51.095391010622414</v>
      </c>
      <c r="I84" s="38">
        <f t="shared" si="0"/>
        <v>341.99835013627802</v>
      </c>
      <c r="J84" s="6">
        <f t="shared" si="1"/>
        <v>176.3097084553483</v>
      </c>
      <c r="L84" s="40">
        <v>7.9999999999999905E-2</v>
      </c>
      <c r="M84" s="6">
        <f t="shared" si="6"/>
        <v>-5.9983698608438658</v>
      </c>
      <c r="N84" s="6">
        <f t="shared" si="7"/>
        <v>-49.900138439462907</v>
      </c>
      <c r="O84" s="38">
        <f t="shared" si="2"/>
        <v>345.49888551654584</v>
      </c>
      <c r="P84" s="6">
        <f t="shared" si="3"/>
        <v>250.43078278814451</v>
      </c>
      <c r="Q84" s="24"/>
      <c r="R84" s="25"/>
      <c r="T84" s="12">
        <v>0.71</v>
      </c>
      <c r="U84" s="6" t="e">
        <f t="shared" si="10"/>
        <v>#NUM!</v>
      </c>
      <c r="V84" s="6" t="e">
        <f t="shared" si="11"/>
        <v>#NUM!</v>
      </c>
      <c r="W84" s="38" t="e">
        <f t="shared" si="8"/>
        <v>#NUM!</v>
      </c>
      <c r="X84" s="6" t="e">
        <f t="shared" si="9"/>
        <v>#NUM!</v>
      </c>
    </row>
    <row r="85" spans="6:24" x14ac:dyDescent="0.25">
      <c r="F85" s="40">
        <v>8.0999999999999905E-2</v>
      </c>
      <c r="G85" s="6">
        <f t="shared" si="4"/>
        <v>-6.0696706031293139</v>
      </c>
      <c r="H85" s="6">
        <f t="shared" si="5"/>
        <v>-50.753392660486135</v>
      </c>
      <c r="I85" s="38">
        <f t="shared" si="0"/>
        <v>337.00584785309718</v>
      </c>
      <c r="J85" s="6">
        <f t="shared" si="1"/>
        <v>173.73593398637928</v>
      </c>
      <c r="L85" s="40">
        <v>8.0999999999999905E-2</v>
      </c>
      <c r="M85" s="6">
        <f t="shared" si="6"/>
        <v>-6.0482699992833284</v>
      </c>
      <c r="N85" s="6">
        <f t="shared" si="7"/>
        <v>-49.554639553946359</v>
      </c>
      <c r="O85" s="38">
        <f t="shared" si="2"/>
        <v>340.28676432368508</v>
      </c>
      <c r="P85" s="6">
        <f t="shared" si="3"/>
        <v>246.97491982331289</v>
      </c>
      <c r="Q85" s="24"/>
      <c r="R85" s="25"/>
      <c r="T85" s="12">
        <v>0.72</v>
      </c>
      <c r="U85" s="6" t="e">
        <f t="shared" si="10"/>
        <v>#NUM!</v>
      </c>
      <c r="V85" s="6" t="e">
        <f t="shared" si="11"/>
        <v>#NUM!</v>
      </c>
      <c r="W85" s="38" t="e">
        <f t="shared" si="8"/>
        <v>#NUM!</v>
      </c>
      <c r="X85" s="6" t="e">
        <f t="shared" si="9"/>
        <v>#NUM!</v>
      </c>
    </row>
    <row r="86" spans="6:24" x14ac:dyDescent="0.25">
      <c r="F86" s="40">
        <v>8.1999999999999906E-2</v>
      </c>
      <c r="G86" s="6">
        <f t="shared" si="4"/>
        <v>-6.1204239957898006</v>
      </c>
      <c r="H86" s="6">
        <f t="shared" si="5"/>
        <v>-50.416386812633036</v>
      </c>
      <c r="I86" s="38">
        <f t="shared" si="0"/>
        <v>332.11902434128046</v>
      </c>
      <c r="J86" s="6">
        <f t="shared" si="1"/>
        <v>171.21663987780298</v>
      </c>
      <c r="L86" s="40">
        <v>8.1999999999999906E-2</v>
      </c>
      <c r="M86" s="6">
        <f t="shared" si="6"/>
        <v>-6.0978246388372748</v>
      </c>
      <c r="N86" s="6">
        <f t="shared" si="7"/>
        <v>-49.214352789622673</v>
      </c>
      <c r="O86" s="38">
        <f t="shared" si="2"/>
        <v>335.18866980939805</v>
      </c>
      <c r="P86" s="6">
        <f t="shared" si="3"/>
        <v>243.5946615040574</v>
      </c>
      <c r="Q86" s="24"/>
      <c r="R86" s="25"/>
      <c r="T86" s="12">
        <v>0.73</v>
      </c>
      <c r="U86" s="6" t="e">
        <f t="shared" si="10"/>
        <v>#NUM!</v>
      </c>
      <c r="V86" s="6" t="e">
        <f t="shared" si="11"/>
        <v>#NUM!</v>
      </c>
      <c r="W86" s="38" t="e">
        <f t="shared" si="8"/>
        <v>#NUM!</v>
      </c>
      <c r="X86" s="6" t="e">
        <f t="shared" si="9"/>
        <v>#NUM!</v>
      </c>
    </row>
    <row r="87" spans="6:24" x14ac:dyDescent="0.25">
      <c r="F87" s="40">
        <v>8.2999999999999893E-2</v>
      </c>
      <c r="G87" s="6">
        <f t="shared" si="4"/>
        <v>-6.1708403826024325</v>
      </c>
      <c r="H87" s="6">
        <f t="shared" si="5"/>
        <v>-50.084267788291761</v>
      </c>
      <c r="I87" s="38">
        <f t="shared" si="0"/>
        <v>327.33491542516441</v>
      </c>
      <c r="J87" s="6">
        <f t="shared" si="1"/>
        <v>168.75029801421519</v>
      </c>
      <c r="L87" s="40">
        <v>8.2999999999999893E-2</v>
      </c>
      <c r="M87" s="6">
        <f t="shared" si="6"/>
        <v>-6.1470389916268964</v>
      </c>
      <c r="N87" s="6">
        <f t="shared" si="7"/>
        <v>-48.879164119813282</v>
      </c>
      <c r="O87" s="38">
        <f t="shared" si="2"/>
        <v>330.2012969480727</v>
      </c>
      <c r="P87" s="6">
        <f t="shared" si="3"/>
        <v>240.28781645470036</v>
      </c>
      <c r="Q87" s="24"/>
      <c r="R87" s="25"/>
      <c r="T87" s="12">
        <v>0.74</v>
      </c>
      <c r="U87" s="6" t="e">
        <f t="shared" si="10"/>
        <v>#NUM!</v>
      </c>
      <c r="V87" s="6" t="e">
        <f t="shared" si="11"/>
        <v>#NUM!</v>
      </c>
      <c r="W87" s="38" t="e">
        <f t="shared" si="8"/>
        <v>#NUM!</v>
      </c>
      <c r="X87" s="6" t="e">
        <f t="shared" si="9"/>
        <v>#NUM!</v>
      </c>
    </row>
    <row r="88" spans="6:24" x14ac:dyDescent="0.25">
      <c r="F88" s="40">
        <v>8.3999999999999894E-2</v>
      </c>
      <c r="G88" s="6">
        <f t="shared" si="4"/>
        <v>-6.2209246503907245</v>
      </c>
      <c r="H88" s="6">
        <f t="shared" si="5"/>
        <v>-49.756932872866599</v>
      </c>
      <c r="I88" s="38">
        <f t="shared" si="0"/>
        <v>322.65066028958398</v>
      </c>
      <c r="J88" s="6">
        <f t="shared" si="1"/>
        <v>166.33543356543768</v>
      </c>
      <c r="L88" s="40">
        <v>8.3999999999999894E-2</v>
      </c>
      <c r="M88" s="6">
        <f t="shared" si="6"/>
        <v>-6.1959181557467096</v>
      </c>
      <c r="N88" s="6">
        <f t="shared" si="7"/>
        <v>-48.548962822865207</v>
      </c>
      <c r="O88" s="38">
        <f t="shared" si="2"/>
        <v>325.3214597820629</v>
      </c>
      <c r="P88" s="6">
        <f t="shared" si="3"/>
        <v>237.05227224680257</v>
      </c>
      <c r="Q88" s="24"/>
      <c r="R88" s="25"/>
      <c r="T88" s="12">
        <v>0.75</v>
      </c>
      <c r="U88" s="6" t="e">
        <f t="shared" si="10"/>
        <v>#NUM!</v>
      </c>
      <c r="V88" s="6" t="e">
        <f t="shared" si="11"/>
        <v>#NUM!</v>
      </c>
      <c r="W88" s="38" t="e">
        <f t="shared" si="8"/>
        <v>#NUM!</v>
      </c>
      <c r="X88" s="6" t="e">
        <f t="shared" si="9"/>
        <v>#NUM!</v>
      </c>
    </row>
    <row r="89" spans="6:24" x14ac:dyDescent="0.25">
      <c r="F89" s="40">
        <v>8.4999999999999895E-2</v>
      </c>
      <c r="G89" s="6">
        <f t="shared" si="4"/>
        <v>-6.2706815832635909</v>
      </c>
      <c r="H89" s="6">
        <f t="shared" si="5"/>
        <v>-49.434282212577017</v>
      </c>
      <c r="I89" s="38">
        <f t="shared" si="0"/>
        <v>318.06349717993146</v>
      </c>
      <c r="J89" s="6">
        <f t="shared" si="1"/>
        <v>163.97062276977832</v>
      </c>
      <c r="L89" s="40">
        <v>8.4999999999999895E-2</v>
      </c>
      <c r="M89" s="6">
        <f t="shared" si="6"/>
        <v>-6.2444671185695748</v>
      </c>
      <c r="N89" s="6">
        <f t="shared" si="7"/>
        <v>-48.223641363083146</v>
      </c>
      <c r="O89" s="38">
        <f t="shared" si="2"/>
        <v>320.54608630500923</v>
      </c>
      <c r="P89" s="6">
        <f t="shared" si="3"/>
        <v>233.8859920065822</v>
      </c>
      <c r="Q89" s="24"/>
      <c r="R89" s="25"/>
      <c r="T89" s="12">
        <v>0.76</v>
      </c>
      <c r="U89" s="6" t="e">
        <f t="shared" si="10"/>
        <v>#NUM!</v>
      </c>
      <c r="V89" s="6" t="e">
        <f t="shared" si="11"/>
        <v>#NUM!</v>
      </c>
      <c r="W89" s="38" t="e">
        <f t="shared" si="8"/>
        <v>#NUM!</v>
      </c>
      <c r="X89" s="6" t="e">
        <f t="shared" si="9"/>
        <v>#NUM!</v>
      </c>
    </row>
    <row r="90" spans="6:24" x14ac:dyDescent="0.25">
      <c r="F90" s="40">
        <v>8.5999999999999896E-2</v>
      </c>
      <c r="G90" s="6">
        <f t="shared" si="4"/>
        <v>-6.3201158654761684</v>
      </c>
      <c r="H90" s="6">
        <f t="shared" si="5"/>
        <v>-49.116218715397082</v>
      </c>
      <c r="I90" s="38">
        <f t="shared" si="0"/>
        <v>313.57075930967341</v>
      </c>
      <c r="J90" s="6">
        <f t="shared" si="1"/>
        <v>161.65449082424155</v>
      </c>
      <c r="L90" s="40">
        <v>8.5999999999999896E-2</v>
      </c>
      <c r="M90" s="6">
        <f t="shared" si="6"/>
        <v>-6.2926907599326576</v>
      </c>
      <c r="N90" s="6">
        <f t="shared" si="7"/>
        <v>-47.903095276778139</v>
      </c>
      <c r="O90" s="38">
        <f t="shared" si="2"/>
        <v>315.87221360010921</v>
      </c>
      <c r="P90" s="6">
        <f t="shared" si="3"/>
        <v>230.78701119137673</v>
      </c>
      <c r="Q90" s="24"/>
      <c r="R90" s="25"/>
      <c r="T90" s="12">
        <v>0.77</v>
      </c>
      <c r="U90" s="6" t="e">
        <f t="shared" si="10"/>
        <v>#NUM!</v>
      </c>
      <c r="V90" s="6" t="e">
        <f t="shared" si="11"/>
        <v>#NUM!</v>
      </c>
      <c r="W90" s="38" t="e">
        <f t="shared" si="8"/>
        <v>#NUM!</v>
      </c>
      <c r="X90" s="6" t="e">
        <f t="shared" si="9"/>
        <v>#NUM!</v>
      </c>
    </row>
    <row r="91" spans="6:24" x14ac:dyDescent="0.25">
      <c r="F91" s="40">
        <v>8.6999999999999897E-2</v>
      </c>
      <c r="G91" s="6">
        <f t="shared" si="4"/>
        <v>-6.3692320841915659</v>
      </c>
      <c r="H91" s="6">
        <f t="shared" si="5"/>
        <v>-48.802647956087405</v>
      </c>
      <c r="I91" s="38">
        <f t="shared" si="0"/>
        <v>309.16987096395684</v>
      </c>
      <c r="J91" s="6">
        <f t="shared" si="1"/>
        <v>159.38570987582867</v>
      </c>
      <c r="L91" s="40">
        <v>8.6999999999999897E-2</v>
      </c>
      <c r="M91" s="6">
        <f t="shared" si="6"/>
        <v>-6.3405938552094359</v>
      </c>
      <c r="N91" s="6">
        <f t="shared" si="7"/>
        <v>-47.58722306317803</v>
      </c>
      <c r="O91" s="38">
        <f t="shared" si="2"/>
        <v>311.29698321891311</v>
      </c>
      <c r="P91" s="6">
        <f t="shared" si="3"/>
        <v>227.75343452558366</v>
      </c>
      <c r="Q91" s="24"/>
      <c r="R91" s="25"/>
      <c r="T91" s="12">
        <v>0.78</v>
      </c>
      <c r="U91" s="6" t="e">
        <f t="shared" si="10"/>
        <v>#NUM!</v>
      </c>
      <c r="V91" s="6" t="e">
        <f t="shared" si="11"/>
        <v>#NUM!</v>
      </c>
      <c r="W91" s="38" t="e">
        <f t="shared" si="8"/>
        <v>#NUM!</v>
      </c>
      <c r="X91" s="6" t="e">
        <f t="shared" si="9"/>
        <v>#NUM!</v>
      </c>
    </row>
    <row r="92" spans="6:24" x14ac:dyDescent="0.25">
      <c r="F92" s="40">
        <v>8.7999999999999898E-2</v>
      </c>
      <c r="G92" s="6">
        <f t="shared" si="4"/>
        <v>-6.4180347321476532</v>
      </c>
      <c r="H92" s="6">
        <f t="shared" si="5"/>
        <v>-48.493478085123449</v>
      </c>
      <c r="I92" s="38">
        <f t="shared" si="0"/>
        <v>304.85834378862967</v>
      </c>
      <c r="J92" s="6">
        <f t="shared" si="1"/>
        <v>157.16299710842398</v>
      </c>
      <c r="L92" s="40">
        <v>8.7999999999999898E-2</v>
      </c>
      <c r="M92" s="6">
        <f t="shared" si="6"/>
        <v>-6.3881810782726136</v>
      </c>
      <c r="N92" s="6">
        <f t="shared" si="7"/>
        <v>-47.275926079959113</v>
      </c>
      <c r="O92" s="38">
        <f t="shared" si="2"/>
        <v>306.81763678712616</v>
      </c>
      <c r="P92" s="6">
        <f t="shared" si="3"/>
        <v>224.78343308711626</v>
      </c>
      <c r="Q92" s="24"/>
      <c r="R92" s="25"/>
      <c r="T92" s="12">
        <v>0.79</v>
      </c>
      <c r="U92" s="6" t="e">
        <f t="shared" si="10"/>
        <v>#NUM!</v>
      </c>
      <c r="V92" s="6" t="e">
        <f t="shared" si="11"/>
        <v>#NUM!</v>
      </c>
      <c r="W92" s="38" t="e">
        <f t="shared" si="8"/>
        <v>#NUM!</v>
      </c>
      <c r="X92" s="6" t="e">
        <f t="shared" si="9"/>
        <v>#NUM!</v>
      </c>
    </row>
    <row r="93" spans="6:24" x14ac:dyDescent="0.25">
      <c r="F93" s="40">
        <v>8.8999999999999899E-2</v>
      </c>
      <c r="G93" s="6">
        <f t="shared" si="4"/>
        <v>-6.4665282102327764</v>
      </c>
      <c r="H93" s="6">
        <f t="shared" si="5"/>
        <v>-48.188619741334819</v>
      </c>
      <c r="I93" s="38">
        <f t="shared" si="0"/>
        <v>300.63377325465291</v>
      </c>
      <c r="J93" s="6">
        <f t="shared" si="1"/>
        <v>154.98511292010056</v>
      </c>
      <c r="L93" s="40">
        <v>8.8999999999999899E-2</v>
      </c>
      <c r="M93" s="6">
        <f t="shared" si="6"/>
        <v>-6.435457004352573</v>
      </c>
      <c r="N93" s="6">
        <f t="shared" si="7"/>
        <v>-46.96910844317199</v>
      </c>
      <c r="O93" s="38">
        <f t="shared" si="2"/>
        <v>302.43151182475401</v>
      </c>
      <c r="P93" s="6">
        <f t="shared" si="3"/>
        <v>221.87524153597818</v>
      </c>
      <c r="Q93" s="24"/>
      <c r="R93" s="25"/>
      <c r="T93" s="12">
        <v>0.8</v>
      </c>
      <c r="U93" s="6" t="e">
        <f t="shared" si="10"/>
        <v>#NUM!</v>
      </c>
      <c r="V93" s="6" t="e">
        <f t="shared" si="11"/>
        <v>#NUM!</v>
      </c>
      <c r="W93" s="38" t="e">
        <f t="shared" si="8"/>
        <v>#NUM!</v>
      </c>
      <c r="X93" s="6" t="e">
        <f t="shared" si="9"/>
        <v>#NUM!</v>
      </c>
    </row>
    <row r="94" spans="6:24" x14ac:dyDescent="0.25">
      <c r="F94" s="40">
        <v>8.99999999999999E-2</v>
      </c>
      <c r="G94" s="6">
        <f t="shared" si="4"/>
        <v>-6.5147168299741116</v>
      </c>
      <c r="H94" s="6">
        <f t="shared" si="5"/>
        <v>-47.887985968080166</v>
      </c>
      <c r="I94" s="38">
        <f t="shared" si="0"/>
        <v>296.49383528848637</v>
      </c>
      <c r="J94" s="6">
        <f t="shared" si="1"/>
        <v>152.85085918598986</v>
      </c>
      <c r="L94" s="40">
        <v>8.99999999999999E-2</v>
      </c>
      <c r="M94" s="6">
        <f t="shared" si="6"/>
        <v>-6.4824261127957445</v>
      </c>
      <c r="N94" s="6">
        <f t="shared" si="7"/>
        <v>-46.666676931347233</v>
      </c>
      <c r="O94" s="38">
        <f t="shared" si="2"/>
        <v>298.13603776871213</v>
      </c>
      <c r="P94" s="6">
        <f t="shared" si="3"/>
        <v>219.02715547708084</v>
      </c>
      <c r="Q94" s="24"/>
      <c r="R94" s="25"/>
      <c r="T94" s="12">
        <v>0.81</v>
      </c>
      <c r="U94" s="6" t="e">
        <f t="shared" si="10"/>
        <v>#NUM!</v>
      </c>
      <c r="V94" s="6" t="e">
        <f t="shared" si="11"/>
        <v>#NUM!</v>
      </c>
      <c r="W94" s="38" t="e">
        <f t="shared" si="8"/>
        <v>#NUM!</v>
      </c>
      <c r="X94" s="6" t="e">
        <f t="shared" si="9"/>
        <v>#NUM!</v>
      </c>
    </row>
    <row r="95" spans="6:24" x14ac:dyDescent="0.25">
      <c r="F95" s="40">
        <v>9.09999999999999E-2</v>
      </c>
      <c r="G95" s="6">
        <f t="shared" si="4"/>
        <v>-6.5626048159421915</v>
      </c>
      <c r="H95" s="6">
        <f t="shared" si="5"/>
        <v>-47.591492132791679</v>
      </c>
      <c r="I95" s="38">
        <f t="shared" si="0"/>
        <v>292.43628305959561</v>
      </c>
      <c r="J95" s="6">
        <f t="shared" si="1"/>
        <v>150.75907760215176</v>
      </c>
      <c r="L95" s="40">
        <v>9.09999999999999E-2</v>
      </c>
      <c r="M95" s="6">
        <f t="shared" si="6"/>
        <v>-6.5290927897270921</v>
      </c>
      <c r="N95" s="6">
        <f t="shared" si="7"/>
        <v>-46.368540893578519</v>
      </c>
      <c r="O95" s="38">
        <f t="shared" si="2"/>
        <v>293.92873218676237</v>
      </c>
      <c r="P95" s="6">
        <f t="shared" si="3"/>
        <v>216.23752894991853</v>
      </c>
      <c r="Q95" s="24"/>
      <c r="R95" s="25"/>
      <c r="T95" s="12">
        <v>0.82</v>
      </c>
      <c r="U95" s="6" t="e">
        <f t="shared" si="10"/>
        <v>#NUM!</v>
      </c>
      <c r="V95" s="6" t="e">
        <f t="shared" si="11"/>
        <v>#NUM!</v>
      </c>
      <c r="W95" s="38" t="e">
        <f t="shared" si="8"/>
        <v>#NUM!</v>
      </c>
      <c r="X95" s="6" t="e">
        <f t="shared" si="9"/>
        <v>#NUM!</v>
      </c>
    </row>
    <row r="96" spans="6:24" x14ac:dyDescent="0.25">
      <c r="F96" s="40">
        <v>9.1999999999999901E-2</v>
      </c>
      <c r="G96" s="6">
        <f t="shared" si="4"/>
        <v>-6.6101963080749835</v>
      </c>
      <c r="H96" s="6">
        <f t="shared" si="5"/>
        <v>-47.299055849732085</v>
      </c>
      <c r="I96" s="38">
        <f t="shared" si="0"/>
        <v>288.45894391675546</v>
      </c>
      <c r="J96" s="6">
        <f t="shared" si="1"/>
        <v>148.70864810615342</v>
      </c>
      <c r="L96" s="40">
        <v>9.1999999999999901E-2</v>
      </c>
      <c r="M96" s="6">
        <f t="shared" si="6"/>
        <v>-6.5754613306206711</v>
      </c>
      <c r="N96" s="6">
        <f t="shared" si="7"/>
        <v>-46.074612161391755</v>
      </c>
      <c r="O96" s="38">
        <f t="shared" si="2"/>
        <v>289.80719717231875</v>
      </c>
      <c r="P96" s="6">
        <f t="shared" si="3"/>
        <v>213.50477203816783</v>
      </c>
      <c r="Q96" s="24"/>
      <c r="R96" s="25"/>
      <c r="T96" s="12">
        <v>0.83</v>
      </c>
      <c r="U96" s="6" t="e">
        <f t="shared" si="10"/>
        <v>#NUM!</v>
      </c>
      <c r="V96" s="6" t="e">
        <f t="shared" si="11"/>
        <v>#NUM!</v>
      </c>
      <c r="W96" s="38" t="e">
        <f t="shared" si="8"/>
        <v>#NUM!</v>
      </c>
      <c r="X96" s="6" t="e">
        <f t="shared" si="9"/>
        <v>#NUM!</v>
      </c>
    </row>
    <row r="97" spans="6:24" x14ac:dyDescent="0.25">
      <c r="F97" s="40">
        <v>9.2999999999999902E-2</v>
      </c>
      <c r="G97" s="6">
        <f t="shared" si="4"/>
        <v>-6.6574953639247152</v>
      </c>
      <c r="H97" s="6">
        <f t="shared" si="5"/>
        <v>-47.010596905815326</v>
      </c>
      <c r="I97" s="38">
        <f t="shared" si="0"/>
        <v>284.55971646531947</v>
      </c>
      <c r="J97" s="6">
        <f t="shared" si="1"/>
        <v>146.69848737031998</v>
      </c>
      <c r="L97" s="40">
        <v>9.2999999999999902E-2</v>
      </c>
      <c r="M97" s="6">
        <f t="shared" si="6"/>
        <v>-6.6215359427820628</v>
      </c>
      <c r="N97" s="6">
        <f t="shared" si="7"/>
        <v>-45.78480496421944</v>
      </c>
      <c r="O97" s="38">
        <f t="shared" si="2"/>
        <v>285.76911591030751</v>
      </c>
      <c r="P97" s="6">
        <f t="shared" si="3"/>
        <v>210.82734859270388</v>
      </c>
      <c r="Q97" s="24"/>
      <c r="R97" s="25"/>
      <c r="T97" s="12">
        <v>0.84</v>
      </c>
      <c r="U97" s="6" t="e">
        <f t="shared" si="10"/>
        <v>#NUM!</v>
      </c>
      <c r="V97" s="6" t="e">
        <f t="shared" si="11"/>
        <v>#NUM!</v>
      </c>
      <c r="W97" s="38" t="e">
        <f t="shared" si="8"/>
        <v>#NUM!</v>
      </c>
      <c r="X97" s="6" t="e">
        <f t="shared" si="9"/>
        <v>#NUM!</v>
      </c>
    </row>
    <row r="98" spans="6:24" x14ac:dyDescent="0.25">
      <c r="F98" s="40">
        <v>9.3999999999999903E-2</v>
      </c>
      <c r="G98" s="6">
        <f t="shared" si="4"/>
        <v>-6.7045059608305309</v>
      </c>
      <c r="H98" s="6">
        <f t="shared" si="5"/>
        <v>-46.726037189350009</v>
      </c>
      <c r="I98" s="38">
        <f t="shared" si="0"/>
        <v>280.73656777808583</v>
      </c>
      <c r="J98" s="6">
        <f t="shared" si="1"/>
        <v>144.72754736385789</v>
      </c>
      <c r="L98" s="40">
        <v>9.3999999999999903E-2</v>
      </c>
      <c r="M98" s="6">
        <f t="shared" si="6"/>
        <v>-6.6673207477462819</v>
      </c>
      <c r="N98" s="6">
        <f t="shared" si="7"/>
        <v>-45.499035848309134</v>
      </c>
      <c r="O98" s="38">
        <f t="shared" si="2"/>
        <v>281.81224940486123</v>
      </c>
      <c r="P98" s="6">
        <f t="shared" si="3"/>
        <v>208.20377406191884</v>
      </c>
      <c r="Q98" s="24"/>
      <c r="R98" s="25"/>
      <c r="T98" s="12">
        <v>0.85</v>
      </c>
      <c r="U98" s="6" t="e">
        <f t="shared" si="10"/>
        <v>#NUM!</v>
      </c>
      <c r="V98" s="6" t="e">
        <f t="shared" si="11"/>
        <v>#NUM!</v>
      </c>
      <c r="W98" s="38" t="e">
        <f t="shared" si="8"/>
        <v>#NUM!</v>
      </c>
      <c r="X98" s="6" t="e">
        <f t="shared" si="9"/>
        <v>#NUM!</v>
      </c>
    </row>
    <row r="99" spans="6:24" x14ac:dyDescent="0.25">
      <c r="F99" s="40">
        <v>9.4999999999999904E-2</v>
      </c>
      <c r="G99" s="6">
        <f t="shared" si="4"/>
        <v>-6.7512319980198807</v>
      </c>
      <c r="H99" s="6">
        <f t="shared" si="5"/>
        <v>-46.445300621571924</v>
      </c>
      <c r="I99" s="38">
        <f t="shared" si="0"/>
        <v>276.98753073281864</v>
      </c>
      <c r="J99" s="6">
        <f t="shared" si="1"/>
        <v>142.79481398027295</v>
      </c>
      <c r="L99" s="40">
        <v>9.4999999999999904E-2</v>
      </c>
      <c r="M99" s="6">
        <f t="shared" si="6"/>
        <v>-6.7128197835945915</v>
      </c>
      <c r="N99" s="6">
        <f t="shared" si="7"/>
        <v>-45.217223598904276</v>
      </c>
      <c r="O99" s="38">
        <f t="shared" si="2"/>
        <v>277.93443336018163</v>
      </c>
      <c r="P99" s="6">
        <f t="shared" si="3"/>
        <v>205.63261342359868</v>
      </c>
      <c r="Q99" s="24"/>
      <c r="R99" s="25"/>
      <c r="T99" s="12">
        <v>0.86</v>
      </c>
      <c r="U99" s="6" t="e">
        <f t="shared" si="10"/>
        <v>#NUM!</v>
      </c>
      <c r="V99" s="6" t="e">
        <f t="shared" si="11"/>
        <v>#NUM!</v>
      </c>
      <c r="W99" s="38" t="e">
        <f t="shared" si="8"/>
        <v>#NUM!</v>
      </c>
      <c r="X99" s="6" t="e">
        <f t="shared" si="9"/>
        <v>#NUM!</v>
      </c>
    </row>
    <row r="100" spans="6:24" x14ac:dyDescent="0.25">
      <c r="F100" s="40">
        <v>9.5999999999999905E-2</v>
      </c>
      <c r="G100" s="6">
        <f t="shared" si="4"/>
        <v>-6.7976772986414531</v>
      </c>
      <c r="H100" s="6">
        <f t="shared" si="5"/>
        <v>-46.168313090839106</v>
      </c>
      <c r="I100" s="38">
        <f t="shared" si="0"/>
        <v>273.31070146989111</v>
      </c>
      <c r="J100" s="6">
        <f t="shared" si="1"/>
        <v>140.89930572671403</v>
      </c>
      <c r="L100" s="40">
        <v>9.5999999999999905E-2</v>
      </c>
      <c r="M100" s="6">
        <f t="shared" si="6"/>
        <v>-6.7580370071934954</v>
      </c>
      <c r="N100" s="6">
        <f t="shared" si="7"/>
        <v>-44.939289165544096</v>
      </c>
      <c r="O100" s="38">
        <f t="shared" si="2"/>
        <v>274.13357520642609</v>
      </c>
      <c r="P100" s="6">
        <f t="shared" si="3"/>
        <v>203.11247921295643</v>
      </c>
      <c r="Q100" s="24"/>
      <c r="R100" s="25"/>
      <c r="T100" s="12">
        <v>0.87</v>
      </c>
      <c r="U100" s="6" t="e">
        <f t="shared" si="10"/>
        <v>#NUM!</v>
      </c>
      <c r="V100" s="6" t="e">
        <f t="shared" si="11"/>
        <v>#NUM!</v>
      </c>
      <c r="W100" s="38" t="e">
        <f t="shared" si="8"/>
        <v>#NUM!</v>
      </c>
      <c r="X100" s="6" t="e">
        <f t="shared" si="9"/>
        <v>#NUM!</v>
      </c>
    </row>
    <row r="101" spans="6:24" x14ac:dyDescent="0.25">
      <c r="F101" s="40">
        <v>9.6999999999999906E-2</v>
      </c>
      <c r="G101" s="6">
        <f t="shared" si="4"/>
        <v>-6.8438456117322923</v>
      </c>
      <c r="H101" s="6">
        <f t="shared" si="5"/>
        <v>-45.895002389369218</v>
      </c>
      <c r="I101" s="38">
        <f t="shared" si="0"/>
        <v>269.70423696389003</v>
      </c>
      <c r="J101" s="6">
        <f t="shared" si="1"/>
        <v>139.04007247206752</v>
      </c>
      <c r="L101" s="40">
        <v>9.6999999999999906E-2</v>
      </c>
      <c r="M101" s="6">
        <f t="shared" si="6"/>
        <v>-6.8029762963590397</v>
      </c>
      <c r="N101" s="6">
        <f t="shared" si="7"/>
        <v>-44.665155590337669</v>
      </c>
      <c r="O101" s="38">
        <f t="shared" si="2"/>
        <v>270.40765126295571</v>
      </c>
      <c r="P101" s="6">
        <f t="shared" si="3"/>
        <v>200.64202964174237</v>
      </c>
      <c r="Q101" s="24"/>
      <c r="R101" s="25"/>
      <c r="T101" s="12">
        <v>0.88</v>
      </c>
      <c r="U101" s="6" t="e">
        <f t="shared" si="10"/>
        <v>#NUM!</v>
      </c>
      <c r="V101" s="6" t="e">
        <f t="shared" si="11"/>
        <v>#NUM!</v>
      </c>
      <c r="W101" s="38" t="e">
        <f t="shared" si="8"/>
        <v>#NUM!</v>
      </c>
      <c r="X101" s="6" t="e">
        <f t="shared" si="9"/>
        <v>#NUM!</v>
      </c>
    </row>
    <row r="102" spans="6:24" x14ac:dyDescent="0.25">
      <c r="F102" s="40">
        <v>9.7999999999999907E-2</v>
      </c>
      <c r="G102" s="6">
        <f t="shared" si="4"/>
        <v>-6.8897406141216617</v>
      </c>
      <c r="H102" s="6">
        <f t="shared" si="5"/>
        <v>-45.625298152405328</v>
      </c>
      <c r="I102" s="38">
        <f t="shared" si="0"/>
        <v>266.16635270337702</v>
      </c>
      <c r="J102" s="6">
        <f t="shared" si="1"/>
        <v>137.21619425080925</v>
      </c>
      <c r="L102" s="40">
        <v>9.7999999999999907E-2</v>
      </c>
      <c r="M102" s="6">
        <f t="shared" si="6"/>
        <v>-6.8476414519493778</v>
      </c>
      <c r="N102" s="6">
        <f t="shared" si="7"/>
        <v>-44.394747939074712</v>
      </c>
      <c r="O102" s="38">
        <f t="shared" si="2"/>
        <v>266.75470403173688</v>
      </c>
      <c r="P102" s="6">
        <f t="shared" si="3"/>
        <v>198.21996680365157</v>
      </c>
      <c r="Q102" s="24"/>
      <c r="R102" s="25"/>
      <c r="T102" s="12">
        <v>0.89</v>
      </c>
      <c r="U102" s="6" t="e">
        <f t="shared" si="10"/>
        <v>#NUM!</v>
      </c>
      <c r="V102" s="6" t="e">
        <f t="shared" si="11"/>
        <v>#NUM!</v>
      </c>
      <c r="W102" s="38" t="e">
        <f t="shared" si="8"/>
        <v>#NUM!</v>
      </c>
      <c r="X102" s="6" t="e">
        <f t="shared" si="9"/>
        <v>#NUM!</v>
      </c>
    </row>
    <row r="103" spans="6:24" x14ac:dyDescent="0.25">
      <c r="F103" s="40">
        <v>9.8999999999999894E-2</v>
      </c>
      <c r="G103" s="6">
        <f t="shared" si="4"/>
        <v>-6.9353659122740661</v>
      </c>
      <c r="H103" s="6">
        <f t="shared" si="5"/>
        <v>-45.359131799701956</v>
      </c>
      <c r="I103" s="38">
        <f t="shared" si="0"/>
        <v>262.69532047333144</v>
      </c>
      <c r="J103" s="6">
        <f t="shared" si="1"/>
        <v>135.42678011979197</v>
      </c>
      <c r="L103" s="40">
        <v>9.8999999999999894E-2</v>
      </c>
      <c r="M103" s="6">
        <f t="shared" si="6"/>
        <v>-6.8920361998884516</v>
      </c>
      <c r="N103" s="6">
        <f t="shared" si="7"/>
        <v>-44.127993235042979</v>
      </c>
      <c r="O103" s="38">
        <f t="shared" si="2"/>
        <v>263.17283961410993</v>
      </c>
      <c r="P103" s="6">
        <f t="shared" si="3"/>
        <v>195.84503496152942</v>
      </c>
      <c r="Q103" s="24"/>
      <c r="R103" s="25"/>
      <c r="T103" s="12">
        <v>0.9</v>
      </c>
      <c r="U103" s="6" t="e">
        <f t="shared" si="10"/>
        <v>#NUM!</v>
      </c>
      <c r="V103" s="6" t="e">
        <f t="shared" si="11"/>
        <v>#NUM!</v>
      </c>
      <c r="W103" s="38" t="e">
        <f t="shared" si="8"/>
        <v>#NUM!</v>
      </c>
      <c r="X103" s="6" t="e">
        <f t="shared" si="9"/>
        <v>#NUM!</v>
      </c>
    </row>
    <row r="104" spans="6:24" x14ac:dyDescent="0.25">
      <c r="F104" s="40">
        <v>9.9999999999999895E-2</v>
      </c>
      <c r="G104" s="6">
        <f t="shared" si="4"/>
        <v>-6.9807250440737683</v>
      </c>
      <c r="H104" s="6">
        <f t="shared" si="5"/>
        <v>-45.096436479228622</v>
      </c>
      <c r="I104" s="38">
        <f t="shared" si="0"/>
        <v>259.28946623511087</v>
      </c>
      <c r="J104" s="6">
        <f t="shared" si="1"/>
        <v>133.6709670653056</v>
      </c>
      <c r="L104" s="40">
        <v>9.9999999999999895E-2</v>
      </c>
      <c r="M104" s="6">
        <f t="shared" si="6"/>
        <v>-6.9361641931234947</v>
      </c>
      <c r="N104" s="6">
        <f t="shared" si="7"/>
        <v>-43.864820395428872</v>
      </c>
      <c r="O104" s="38">
        <f t="shared" si="2"/>
        <v>259.66022524453655</v>
      </c>
      <c r="P104" s="6">
        <f t="shared" si="3"/>
        <v>193.51601891213835</v>
      </c>
      <c r="Q104" s="24"/>
      <c r="R104" s="25"/>
      <c r="T104" s="12">
        <v>0.91</v>
      </c>
      <c r="U104" s="6" t="e">
        <f t="shared" si="10"/>
        <v>#NUM!</v>
      </c>
      <c r="V104" s="6" t="e">
        <f t="shared" si="11"/>
        <v>#NUM!</v>
      </c>
      <c r="W104" s="38" t="e">
        <f t="shared" si="8"/>
        <v>#NUM!</v>
      </c>
      <c r="X104" s="6" t="e">
        <f t="shared" si="9"/>
        <v>#NUM!</v>
      </c>
    </row>
    <row r="105" spans="6:24" x14ac:dyDescent="0.25">
      <c r="Q105" s="24"/>
      <c r="R105" s="25"/>
      <c r="T105" s="12">
        <v>0.92</v>
      </c>
      <c r="U105" s="6" t="e">
        <f t="shared" si="10"/>
        <v>#NUM!</v>
      </c>
      <c r="V105" s="6" t="e">
        <f t="shared" si="11"/>
        <v>#NUM!</v>
      </c>
      <c r="W105" s="38" t="e">
        <f t="shared" si="8"/>
        <v>#NUM!</v>
      </c>
      <c r="X105" s="6" t="e">
        <f t="shared" si="9"/>
        <v>#NUM!</v>
      </c>
    </row>
    <row r="106" spans="6:24" x14ac:dyDescent="0.25">
      <c r="Q106" s="24"/>
      <c r="R106" s="25"/>
      <c r="T106" s="12">
        <v>0.93</v>
      </c>
      <c r="U106" s="6" t="e">
        <f t="shared" si="10"/>
        <v>#NUM!</v>
      </c>
      <c r="V106" s="6" t="e">
        <f t="shared" si="11"/>
        <v>#NUM!</v>
      </c>
      <c r="W106" s="38" t="e">
        <f t="shared" si="8"/>
        <v>#NUM!</v>
      </c>
      <c r="X106" s="6" t="e">
        <f t="shared" si="9"/>
        <v>#NUM!</v>
      </c>
    </row>
    <row r="107" spans="6:24" x14ac:dyDescent="0.25">
      <c r="Q107" s="24"/>
      <c r="R107" s="25"/>
      <c r="T107" s="12">
        <v>0.94</v>
      </c>
      <c r="U107" s="6" t="e">
        <f t="shared" si="10"/>
        <v>#NUM!</v>
      </c>
      <c r="V107" s="6" t="e">
        <f t="shared" si="11"/>
        <v>#NUM!</v>
      </c>
      <c r="W107" s="38" t="e">
        <f t="shared" si="8"/>
        <v>#NUM!</v>
      </c>
      <c r="X107" s="6" t="e">
        <f t="shared" si="9"/>
        <v>#NUM!</v>
      </c>
    </row>
    <row r="108" spans="6:24" x14ac:dyDescent="0.25">
      <c r="Q108" s="24"/>
      <c r="R108" s="25"/>
      <c r="T108" s="12">
        <v>0.95</v>
      </c>
      <c r="U108" s="6" t="e">
        <f t="shared" si="10"/>
        <v>#NUM!</v>
      </c>
      <c r="V108" s="6" t="e">
        <f t="shared" si="11"/>
        <v>#NUM!</v>
      </c>
      <c r="W108" s="38" t="e">
        <f t="shared" si="8"/>
        <v>#NUM!</v>
      </c>
      <c r="X108" s="6" t="e">
        <f t="shared" si="9"/>
        <v>#NUM!</v>
      </c>
    </row>
    <row r="109" spans="6:24" x14ac:dyDescent="0.25">
      <c r="Q109" s="24"/>
      <c r="R109" s="25"/>
      <c r="T109" s="12">
        <v>0.96</v>
      </c>
      <c r="U109" s="6" t="e">
        <f t="shared" si="10"/>
        <v>#NUM!</v>
      </c>
      <c r="V109" s="6" t="e">
        <f t="shared" si="11"/>
        <v>#NUM!</v>
      </c>
      <c r="W109" s="38" t="e">
        <f t="shared" si="8"/>
        <v>#NUM!</v>
      </c>
      <c r="X109" s="6" t="e">
        <f t="shared" si="9"/>
        <v>#NUM!</v>
      </c>
    </row>
    <row r="110" spans="6:24" x14ac:dyDescent="0.25">
      <c r="Q110" s="24"/>
      <c r="R110" s="25"/>
      <c r="T110" s="12">
        <v>0.97</v>
      </c>
      <c r="U110" s="6" t="e">
        <f t="shared" si="10"/>
        <v>#NUM!</v>
      </c>
      <c r="V110" s="6" t="e">
        <f t="shared" si="11"/>
        <v>#NUM!</v>
      </c>
      <c r="W110" s="38" t="e">
        <f t="shared" si="8"/>
        <v>#NUM!</v>
      </c>
      <c r="X110" s="6" t="e">
        <f t="shared" si="9"/>
        <v>#NUM!</v>
      </c>
    </row>
    <row r="111" spans="6:24" x14ac:dyDescent="0.25">
      <c r="Q111" s="24"/>
      <c r="R111" s="25"/>
      <c r="T111" s="12">
        <v>0.98</v>
      </c>
      <c r="U111" s="6" t="e">
        <f t="shared" si="10"/>
        <v>#NUM!</v>
      </c>
      <c r="V111" s="6" t="e">
        <f t="shared" si="11"/>
        <v>#NUM!</v>
      </c>
      <c r="W111" s="38" t="e">
        <f t="shared" si="8"/>
        <v>#NUM!</v>
      </c>
      <c r="X111" s="6" t="e">
        <f t="shared" si="9"/>
        <v>#NUM!</v>
      </c>
    </row>
    <row r="112" spans="6:24" x14ac:dyDescent="0.25">
      <c r="Q112" s="24"/>
      <c r="R112" s="25"/>
      <c r="T112" s="12">
        <v>0.99</v>
      </c>
      <c r="U112" s="6" t="e">
        <f t="shared" si="10"/>
        <v>#NUM!</v>
      </c>
      <c r="V112" s="6" t="e">
        <f t="shared" si="11"/>
        <v>#NUM!</v>
      </c>
      <c r="W112" s="38" t="e">
        <f t="shared" si="8"/>
        <v>#NUM!</v>
      </c>
      <c r="X112" s="6" t="e">
        <f t="shared" si="9"/>
        <v>#NUM!</v>
      </c>
    </row>
    <row r="113" spans="17:24" x14ac:dyDescent="0.25">
      <c r="Q113" s="24"/>
      <c r="R113" s="25"/>
      <c r="T113" s="12">
        <v>1</v>
      </c>
      <c r="U113" s="6" t="e">
        <f t="shared" si="10"/>
        <v>#NUM!</v>
      </c>
      <c r="V113" s="6" t="e">
        <f t="shared" si="11"/>
        <v>#NUM!</v>
      </c>
      <c r="W113" s="38" t="e">
        <f t="shared" si="8"/>
        <v>#NUM!</v>
      </c>
      <c r="X113" s="6" t="e">
        <f t="shared" si="9"/>
        <v>#NUM!</v>
      </c>
    </row>
  </sheetData>
  <mergeCells count="8">
    <mergeCell ref="B9:D9"/>
    <mergeCell ref="B11:C11"/>
    <mergeCell ref="T11:X11"/>
    <mergeCell ref="B2:D2"/>
    <mergeCell ref="F2:J2"/>
    <mergeCell ref="L2:P2"/>
    <mergeCell ref="B3:D3"/>
    <mergeCell ref="B4:D4"/>
  </mergeCells>
  <conditionalFormatting sqref="K7:K9 W13:W113 B28:C30">
    <cfRule type="notContainsBlanks" dxfId="0" priority="1">
      <formula>LEN(TRIM(K7))&gt;0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J12"/>
  <sheetViews>
    <sheetView workbookViewId="0"/>
  </sheetViews>
  <sheetFormatPr defaultColWidth="12.6640625" defaultRowHeight="15.75" customHeight="1" x14ac:dyDescent="0.25"/>
  <cols>
    <col min="2" max="2" width="21.109375" customWidth="1"/>
    <col min="4" max="4" width="14.88671875" customWidth="1"/>
    <col min="5" max="5" width="16.44140625" customWidth="1"/>
    <col min="7" max="7" width="21.109375" customWidth="1"/>
    <col min="9" max="9" width="14.88671875" customWidth="1"/>
    <col min="10" max="10" width="16.44140625" customWidth="1"/>
  </cols>
  <sheetData>
    <row r="2" spans="2:10" x14ac:dyDescent="0.25">
      <c r="B2" s="44" t="s">
        <v>148</v>
      </c>
      <c r="C2" s="47"/>
      <c r="D2" s="47"/>
      <c r="E2" s="45"/>
      <c r="G2" s="44" t="s">
        <v>149</v>
      </c>
      <c r="H2" s="47"/>
      <c r="I2" s="47"/>
      <c r="J2" s="45"/>
    </row>
    <row r="3" spans="2:10" x14ac:dyDescent="0.25">
      <c r="B3" s="2" t="s">
        <v>150</v>
      </c>
      <c r="C3" s="12" t="s">
        <v>151</v>
      </c>
      <c r="D3" s="12" t="s">
        <v>152</v>
      </c>
      <c r="E3" s="12" t="s">
        <v>153</v>
      </c>
      <c r="G3" s="2" t="s">
        <v>150</v>
      </c>
      <c r="H3" s="12" t="s">
        <v>151</v>
      </c>
      <c r="I3" s="12" t="s">
        <v>152</v>
      </c>
      <c r="J3" s="12" t="s">
        <v>153</v>
      </c>
    </row>
    <row r="4" spans="2:10" x14ac:dyDescent="0.25">
      <c r="B4" s="2" t="s">
        <v>154</v>
      </c>
      <c r="C4" s="11">
        <v>3</v>
      </c>
      <c r="D4" s="11">
        <v>14.99</v>
      </c>
      <c r="E4" s="6">
        <f t="shared" ref="E4:E9" si="0">((0.5)*(C4/32.2)*(D4)^2)</f>
        <v>10.467395962732919</v>
      </c>
      <c r="G4" s="2" t="s">
        <v>154</v>
      </c>
      <c r="H4" s="11">
        <v>3</v>
      </c>
      <c r="I4" s="11">
        <v>105.97</v>
      </c>
      <c r="J4" s="6">
        <f t="shared" ref="J4:J9" si="1">((0.5)*(H4/32.2)*(I4)^2)</f>
        <v>523.1199177018633</v>
      </c>
    </row>
    <row r="5" spans="2:10" x14ac:dyDescent="0.25">
      <c r="B5" s="2" t="s">
        <v>155</v>
      </c>
      <c r="C5" s="11">
        <v>6.02</v>
      </c>
      <c r="D5" s="11">
        <v>14.99</v>
      </c>
      <c r="E5" s="6">
        <f t="shared" si="0"/>
        <v>21.004574565217389</v>
      </c>
      <c r="G5" s="2" t="s">
        <v>155</v>
      </c>
      <c r="H5" s="11">
        <v>6.02</v>
      </c>
      <c r="I5" s="11">
        <v>105.97</v>
      </c>
      <c r="J5" s="6">
        <f t="shared" si="1"/>
        <v>1049.727301521739</v>
      </c>
    </row>
    <row r="6" spans="2:10" x14ac:dyDescent="0.25">
      <c r="B6" s="2" t="s">
        <v>156</v>
      </c>
      <c r="C6" s="11">
        <v>8.98</v>
      </c>
      <c r="D6" s="11">
        <v>14.99</v>
      </c>
      <c r="E6" s="6">
        <f t="shared" si="0"/>
        <v>31.332405248447209</v>
      </c>
      <c r="G6" s="2" t="s">
        <v>156</v>
      </c>
      <c r="H6" s="11">
        <v>8.98</v>
      </c>
      <c r="I6" s="11">
        <v>105.97</v>
      </c>
      <c r="J6" s="6">
        <f t="shared" si="1"/>
        <v>1565.8722869875778</v>
      </c>
    </row>
    <row r="7" spans="2:10" x14ac:dyDescent="0.25">
      <c r="B7" s="2" t="s">
        <v>157</v>
      </c>
      <c r="C7" s="11">
        <v>6.8</v>
      </c>
      <c r="D7" s="11">
        <v>14.11</v>
      </c>
      <c r="E7" s="6">
        <f t="shared" si="0"/>
        <v>21.022147204968942</v>
      </c>
      <c r="G7" s="2" t="s">
        <v>157</v>
      </c>
      <c r="H7" s="11">
        <v>6.8</v>
      </c>
      <c r="I7" s="11">
        <v>116.39</v>
      </c>
      <c r="J7" s="6">
        <f t="shared" si="1"/>
        <v>1430.3897248447204</v>
      </c>
    </row>
    <row r="8" spans="2:10" x14ac:dyDescent="0.25">
      <c r="B8" s="2" t="s">
        <v>158</v>
      </c>
      <c r="C8" s="11">
        <v>14.55</v>
      </c>
      <c r="D8" s="11">
        <v>14.11</v>
      </c>
      <c r="E8" s="6">
        <f t="shared" si="0"/>
        <v>44.981212034161487</v>
      </c>
      <c r="G8" s="2" t="s">
        <v>158</v>
      </c>
      <c r="H8" s="11">
        <v>14.55</v>
      </c>
      <c r="I8" s="11">
        <v>116.39</v>
      </c>
      <c r="J8" s="6">
        <f t="shared" si="1"/>
        <v>3060.6133083074537</v>
      </c>
    </row>
    <row r="9" spans="2:10" x14ac:dyDescent="0.25">
      <c r="B9" s="2" t="s">
        <v>159</v>
      </c>
      <c r="C9" s="11">
        <v>5</v>
      </c>
      <c r="D9" s="11">
        <v>14.99</v>
      </c>
      <c r="E9" s="6">
        <f t="shared" si="0"/>
        <v>17.445659937888198</v>
      </c>
      <c r="G9" s="2" t="s">
        <v>159</v>
      </c>
      <c r="H9" s="11">
        <v>5</v>
      </c>
      <c r="I9" s="11">
        <v>105.97</v>
      </c>
      <c r="J9" s="6">
        <f t="shared" si="1"/>
        <v>871.86652950310554</v>
      </c>
    </row>
    <row r="11" spans="2:10" x14ac:dyDescent="0.25">
      <c r="D11" s="18">
        <f>300/12</f>
        <v>25</v>
      </c>
    </row>
    <row r="12" spans="2:10" x14ac:dyDescent="0.25">
      <c r="D12" s="18">
        <f>240/12</f>
        <v>20</v>
      </c>
    </row>
  </sheetData>
  <mergeCells count="2">
    <mergeCell ref="B2:E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 Impact Velocity  Min Chute </vt:lpstr>
      <vt:lpstr>Drogue  Main</vt:lpstr>
      <vt:lpstr>Drift  Time</vt:lpstr>
      <vt:lpstr>Steamer</vt:lpstr>
      <vt:lpstr>Black Powder Calcs</vt:lpstr>
      <vt:lpstr>Opening Force</vt:lpstr>
      <vt:lpstr>FRR Landing KE of Vehicle Compo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Allman</dc:creator>
  <cp:lastModifiedBy>John Allman</cp:lastModifiedBy>
  <dcterms:created xsi:type="dcterms:W3CDTF">2022-08-13T21:41:32Z</dcterms:created>
  <dcterms:modified xsi:type="dcterms:W3CDTF">2022-08-13T21:41:32Z</dcterms:modified>
</cp:coreProperties>
</file>